
<file path=[Content_Types].xml><?xml version="1.0" encoding="utf-8"?>
<Types xmlns="http://schemas.openxmlformats.org/package/2006/content-types">
  <Default Extension="bin" ContentType="application/vnd.openxmlformats-officedocument.spreadsheetml.printerSettings"/>
  <Override PartName="/xl/activeX/activeX2.bin" ContentType="application/vnd.ms-office.activeX"/>
  <Override PartName="/xl/activeX/activeX3.bin" ContentType="application/vnd.ms-office.activeX"/>
  <Default Extension="png" ContentType="image/png"/>
  <Override PartName="/xl/theme/theme1.xml" ContentType="application/vnd.openxmlformats-officedocument.theme+xml"/>
  <Override PartName="/xl/styles.xml" ContentType="application/vnd.openxmlformats-officedocument.spreadsheetml.styles+xml"/>
  <Override PartName="/xl/activeX/activeX1.bin" ContentType="application/vnd.ms-office.activeX"/>
  <Override PartName="/xl/worksheets/sheet6.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activeX/activeX2.xml" ContentType="application/vnd.ms-office.activeX+xml"/>
  <Override PartName="/xl/activeX/activeX3.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Objects="placeholders" updateLinks="never" codeName="ThisWorkbook"/>
  <bookViews>
    <workbookView xWindow="480" yWindow="165" windowWidth="15480" windowHeight="10560" tabRatio="601" firstSheet="4" activeTab="4"/>
  </bookViews>
  <sheets>
    <sheet name="繳費報酬率資料" sheetId="13" state="veryHidden" r:id="rId1"/>
    <sheet name="15費率表" sheetId="20" state="veryHidden" r:id="rId2"/>
    <sheet name="計算" sheetId="1" state="veryHidden" r:id="rId3"/>
    <sheet name="OP" sheetId="6" state="veryHidden" r:id="rId4"/>
    <sheet name="輸入頁" sheetId="12" r:id="rId5"/>
    <sheet name="列印頁" sheetId="3" r:id="rId6"/>
  </sheets>
  <definedNames>
    <definedName name="CO">OP!$L$43:$L$44</definedName>
    <definedName name="fees">OP!$R$16:$T$26</definedName>
    <definedName name="month">OP!$S$29:$T$41</definedName>
    <definedName name="MP">繳費報酬率資料!$D$6:$K$120</definedName>
    <definedName name="PAY">OP!$S$58:$S$69</definedName>
    <definedName name="PI">OP!$AK$4:$AL$90</definedName>
    <definedName name="PR">計算!$AU$1:$AX$2</definedName>
    <definedName name="_xlnm.Print_Area" localSheetId="1">'15費率表'!$A$1:$C$80</definedName>
    <definedName name="_xlnm.Print_Area" localSheetId="5">列印頁!$A$1:$P$510</definedName>
    <definedName name="_xlnm.Print_Area" localSheetId="4">輸入頁!$A$1:$O$48</definedName>
    <definedName name="_xlnm.Print_Area" localSheetId="0">繳費報酬率資料!$A$1:$L$122</definedName>
    <definedName name="value">計算!$S$4:$AL$987</definedName>
    <definedName name="value1">計算!$R$4:$Y$1167</definedName>
    <definedName name="WORDING">OP!$N$2:$O$20</definedName>
    <definedName name="分首">OP!$I$79:$I$80</definedName>
    <definedName name="分續">OP!$I$84:$I$85</definedName>
    <definedName name="主約">OP!$H$44:$H$48</definedName>
    <definedName name="年金">'15費率表'!$A$5:$C$101</definedName>
    <definedName name="年金定位">計算!$T$4:$AB$1168</definedName>
    <definedName name="年金金額">計算!$AI$4:$AL$1168</definedName>
    <definedName name="宣告利率">計算!$I$4:'計算'!$J$1167</definedName>
    <definedName name="彈首">OP!$I$89:$I$90</definedName>
    <definedName name="繳別">OP!$I$63:$M$63</definedName>
    <definedName name="繳別首">OP!$H$31:$H$34</definedName>
    <definedName name="繳別續">OP!$H$32:$H$36</definedName>
  </definedNames>
  <calcPr calcId="125725"/>
</workbook>
</file>

<file path=xl/calcChain.xml><?xml version="1.0" encoding="utf-8"?>
<calcChain xmlns="http://schemas.openxmlformats.org/spreadsheetml/2006/main">
  <c r="C259" i="6"/>
  <c r="E262"/>
  <c r="AW5" i="1"/>
  <c r="C3" i="6"/>
  <c r="A101" i="20"/>
  <c r="J110" i="6"/>
  <c r="J111" s="1"/>
  <c r="K110"/>
  <c r="K111" s="1"/>
  <c r="I110"/>
  <c r="L13" i="12"/>
  <c r="AL2" i="6"/>
  <c r="AK90"/>
  <c r="K24" i="12"/>
  <c r="K26"/>
  <c r="K10"/>
  <c r="O10"/>
  <c r="C124" i="6"/>
  <c r="L19" i="12"/>
  <c r="A1" i="1"/>
  <c r="D3" s="1"/>
  <c r="L111" i="6"/>
  <c r="C272" i="3"/>
  <c r="C207"/>
  <c r="C10" i="6"/>
  <c r="D10"/>
  <c r="C24"/>
  <c r="D24" s="1"/>
  <c r="D25" s="1"/>
  <c r="C22"/>
  <c r="E16" s="1"/>
  <c r="C66"/>
  <c r="D60" s="1"/>
  <c r="E29"/>
  <c r="C120"/>
  <c r="C122" s="1"/>
  <c r="C119"/>
  <c r="B129" s="1"/>
  <c r="C132"/>
  <c r="C133"/>
  <c r="D119"/>
  <c r="H62" s="1"/>
  <c r="N8" i="12" s="1"/>
  <c r="E28" i="6"/>
  <c r="C33"/>
  <c r="D33" s="1"/>
  <c r="C83"/>
  <c r="D83"/>
  <c r="C18"/>
  <c r="D18" s="1"/>
  <c r="D19" s="1"/>
  <c r="D28"/>
  <c r="C37"/>
  <c r="C77" s="1"/>
  <c r="C67"/>
  <c r="M398" i="3"/>
  <c r="C68" i="6"/>
  <c r="C87"/>
  <c r="D87" s="1"/>
  <c r="C78"/>
  <c r="E78" s="1"/>
  <c r="C79"/>
  <c r="D81"/>
  <c r="C80"/>
  <c r="K143" i="3"/>
  <c r="P4" i="1"/>
  <c r="C121" i="6"/>
  <c r="J345" i="1" s="1"/>
  <c r="J267"/>
  <c r="J378"/>
  <c r="J409"/>
  <c r="J423"/>
  <c r="J437"/>
  <c r="J451"/>
  <c r="J466"/>
  <c r="J479"/>
  <c r="J494"/>
  <c r="J509"/>
  <c r="J515"/>
  <c r="J522"/>
  <c r="J530"/>
  <c r="J537"/>
  <c r="J543"/>
  <c r="J551"/>
  <c r="J557"/>
  <c r="J562"/>
  <c r="J565"/>
  <c r="J570"/>
  <c r="J575"/>
  <c r="J579"/>
  <c r="J585"/>
  <c r="J590"/>
  <c r="J594"/>
  <c r="J599"/>
  <c r="K448" i="3"/>
  <c r="J605" i="1"/>
  <c r="J609"/>
  <c r="J613"/>
  <c r="J616"/>
  <c r="J620"/>
  <c r="J624"/>
  <c r="J626"/>
  <c r="J630"/>
  <c r="J634"/>
  <c r="J637"/>
  <c r="J641"/>
  <c r="J645"/>
  <c r="J648"/>
  <c r="J652"/>
  <c r="J656"/>
  <c r="J658"/>
  <c r="J662"/>
  <c r="J666"/>
  <c r="J669"/>
  <c r="J673"/>
  <c r="J677"/>
  <c r="J680"/>
  <c r="J684"/>
  <c r="J687"/>
  <c r="J689"/>
  <c r="J692"/>
  <c r="J695"/>
  <c r="J697"/>
  <c r="J700"/>
  <c r="J703"/>
  <c r="J705"/>
  <c r="J707"/>
  <c r="J708"/>
  <c r="J711"/>
  <c r="J712"/>
  <c r="J713"/>
  <c r="J716"/>
  <c r="J717"/>
  <c r="J719"/>
  <c r="J721"/>
  <c r="J723"/>
  <c r="AB1"/>
  <c r="M401" i="3" s="1"/>
  <c r="K401"/>
  <c r="Z1" i="1"/>
  <c r="I401" i="3"/>
  <c r="C8" i="6"/>
  <c r="E339" i="3"/>
  <c r="M339"/>
  <c r="K78"/>
  <c r="N510"/>
  <c r="K47" i="12"/>
  <c r="AN4" i="1"/>
  <c r="F64" i="6"/>
  <c r="J725" i="1"/>
  <c r="J726"/>
  <c r="J727"/>
  <c r="J729"/>
  <c r="J730"/>
  <c r="J731"/>
  <c r="J733"/>
  <c r="J734"/>
  <c r="J735"/>
  <c r="J737"/>
  <c r="J738"/>
  <c r="J739"/>
  <c r="J741"/>
  <c r="J742"/>
  <c r="J743"/>
  <c r="J745"/>
  <c r="J746"/>
  <c r="J747"/>
  <c r="J749"/>
  <c r="J750"/>
  <c r="J751"/>
  <c r="J753"/>
  <c r="J754"/>
  <c r="J755"/>
  <c r="J757"/>
  <c r="J758"/>
  <c r="J759"/>
  <c r="J761"/>
  <c r="J762"/>
  <c r="J763"/>
  <c r="J765"/>
  <c r="J766"/>
  <c r="J767"/>
  <c r="J769"/>
  <c r="J770"/>
  <c r="J771"/>
  <c r="J773"/>
  <c r="J774"/>
  <c r="J775"/>
  <c r="J777"/>
  <c r="J778"/>
  <c r="J779"/>
  <c r="J781"/>
  <c r="J782"/>
  <c r="J783"/>
  <c r="J785"/>
  <c r="J786"/>
  <c r="J787"/>
  <c r="J789"/>
  <c r="J790"/>
  <c r="J791"/>
  <c r="J793"/>
  <c r="J794"/>
  <c r="J795"/>
  <c r="J797"/>
  <c r="J798"/>
  <c r="J799"/>
  <c r="J801"/>
  <c r="J802"/>
  <c r="J803"/>
  <c r="J805"/>
  <c r="J806"/>
  <c r="J807"/>
  <c r="J809"/>
  <c r="J810"/>
  <c r="J811"/>
  <c r="J813"/>
  <c r="J814"/>
  <c r="J815"/>
  <c r="J817"/>
  <c r="J818"/>
  <c r="J819"/>
  <c r="J821"/>
  <c r="J822"/>
  <c r="J823"/>
  <c r="J825"/>
  <c r="J826"/>
  <c r="J827"/>
  <c r="J829"/>
  <c r="J830"/>
  <c r="J831"/>
  <c r="J832"/>
  <c r="J833"/>
  <c r="J834"/>
  <c r="J835"/>
  <c r="J836"/>
  <c r="J837"/>
  <c r="J838"/>
  <c r="J839"/>
  <c r="J840"/>
  <c r="J841"/>
  <c r="J842"/>
  <c r="J843"/>
  <c r="J844"/>
  <c r="J845"/>
  <c r="J846"/>
  <c r="J847"/>
  <c r="J848"/>
  <c r="J849"/>
  <c r="J850"/>
  <c r="J851"/>
  <c r="J852"/>
  <c r="J853"/>
  <c r="J854"/>
  <c r="AF1"/>
  <c r="F96" i="6"/>
  <c r="J855" i="1"/>
  <c r="N146" i="3"/>
  <c r="D143" i="6"/>
  <c r="I97"/>
  <c r="H97" s="1"/>
  <c r="B111" s="1"/>
  <c r="Q4" i="1"/>
  <c r="C69" i="6"/>
  <c r="H22" i="12"/>
  <c r="BI2" i="1"/>
  <c r="B40" i="12"/>
  <c r="C116" i="6"/>
  <c r="BD1" i="1"/>
  <c r="C45" i="6"/>
  <c r="D45"/>
  <c r="C43"/>
  <c r="C35"/>
  <c r="C27"/>
  <c r="L35" i="12"/>
  <c r="L58" i="6"/>
  <c r="C142"/>
  <c r="H32" i="12"/>
  <c r="H36" s="1"/>
  <c r="C92" i="6"/>
  <c r="E116"/>
  <c r="D116"/>
  <c r="B116"/>
  <c r="K209" i="3"/>
  <c r="K274"/>
  <c r="K331"/>
  <c r="K389"/>
  <c r="J856" i="1"/>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C134" i="6"/>
  <c r="I92"/>
  <c r="I87"/>
  <c r="I82"/>
  <c r="D78"/>
  <c r="G47" i="12"/>
  <c r="I75" i="6"/>
  <c r="D11"/>
  <c r="D12"/>
  <c r="D34"/>
  <c r="D41"/>
  <c r="D46"/>
  <c r="D131"/>
  <c r="D29"/>
  <c r="D30"/>
  <c r="C145" i="3"/>
  <c r="N47" i="12"/>
  <c r="L43"/>
  <c r="H45"/>
  <c r="E72" i="6"/>
  <c r="M342" i="3"/>
  <c r="K342"/>
  <c r="B10"/>
  <c r="J122" i="13"/>
  <c r="C122"/>
  <c r="J60"/>
  <c r="L60"/>
  <c r="C60"/>
  <c r="A2"/>
  <c r="J1" i="1"/>
  <c r="B47" i="12"/>
  <c r="C36" i="6"/>
  <c r="F6" i="13"/>
  <c r="W1" i="1"/>
  <c r="F72" i="6"/>
  <c r="C58"/>
  <c r="G80"/>
  <c r="D80"/>
  <c r="D79"/>
  <c r="D73"/>
  <c r="M212" i="3"/>
  <c r="M147"/>
  <c r="M211"/>
  <c r="U3" i="6"/>
  <c r="V3"/>
  <c r="W3"/>
  <c r="X3"/>
  <c r="Y3"/>
  <c r="T4"/>
  <c r="U4"/>
  <c r="V4"/>
  <c r="W4"/>
  <c r="X4"/>
  <c r="Y4"/>
  <c r="T5"/>
  <c r="U5"/>
  <c r="V5"/>
  <c r="W5"/>
  <c r="X5"/>
  <c r="Y5"/>
  <c r="T6"/>
  <c r="U6"/>
  <c r="W6"/>
  <c r="X6"/>
  <c r="T7"/>
  <c r="U7"/>
  <c r="V7"/>
  <c r="W7"/>
  <c r="X7"/>
  <c r="Y7"/>
  <c r="T8"/>
  <c r="U8"/>
  <c r="V8"/>
  <c r="W8"/>
  <c r="X8"/>
  <c r="Y8"/>
  <c r="T9"/>
  <c r="U9"/>
  <c r="V9"/>
  <c r="W9"/>
  <c r="X9"/>
  <c r="Y9"/>
  <c r="T10"/>
  <c r="U10"/>
  <c r="W10"/>
  <c r="X10"/>
  <c r="B17" i="3"/>
  <c r="N3" i="6"/>
  <c r="N4"/>
  <c r="N5"/>
  <c r="N6"/>
  <c r="N7"/>
  <c r="N8"/>
  <c r="N9"/>
  <c r="N10"/>
  <c r="N11"/>
  <c r="N12"/>
  <c r="N13"/>
  <c r="N14"/>
  <c r="N15"/>
  <c r="N16"/>
  <c r="N17"/>
  <c r="N18"/>
  <c r="N19"/>
  <c r="N20"/>
  <c r="N21"/>
  <c r="N22"/>
  <c r="D43"/>
  <c r="T3"/>
  <c r="J38" i="1"/>
  <c r="J34"/>
  <c r="J30"/>
  <c r="J25"/>
  <c r="J21"/>
  <c r="J17"/>
  <c r="J12"/>
  <c r="J8"/>
  <c r="K63" i="6"/>
  <c r="D22"/>
  <c r="I63"/>
  <c r="C16"/>
  <c r="D18" i="12" s="1"/>
  <c r="J135" i="1"/>
  <c r="J119"/>
  <c r="J103"/>
  <c r="J87"/>
  <c r="J71"/>
  <c r="J55"/>
  <c r="J39"/>
  <c r="J18"/>
  <c r="C23" i="6"/>
  <c r="C106" s="1"/>
  <c r="J143" i="1"/>
  <c r="J127"/>
  <c r="J111"/>
  <c r="J95"/>
  <c r="J79"/>
  <c r="J63"/>
  <c r="J47"/>
  <c r="J28"/>
  <c r="J63" i="6"/>
  <c r="J6" i="1"/>
  <c r="J11"/>
  <c r="J16"/>
  <c r="J22"/>
  <c r="J27"/>
  <c r="J32"/>
  <c r="J37"/>
  <c r="J42"/>
  <c r="J46"/>
  <c r="J50"/>
  <c r="J54"/>
  <c r="J58"/>
  <c r="J62"/>
  <c r="J66"/>
  <c r="J70"/>
  <c r="J74"/>
  <c r="J78"/>
  <c r="J82"/>
  <c r="J86"/>
  <c r="J90"/>
  <c r="J94"/>
  <c r="J98"/>
  <c r="J102"/>
  <c r="J106"/>
  <c r="J110"/>
  <c r="J114"/>
  <c r="J118"/>
  <c r="J122"/>
  <c r="J126"/>
  <c r="J130"/>
  <c r="J134"/>
  <c r="J138"/>
  <c r="J142"/>
  <c r="J146"/>
  <c r="J150"/>
  <c r="J154"/>
  <c r="J158"/>
  <c r="J162"/>
  <c r="J166"/>
  <c r="J170"/>
  <c r="J174"/>
  <c r="J178"/>
  <c r="J182"/>
  <c r="J186"/>
  <c r="J190"/>
  <c r="J194"/>
  <c r="J198"/>
  <c r="J202"/>
  <c r="J206"/>
  <c r="J210"/>
  <c r="J214"/>
  <c r="J218"/>
  <c r="J222"/>
  <c r="J226"/>
  <c r="J230"/>
  <c r="J234"/>
  <c r="J238"/>
  <c r="J242"/>
  <c r="J246"/>
  <c r="J250"/>
  <c r="J254"/>
  <c r="J258"/>
  <c r="J262"/>
  <c r="J266"/>
  <c r="J270"/>
  <c r="J274"/>
  <c r="J278"/>
  <c r="J282"/>
  <c r="J286"/>
  <c r="J290"/>
  <c r="J294"/>
  <c r="J4"/>
  <c r="J9"/>
  <c r="J14"/>
  <c r="J19"/>
  <c r="J24"/>
  <c r="J29"/>
  <c r="J35"/>
  <c r="J40"/>
  <c r="J44"/>
  <c r="J48"/>
  <c r="J52"/>
  <c r="J56"/>
  <c r="J60"/>
  <c r="J64"/>
  <c r="J68"/>
  <c r="J72"/>
  <c r="J76"/>
  <c r="J80"/>
  <c r="J84"/>
  <c r="J88"/>
  <c r="J92"/>
  <c r="J96"/>
  <c r="J100"/>
  <c r="J104"/>
  <c r="J108"/>
  <c r="J112"/>
  <c r="J116"/>
  <c r="J120"/>
  <c r="J124"/>
  <c r="J128"/>
  <c r="J132"/>
  <c r="J136"/>
  <c r="J140"/>
  <c r="J144"/>
  <c r="J148"/>
  <c r="J152"/>
  <c r="J156"/>
  <c r="J160"/>
  <c r="J164"/>
  <c r="J168"/>
  <c r="J172"/>
  <c r="J176"/>
  <c r="J180"/>
  <c r="J184"/>
  <c r="J188"/>
  <c r="J192"/>
  <c r="J196"/>
  <c r="J200"/>
  <c r="J204"/>
  <c r="J208"/>
  <c r="J212"/>
  <c r="J216"/>
  <c r="J220"/>
  <c r="J224"/>
  <c r="J228"/>
  <c r="J232"/>
  <c r="J236"/>
  <c r="J240"/>
  <c r="J244"/>
  <c r="J248"/>
  <c r="J252"/>
  <c r="J256"/>
  <c r="J260"/>
  <c r="J264"/>
  <c r="J268"/>
  <c r="J272"/>
  <c r="J276"/>
  <c r="J280"/>
  <c r="J284"/>
  <c r="J288"/>
  <c r="J292"/>
  <c r="J296"/>
  <c r="J300"/>
  <c r="J304"/>
  <c r="J308"/>
  <c r="J312"/>
  <c r="J5"/>
  <c r="J10"/>
  <c r="J15"/>
  <c r="J20"/>
  <c r="J26"/>
  <c r="J31"/>
  <c r="J36"/>
  <c r="J41"/>
  <c r="J45"/>
  <c r="J49"/>
  <c r="J53"/>
  <c r="J57"/>
  <c r="J61"/>
  <c r="J65"/>
  <c r="J69"/>
  <c r="J73"/>
  <c r="J77"/>
  <c r="J81"/>
  <c r="J85"/>
  <c r="J89"/>
  <c r="J93"/>
  <c r="J97"/>
  <c r="J101"/>
  <c r="J105"/>
  <c r="J109"/>
  <c r="J113"/>
  <c r="J117"/>
  <c r="J121"/>
  <c r="J125"/>
  <c r="J129"/>
  <c r="J133"/>
  <c r="J137"/>
  <c r="J141"/>
  <c r="J145"/>
  <c r="J149"/>
  <c r="J153"/>
  <c r="J157"/>
  <c r="J161"/>
  <c r="J165"/>
  <c r="J169"/>
  <c r="J173"/>
  <c r="J177"/>
  <c r="J181"/>
  <c r="J185"/>
  <c r="J189"/>
  <c r="J193"/>
  <c r="J197"/>
  <c r="J201"/>
  <c r="J205"/>
  <c r="J209"/>
  <c r="J213"/>
  <c r="J217"/>
  <c r="J221"/>
  <c r="J225"/>
  <c r="J229"/>
  <c r="J233"/>
  <c r="J237"/>
  <c r="J241"/>
  <c r="J245"/>
  <c r="J249"/>
  <c r="J253"/>
  <c r="J257"/>
  <c r="J261"/>
  <c r="J265"/>
  <c r="J269"/>
  <c r="J273"/>
  <c r="J277"/>
  <c r="J281"/>
  <c r="J285"/>
  <c r="J289"/>
  <c r="J293"/>
  <c r="J297"/>
  <c r="J301"/>
  <c r="J305"/>
  <c r="J309"/>
  <c r="C4" i="6"/>
  <c r="B3"/>
  <c r="E4" s="1"/>
  <c r="J506" i="1"/>
  <c r="J499"/>
  <c r="J493"/>
  <c r="J485"/>
  <c r="J478"/>
  <c r="J471"/>
  <c r="J463"/>
  <c r="J457"/>
  <c r="J450"/>
  <c r="J442"/>
  <c r="J435"/>
  <c r="J429"/>
  <c r="J421"/>
  <c r="J414"/>
  <c r="J407"/>
  <c r="J394"/>
  <c r="J377"/>
  <c r="J333"/>
  <c r="J155"/>
  <c r="J503"/>
  <c r="J495"/>
  <c r="J489"/>
  <c r="J482"/>
  <c r="J474"/>
  <c r="J467"/>
  <c r="J461"/>
  <c r="J453"/>
  <c r="J446"/>
  <c r="J439"/>
  <c r="J431"/>
  <c r="J425"/>
  <c r="J418"/>
  <c r="J410"/>
  <c r="J403"/>
  <c r="J386"/>
  <c r="J361"/>
  <c r="J283"/>
  <c r="C135" i="6"/>
  <c r="D135" s="1"/>
  <c r="J131" i="1"/>
  <c r="C38" i="6"/>
  <c r="E37"/>
  <c r="J598" i="1"/>
  <c r="J593"/>
  <c r="J587"/>
  <c r="J582"/>
  <c r="J577"/>
  <c r="J571"/>
  <c r="J566"/>
  <c r="J561"/>
  <c r="J555"/>
  <c r="J550"/>
  <c r="J545"/>
  <c r="J539"/>
  <c r="J534"/>
  <c r="J529"/>
  <c r="J523"/>
  <c r="J518"/>
  <c r="J513"/>
  <c r="J507"/>
  <c r="J502"/>
  <c r="J497"/>
  <c r="J491"/>
  <c r="J486"/>
  <c r="J481"/>
  <c r="J475"/>
  <c r="J470"/>
  <c r="J465"/>
  <c r="J459"/>
  <c r="J454"/>
  <c r="J449"/>
  <c r="J443"/>
  <c r="J438"/>
  <c r="J433"/>
  <c r="J427"/>
  <c r="J422"/>
  <c r="J417"/>
  <c r="J411"/>
  <c r="J406"/>
  <c r="J401"/>
  <c r="J385"/>
  <c r="J362"/>
  <c r="J329"/>
  <c r="J203"/>
  <c r="J370"/>
  <c r="J349"/>
  <c r="J317"/>
  <c r="J219"/>
  <c r="J23"/>
  <c r="J67"/>
  <c r="J171"/>
  <c r="J235"/>
  <c r="J298"/>
  <c r="J321"/>
  <c r="J337"/>
  <c r="J353"/>
  <c r="J365"/>
  <c r="J373"/>
  <c r="J381"/>
  <c r="J389"/>
  <c r="J397"/>
  <c r="J99"/>
  <c r="J187"/>
  <c r="J251"/>
  <c r="J306"/>
  <c r="J325"/>
  <c r="J341"/>
  <c r="J357"/>
  <c r="J366"/>
  <c r="J374"/>
  <c r="J382"/>
  <c r="J390"/>
  <c r="J398"/>
  <c r="J404"/>
  <c r="J408"/>
  <c r="J412"/>
  <c r="J416"/>
  <c r="J420"/>
  <c r="J424"/>
  <c r="J428"/>
  <c r="J432"/>
  <c r="J436"/>
  <c r="J440"/>
  <c r="J444"/>
  <c r="J448"/>
  <c r="J452"/>
  <c r="J456"/>
  <c r="J460"/>
  <c r="J464"/>
  <c r="J468"/>
  <c r="J472"/>
  <c r="J476"/>
  <c r="J480"/>
  <c r="J484"/>
  <c r="J488"/>
  <c r="J492"/>
  <c r="J496"/>
  <c r="J500"/>
  <c r="J504"/>
  <c r="J508"/>
  <c r="J512"/>
  <c r="J516"/>
  <c r="J520"/>
  <c r="J524"/>
  <c r="J528"/>
  <c r="J532"/>
  <c r="J536"/>
  <c r="J540"/>
  <c r="J544"/>
  <c r="J548"/>
  <c r="J552"/>
  <c r="J556"/>
  <c r="J560"/>
  <c r="J564"/>
  <c r="J568"/>
  <c r="J572"/>
  <c r="J576"/>
  <c r="J580"/>
  <c r="J584"/>
  <c r="J588"/>
  <c r="J592"/>
  <c r="J596"/>
  <c r="J600"/>
  <c r="J603"/>
  <c r="J607"/>
  <c r="J611"/>
  <c r="J615"/>
  <c r="J619"/>
  <c r="J623"/>
  <c r="J627"/>
  <c r="J631"/>
  <c r="J635"/>
  <c r="J639"/>
  <c r="J643"/>
  <c r="J647"/>
  <c r="J651"/>
  <c r="J655"/>
  <c r="J659"/>
  <c r="J663"/>
  <c r="J667"/>
  <c r="J671"/>
  <c r="J675"/>
  <c r="J679"/>
  <c r="J683"/>
  <c r="J399"/>
  <c r="J395"/>
  <c r="J391"/>
  <c r="J387"/>
  <c r="J383"/>
  <c r="J379"/>
  <c r="J375"/>
  <c r="J371"/>
  <c r="J367"/>
  <c r="J363"/>
  <c r="J359"/>
  <c r="J355"/>
  <c r="J351"/>
  <c r="J347"/>
  <c r="J343"/>
  <c r="J339"/>
  <c r="J335"/>
  <c r="J331"/>
  <c r="J327"/>
  <c r="J323"/>
  <c r="J319"/>
  <c r="J315"/>
  <c r="J310"/>
  <c r="J302"/>
  <c r="J291"/>
  <c r="J275"/>
  <c r="J259"/>
  <c r="J243"/>
  <c r="J227"/>
  <c r="J211"/>
  <c r="J195"/>
  <c r="J179"/>
  <c r="J163"/>
  <c r="J147"/>
  <c r="J115"/>
  <c r="J83"/>
  <c r="J51"/>
  <c r="J13"/>
  <c r="C51" i="6"/>
  <c r="D50"/>
  <c r="J358" i="1"/>
  <c r="J354"/>
  <c r="J350"/>
  <c r="J346"/>
  <c r="J342"/>
  <c r="J338"/>
  <c r="J334"/>
  <c r="J330"/>
  <c r="J326"/>
  <c r="J322"/>
  <c r="J318"/>
  <c r="J314"/>
  <c r="J307"/>
  <c r="J299"/>
  <c r="J287"/>
  <c r="J271"/>
  <c r="J255"/>
  <c r="J239"/>
  <c r="J223"/>
  <c r="J207"/>
  <c r="J191"/>
  <c r="J175"/>
  <c r="J159"/>
  <c r="J139"/>
  <c r="J107"/>
  <c r="J75"/>
  <c r="J43"/>
  <c r="J7"/>
  <c r="E398" i="3"/>
  <c r="J400" i="1"/>
  <c r="J396"/>
  <c r="J392"/>
  <c r="J388"/>
  <c r="J384"/>
  <c r="J380"/>
  <c r="J376"/>
  <c r="J372"/>
  <c r="J368"/>
  <c r="J364"/>
  <c r="J360"/>
  <c r="J356"/>
  <c r="J352"/>
  <c r="J348"/>
  <c r="J344"/>
  <c r="J340"/>
  <c r="J336"/>
  <c r="J332"/>
  <c r="J328"/>
  <c r="J324"/>
  <c r="J320"/>
  <c r="J316"/>
  <c r="J311"/>
  <c r="J303"/>
  <c r="J295"/>
  <c r="J279"/>
  <c r="J263"/>
  <c r="J247"/>
  <c r="J231"/>
  <c r="J215"/>
  <c r="J199"/>
  <c r="J183"/>
  <c r="J167"/>
  <c r="J151"/>
  <c r="J123"/>
  <c r="J91"/>
  <c r="J59"/>
  <c r="D107" i="6"/>
  <c r="AK38"/>
  <c r="AK42"/>
  <c r="AK79"/>
  <c r="AK83"/>
  <c r="AK87"/>
  <c r="AK39"/>
  <c r="AK43"/>
  <c r="AK80"/>
  <c r="AK84"/>
  <c r="AK88"/>
  <c r="AK4"/>
  <c r="AK40"/>
  <c r="AK44"/>
  <c r="AK81"/>
  <c r="AK85"/>
  <c r="AK89"/>
  <c r="AK5"/>
  <c r="AK37"/>
  <c r="AK41"/>
  <c r="AK45"/>
  <c r="AK78"/>
  <c r="AK82"/>
  <c r="AK86"/>
  <c r="I342" i="3"/>
  <c r="D3" i="6"/>
  <c r="J828" i="1"/>
  <c r="J824"/>
  <c r="J820"/>
  <c r="J816"/>
  <c r="J812"/>
  <c r="J808"/>
  <c r="J804"/>
  <c r="J800"/>
  <c r="J796"/>
  <c r="J792"/>
  <c r="J788"/>
  <c r="J784"/>
  <c r="J780"/>
  <c r="J776"/>
  <c r="J772"/>
  <c r="J768"/>
  <c r="J764"/>
  <c r="J760"/>
  <c r="J756"/>
  <c r="J752"/>
  <c r="J748"/>
  <c r="J744"/>
  <c r="J740"/>
  <c r="J736"/>
  <c r="J732"/>
  <c r="J728"/>
  <c r="J724"/>
  <c r="J722"/>
  <c r="J718"/>
  <c r="J714"/>
  <c r="J710"/>
  <c r="J706"/>
  <c r="J702"/>
  <c r="J698"/>
  <c r="J694"/>
  <c r="J690"/>
  <c r="J686"/>
  <c r="J681"/>
  <c r="J676"/>
  <c r="J670"/>
  <c r="J665"/>
  <c r="J660"/>
  <c r="J654"/>
  <c r="J649"/>
  <c r="J644"/>
  <c r="J638"/>
  <c r="J633"/>
  <c r="J628"/>
  <c r="J622"/>
  <c r="J617"/>
  <c r="J612"/>
  <c r="J606"/>
  <c r="J602"/>
  <c r="J595"/>
  <c r="J589"/>
  <c r="J581"/>
  <c r="J574"/>
  <c r="J567"/>
  <c r="J559"/>
  <c r="J553"/>
  <c r="J546"/>
  <c r="J538"/>
  <c r="J531"/>
  <c r="J525"/>
  <c r="J517"/>
  <c r="J510"/>
  <c r="J498"/>
  <c r="J483"/>
  <c r="J469"/>
  <c r="J455"/>
  <c r="J441"/>
  <c r="J426"/>
  <c r="J413"/>
  <c r="J393"/>
  <c r="J313"/>
  <c r="B136" i="6"/>
  <c r="J549" i="1"/>
  <c r="J542"/>
  <c r="J535"/>
  <c r="J527"/>
  <c r="J521"/>
  <c r="J514"/>
  <c r="J505"/>
  <c r="J490"/>
  <c r="J477"/>
  <c r="J462"/>
  <c r="J447"/>
  <c r="J434"/>
  <c r="J419"/>
  <c r="J405"/>
  <c r="J369"/>
  <c r="E80" i="6"/>
  <c r="D106"/>
  <c r="B106"/>
  <c r="M35" i="12"/>
  <c r="K34"/>
  <c r="M13"/>
  <c r="M19" s="1"/>
  <c r="K18" s="1"/>
  <c r="K12"/>
  <c r="I84" i="6"/>
  <c r="H87"/>
  <c r="O26" i="12" s="1"/>
  <c r="I94" i="6"/>
  <c r="E22"/>
  <c r="D40"/>
  <c r="I85"/>
  <c r="H95"/>
  <c r="I79"/>
  <c r="I89"/>
  <c r="H92" s="1"/>
  <c r="O44" i="12" s="1"/>
  <c r="I95" i="6"/>
  <c r="I80"/>
  <c r="H82" s="1"/>
  <c r="O24" i="12" s="1"/>
  <c r="I90" i="6"/>
  <c r="E79"/>
  <c r="BD5" i="1"/>
  <c r="BF5" s="1"/>
  <c r="AY5"/>
  <c r="M14" i="12"/>
  <c r="D74" i="6"/>
  <c r="S59"/>
  <c r="S60"/>
  <c r="S61"/>
  <c r="S62"/>
  <c r="S63"/>
  <c r="S64"/>
  <c r="S65"/>
  <c r="S66"/>
  <c r="S67"/>
  <c r="S69"/>
  <c r="S68"/>
  <c r="C40"/>
  <c r="C47" s="1"/>
  <c r="C107"/>
  <c r="B2" i="12"/>
  <c r="AK6" i="6"/>
  <c r="C2" i="13"/>
  <c r="B107" i="6"/>
  <c r="C48"/>
  <c r="AK7"/>
  <c r="AK47"/>
  <c r="B451" i="3"/>
  <c r="AK48" i="6"/>
  <c r="AK49"/>
  <c r="C453" i="3"/>
  <c r="C452"/>
  <c r="AK50" i="6"/>
  <c r="AK51"/>
  <c r="C454" i="3"/>
  <c r="AK52" i="6"/>
  <c r="AK53"/>
  <c r="AK54"/>
  <c r="AK55"/>
  <c r="AK56"/>
  <c r="AK57"/>
  <c r="AK58"/>
  <c r="AK59"/>
  <c r="AK60"/>
  <c r="AK61"/>
  <c r="AK62"/>
  <c r="AK63"/>
  <c r="AK64"/>
  <c r="AK65"/>
  <c r="AK66"/>
  <c r="AK67"/>
  <c r="AK68"/>
  <c r="AK69"/>
  <c r="AK70"/>
  <c r="AK71"/>
  <c r="AK72"/>
  <c r="AK73"/>
  <c r="AK74"/>
  <c r="AK75"/>
  <c r="AK76"/>
  <c r="AK77"/>
  <c r="AK8"/>
  <c r="AK9"/>
  <c r="C455" i="3"/>
  <c r="C456"/>
  <c r="AK10" i="6"/>
  <c r="C457" i="3"/>
  <c r="AK11" i="6"/>
  <c r="C458" i="3"/>
  <c r="AK12" i="6"/>
  <c r="C459" i="3"/>
  <c r="AK13" i="6"/>
  <c r="AK14"/>
  <c r="C461" i="3"/>
  <c r="AK15" i="6"/>
  <c r="AK16"/>
  <c r="AK17"/>
  <c r="AK18"/>
  <c r="AK19"/>
  <c r="AK20"/>
  <c r="AK21"/>
  <c r="AK22"/>
  <c r="AK23"/>
  <c r="AK24"/>
  <c r="AK25"/>
  <c r="AK26"/>
  <c r="AK27"/>
  <c r="AK28"/>
  <c r="AK29"/>
  <c r="AK30"/>
  <c r="AK31"/>
  <c r="AK32"/>
  <c r="AK33"/>
  <c r="AK34"/>
  <c r="AK35"/>
  <c r="AK36"/>
  <c r="C460" i="3"/>
  <c r="C476"/>
  <c r="C462"/>
  <c r="C479"/>
  <c r="C469"/>
  <c r="C465"/>
  <c r="C471"/>
  <c r="C466"/>
  <c r="C470"/>
  <c r="C489"/>
  <c r="C480"/>
  <c r="C484"/>
  <c r="C464"/>
  <c r="C475"/>
  <c r="C463"/>
  <c r="C482"/>
  <c r="C477"/>
  <c r="C472"/>
  <c r="C474"/>
  <c r="C467"/>
  <c r="C468"/>
  <c r="C487"/>
  <c r="C483"/>
  <c r="C490"/>
  <c r="C473"/>
  <c r="C478"/>
  <c r="C485"/>
  <c r="C481"/>
  <c r="C486"/>
  <c r="C488"/>
  <c r="C76" i="6"/>
  <c r="C123"/>
  <c r="D123" s="1"/>
  <c r="C57"/>
  <c r="N110"/>
  <c r="C90" s="1"/>
  <c r="D88" s="1"/>
  <c r="L110"/>
  <c r="G1" i="1"/>
  <c r="F3" s="1"/>
  <c r="D122" i="6"/>
  <c r="M23" i="12"/>
  <c r="L22" s="1"/>
  <c r="C39" i="6"/>
  <c r="D4"/>
  <c r="D7"/>
  <c r="D61"/>
  <c r="E61" s="1"/>
  <c r="N106"/>
  <c r="M106" s="1"/>
  <c r="D64"/>
  <c r="E64" s="1"/>
  <c r="D62"/>
  <c r="E62" s="1"/>
  <c r="C3" i="1"/>
  <c r="C4" s="1"/>
  <c r="E3"/>
  <c r="M110" i="6"/>
  <c r="P110"/>
  <c r="B16" l="1"/>
  <c r="E15"/>
  <c r="E3"/>
  <c r="D118"/>
  <c r="G3" i="1"/>
  <c r="J701"/>
  <c r="J696"/>
  <c r="J691"/>
  <c r="J685"/>
  <c r="J678"/>
  <c r="J672"/>
  <c r="J664"/>
  <c r="J657"/>
  <c r="J650"/>
  <c r="J642"/>
  <c r="J636"/>
  <c r="J629"/>
  <c r="J621"/>
  <c r="J614"/>
  <c r="J608"/>
  <c r="J601"/>
  <c r="J591"/>
  <c r="J583"/>
  <c r="J573"/>
  <c r="J563"/>
  <c r="J554"/>
  <c r="J541"/>
  <c r="J526"/>
  <c r="J511"/>
  <c r="J487"/>
  <c r="J458"/>
  <c r="J430"/>
  <c r="J402"/>
  <c r="J33"/>
  <c r="D120" i="6"/>
  <c r="E261"/>
  <c r="C268"/>
  <c r="D37"/>
  <c r="D38" s="1"/>
  <c r="F24" i="12" s="1"/>
  <c r="C269" i="6"/>
  <c r="E269"/>
  <c r="B261" s="1"/>
  <c r="C261" s="1"/>
  <c r="J720" i="1"/>
  <c r="J715"/>
  <c r="J709"/>
  <c r="J704"/>
  <c r="J699"/>
  <c r="J693"/>
  <c r="J688"/>
  <c r="J682"/>
  <c r="J674"/>
  <c r="J668"/>
  <c r="J661"/>
  <c r="J653"/>
  <c r="J646"/>
  <c r="J640"/>
  <c r="J632"/>
  <c r="J625"/>
  <c r="J618"/>
  <c r="J610"/>
  <c r="J604"/>
  <c r="J597"/>
  <c r="J586"/>
  <c r="J578"/>
  <c r="J569"/>
  <c r="J558"/>
  <c r="J547"/>
  <c r="J533"/>
  <c r="J519"/>
  <c r="J501"/>
  <c r="J473"/>
  <c r="J445"/>
  <c r="J415"/>
  <c r="N105" i="6"/>
  <c r="E263"/>
  <c r="D124"/>
  <c r="C29"/>
  <c r="C32" s="1"/>
  <c r="C137"/>
  <c r="C125"/>
  <c r="I4" i="1"/>
  <c r="AO4"/>
  <c r="BC4"/>
  <c r="F88" i="6"/>
  <c r="F89"/>
  <c r="E88"/>
  <c r="E89" s="1"/>
  <c r="AM3" i="1"/>
  <c r="T58" i="6"/>
  <c r="T59" s="1"/>
  <c r="T60" s="1"/>
  <c r="T61" s="1"/>
  <c r="T62" s="1"/>
  <c r="T63" s="1"/>
  <c r="T64" s="1"/>
  <c r="T65" s="1"/>
  <c r="T66" s="1"/>
  <c r="T67" s="1"/>
  <c r="T68" s="1"/>
  <c r="T69" s="1"/>
  <c r="I106"/>
  <c r="J106"/>
  <c r="B3" i="1"/>
  <c r="B4" s="1"/>
  <c r="C5"/>
  <c r="AS5" s="1"/>
  <c r="K106" i="6"/>
  <c r="O106"/>
  <c r="D4" i="1"/>
  <c r="D5"/>
  <c r="O105" i="6"/>
  <c r="I105"/>
  <c r="J105"/>
  <c r="M105"/>
  <c r="K105"/>
  <c r="BB4" i="1"/>
  <c r="C6" l="1"/>
  <c r="C7" s="1"/>
  <c r="D66" i="6"/>
  <c r="C260"/>
  <c r="E5"/>
  <c r="E6" s="1"/>
  <c r="D13"/>
  <c r="A5" i="1"/>
  <c r="B5"/>
  <c r="L106" i="6"/>
  <c r="C49"/>
  <c r="C50"/>
  <c r="D125"/>
  <c r="AV4" i="1"/>
  <c r="D67" i="6"/>
  <c r="F86"/>
  <c r="F66"/>
  <c r="E66"/>
  <c r="E86"/>
  <c r="D63"/>
  <c r="E63" s="1"/>
  <c r="S58"/>
  <c r="AP5" i="1" s="1"/>
  <c r="F4"/>
  <c r="T4" s="1"/>
  <c r="I5"/>
  <c r="AN5"/>
  <c r="BC5" s="1"/>
  <c r="AV5"/>
  <c r="Q5"/>
  <c r="BA4"/>
  <c r="AS6"/>
  <c r="H4"/>
  <c r="L105" i="6"/>
  <c r="D69" s="1"/>
  <c r="A6" i="1" l="1"/>
  <c r="BB6" s="1"/>
  <c r="B6"/>
  <c r="D6"/>
  <c r="D70" i="6"/>
  <c r="D14"/>
  <c r="D5"/>
  <c r="D6"/>
  <c r="D16" i="12" s="1"/>
  <c r="D49" i="6"/>
  <c r="C73"/>
  <c r="C52"/>
  <c r="D51"/>
  <c r="C74"/>
  <c r="C53"/>
  <c r="AP4" i="1"/>
  <c r="S44" i="6"/>
  <c r="S70"/>
  <c r="AU4" i="1"/>
  <c r="M39" i="12"/>
  <c r="C75" i="6"/>
  <c r="I41" i="12"/>
  <c r="I45"/>
  <c r="M43"/>
  <c r="BE5" i="1"/>
  <c r="BG5" s="1"/>
  <c r="BA5"/>
  <c r="B7"/>
  <c r="C8"/>
  <c r="D7"/>
  <c r="AS7"/>
  <c r="A7"/>
  <c r="BE4"/>
  <c r="BG4" s="1"/>
  <c r="BD4"/>
  <c r="BF4" s="1"/>
  <c r="AO5"/>
  <c r="F5"/>
  <c r="Q6"/>
  <c r="AT5"/>
  <c r="AX5"/>
  <c r="AZ5" s="1"/>
  <c r="AR5" s="1"/>
  <c r="AU6" l="1"/>
  <c r="I6"/>
  <c r="AN6"/>
  <c r="BC6" s="1"/>
  <c r="AP6"/>
  <c r="AV6"/>
  <c r="E67" i="6"/>
  <c r="H339" i="3"/>
  <c r="D14" i="12"/>
  <c r="C6" i="13"/>
  <c r="N107" i="6"/>
  <c r="K52"/>
  <c r="O110"/>
  <c r="C88" s="1"/>
  <c r="H398" i="3"/>
  <c r="D343"/>
  <c r="D16" i="6"/>
  <c r="D7" i="13"/>
  <c r="F81" i="6"/>
  <c r="D15"/>
  <c r="K1" i="1"/>
  <c r="D65" i="6"/>
  <c r="E65" s="1"/>
  <c r="N108"/>
  <c r="N109"/>
  <c r="D402" i="3"/>
  <c r="C403" s="1"/>
  <c r="D403" s="1"/>
  <c r="C3" i="13"/>
  <c r="C56" i="6"/>
  <c r="C31" s="1"/>
  <c r="C404" i="3"/>
  <c r="D404" s="1"/>
  <c r="C405" s="1"/>
  <c r="D405" s="1"/>
  <c r="C406" s="1"/>
  <c r="F6" i="1"/>
  <c r="T6" s="1"/>
  <c r="M5" i="12"/>
  <c r="D54" i="6"/>
  <c r="L38" i="12"/>
  <c r="L42"/>
  <c r="C1" i="13"/>
  <c r="H20" i="12"/>
  <c r="S45" i="6"/>
  <c r="T44"/>
  <c r="H44" i="12"/>
  <c r="H40"/>
  <c r="K4" i="1"/>
  <c r="AT4"/>
  <c r="H6"/>
  <c r="BE6"/>
  <c r="BG6" s="1"/>
  <c r="AX6"/>
  <c r="AZ6" s="1"/>
  <c r="AW6"/>
  <c r="AY6" s="1"/>
  <c r="AT6"/>
  <c r="AO6"/>
  <c r="T5"/>
  <c r="H5"/>
  <c r="BB7"/>
  <c r="I7"/>
  <c r="AU7"/>
  <c r="AP7"/>
  <c r="AN7"/>
  <c r="AO7" s="1"/>
  <c r="AV7"/>
  <c r="Q7"/>
  <c r="E7"/>
  <c r="R7" s="1"/>
  <c r="BD6"/>
  <c r="BF6" s="1"/>
  <c r="BA6"/>
  <c r="AS8"/>
  <c r="A8"/>
  <c r="B8"/>
  <c r="D8"/>
  <c r="C9"/>
  <c r="J109" i="6" l="1"/>
  <c r="K109"/>
  <c r="M109"/>
  <c r="I109"/>
  <c r="P109"/>
  <c r="O109" s="1"/>
  <c r="C344" i="3"/>
  <c r="D344"/>
  <c r="M107" i="6"/>
  <c r="J107"/>
  <c r="K107"/>
  <c r="I107"/>
  <c r="P107"/>
  <c r="O107" s="1"/>
  <c r="D17"/>
  <c r="B22" i="12" s="1"/>
  <c r="E5" i="1"/>
  <c r="E4"/>
  <c r="E6"/>
  <c r="R6" s="1"/>
  <c r="F7" i="13"/>
  <c r="D8"/>
  <c r="C7"/>
  <c r="C91" i="6"/>
  <c r="C70"/>
  <c r="D32"/>
  <c r="I58"/>
  <c r="C26" s="1"/>
  <c r="P108"/>
  <c r="O108" s="1"/>
  <c r="J108"/>
  <c r="K108"/>
  <c r="I108"/>
  <c r="L108" s="1"/>
  <c r="M108"/>
  <c r="AR6" i="1"/>
  <c r="E70" i="6"/>
  <c r="E75"/>
  <c r="W4" i="1"/>
  <c r="K5"/>
  <c r="O5" s="1"/>
  <c r="AX4"/>
  <c r="AZ4" s="1"/>
  <c r="AW4"/>
  <c r="AY4" s="1"/>
  <c r="T45" i="6"/>
  <c r="S46"/>
  <c r="K6" i="1"/>
  <c r="W6" s="1"/>
  <c r="J6" i="13"/>
  <c r="J7"/>
  <c r="J8"/>
  <c r="W5" i="1"/>
  <c r="BC7"/>
  <c r="BE7" s="1"/>
  <c r="A9"/>
  <c r="D9"/>
  <c r="C10"/>
  <c r="B9"/>
  <c r="F8" s="1"/>
  <c r="T8" s="1"/>
  <c r="AS9"/>
  <c r="BD7"/>
  <c r="BF7" s="1"/>
  <c r="AN8"/>
  <c r="BC8" s="1"/>
  <c r="Q8"/>
  <c r="AP8"/>
  <c r="BB8"/>
  <c r="AU8"/>
  <c r="I8"/>
  <c r="AV8"/>
  <c r="E8"/>
  <c r="R8" s="1"/>
  <c r="D406" i="3"/>
  <c r="S6" i="1"/>
  <c r="S7"/>
  <c r="AX7"/>
  <c r="AZ7" s="1"/>
  <c r="AW7"/>
  <c r="AY7" s="1"/>
  <c r="K7"/>
  <c r="AT7"/>
  <c r="O6"/>
  <c r="F7"/>
  <c r="L109" i="6" l="1"/>
  <c r="I19" i="12" s="1"/>
  <c r="H19"/>
  <c r="D76" i="6"/>
  <c r="D68"/>
  <c r="C94"/>
  <c r="D92"/>
  <c r="D9" i="13"/>
  <c r="C8"/>
  <c r="F8"/>
  <c r="R5" i="1"/>
  <c r="S5"/>
  <c r="S4"/>
  <c r="R4"/>
  <c r="L107" i="6"/>
  <c r="C345" i="3"/>
  <c r="D345" s="1"/>
  <c r="D71" i="6"/>
  <c r="C108" s="1"/>
  <c r="D86"/>
  <c r="S47"/>
  <c r="T46"/>
  <c r="AR4" i="1"/>
  <c r="O4" s="1"/>
  <c r="BG7"/>
  <c r="AR7"/>
  <c r="BA7"/>
  <c r="BE8"/>
  <c r="BG8" s="1"/>
  <c r="T7"/>
  <c r="H7"/>
  <c r="C407" i="3"/>
  <c r="AO8" i="1"/>
  <c r="AX8"/>
  <c r="AZ8" s="1"/>
  <c r="BD8"/>
  <c r="BF8" s="1"/>
  <c r="BA8"/>
  <c r="AW8"/>
  <c r="AY8" s="1"/>
  <c r="AT8"/>
  <c r="K8"/>
  <c r="W8" s="1"/>
  <c r="D10"/>
  <c r="B10"/>
  <c r="C11"/>
  <c r="A10"/>
  <c r="AS10"/>
  <c r="H8"/>
  <c r="O7"/>
  <c r="W7"/>
  <c r="Q9"/>
  <c r="AN9"/>
  <c r="BC9" s="1"/>
  <c r="AP9"/>
  <c r="AU9"/>
  <c r="BB9"/>
  <c r="AV9"/>
  <c r="I9"/>
  <c r="E9"/>
  <c r="R9" s="1"/>
  <c r="I111" i="6" l="1"/>
  <c r="L112"/>
  <c r="F18" i="12"/>
  <c r="C346" i="3"/>
  <c r="D346" s="1"/>
  <c r="F9" i="13"/>
  <c r="C9"/>
  <c r="J9"/>
  <c r="D10"/>
  <c r="D75" i="6"/>
  <c r="A2" i="3"/>
  <c r="F9" i="1"/>
  <c r="T9" s="1"/>
  <c r="AR8"/>
  <c r="S48" i="6"/>
  <c r="T47"/>
  <c r="Y4" i="1"/>
  <c r="Y5" s="1"/>
  <c r="Y6" s="1"/>
  <c r="Y7" s="1"/>
  <c r="AB4"/>
  <c r="AA4"/>
  <c r="Z4"/>
  <c r="BE9"/>
  <c r="BG9" s="1"/>
  <c r="BA9"/>
  <c r="BD9"/>
  <c r="BF9" s="1"/>
  <c r="AX9"/>
  <c r="AZ9" s="1"/>
  <c r="C12"/>
  <c r="A11"/>
  <c r="AS11"/>
  <c r="D11"/>
  <c r="B11"/>
  <c r="O8"/>
  <c r="H9"/>
  <c r="AW9"/>
  <c r="AY9" s="1"/>
  <c r="AR9" s="1"/>
  <c r="K9"/>
  <c r="AT9"/>
  <c r="S8"/>
  <c r="S9"/>
  <c r="AO9"/>
  <c r="I10"/>
  <c r="Q10"/>
  <c r="AV10"/>
  <c r="AU10"/>
  <c r="BB10"/>
  <c r="AO10"/>
  <c r="AP10"/>
  <c r="AN10"/>
  <c r="BC10" s="1"/>
  <c r="E10"/>
  <c r="D407" i="3"/>
  <c r="C347" l="1"/>
  <c r="D347" s="1"/>
  <c r="C348" s="1"/>
  <c r="D348" s="1"/>
  <c r="D11" i="13"/>
  <c r="D12" s="1"/>
  <c r="J10"/>
  <c r="C10"/>
  <c r="F10"/>
  <c r="C12" i="3"/>
  <c r="C10"/>
  <c r="G6"/>
  <c r="C2"/>
  <c r="C8"/>
  <c r="C16"/>
  <c r="C4"/>
  <c r="C149"/>
  <c r="E6"/>
  <c r="C6"/>
  <c r="F10" i="1"/>
  <c r="T10" s="1"/>
  <c r="S11" s="1"/>
  <c r="BK5"/>
  <c r="AH4"/>
  <c r="Y8"/>
  <c r="BJ5"/>
  <c r="AG4"/>
  <c r="T48" i="6"/>
  <c r="S49"/>
  <c r="BI5" i="1"/>
  <c r="AF4"/>
  <c r="P5"/>
  <c r="U5" s="1"/>
  <c r="Z5" s="1"/>
  <c r="BE10"/>
  <c r="BG10" s="1"/>
  <c r="AW10"/>
  <c r="AY10" s="1"/>
  <c r="AT10"/>
  <c r="K10"/>
  <c r="W10" s="1"/>
  <c r="C408" i="3"/>
  <c r="D408" s="1"/>
  <c r="BD10" i="1"/>
  <c r="BF10" s="1"/>
  <c r="BA10"/>
  <c r="O9"/>
  <c r="W9"/>
  <c r="AP11"/>
  <c r="AV11"/>
  <c r="Q11"/>
  <c r="I11"/>
  <c r="AU11"/>
  <c r="AN11"/>
  <c r="AO11" s="1"/>
  <c r="BB11"/>
  <c r="E11"/>
  <c r="R11" s="1"/>
  <c r="AX10"/>
  <c r="AZ10" s="1"/>
  <c r="AS12"/>
  <c r="A12"/>
  <c r="D12"/>
  <c r="C13"/>
  <c r="B12"/>
  <c r="S10"/>
  <c r="R10"/>
  <c r="D13" i="13" l="1"/>
  <c r="C12"/>
  <c r="J12"/>
  <c r="F12"/>
  <c r="D14"/>
  <c r="J11"/>
  <c r="F11"/>
  <c r="C11"/>
  <c r="D15"/>
  <c r="F11" i="1"/>
  <c r="T11" s="1"/>
  <c r="H10"/>
  <c r="B149" i="3"/>
  <c r="D149"/>
  <c r="Y9" i="1"/>
  <c r="BI6"/>
  <c r="AF5"/>
  <c r="AB5"/>
  <c r="T49" i="6"/>
  <c r="S50"/>
  <c r="BM5" i="1"/>
  <c r="BP5" s="1"/>
  <c r="BS5"/>
  <c r="BN5"/>
  <c r="BQ5" s="1"/>
  <c r="BT5"/>
  <c r="BR5"/>
  <c r="BL5"/>
  <c r="BO5" s="1"/>
  <c r="AA5"/>
  <c r="BC11"/>
  <c r="BE11" s="1"/>
  <c r="BG11" s="1"/>
  <c r="H11"/>
  <c r="C409" i="3"/>
  <c r="D409" s="1"/>
  <c r="D13" i="1"/>
  <c r="A13"/>
  <c r="C14"/>
  <c r="AS13"/>
  <c r="B13"/>
  <c r="F12" s="1"/>
  <c r="T12" s="1"/>
  <c r="BD11"/>
  <c r="BF11" s="1"/>
  <c r="BA11"/>
  <c r="AN12"/>
  <c r="AO12" s="1"/>
  <c r="AP12"/>
  <c r="Q12"/>
  <c r="I12"/>
  <c r="BB12"/>
  <c r="AV12"/>
  <c r="AU12"/>
  <c r="E12"/>
  <c r="AT11"/>
  <c r="AW11"/>
  <c r="AY11" s="1"/>
  <c r="K11"/>
  <c r="AX11"/>
  <c r="AZ11" s="1"/>
  <c r="O10"/>
  <c r="Y10" s="1"/>
  <c r="C349" i="3"/>
  <c r="D349" s="1"/>
  <c r="S12" i="1"/>
  <c r="AR10"/>
  <c r="C13" i="13" l="1"/>
  <c r="F13"/>
  <c r="J13"/>
  <c r="J15"/>
  <c r="F15"/>
  <c r="C15"/>
  <c r="C14"/>
  <c r="J14"/>
  <c r="F14"/>
  <c r="D16"/>
  <c r="D17" s="1"/>
  <c r="D150" i="3"/>
  <c r="D151" s="1"/>
  <c r="S51" i="6"/>
  <c r="T50"/>
  <c r="BL6" i="1"/>
  <c r="BO6" s="1"/>
  <c r="BR6"/>
  <c r="BC12"/>
  <c r="BE12" s="1"/>
  <c r="BG12" s="1"/>
  <c r="P6"/>
  <c r="AH5"/>
  <c r="U6"/>
  <c r="AA6" s="1"/>
  <c r="BK6"/>
  <c r="AG5"/>
  <c r="BJ6"/>
  <c r="C350" i="3"/>
  <c r="D350" s="1"/>
  <c r="AR11" i="1"/>
  <c r="BD12"/>
  <c r="BF12" s="1"/>
  <c r="R12"/>
  <c r="O11"/>
  <c r="Y11" s="1"/>
  <c r="W11"/>
  <c r="AX12"/>
  <c r="AZ12" s="1"/>
  <c r="AP13"/>
  <c r="Q13"/>
  <c r="AU13"/>
  <c r="AN13"/>
  <c r="AO13" s="1"/>
  <c r="BB13"/>
  <c r="I13"/>
  <c r="AV13"/>
  <c r="E13"/>
  <c r="R13" s="1"/>
  <c r="C410" i="3"/>
  <c r="D410" s="1"/>
  <c r="H12" i="1"/>
  <c r="AW12"/>
  <c r="AY12" s="1"/>
  <c r="AT12"/>
  <c r="K12"/>
  <c r="AS14"/>
  <c r="C15"/>
  <c r="A14"/>
  <c r="B14"/>
  <c r="D14"/>
  <c r="F17" i="13" l="1"/>
  <c r="J17"/>
  <c r="C17"/>
  <c r="F16"/>
  <c r="J16"/>
  <c r="C16"/>
  <c r="D18"/>
  <c r="B150" i="3"/>
  <c r="B151" s="1"/>
  <c r="C150"/>
  <c r="C151" s="1"/>
  <c r="D152"/>
  <c r="D153" s="1"/>
  <c r="AG6" i="1"/>
  <c r="BJ7"/>
  <c r="BT6"/>
  <c r="BN6"/>
  <c r="BQ6" s="1"/>
  <c r="BA12"/>
  <c r="Z6"/>
  <c r="BC13"/>
  <c r="AB6"/>
  <c r="S52" i="6"/>
  <c r="T51"/>
  <c r="BM6" i="1"/>
  <c r="BP6" s="1"/>
  <c r="BS6"/>
  <c r="F13"/>
  <c r="T13" s="1"/>
  <c r="C351" i="3"/>
  <c r="BE13" i="1"/>
  <c r="BG13" s="1"/>
  <c r="D15"/>
  <c r="B15"/>
  <c r="C16"/>
  <c r="A15"/>
  <c r="AS15" s="1"/>
  <c r="O12"/>
  <c r="Y12" s="1"/>
  <c r="S13"/>
  <c r="BD13"/>
  <c r="BF13" s="1"/>
  <c r="BA13"/>
  <c r="W12"/>
  <c r="AU14"/>
  <c r="AN14"/>
  <c r="AO14" s="1"/>
  <c r="Q14"/>
  <c r="AP14"/>
  <c r="AV14"/>
  <c r="BB14"/>
  <c r="I14"/>
  <c r="E14"/>
  <c r="R14" s="1"/>
  <c r="AR12"/>
  <c r="F14"/>
  <c r="T14" s="1"/>
  <c r="C411" i="3"/>
  <c r="AX13" i="1"/>
  <c r="AZ13"/>
  <c r="AW13"/>
  <c r="AY13" s="1"/>
  <c r="AT13"/>
  <c r="K13"/>
  <c r="C152" i="3" l="1"/>
  <c r="B152"/>
  <c r="F18" i="13"/>
  <c r="C18"/>
  <c r="J18"/>
  <c r="D19"/>
  <c r="C153" i="3"/>
  <c r="B153"/>
  <c r="D154"/>
  <c r="AF6" i="1"/>
  <c r="BI7"/>
  <c r="P7"/>
  <c r="BS7"/>
  <c r="BM7"/>
  <c r="BP7" s="1"/>
  <c r="H13"/>
  <c r="S53" i="6"/>
  <c r="T52"/>
  <c r="AH6" i="1"/>
  <c r="BK7"/>
  <c r="AR13"/>
  <c r="H14"/>
  <c r="O13"/>
  <c r="Y13" s="1"/>
  <c r="W13"/>
  <c r="BD14"/>
  <c r="BF14" s="1"/>
  <c r="A16"/>
  <c r="AS16"/>
  <c r="D16"/>
  <c r="B16"/>
  <c r="C17"/>
  <c r="S14"/>
  <c r="D411" i="3"/>
  <c r="BC14" i="1"/>
  <c r="D351" i="3"/>
  <c r="AX14" i="1"/>
  <c r="AZ14" s="1"/>
  <c r="K14"/>
  <c r="AW14"/>
  <c r="AY14" s="1"/>
  <c r="AT14"/>
  <c r="AV15"/>
  <c r="AN15"/>
  <c r="AO15" s="1"/>
  <c r="BB15"/>
  <c r="I15"/>
  <c r="Q15"/>
  <c r="AU15"/>
  <c r="AP15"/>
  <c r="E15"/>
  <c r="C19" i="13" l="1"/>
  <c r="F19"/>
  <c r="D20"/>
  <c r="J19"/>
  <c r="D155" i="3"/>
  <c r="C154"/>
  <c r="B154"/>
  <c r="BN7" i="1"/>
  <c r="BQ7" s="1"/>
  <c r="BT7"/>
  <c r="BL7"/>
  <c r="BO7" s="1"/>
  <c r="BR7"/>
  <c r="T53" i="6"/>
  <c r="S54"/>
  <c r="U7" i="1"/>
  <c r="Z7" s="1"/>
  <c r="F15"/>
  <c r="T15" s="1"/>
  <c r="AR14"/>
  <c r="BD15"/>
  <c r="BF15" s="1"/>
  <c r="AX15"/>
  <c r="AZ15" s="1"/>
  <c r="O14"/>
  <c r="Y14" s="1"/>
  <c r="W14"/>
  <c r="A17"/>
  <c r="AS17"/>
  <c r="B17"/>
  <c r="C18"/>
  <c r="D17"/>
  <c r="F16" s="1"/>
  <c r="T16" s="1"/>
  <c r="I16"/>
  <c r="AN16"/>
  <c r="BC16" s="1"/>
  <c r="AU16"/>
  <c r="Q16"/>
  <c r="BB16"/>
  <c r="AV16"/>
  <c r="AP16"/>
  <c r="E16"/>
  <c r="S16" s="1"/>
  <c r="BC15"/>
  <c r="BA15" s="1"/>
  <c r="R15"/>
  <c r="AW15"/>
  <c r="AY15" s="1"/>
  <c r="AR15" s="1"/>
  <c r="AT15"/>
  <c r="K15"/>
  <c r="BE14"/>
  <c r="BG14" s="1"/>
  <c r="C412" i="3"/>
  <c r="D412" s="1"/>
  <c r="S15" i="1"/>
  <c r="C352" i="3"/>
  <c r="AG1" i="1"/>
  <c r="G4"/>
  <c r="G5" s="1"/>
  <c r="G6" s="1"/>
  <c r="G7" s="1"/>
  <c r="G8" s="1"/>
  <c r="G9" s="1"/>
  <c r="G10" s="1"/>
  <c r="G11" s="1"/>
  <c r="G12" s="1"/>
  <c r="G13" s="1"/>
  <c r="G14" s="1"/>
  <c r="G15" s="1"/>
  <c r="BA14"/>
  <c r="D21" i="13" l="1"/>
  <c r="J20"/>
  <c r="C20"/>
  <c r="F20"/>
  <c r="AB7" i="1"/>
  <c r="AH7" s="1"/>
  <c r="B155" i="3"/>
  <c r="C155"/>
  <c r="D156"/>
  <c r="D157" s="1"/>
  <c r="AA7" i="1"/>
  <c r="BJ8" s="1"/>
  <c r="S55" i="6"/>
  <c r="T55" s="1"/>
  <c r="T54"/>
  <c r="AF7" i="1"/>
  <c r="BI8"/>
  <c r="H15"/>
  <c r="C413" i="3"/>
  <c r="D413" s="1"/>
  <c r="BE16" i="1"/>
  <c r="BG16" s="1"/>
  <c r="BA16"/>
  <c r="BD16"/>
  <c r="BF16" s="1"/>
  <c r="AO16"/>
  <c r="AX16"/>
  <c r="AZ16" s="1"/>
  <c r="R16"/>
  <c r="O15"/>
  <c r="Y15" s="1"/>
  <c r="V15"/>
  <c r="W15"/>
  <c r="K16"/>
  <c r="AT16"/>
  <c r="AW16"/>
  <c r="AY16" s="1"/>
  <c r="AS18"/>
  <c r="A18"/>
  <c r="C19"/>
  <c r="D18"/>
  <c r="B18"/>
  <c r="AU17"/>
  <c r="Q17"/>
  <c r="AP17"/>
  <c r="BB17"/>
  <c r="AV17"/>
  <c r="I17"/>
  <c r="AN17"/>
  <c r="AO17" s="1"/>
  <c r="E17"/>
  <c r="S17" s="1"/>
  <c r="BE15"/>
  <c r="BG15" s="1"/>
  <c r="D352" i="3"/>
  <c r="H16" i="1"/>
  <c r="C21" i="13" l="1"/>
  <c r="D22"/>
  <c r="F21"/>
  <c r="J21"/>
  <c r="P8" i="1"/>
  <c r="AG7"/>
  <c r="BK8"/>
  <c r="BT8" s="1"/>
  <c r="B156" i="3"/>
  <c r="B157" s="1"/>
  <c r="D158"/>
  <c r="C156"/>
  <c r="C157" s="1"/>
  <c r="BN8" i="1"/>
  <c r="BQ8" s="1"/>
  <c r="BS8"/>
  <c r="BM8"/>
  <c r="BP8" s="1"/>
  <c r="BL8"/>
  <c r="BO8" s="1"/>
  <c r="BR8"/>
  <c r="U8"/>
  <c r="Z8" s="1"/>
  <c r="BC17"/>
  <c r="BE17" s="1"/>
  <c r="BG17" s="1"/>
  <c r="AR16"/>
  <c r="O16"/>
  <c r="Y16" s="1"/>
  <c r="W16"/>
  <c r="C414" i="3"/>
  <c r="D414" s="1"/>
  <c r="BD17" i="1"/>
  <c r="BF17" s="1"/>
  <c r="I18"/>
  <c r="AV18"/>
  <c r="Q18"/>
  <c r="AN18"/>
  <c r="BC18" s="1"/>
  <c r="BB18"/>
  <c r="AP18"/>
  <c r="AU18"/>
  <c r="E18"/>
  <c r="R18" s="1"/>
  <c r="K17"/>
  <c r="AW17"/>
  <c r="AY17" s="1"/>
  <c r="AT17"/>
  <c r="D19"/>
  <c r="C20"/>
  <c r="AS19"/>
  <c r="B19"/>
  <c r="A19"/>
  <c r="C353" i="3"/>
  <c r="D353" s="1"/>
  <c r="AX17" i="1"/>
  <c r="AZ17" s="1"/>
  <c r="R17"/>
  <c r="F17"/>
  <c r="D23" i="13" l="1"/>
  <c r="F22"/>
  <c r="C22"/>
  <c r="J22"/>
  <c r="AB8" i="1"/>
  <c r="BK9" s="1"/>
  <c r="D159" i="3"/>
  <c r="B158"/>
  <c r="C158"/>
  <c r="BI9" i="1"/>
  <c r="AF8"/>
  <c r="AA8"/>
  <c r="BA17"/>
  <c r="AR17"/>
  <c r="C415" i="3"/>
  <c r="BE18" i="1"/>
  <c r="BG18" s="1"/>
  <c r="T17"/>
  <c r="S18" s="1"/>
  <c r="H17"/>
  <c r="AT18"/>
  <c r="AW18"/>
  <c r="AY18" s="1"/>
  <c r="K18"/>
  <c r="C354" i="3"/>
  <c r="O17" i="1"/>
  <c r="W17"/>
  <c r="AX18"/>
  <c r="AZ18" s="1"/>
  <c r="I19"/>
  <c r="Q19"/>
  <c r="AN19"/>
  <c r="BC19" s="1"/>
  <c r="BB19"/>
  <c r="AV19"/>
  <c r="AP19"/>
  <c r="AU19"/>
  <c r="E19"/>
  <c r="BD18"/>
  <c r="BF18" s="1"/>
  <c r="BA18"/>
  <c r="AO18"/>
  <c r="Y17"/>
  <c r="A20"/>
  <c r="C21"/>
  <c r="D20"/>
  <c r="R19"/>
  <c r="B20"/>
  <c r="AS20"/>
  <c r="F18"/>
  <c r="D24" i="13" l="1"/>
  <c r="C23"/>
  <c r="J23"/>
  <c r="F23"/>
  <c r="AH8" i="1"/>
  <c r="P9"/>
  <c r="U9" s="1"/>
  <c r="B159" i="3"/>
  <c r="D160"/>
  <c r="C159"/>
  <c r="AO19" i="1"/>
  <c r="Z9"/>
  <c r="AB9"/>
  <c r="BR9"/>
  <c r="BL9"/>
  <c r="BO9" s="1"/>
  <c r="AA9"/>
  <c r="BJ9"/>
  <c r="AG8"/>
  <c r="BT9"/>
  <c r="BN9"/>
  <c r="BQ9" s="1"/>
  <c r="AR18"/>
  <c r="BE19"/>
  <c r="BG19" s="1"/>
  <c r="T18"/>
  <c r="S19" s="1"/>
  <c r="H18"/>
  <c r="AN20"/>
  <c r="AO20" s="1"/>
  <c r="AP20"/>
  <c r="I20"/>
  <c r="BB20"/>
  <c r="AU20"/>
  <c r="AV20"/>
  <c r="Q20"/>
  <c r="E20"/>
  <c r="K19"/>
  <c r="AW19"/>
  <c r="AY19" s="1"/>
  <c r="AT19"/>
  <c r="BD19"/>
  <c r="BF19" s="1"/>
  <c r="BA19"/>
  <c r="F19"/>
  <c r="C22"/>
  <c r="A21"/>
  <c r="AS21"/>
  <c r="D21"/>
  <c r="B21"/>
  <c r="AX19"/>
  <c r="AZ19" s="1"/>
  <c r="O18"/>
  <c r="Y18" s="1"/>
  <c r="W18"/>
  <c r="D354" i="3"/>
  <c r="D415"/>
  <c r="D25" i="13" l="1"/>
  <c r="C24"/>
  <c r="J24"/>
  <c r="F24"/>
  <c r="C160" i="3"/>
  <c r="D161"/>
  <c r="B160"/>
  <c r="BS9" i="1"/>
  <c r="BM9"/>
  <c r="BP9" s="1"/>
  <c r="AH9"/>
  <c r="BK10"/>
  <c r="AG9"/>
  <c r="BJ10"/>
  <c r="AF9"/>
  <c r="BI10"/>
  <c r="P10"/>
  <c r="U10" s="1"/>
  <c r="AA10" s="1"/>
  <c r="BC20"/>
  <c r="BA20" s="1"/>
  <c r="C355" i="3"/>
  <c r="BB21" i="1"/>
  <c r="Q21"/>
  <c r="AN21"/>
  <c r="BC21" s="1"/>
  <c r="AU21"/>
  <c r="AV21"/>
  <c r="I21"/>
  <c r="AP21"/>
  <c r="E21"/>
  <c r="R21" s="1"/>
  <c r="T19"/>
  <c r="S20" s="1"/>
  <c r="H19"/>
  <c r="AX20"/>
  <c r="AZ20" s="1"/>
  <c r="BD20"/>
  <c r="BF20" s="1"/>
  <c r="C23"/>
  <c r="A22"/>
  <c r="AS22"/>
  <c r="B22"/>
  <c r="D22"/>
  <c r="AR19"/>
  <c r="C416" i="3"/>
  <c r="D416" s="1"/>
  <c r="O19" i="1"/>
  <c r="Y19" s="1"/>
  <c r="W19"/>
  <c r="AT20"/>
  <c r="AW20"/>
  <c r="AY20" s="1"/>
  <c r="K20"/>
  <c r="R20"/>
  <c r="F20"/>
  <c r="Z10" l="1"/>
  <c r="F25" i="13"/>
  <c r="C25"/>
  <c r="D26"/>
  <c r="J25"/>
  <c r="AO21" i="1"/>
  <c r="B161" i="3"/>
  <c r="D162"/>
  <c r="C161"/>
  <c r="AB10" i="1"/>
  <c r="BK11" s="1"/>
  <c r="AG10"/>
  <c r="BJ11"/>
  <c r="BR10"/>
  <c r="BL10"/>
  <c r="BO10" s="1"/>
  <c r="BI11"/>
  <c r="AF10"/>
  <c r="BS10"/>
  <c r="BM10"/>
  <c r="BP10" s="1"/>
  <c r="BE20"/>
  <c r="BG20" s="1"/>
  <c r="BT10"/>
  <c r="BN10"/>
  <c r="BQ10" s="1"/>
  <c r="F21"/>
  <c r="H21" s="1"/>
  <c r="AR20"/>
  <c r="D417" i="3"/>
  <c r="C417"/>
  <c r="O20" i="1"/>
  <c r="Y20" s="1"/>
  <c r="W20"/>
  <c r="AT21"/>
  <c r="AW21"/>
  <c r="AY21" s="1"/>
  <c r="K21"/>
  <c r="T20"/>
  <c r="S21" s="1"/>
  <c r="H20"/>
  <c r="BE21"/>
  <c r="BG21" s="1"/>
  <c r="BA21"/>
  <c r="BF21"/>
  <c r="BD21"/>
  <c r="D23"/>
  <c r="AS23"/>
  <c r="A23"/>
  <c r="C24"/>
  <c r="B23"/>
  <c r="AX21"/>
  <c r="AZ21" s="1"/>
  <c r="BB22"/>
  <c r="I22"/>
  <c r="Q22"/>
  <c r="AV22"/>
  <c r="AN22"/>
  <c r="BC22" s="1"/>
  <c r="AU22"/>
  <c r="AP22"/>
  <c r="E22"/>
  <c r="R22" s="1"/>
  <c r="D355" i="3"/>
  <c r="F26" i="13" l="1"/>
  <c r="C26"/>
  <c r="D27"/>
  <c r="J26"/>
  <c r="AH10" i="1"/>
  <c r="P11"/>
  <c r="B162" i="3"/>
  <c r="D163"/>
  <c r="C162"/>
  <c r="BN11" i="1"/>
  <c r="BQ11" s="1"/>
  <c r="BT11"/>
  <c r="BR11"/>
  <c r="BL11"/>
  <c r="BO11" s="1"/>
  <c r="BM11"/>
  <c r="BP11" s="1"/>
  <c r="BS11"/>
  <c r="U11"/>
  <c r="Z11" s="1"/>
  <c r="T21"/>
  <c r="BE22"/>
  <c r="BG22" s="1"/>
  <c r="C418" i="3"/>
  <c r="D418"/>
  <c r="S22" i="1"/>
  <c r="G417" i="3"/>
  <c r="K417"/>
  <c r="M417"/>
  <c r="E417"/>
  <c r="I417"/>
  <c r="AR21" i="1"/>
  <c r="C356" i="3"/>
  <c r="D356" s="1"/>
  <c r="AX22" i="1"/>
  <c r="AZ22" s="1"/>
  <c r="AW22"/>
  <c r="AY22" s="1"/>
  <c r="K22"/>
  <c r="AT22"/>
  <c r="AU23"/>
  <c r="Q23"/>
  <c r="AV23"/>
  <c r="BB23"/>
  <c r="AP23"/>
  <c r="AN23"/>
  <c r="AO23" s="1"/>
  <c r="I23"/>
  <c r="E23"/>
  <c r="R23" s="1"/>
  <c r="BD22"/>
  <c r="BF22" s="1"/>
  <c r="BA22"/>
  <c r="D24"/>
  <c r="A24"/>
  <c r="B24"/>
  <c r="AS24"/>
  <c r="C25"/>
  <c r="O21"/>
  <c r="Y21" s="1"/>
  <c r="W21"/>
  <c r="AO22"/>
  <c r="F22"/>
  <c r="C27" i="13" l="1"/>
  <c r="J27"/>
  <c r="F27"/>
  <c r="D28"/>
  <c r="AR22" i="1"/>
  <c r="C163" i="3"/>
  <c r="B163"/>
  <c r="D164"/>
  <c r="BC23" i="1"/>
  <c r="BE23" s="1"/>
  <c r="BG23" s="1"/>
  <c r="AA11"/>
  <c r="AB11"/>
  <c r="AF11"/>
  <c r="BI12"/>
  <c r="C357" i="3"/>
  <c r="AS25" i="1"/>
  <c r="B25"/>
  <c r="D25"/>
  <c r="F24" s="1"/>
  <c r="T24" s="1"/>
  <c r="C26"/>
  <c r="A25"/>
  <c r="I24"/>
  <c r="BB24"/>
  <c r="AU24"/>
  <c r="AN24"/>
  <c r="AO24" s="1"/>
  <c r="Q24"/>
  <c r="AP24"/>
  <c r="AV24"/>
  <c r="BC24"/>
  <c r="E24"/>
  <c r="AX23"/>
  <c r="AZ23" s="1"/>
  <c r="O22"/>
  <c r="Y22" s="1"/>
  <c r="W22"/>
  <c r="E418" i="3"/>
  <c r="I418"/>
  <c r="G418"/>
  <c r="M418"/>
  <c r="K418"/>
  <c r="T22" i="1"/>
  <c r="S23" s="1"/>
  <c r="H22"/>
  <c r="BD23"/>
  <c r="BF23" s="1"/>
  <c r="AW23"/>
  <c r="AY23" s="1"/>
  <c r="AT23"/>
  <c r="K23"/>
  <c r="D419" i="3"/>
  <c r="C419"/>
  <c r="F23" i="1"/>
  <c r="C28" i="13" l="1"/>
  <c r="F28"/>
  <c r="J28"/>
  <c r="D29"/>
  <c r="BA23" i="1"/>
  <c r="B164" i="3"/>
  <c r="D165"/>
  <c r="C164"/>
  <c r="P12" i="1"/>
  <c r="AG11"/>
  <c r="BJ12"/>
  <c r="BK12"/>
  <c r="AH11"/>
  <c r="BR12"/>
  <c r="BL12"/>
  <c r="BO12" s="1"/>
  <c r="AR23"/>
  <c r="H24"/>
  <c r="AX24"/>
  <c r="AZ24" s="1"/>
  <c r="M419" i="3"/>
  <c r="E419"/>
  <c r="I419"/>
  <c r="K419"/>
  <c r="G419"/>
  <c r="BE24" i="1"/>
  <c r="BG24" s="1"/>
  <c r="D420" i="3"/>
  <c r="C420"/>
  <c r="O23" i="1"/>
  <c r="Y23" s="1"/>
  <c r="W23"/>
  <c r="BA24"/>
  <c r="BD24"/>
  <c r="BF24" s="1"/>
  <c r="D26"/>
  <c r="B26"/>
  <c r="AS26"/>
  <c r="A26"/>
  <c r="C27"/>
  <c r="T23"/>
  <c r="S24" s="1"/>
  <c r="H23"/>
  <c r="K24"/>
  <c r="AW24"/>
  <c r="AY24" s="1"/>
  <c r="AR24" s="1"/>
  <c r="AT24"/>
  <c r="AU25"/>
  <c r="I25"/>
  <c r="Q25"/>
  <c r="AP25"/>
  <c r="AN25"/>
  <c r="BC25" s="1"/>
  <c r="AV25"/>
  <c r="BB25"/>
  <c r="E25"/>
  <c r="R25" s="1"/>
  <c r="S25"/>
  <c r="R24"/>
  <c r="D357" i="3"/>
  <c r="C29" i="13" l="1"/>
  <c r="D30"/>
  <c r="J29"/>
  <c r="F29"/>
  <c r="C165" i="3"/>
  <c r="B165"/>
  <c r="D166"/>
  <c r="BT12" i="1"/>
  <c r="BN12"/>
  <c r="BQ12" s="1"/>
  <c r="U12"/>
  <c r="AB12" s="1"/>
  <c r="BS12"/>
  <c r="BM12"/>
  <c r="BP12" s="1"/>
  <c r="BE25"/>
  <c r="BG25" s="1"/>
  <c r="AX25"/>
  <c r="AZ25" s="1"/>
  <c r="AO25"/>
  <c r="BD25"/>
  <c r="BF25" s="1"/>
  <c r="BA25"/>
  <c r="AW25"/>
  <c r="AY25" s="1"/>
  <c r="AT25"/>
  <c r="K25"/>
  <c r="O24"/>
  <c r="Y24" s="1"/>
  <c r="W24"/>
  <c r="Q26"/>
  <c r="BB26"/>
  <c r="I26"/>
  <c r="AV26"/>
  <c r="AU26"/>
  <c r="AN26"/>
  <c r="AO26" s="1"/>
  <c r="AP26"/>
  <c r="E26"/>
  <c r="C421" i="3"/>
  <c r="D421"/>
  <c r="D358"/>
  <c r="C358"/>
  <c r="A27" i="1"/>
  <c r="C28"/>
  <c r="D27"/>
  <c r="R26"/>
  <c r="B27"/>
  <c r="I420" i="3"/>
  <c r="G420"/>
  <c r="K420"/>
  <c r="E420"/>
  <c r="M420"/>
  <c r="F25" i="1"/>
  <c r="F30" i="13" l="1"/>
  <c r="D31"/>
  <c r="J30"/>
  <c r="C30"/>
  <c r="D167" i="3"/>
  <c r="B166"/>
  <c r="C166"/>
  <c r="Z12" i="1"/>
  <c r="AA12"/>
  <c r="BK13"/>
  <c r="AH12"/>
  <c r="F26"/>
  <c r="T26" s="1"/>
  <c r="BC26"/>
  <c r="AR25"/>
  <c r="A28"/>
  <c r="C29"/>
  <c r="D28"/>
  <c r="F27" s="1"/>
  <c r="T27" s="1"/>
  <c r="AS28"/>
  <c r="B28"/>
  <c r="K421" i="3"/>
  <c r="M421"/>
  <c r="I421"/>
  <c r="G421"/>
  <c r="E421"/>
  <c r="BE26" i="1"/>
  <c r="BG26" s="1"/>
  <c r="C359" i="3"/>
  <c r="D359"/>
  <c r="D422"/>
  <c r="C422"/>
  <c r="AX26" i="1"/>
  <c r="AZ26" s="1"/>
  <c r="O25"/>
  <c r="Y25" s="1"/>
  <c r="W25"/>
  <c r="T25"/>
  <c r="S26" s="1"/>
  <c r="H25"/>
  <c r="I27"/>
  <c r="AU27"/>
  <c r="AP27"/>
  <c r="BB27"/>
  <c r="Q27"/>
  <c r="AN27"/>
  <c r="AO27" s="1"/>
  <c r="AV27"/>
  <c r="E27"/>
  <c r="E358" i="3"/>
  <c r="M358"/>
  <c r="K358"/>
  <c r="I358"/>
  <c r="G358"/>
  <c r="AW26" i="1"/>
  <c r="AY26" s="1"/>
  <c r="AT26"/>
  <c r="K26"/>
  <c r="BD26"/>
  <c r="BF26" s="1"/>
  <c r="BA26"/>
  <c r="AS27"/>
  <c r="J31" i="13" l="1"/>
  <c r="F31"/>
  <c r="C31"/>
  <c r="D32"/>
  <c r="B167" i="3"/>
  <c r="C167"/>
  <c r="D168"/>
  <c r="H26" i="1"/>
  <c r="AF12"/>
  <c r="BI13"/>
  <c r="P13"/>
  <c r="BJ13"/>
  <c r="AG12"/>
  <c r="AR26"/>
  <c r="BN13"/>
  <c r="BQ13" s="1"/>
  <c r="BT13"/>
  <c r="BC27"/>
  <c r="BE27" s="1"/>
  <c r="BG27" s="1"/>
  <c r="S27"/>
  <c r="AX27"/>
  <c r="AZ27" s="1"/>
  <c r="O26"/>
  <c r="Y26" s="1"/>
  <c r="W26"/>
  <c r="K27"/>
  <c r="AT27"/>
  <c r="AW27"/>
  <c r="AY27" s="1"/>
  <c r="I422" i="3"/>
  <c r="G422"/>
  <c r="K422"/>
  <c r="M422"/>
  <c r="E422"/>
  <c r="H27" i="1"/>
  <c r="R27"/>
  <c r="I359" i="3"/>
  <c r="K359"/>
  <c r="E359"/>
  <c r="M359"/>
  <c r="G359"/>
  <c r="G16" i="1"/>
  <c r="G17" s="1"/>
  <c r="G18" s="1"/>
  <c r="G19" s="1"/>
  <c r="G20" s="1"/>
  <c r="G21" s="1"/>
  <c r="G22" s="1"/>
  <c r="G23" s="1"/>
  <c r="G24" s="1"/>
  <c r="G25" s="1"/>
  <c r="G26" s="1"/>
  <c r="G27" s="1"/>
  <c r="AV28"/>
  <c r="AN28"/>
  <c r="BC28" s="1"/>
  <c r="AP28"/>
  <c r="I28"/>
  <c r="BB28"/>
  <c r="Q28"/>
  <c r="AU28"/>
  <c r="E28"/>
  <c r="S28" s="1"/>
  <c r="BD27"/>
  <c r="BF27" s="1"/>
  <c r="D360" i="3"/>
  <c r="C360"/>
  <c r="AS29" i="1"/>
  <c r="B29"/>
  <c r="A29"/>
  <c r="D29"/>
  <c r="C30"/>
  <c r="BA27" l="1"/>
  <c r="D33" i="13"/>
  <c r="F32"/>
  <c r="J32"/>
  <c r="C32"/>
  <c r="B168" i="3"/>
  <c r="C168"/>
  <c r="D169"/>
  <c r="R28" i="1"/>
  <c r="BR13"/>
  <c r="BL13"/>
  <c r="BO13" s="1"/>
  <c r="AO28"/>
  <c r="AR27"/>
  <c r="U13"/>
  <c r="Z13" s="1"/>
  <c r="BS13"/>
  <c r="BM13"/>
  <c r="BP13" s="1"/>
  <c r="I29"/>
  <c r="Q29"/>
  <c r="AU29"/>
  <c r="AN29"/>
  <c r="BC29" s="1"/>
  <c r="BB29"/>
  <c r="AV29"/>
  <c r="AP29"/>
  <c r="E29"/>
  <c r="R29" s="1"/>
  <c r="BE28"/>
  <c r="BG28" s="1"/>
  <c r="C361" i="3"/>
  <c r="D361"/>
  <c r="M360"/>
  <c r="K360"/>
  <c r="G360"/>
  <c r="I360"/>
  <c r="E360"/>
  <c r="AT28" i="1"/>
  <c r="K28"/>
  <c r="AW28"/>
  <c r="AY28" s="1"/>
  <c r="AX28"/>
  <c r="AZ28" s="1"/>
  <c r="BD28"/>
  <c r="BF28" s="1"/>
  <c r="BA28"/>
  <c r="AS30"/>
  <c r="C31"/>
  <c r="B30"/>
  <c r="A30"/>
  <c r="D30"/>
  <c r="O27"/>
  <c r="Y27" s="1"/>
  <c r="W27"/>
  <c r="V27"/>
  <c r="F28"/>
  <c r="D34" i="13" l="1"/>
  <c r="C33"/>
  <c r="F33"/>
  <c r="J33"/>
  <c r="AA13" i="1"/>
  <c r="BJ14" s="1"/>
  <c r="C169" i="3"/>
  <c r="B169"/>
  <c r="D170"/>
  <c r="AB13" i="1"/>
  <c r="P14" s="1"/>
  <c r="BI14"/>
  <c r="AF13"/>
  <c r="AO29"/>
  <c r="BE29"/>
  <c r="BG29" s="1"/>
  <c r="BD29"/>
  <c r="BF29" s="1"/>
  <c r="BA29"/>
  <c r="T28"/>
  <c r="S29" s="1"/>
  <c r="H28"/>
  <c r="O28"/>
  <c r="Y28" s="1"/>
  <c r="W28"/>
  <c r="D362" i="3"/>
  <c r="C362"/>
  <c r="AX29" i="1"/>
  <c r="AZ29" s="1"/>
  <c r="AW29"/>
  <c r="AY29" s="1"/>
  <c r="AT29"/>
  <c r="K29"/>
  <c r="G361" i="3"/>
  <c r="I361"/>
  <c r="K361"/>
  <c r="E361"/>
  <c r="M361"/>
  <c r="F29" i="1"/>
  <c r="A31"/>
  <c r="B31"/>
  <c r="C32"/>
  <c r="AS31"/>
  <c r="D31"/>
  <c r="AU30"/>
  <c r="BB30"/>
  <c r="AP30"/>
  <c r="I30"/>
  <c r="AV30"/>
  <c r="Q30"/>
  <c r="AN30"/>
  <c r="BC30" s="1"/>
  <c r="E30"/>
  <c r="R30" s="1"/>
  <c r="AR28"/>
  <c r="D35" i="13" l="1"/>
  <c r="J34"/>
  <c r="F34"/>
  <c r="C34"/>
  <c r="F30" i="1"/>
  <c r="T30" s="1"/>
  <c r="AG13"/>
  <c r="B170" i="3"/>
  <c r="D171"/>
  <c r="C170"/>
  <c r="BR14" i="1"/>
  <c r="BL14"/>
  <c r="BO14" s="1"/>
  <c r="BS14"/>
  <c r="BM14"/>
  <c r="BP14" s="1"/>
  <c r="AH13"/>
  <c r="BK14"/>
  <c r="U14"/>
  <c r="AA14" s="1"/>
  <c r="AB14"/>
  <c r="AR29"/>
  <c r="BE30"/>
  <c r="BG30" s="1"/>
  <c r="K30"/>
  <c r="AW30"/>
  <c r="AY30" s="1"/>
  <c r="AT30"/>
  <c r="Q31"/>
  <c r="I31"/>
  <c r="AP31"/>
  <c r="AU31"/>
  <c r="AN31"/>
  <c r="AO31" s="1"/>
  <c r="AV31"/>
  <c r="BB31"/>
  <c r="E31"/>
  <c r="O29"/>
  <c r="Y29" s="1"/>
  <c r="W29"/>
  <c r="D363" i="3"/>
  <c r="C363"/>
  <c r="BA30" i="1"/>
  <c r="BD30"/>
  <c r="BF30" s="1"/>
  <c r="AX30"/>
  <c r="AZ30" s="1"/>
  <c r="A32"/>
  <c r="B32"/>
  <c r="F31" s="1"/>
  <c r="AS32"/>
  <c r="C33"/>
  <c r="D32"/>
  <c r="R31"/>
  <c r="G362" i="3"/>
  <c r="E362"/>
  <c r="I362"/>
  <c r="K362"/>
  <c r="M362"/>
  <c r="T29" i="1"/>
  <c r="S30" s="1"/>
  <c r="H29"/>
  <c r="AO30"/>
  <c r="S31"/>
  <c r="H30"/>
  <c r="J35" i="13" l="1"/>
  <c r="F35"/>
  <c r="C35"/>
  <c r="D36"/>
  <c r="Z14" i="1"/>
  <c r="L15" s="1"/>
  <c r="C171" i="3"/>
  <c r="B171"/>
  <c r="D172"/>
  <c r="N15" i="1"/>
  <c r="AH14"/>
  <c r="BK15"/>
  <c r="BT14"/>
  <c r="BN14"/>
  <c r="BQ14" s="1"/>
  <c r="BJ15"/>
  <c r="AG14"/>
  <c r="M15"/>
  <c r="T31"/>
  <c r="H31"/>
  <c r="AR30"/>
  <c r="C34"/>
  <c r="D33"/>
  <c r="AS33"/>
  <c r="B33"/>
  <c r="A33"/>
  <c r="AX31"/>
  <c r="AZ31" s="1"/>
  <c r="BC31"/>
  <c r="BA31" s="1"/>
  <c r="E363" i="3"/>
  <c r="M363"/>
  <c r="I363"/>
  <c r="K363"/>
  <c r="G363"/>
  <c r="AN32" i="1"/>
  <c r="AO32" s="1"/>
  <c r="Q32"/>
  <c r="AP32"/>
  <c r="BB32"/>
  <c r="I32"/>
  <c r="AV32"/>
  <c r="AU32"/>
  <c r="E32"/>
  <c r="R32" s="1"/>
  <c r="BD31"/>
  <c r="BF31" s="1"/>
  <c r="AT31"/>
  <c r="AW31"/>
  <c r="AY31" s="1"/>
  <c r="K31"/>
  <c r="O30"/>
  <c r="Y30" s="1"/>
  <c r="W30"/>
  <c r="D37" i="13" l="1"/>
  <c r="F36"/>
  <c r="C36"/>
  <c r="J36"/>
  <c r="BI15" i="1"/>
  <c r="AF14"/>
  <c r="P15"/>
  <c r="D173" i="3"/>
  <c r="C172"/>
  <c r="B172"/>
  <c r="X15" i="1"/>
  <c r="BR15"/>
  <c r="BU15" s="1"/>
  <c r="BL15"/>
  <c r="BO15" s="1"/>
  <c r="BN15"/>
  <c r="BQ15" s="1"/>
  <c r="BT15"/>
  <c r="BW15" s="1"/>
  <c r="BC32"/>
  <c r="F32"/>
  <c r="H32" s="1"/>
  <c r="BS15"/>
  <c r="BV15" s="1"/>
  <c r="BM15"/>
  <c r="BP15" s="1"/>
  <c r="U15"/>
  <c r="Z15" s="1"/>
  <c r="T32"/>
  <c r="S32"/>
  <c r="AX32"/>
  <c r="AZ32" s="1"/>
  <c r="AW32"/>
  <c r="AY32" s="1"/>
  <c r="K32"/>
  <c r="AT32"/>
  <c r="B34"/>
  <c r="D34"/>
  <c r="A34"/>
  <c r="C35"/>
  <c r="AS34"/>
  <c r="BE32"/>
  <c r="BG32" s="1"/>
  <c r="BD32"/>
  <c r="BF32" s="1"/>
  <c r="BA32"/>
  <c r="AV33"/>
  <c r="AP33"/>
  <c r="Q33"/>
  <c r="I33"/>
  <c r="BB33"/>
  <c r="AN33"/>
  <c r="BC33" s="1"/>
  <c r="AU33"/>
  <c r="E33"/>
  <c r="R33" s="1"/>
  <c r="O31"/>
  <c r="Y31" s="1"/>
  <c r="W31"/>
  <c r="BE31"/>
  <c r="BG31" s="1"/>
  <c r="AR31"/>
  <c r="J37" i="13" l="1"/>
  <c r="D38"/>
  <c r="C37"/>
  <c r="F37"/>
  <c r="F33" i="1"/>
  <c r="T33" s="1"/>
  <c r="B173" i="3"/>
  <c r="D174"/>
  <c r="C173"/>
  <c r="BI16" i="1"/>
  <c r="AF15"/>
  <c r="AA15"/>
  <c r="P16" s="1"/>
  <c r="AB15"/>
  <c r="BE33"/>
  <c r="BG33" s="1"/>
  <c r="BD33"/>
  <c r="BF33" s="1"/>
  <c r="BA33"/>
  <c r="AX33"/>
  <c r="AZ33" s="1"/>
  <c r="S33"/>
  <c r="AO33"/>
  <c r="A35"/>
  <c r="AS35"/>
  <c r="D35"/>
  <c r="B35"/>
  <c r="C36"/>
  <c r="O32"/>
  <c r="Y32" s="1"/>
  <c r="W32"/>
  <c r="AR32"/>
  <c r="AT33"/>
  <c r="K33"/>
  <c r="AW33"/>
  <c r="AY33" s="1"/>
  <c r="I34"/>
  <c r="AN34"/>
  <c r="BC34" s="1"/>
  <c r="Q34"/>
  <c r="BB34"/>
  <c r="AV34"/>
  <c r="AP34"/>
  <c r="AU34"/>
  <c r="E34"/>
  <c r="R34" s="1"/>
  <c r="H33"/>
  <c r="C38" i="13" l="1"/>
  <c r="J38"/>
  <c r="D39"/>
  <c r="F38"/>
  <c r="S34" i="1"/>
  <c r="C174" i="3"/>
  <c r="D175"/>
  <c r="B174"/>
  <c r="BK16" i="1"/>
  <c r="AH15"/>
  <c r="U16"/>
  <c r="Z16" s="1"/>
  <c r="BR16"/>
  <c r="BL16"/>
  <c r="BO16" s="1"/>
  <c r="AG15"/>
  <c r="BJ16"/>
  <c r="F34"/>
  <c r="T34" s="1"/>
  <c r="AO34"/>
  <c r="BE34"/>
  <c r="BG34" s="1"/>
  <c r="H34"/>
  <c r="O33"/>
  <c r="Y33" s="1"/>
  <c r="W33"/>
  <c r="B36"/>
  <c r="AS36"/>
  <c r="A36"/>
  <c r="D36"/>
  <c r="C37"/>
  <c r="AT34"/>
  <c r="K34"/>
  <c r="AW34"/>
  <c r="AY34" s="1"/>
  <c r="BA34"/>
  <c r="BD34"/>
  <c r="BF34" s="1"/>
  <c r="AX34"/>
  <c r="AZ34" s="1"/>
  <c r="BB35"/>
  <c r="AU35"/>
  <c r="I35"/>
  <c r="AN35"/>
  <c r="BC35" s="1"/>
  <c r="Q35"/>
  <c r="AV35"/>
  <c r="AP35"/>
  <c r="E35"/>
  <c r="R35" s="1"/>
  <c r="AR33"/>
  <c r="C39" i="13" l="1"/>
  <c r="D40"/>
  <c r="J39"/>
  <c r="F39"/>
  <c r="B175" i="3"/>
  <c r="D176"/>
  <c r="C175"/>
  <c r="AA16" i="1"/>
  <c r="BJ17" s="1"/>
  <c r="BT16"/>
  <c r="BN16"/>
  <c r="BQ16" s="1"/>
  <c r="AO35"/>
  <c r="AB16"/>
  <c r="BS16"/>
  <c r="BM16"/>
  <c r="BP16" s="1"/>
  <c r="AF16"/>
  <c r="BI17"/>
  <c r="BA35"/>
  <c r="BD35"/>
  <c r="BF35" s="1"/>
  <c r="AW35"/>
  <c r="AY35" s="1"/>
  <c r="AT35"/>
  <c r="K35"/>
  <c r="O34"/>
  <c r="Y34" s="1"/>
  <c r="W34"/>
  <c r="S35"/>
  <c r="BE35"/>
  <c r="BG35" s="1"/>
  <c r="D37"/>
  <c r="B37"/>
  <c r="AS37"/>
  <c r="C38"/>
  <c r="A37"/>
  <c r="AR34"/>
  <c r="F35"/>
  <c r="AX35"/>
  <c r="AZ35" s="1"/>
  <c r="Q36"/>
  <c r="I36"/>
  <c r="AP36"/>
  <c r="BB36"/>
  <c r="AN36"/>
  <c r="AO36" s="1"/>
  <c r="AU36"/>
  <c r="AV36"/>
  <c r="E36"/>
  <c r="J40" i="13" l="1"/>
  <c r="F40"/>
  <c r="C40"/>
  <c r="D41"/>
  <c r="AG16" i="1"/>
  <c r="D177" i="3"/>
  <c r="B176"/>
  <c r="C176"/>
  <c r="BR17" i="1"/>
  <c r="BL17"/>
  <c r="BO17" s="1"/>
  <c r="AH16"/>
  <c r="BK17"/>
  <c r="BS17"/>
  <c r="BM17"/>
  <c r="BP17" s="1"/>
  <c r="P17"/>
  <c r="U17" s="1"/>
  <c r="Z17" s="1"/>
  <c r="AR35"/>
  <c r="T35"/>
  <c r="S36" s="1"/>
  <c r="H35"/>
  <c r="AT36"/>
  <c r="AW36"/>
  <c r="AY36" s="1"/>
  <c r="K36"/>
  <c r="O35"/>
  <c r="Y35" s="1"/>
  <c r="W35"/>
  <c r="F36"/>
  <c r="AV37"/>
  <c r="BB37"/>
  <c r="AU37"/>
  <c r="AN37"/>
  <c r="AO37" s="1"/>
  <c r="Q37"/>
  <c r="AP37"/>
  <c r="I37"/>
  <c r="E37"/>
  <c r="R37" s="1"/>
  <c r="AX36"/>
  <c r="AZ36" s="1"/>
  <c r="BD36"/>
  <c r="BF36" s="1"/>
  <c r="C39"/>
  <c r="B38"/>
  <c r="A38"/>
  <c r="D38"/>
  <c r="AS38"/>
  <c r="BC36"/>
  <c r="R36"/>
  <c r="F41" i="13" l="1"/>
  <c r="D42"/>
  <c r="C41"/>
  <c r="J41"/>
  <c r="C177" i="3"/>
  <c r="D178"/>
  <c r="B177"/>
  <c r="AB17" i="1"/>
  <c r="AH17" s="1"/>
  <c r="AF17"/>
  <c r="BI18"/>
  <c r="BT17"/>
  <c r="BN17"/>
  <c r="BQ17" s="1"/>
  <c r="AA17"/>
  <c r="P18" s="1"/>
  <c r="F37"/>
  <c r="H37" s="1"/>
  <c r="AR36"/>
  <c r="BE36"/>
  <c r="BG36" s="1"/>
  <c r="AX37"/>
  <c r="AZ37" s="1"/>
  <c r="AV38"/>
  <c r="AN38"/>
  <c r="BC38" s="1"/>
  <c r="I38"/>
  <c r="Q38"/>
  <c r="BB38"/>
  <c r="AU38"/>
  <c r="AP38"/>
  <c r="E38"/>
  <c r="BD37"/>
  <c r="BF37" s="1"/>
  <c r="BC37"/>
  <c r="BA37" s="1"/>
  <c r="D39"/>
  <c r="A39"/>
  <c r="B39"/>
  <c r="C40"/>
  <c r="AW37"/>
  <c r="AY37" s="1"/>
  <c r="AT37"/>
  <c r="K37"/>
  <c r="T36"/>
  <c r="S37" s="1"/>
  <c r="H36"/>
  <c r="O36"/>
  <c r="Y36" s="1"/>
  <c r="W36"/>
  <c r="BA36"/>
  <c r="J42" i="13" l="1"/>
  <c r="C42"/>
  <c r="D43"/>
  <c r="F42"/>
  <c r="BK18" i="1"/>
  <c r="BT18" s="1"/>
  <c r="F38"/>
  <c r="T38" s="1"/>
  <c r="D179" i="3"/>
  <c r="C178"/>
  <c r="B178"/>
  <c r="U18" i="1"/>
  <c r="AB18" s="1"/>
  <c r="AO38"/>
  <c r="AG17"/>
  <c r="BJ18"/>
  <c r="BR18"/>
  <c r="BL18"/>
  <c r="BO18" s="1"/>
  <c r="T37"/>
  <c r="S38" s="1"/>
  <c r="AR37"/>
  <c r="BE38"/>
  <c r="BG38" s="1"/>
  <c r="AU39"/>
  <c r="Q39"/>
  <c r="AV39"/>
  <c r="I39"/>
  <c r="AP39"/>
  <c r="AN39"/>
  <c r="BC39" s="1"/>
  <c r="BB39"/>
  <c r="E39"/>
  <c r="O37"/>
  <c r="Y37" s="1"/>
  <c r="W37"/>
  <c r="BE37"/>
  <c r="BG37" s="1"/>
  <c r="H38"/>
  <c r="BD38"/>
  <c r="BF38" s="1"/>
  <c r="BA38"/>
  <c r="AX38"/>
  <c r="AZ38" s="1"/>
  <c r="AW38"/>
  <c r="AY38" s="1"/>
  <c r="K38"/>
  <c r="AT38"/>
  <c r="AS39"/>
  <c r="R38"/>
  <c r="B40"/>
  <c r="A40"/>
  <c r="AS40"/>
  <c r="D40"/>
  <c r="C41"/>
  <c r="AO39" l="1"/>
  <c r="D44" i="13"/>
  <c r="C43"/>
  <c r="F43"/>
  <c r="J43"/>
  <c r="BN18" i="1"/>
  <c r="BQ18" s="1"/>
  <c r="D180" i="3"/>
  <c r="C179"/>
  <c r="B179"/>
  <c r="AH18" i="1"/>
  <c r="BK19"/>
  <c r="Z18"/>
  <c r="AA18"/>
  <c r="BS18"/>
  <c r="BM18"/>
  <c r="BP18" s="1"/>
  <c r="AX39"/>
  <c r="AZ39" s="1"/>
  <c r="G28"/>
  <c r="G29" s="1"/>
  <c r="G30" s="1"/>
  <c r="G31" s="1"/>
  <c r="G32" s="1"/>
  <c r="G33" s="1"/>
  <c r="G34" s="1"/>
  <c r="G35" s="1"/>
  <c r="G36" s="1"/>
  <c r="G37" s="1"/>
  <c r="G38" s="1"/>
  <c r="G39" s="1"/>
  <c r="AN40"/>
  <c r="BC40" s="1"/>
  <c r="Q40"/>
  <c r="AP40"/>
  <c r="AU40"/>
  <c r="BB40"/>
  <c r="I40"/>
  <c r="AV40"/>
  <c r="E40"/>
  <c r="R40" s="1"/>
  <c r="R39"/>
  <c r="S39"/>
  <c r="AR38"/>
  <c r="C42"/>
  <c r="A41"/>
  <c r="AS41"/>
  <c r="B41"/>
  <c r="D41"/>
  <c r="O38"/>
  <c r="Y38" s="1"/>
  <c r="W38"/>
  <c r="BE39"/>
  <c r="BG39" s="1"/>
  <c r="BD39"/>
  <c r="BF39" s="1"/>
  <c r="BA39"/>
  <c r="AW39"/>
  <c r="AY39" s="1"/>
  <c r="AT39"/>
  <c r="K39"/>
  <c r="F39"/>
  <c r="C44" i="13" l="1"/>
  <c r="D45"/>
  <c r="J44"/>
  <c r="F44"/>
  <c r="AO40" i="1"/>
  <c r="B180" i="3"/>
  <c r="D181"/>
  <c r="C180"/>
  <c r="BN19" i="1"/>
  <c r="BQ19" s="1"/>
  <c r="BT19"/>
  <c r="AR39"/>
  <c r="BI19"/>
  <c r="P19"/>
  <c r="AF18"/>
  <c r="AG18"/>
  <c r="BJ19"/>
  <c r="F40"/>
  <c r="H40" s="1"/>
  <c r="BE40"/>
  <c r="BG40" s="1"/>
  <c r="T39"/>
  <c r="H39"/>
  <c r="AW40"/>
  <c r="AY40" s="1"/>
  <c r="AT40"/>
  <c r="K40"/>
  <c r="BD40"/>
  <c r="BF40" s="1"/>
  <c r="BA40"/>
  <c r="AX40"/>
  <c r="AZ40" s="1"/>
  <c r="C43"/>
  <c r="A42"/>
  <c r="AS42"/>
  <c r="B42"/>
  <c r="D42"/>
  <c r="O39"/>
  <c r="Y39" s="1"/>
  <c r="W39"/>
  <c r="V39"/>
  <c r="AP41"/>
  <c r="BB41"/>
  <c r="AN41"/>
  <c r="BC41" s="1"/>
  <c r="Q41"/>
  <c r="I41"/>
  <c r="AU41"/>
  <c r="AV41"/>
  <c r="E41"/>
  <c r="R41" s="1"/>
  <c r="F45" i="13" l="1"/>
  <c r="J45"/>
  <c r="D46"/>
  <c r="C45"/>
  <c r="C181" i="3"/>
  <c r="B181"/>
  <c r="F41" i="1"/>
  <c r="H41" s="1"/>
  <c r="D182" i="3"/>
  <c r="U19" i="1"/>
  <c r="AA19" s="1"/>
  <c r="BM19"/>
  <c r="BP19" s="1"/>
  <c r="BS19"/>
  <c r="BL19"/>
  <c r="BO19" s="1"/>
  <c r="BR19"/>
  <c r="T40"/>
  <c r="S41" s="1"/>
  <c r="T41"/>
  <c r="AR40"/>
  <c r="BE41"/>
  <c r="BG41" s="1"/>
  <c r="BB42"/>
  <c r="I42"/>
  <c r="AU42"/>
  <c r="AV42"/>
  <c r="Q42"/>
  <c r="AN42"/>
  <c r="AO42" s="1"/>
  <c r="AP42"/>
  <c r="E42"/>
  <c r="R42" s="1"/>
  <c r="O40"/>
  <c r="W40"/>
  <c r="AX41"/>
  <c r="AZ41" s="1"/>
  <c r="AO41"/>
  <c r="AW41"/>
  <c r="AY41" s="1"/>
  <c r="K41"/>
  <c r="AT41"/>
  <c r="BA41"/>
  <c r="BD41"/>
  <c r="BF41" s="1"/>
  <c r="A43"/>
  <c r="D43"/>
  <c r="C44"/>
  <c r="B43"/>
  <c r="AS43"/>
  <c r="S40"/>
  <c r="J46" i="13" l="1"/>
  <c r="C46"/>
  <c r="F46"/>
  <c r="D47"/>
  <c r="D183" i="3"/>
  <c r="B182"/>
  <c r="C182"/>
  <c r="BJ20" i="1"/>
  <c r="AG19"/>
  <c r="Z19"/>
  <c r="AB19"/>
  <c r="BC42"/>
  <c r="S42"/>
  <c r="AR41"/>
  <c r="AX42"/>
  <c r="AZ42" s="1"/>
  <c r="C45"/>
  <c r="D44"/>
  <c r="B44"/>
  <c r="A44"/>
  <c r="AS44"/>
  <c r="O41"/>
  <c r="W41"/>
  <c r="BE42"/>
  <c r="BG42" s="1"/>
  <c r="BD42"/>
  <c r="BF42" s="1"/>
  <c r="BA42"/>
  <c r="BB43"/>
  <c r="AP43"/>
  <c r="AN43"/>
  <c r="AO43" s="1"/>
  <c r="Q43"/>
  <c r="I43"/>
  <c r="BC43"/>
  <c r="AU43"/>
  <c r="AV43"/>
  <c r="E43"/>
  <c r="AW42"/>
  <c r="AY42" s="1"/>
  <c r="K42"/>
  <c r="AT42"/>
  <c r="F42"/>
  <c r="Y40"/>
  <c r="J47" i="13" l="1"/>
  <c r="D48"/>
  <c r="C47"/>
  <c r="F47"/>
  <c r="F43" i="1"/>
  <c r="T43" s="1"/>
  <c r="C183" i="3"/>
  <c r="B183"/>
  <c r="D184"/>
  <c r="D185" s="1"/>
  <c r="AF19" i="1"/>
  <c r="BI20"/>
  <c r="P20"/>
  <c r="BS20"/>
  <c r="BM20"/>
  <c r="BP20" s="1"/>
  <c r="U20"/>
  <c r="Z20" s="1"/>
  <c r="AH19"/>
  <c r="BK20"/>
  <c r="AR42"/>
  <c r="Y41"/>
  <c r="AN44"/>
  <c r="AO44" s="1"/>
  <c r="I44"/>
  <c r="AU44"/>
  <c r="Q44"/>
  <c r="BB44"/>
  <c r="AP44"/>
  <c r="AV44"/>
  <c r="E44"/>
  <c r="R43"/>
  <c r="T42"/>
  <c r="S43" s="1"/>
  <c r="H42"/>
  <c r="AX43"/>
  <c r="AZ43" s="1"/>
  <c r="BD43"/>
  <c r="BF43" s="1"/>
  <c r="BA43"/>
  <c r="BE43"/>
  <c r="BG43" s="1"/>
  <c r="D45"/>
  <c r="B45"/>
  <c r="A45"/>
  <c r="C46"/>
  <c r="R44"/>
  <c r="AS45"/>
  <c r="O42"/>
  <c r="Y42" s="1"/>
  <c r="W42"/>
  <c r="AT43"/>
  <c r="AW43"/>
  <c r="AY43" s="1"/>
  <c r="K43"/>
  <c r="S44"/>
  <c r="J48" i="13" l="1"/>
  <c r="F48"/>
  <c r="D49"/>
  <c r="C48"/>
  <c r="H43" i="1"/>
  <c r="AB20"/>
  <c r="BK21" s="1"/>
  <c r="D186" i="3"/>
  <c r="F44" i="1"/>
  <c r="T44" s="1"/>
  <c r="C184" i="3"/>
  <c r="C185" s="1"/>
  <c r="C186" s="1"/>
  <c r="B184"/>
  <c r="B185" s="1"/>
  <c r="BT20" i="1"/>
  <c r="BN20"/>
  <c r="BQ20" s="1"/>
  <c r="AF20"/>
  <c r="BI21"/>
  <c r="BR20"/>
  <c r="BL20"/>
  <c r="BO20" s="1"/>
  <c r="AH20"/>
  <c r="AA20"/>
  <c r="P21" s="1"/>
  <c r="BC44"/>
  <c r="BA44" s="1"/>
  <c r="A46"/>
  <c r="AS46"/>
  <c r="C47"/>
  <c r="B46"/>
  <c r="D46"/>
  <c r="AR43"/>
  <c r="BD44"/>
  <c r="BF44" s="1"/>
  <c r="AX44"/>
  <c r="AZ44" s="1"/>
  <c r="AT44"/>
  <c r="AW44"/>
  <c r="AY44" s="1"/>
  <c r="K44"/>
  <c r="BE44"/>
  <c r="BG44" s="1"/>
  <c r="D187" i="3"/>
  <c r="O43" i="1"/>
  <c r="Y43" s="1"/>
  <c r="W43"/>
  <c r="AN45"/>
  <c r="BC45" s="1"/>
  <c r="I45"/>
  <c r="AP45"/>
  <c r="AV45"/>
  <c r="AU45"/>
  <c r="BB45"/>
  <c r="Q45"/>
  <c r="E45"/>
  <c r="R45" s="1"/>
  <c r="H44"/>
  <c r="C49" i="13" l="1"/>
  <c r="J49"/>
  <c r="D50"/>
  <c r="F49"/>
  <c r="B186" i="3"/>
  <c r="B187" s="1"/>
  <c r="Z21" i="1"/>
  <c r="U21"/>
  <c r="AB21" s="1"/>
  <c r="BN21"/>
  <c r="BT21"/>
  <c r="AO45"/>
  <c r="BQ21"/>
  <c r="BR21"/>
  <c r="BL21"/>
  <c r="BO21" s="1"/>
  <c r="BJ21"/>
  <c r="AG20"/>
  <c r="AR44"/>
  <c r="BE45"/>
  <c r="BG45" s="1"/>
  <c r="AP46"/>
  <c r="AV46"/>
  <c r="AU46"/>
  <c r="Q46"/>
  <c r="I46"/>
  <c r="BB46"/>
  <c r="AN46"/>
  <c r="BC46" s="1"/>
  <c r="E46"/>
  <c r="R46" s="1"/>
  <c r="AT45"/>
  <c r="K45"/>
  <c r="AW45"/>
  <c r="AY45" s="1"/>
  <c r="BA45"/>
  <c r="BD45"/>
  <c r="BF45" s="1"/>
  <c r="AX45"/>
  <c r="AZ45" s="1"/>
  <c r="O44"/>
  <c r="Y44" s="1"/>
  <c r="W44"/>
  <c r="C187" i="3"/>
  <c r="D188"/>
  <c r="B47" i="1"/>
  <c r="D47"/>
  <c r="C48"/>
  <c r="A47"/>
  <c r="AS47"/>
  <c r="S45"/>
  <c r="F45"/>
  <c r="J50" i="13" l="1"/>
  <c r="F50"/>
  <c r="D51"/>
  <c r="C50"/>
  <c r="AA21" i="1"/>
  <c r="AG21" s="1"/>
  <c r="AH21"/>
  <c r="BK22"/>
  <c r="BM21"/>
  <c r="BP21" s="1"/>
  <c r="BS21"/>
  <c r="AF21"/>
  <c r="BI22"/>
  <c r="AR45"/>
  <c r="BE46"/>
  <c r="BG46" s="1"/>
  <c r="O45"/>
  <c r="Y45" s="1"/>
  <c r="W45"/>
  <c r="AW46"/>
  <c r="AY46" s="1"/>
  <c r="K46"/>
  <c r="AT46"/>
  <c r="T45"/>
  <c r="S46" s="1"/>
  <c r="H45"/>
  <c r="AV47"/>
  <c r="AN47"/>
  <c r="AP47"/>
  <c r="AU47"/>
  <c r="BB47"/>
  <c r="I47"/>
  <c r="AO47"/>
  <c r="BC47"/>
  <c r="Q47"/>
  <c r="E47"/>
  <c r="AX46"/>
  <c r="AZ46" s="1"/>
  <c r="AO46"/>
  <c r="B48"/>
  <c r="AS48"/>
  <c r="R47"/>
  <c r="C49"/>
  <c r="A48"/>
  <c r="D48"/>
  <c r="BD46"/>
  <c r="BF46" s="1"/>
  <c r="BA46"/>
  <c r="C188" i="3"/>
  <c r="B188"/>
  <c r="D189"/>
  <c r="F46" i="1"/>
  <c r="C51" i="13" l="1"/>
  <c r="F51"/>
  <c r="J51"/>
  <c r="D52"/>
  <c r="P22" i="1"/>
  <c r="BJ22"/>
  <c r="BM22" s="1"/>
  <c r="BP22" s="1"/>
  <c r="BT22"/>
  <c r="BN22"/>
  <c r="BQ22" s="1"/>
  <c r="BR22"/>
  <c r="BL22"/>
  <c r="BO22" s="1"/>
  <c r="AR46"/>
  <c r="T46"/>
  <c r="S47" s="1"/>
  <c r="H46"/>
  <c r="AN48"/>
  <c r="AO48" s="1"/>
  <c r="BB48"/>
  <c r="AP48"/>
  <c r="Q48"/>
  <c r="I48"/>
  <c r="AV48"/>
  <c r="AU48"/>
  <c r="BC48"/>
  <c r="E48"/>
  <c r="C189" i="3"/>
  <c r="B189"/>
  <c r="D190"/>
  <c r="BE47" i="1"/>
  <c r="BG47" s="1"/>
  <c r="K47"/>
  <c r="AT47"/>
  <c r="AW47"/>
  <c r="AY47" s="1"/>
  <c r="O46"/>
  <c r="Y46" s="1"/>
  <c r="W46"/>
  <c r="F47"/>
  <c r="C50"/>
  <c r="R48"/>
  <c r="AS49"/>
  <c r="D49"/>
  <c r="B49"/>
  <c r="A49"/>
  <c r="BD47"/>
  <c r="BF47" s="1"/>
  <c r="BA47"/>
  <c r="AX47"/>
  <c r="AZ47" s="1"/>
  <c r="F52" i="13" l="1"/>
  <c r="C52"/>
  <c r="J52"/>
  <c r="D53"/>
  <c r="BS22" i="1"/>
  <c r="AB22"/>
  <c r="BK23" s="1"/>
  <c r="BT23" s="1"/>
  <c r="U22"/>
  <c r="AA22" s="1"/>
  <c r="F48"/>
  <c r="T48" s="1"/>
  <c r="AR47"/>
  <c r="AV49"/>
  <c r="AN49"/>
  <c r="AO49" s="1"/>
  <c r="Q49"/>
  <c r="BB49"/>
  <c r="AP49"/>
  <c r="I49"/>
  <c r="AU49"/>
  <c r="E49"/>
  <c r="R49" s="1"/>
  <c r="BE48"/>
  <c r="BG48" s="1"/>
  <c r="T47"/>
  <c r="S48" s="1"/>
  <c r="H47"/>
  <c r="BD48"/>
  <c r="BF48" s="1"/>
  <c r="BA48"/>
  <c r="O47"/>
  <c r="Y47" s="1"/>
  <c r="W47"/>
  <c r="AX48"/>
  <c r="AZ48" s="1"/>
  <c r="B50"/>
  <c r="D50"/>
  <c r="C51"/>
  <c r="A50"/>
  <c r="AS50"/>
  <c r="B190" i="3"/>
  <c r="C190"/>
  <c r="D191"/>
  <c r="AT48" i="1"/>
  <c r="AW48"/>
  <c r="AY48" s="1"/>
  <c r="K48"/>
  <c r="Z22" l="1"/>
  <c r="BI23" s="1"/>
  <c r="BL23" s="1"/>
  <c r="BO23" s="1"/>
  <c r="D54" i="13"/>
  <c r="C53"/>
  <c r="F53"/>
  <c r="J53"/>
  <c r="BN23" i="1"/>
  <c r="BQ23" s="1"/>
  <c r="P23"/>
  <c r="U23" s="1"/>
  <c r="BJ23"/>
  <c r="AG22"/>
  <c r="BR23"/>
  <c r="AH22"/>
  <c r="Z23"/>
  <c r="AF23" s="1"/>
  <c r="AA23"/>
  <c r="BJ24" s="1"/>
  <c r="H48"/>
  <c r="BC49"/>
  <c r="BE49" s="1"/>
  <c r="BG49" s="1"/>
  <c r="AR48"/>
  <c r="O48"/>
  <c r="Y48" s="1"/>
  <c r="W48"/>
  <c r="C191" i="3"/>
  <c r="B191"/>
  <c r="D192"/>
  <c r="AP50" i="1"/>
  <c r="I50"/>
  <c r="AN50"/>
  <c r="AO50" s="1"/>
  <c r="Q50"/>
  <c r="BB50"/>
  <c r="AU50"/>
  <c r="AV50"/>
  <c r="E50"/>
  <c r="R50" s="1"/>
  <c r="C52"/>
  <c r="B51"/>
  <c r="D51"/>
  <c r="A51"/>
  <c r="AS51" s="1"/>
  <c r="AW49"/>
  <c r="AY49" s="1"/>
  <c r="K49"/>
  <c r="AT49"/>
  <c r="F49"/>
  <c r="BD49"/>
  <c r="BF49" s="1"/>
  <c r="BA49"/>
  <c r="AX49"/>
  <c r="AZ49" s="1"/>
  <c r="S49"/>
  <c r="AF22" l="1"/>
  <c r="F54" i="13"/>
  <c r="J54"/>
  <c r="D55"/>
  <c r="C54"/>
  <c r="AB23" i="1"/>
  <c r="BK24" s="1"/>
  <c r="BT24" s="1"/>
  <c r="BS23"/>
  <c r="BM23"/>
  <c r="BP23" s="1"/>
  <c r="AG23"/>
  <c r="BN24"/>
  <c r="BQ24" s="1"/>
  <c r="BI24"/>
  <c r="BM24"/>
  <c r="BS24"/>
  <c r="AR49"/>
  <c r="AX50"/>
  <c r="AZ50" s="1"/>
  <c r="C192" i="3"/>
  <c r="B192"/>
  <c r="D193"/>
  <c r="T49" i="1"/>
  <c r="S50" s="1"/>
  <c r="H49"/>
  <c r="O49"/>
  <c r="Y49" s="1"/>
  <c r="W49"/>
  <c r="BC50"/>
  <c r="BA50" s="1"/>
  <c r="F50"/>
  <c r="A52"/>
  <c r="AS52"/>
  <c r="B52"/>
  <c r="C53"/>
  <c r="D52"/>
  <c r="BD50"/>
  <c r="BF50" s="1"/>
  <c r="Q51"/>
  <c r="BB51"/>
  <c r="AP51"/>
  <c r="AN51"/>
  <c r="BC51" s="1"/>
  <c r="I51"/>
  <c r="AU51"/>
  <c r="AV51"/>
  <c r="E51"/>
  <c r="R51" s="1"/>
  <c r="K50"/>
  <c r="AT50"/>
  <c r="AW50"/>
  <c r="AY50" s="1"/>
  <c r="F55" i="13" l="1"/>
  <c r="C55"/>
  <c r="D56"/>
  <c r="J55"/>
  <c r="P24" i="1"/>
  <c r="U24" s="1"/>
  <c r="Z24" s="1"/>
  <c r="BI25" s="1"/>
  <c r="BL25" s="1"/>
  <c r="AH23"/>
  <c r="BP24"/>
  <c r="AA24"/>
  <c r="BR24"/>
  <c r="BL24"/>
  <c r="BO24" s="1"/>
  <c r="AB24"/>
  <c r="BE51"/>
  <c r="BG51" s="1"/>
  <c r="G40"/>
  <c r="G41" s="1"/>
  <c r="G42" s="1"/>
  <c r="G43" s="1"/>
  <c r="G44" s="1"/>
  <c r="G45" s="1"/>
  <c r="G46" s="1"/>
  <c r="G47" s="1"/>
  <c r="G48" s="1"/>
  <c r="G49" s="1"/>
  <c r="G50" s="1"/>
  <c r="G51" s="1"/>
  <c r="BD51"/>
  <c r="BF51" s="1"/>
  <c r="BA51"/>
  <c r="AS53"/>
  <c r="B53"/>
  <c r="C54"/>
  <c r="D53"/>
  <c r="A53"/>
  <c r="Q52"/>
  <c r="BB52"/>
  <c r="I52"/>
  <c r="AV52"/>
  <c r="AP52"/>
  <c r="AN52"/>
  <c r="BC52" s="1"/>
  <c r="AU52"/>
  <c r="E52"/>
  <c r="R52" s="1"/>
  <c r="AO51"/>
  <c r="F51"/>
  <c r="AX51"/>
  <c r="AZ51" s="1"/>
  <c r="T50"/>
  <c r="S51" s="1"/>
  <c r="H50"/>
  <c r="O50"/>
  <c r="Y50" s="1"/>
  <c r="W50"/>
  <c r="AW51"/>
  <c r="AY51" s="1"/>
  <c r="AR51" s="1"/>
  <c r="K51"/>
  <c r="AT51"/>
  <c r="BE50"/>
  <c r="BG50" s="1"/>
  <c r="C193" i="3"/>
  <c r="B193"/>
  <c r="D194"/>
  <c r="AR50" i="1"/>
  <c r="F56" i="13" l="1"/>
  <c r="D57"/>
  <c r="C56"/>
  <c r="J56"/>
  <c r="BR25" i="1"/>
  <c r="BO25"/>
  <c r="AF24"/>
  <c r="AH24"/>
  <c r="BK25"/>
  <c r="BJ25"/>
  <c r="AG24"/>
  <c r="P25"/>
  <c r="BE52"/>
  <c r="BG52" s="1"/>
  <c r="T51"/>
  <c r="H51"/>
  <c r="O51"/>
  <c r="Y51" s="1"/>
  <c r="W51"/>
  <c r="V51"/>
  <c r="AX52"/>
  <c r="AZ52" s="1"/>
  <c r="AU53"/>
  <c r="AN53"/>
  <c r="BC53" s="1"/>
  <c r="BB53"/>
  <c r="I53"/>
  <c r="Q53"/>
  <c r="AV53"/>
  <c r="AP53"/>
  <c r="E53"/>
  <c r="R53" s="1"/>
  <c r="AO52"/>
  <c r="B194" i="3"/>
  <c r="C194"/>
  <c r="D195"/>
  <c r="AW52" i="1"/>
  <c r="AY52" s="1"/>
  <c r="K52"/>
  <c r="AT52"/>
  <c r="B54"/>
  <c r="A54"/>
  <c r="AS54"/>
  <c r="D54"/>
  <c r="C55"/>
  <c r="BA52"/>
  <c r="BD52"/>
  <c r="BF52" s="1"/>
  <c r="F52"/>
  <c r="D58" i="13" l="1"/>
  <c r="C57"/>
  <c r="F57"/>
  <c r="J57"/>
  <c r="AA25" i="1"/>
  <c r="U25"/>
  <c r="Z25" s="1"/>
  <c r="BT25"/>
  <c r="BN25"/>
  <c r="BQ25" s="1"/>
  <c r="AB25"/>
  <c r="BM25"/>
  <c r="BP25" s="1"/>
  <c r="BS25"/>
  <c r="AR52"/>
  <c r="AO53"/>
  <c r="Y52"/>
  <c r="O52"/>
  <c r="W52"/>
  <c r="AT53"/>
  <c r="K53"/>
  <c r="AW53"/>
  <c r="AY53" s="1"/>
  <c r="B195" i="3"/>
  <c r="C195"/>
  <c r="D196"/>
  <c r="S52" i="1"/>
  <c r="AX53"/>
  <c r="AZ53" s="1"/>
  <c r="BD53"/>
  <c r="BF53" s="1"/>
  <c r="BA53"/>
  <c r="T52"/>
  <c r="S53" s="1"/>
  <c r="H52"/>
  <c r="A55"/>
  <c r="D55"/>
  <c r="C56"/>
  <c r="AS55"/>
  <c r="B55"/>
  <c r="AU54"/>
  <c r="AN54"/>
  <c r="BC54" s="1"/>
  <c r="AP54"/>
  <c r="AV54"/>
  <c r="I54"/>
  <c r="BB54"/>
  <c r="Q54"/>
  <c r="E54"/>
  <c r="BE53"/>
  <c r="BG53" s="1"/>
  <c r="F53"/>
  <c r="C58" i="13" l="1"/>
  <c r="D63"/>
  <c r="F58"/>
  <c r="J58"/>
  <c r="AG25" i="1"/>
  <c r="BJ26"/>
  <c r="AF25"/>
  <c r="P26"/>
  <c r="BI26"/>
  <c r="AH25"/>
  <c r="BK26"/>
  <c r="U26"/>
  <c r="AB26" s="1"/>
  <c r="AH26" s="1"/>
  <c r="F54"/>
  <c r="H54" s="1"/>
  <c r="BE54"/>
  <c r="BG54" s="1"/>
  <c r="C196" i="3"/>
  <c r="B196"/>
  <c r="D197"/>
  <c r="AR53" i="1"/>
  <c r="AW54"/>
  <c r="AY54" s="1"/>
  <c r="AT54"/>
  <c r="K54"/>
  <c r="B56"/>
  <c r="D56"/>
  <c r="A56"/>
  <c r="AS56"/>
  <c r="C57"/>
  <c r="T53"/>
  <c r="S54" s="1"/>
  <c r="H53"/>
  <c r="Q55"/>
  <c r="I55"/>
  <c r="AP55"/>
  <c r="BB55"/>
  <c r="AU55"/>
  <c r="AV55"/>
  <c r="AN55"/>
  <c r="BC55" s="1"/>
  <c r="E55"/>
  <c r="AO54"/>
  <c r="R54"/>
  <c r="BD54"/>
  <c r="BF54" s="1"/>
  <c r="BA54"/>
  <c r="AX54"/>
  <c r="AZ54" s="1"/>
  <c r="O53"/>
  <c r="Y53" s="1"/>
  <c r="W53"/>
  <c r="C63" i="13" l="1"/>
  <c r="D64"/>
  <c r="F63"/>
  <c r="J63"/>
  <c r="AA26" i="1"/>
  <c r="Z26"/>
  <c r="AF26" s="1"/>
  <c r="N27"/>
  <c r="BK27"/>
  <c r="BR26"/>
  <c r="BL26"/>
  <c r="BO26" s="1"/>
  <c r="BM26"/>
  <c r="BP26" s="1"/>
  <c r="BS26"/>
  <c r="BN26"/>
  <c r="BQ26" s="1"/>
  <c r="BT26"/>
  <c r="AO55"/>
  <c r="T54"/>
  <c r="AG26"/>
  <c r="BJ27"/>
  <c r="M27"/>
  <c r="P27"/>
  <c r="L27"/>
  <c r="BI27"/>
  <c r="BT27"/>
  <c r="BN27"/>
  <c r="BQ27" s="1"/>
  <c r="AW55"/>
  <c r="AY55" s="1"/>
  <c r="K55"/>
  <c r="AT55"/>
  <c r="C58"/>
  <c r="AS57"/>
  <c r="B57"/>
  <c r="A57"/>
  <c r="D57"/>
  <c r="C197" i="3"/>
  <c r="B197"/>
  <c r="D198"/>
  <c r="S55" i="1"/>
  <c r="AN56"/>
  <c r="AP56"/>
  <c r="BB56"/>
  <c r="AU56"/>
  <c r="AO56"/>
  <c r="I56"/>
  <c r="AV56"/>
  <c r="Q56"/>
  <c r="BC56"/>
  <c r="E56"/>
  <c r="O54"/>
  <c r="Y54" s="1"/>
  <c r="W54"/>
  <c r="AX55"/>
  <c r="AZ55" s="1"/>
  <c r="BE55"/>
  <c r="BG55" s="1"/>
  <c r="AR54"/>
  <c r="BA55"/>
  <c r="BD55"/>
  <c r="BF55" s="1"/>
  <c r="F55"/>
  <c r="R55"/>
  <c r="BW27" l="1"/>
  <c r="D65" i="13"/>
  <c r="F64"/>
  <c r="C64"/>
  <c r="J64"/>
  <c r="F56" i="1"/>
  <c r="T56" s="1"/>
  <c r="X27"/>
  <c r="U27"/>
  <c r="Z27" s="1"/>
  <c r="BS27"/>
  <c r="BV27" s="1"/>
  <c r="BM27"/>
  <c r="BP27" s="1"/>
  <c r="BL27"/>
  <c r="BO27" s="1"/>
  <c r="BR27"/>
  <c r="BU27" s="1"/>
  <c r="BE56"/>
  <c r="BG56" s="1"/>
  <c r="O55"/>
  <c r="Y55" s="1"/>
  <c r="W55"/>
  <c r="H56"/>
  <c r="T55"/>
  <c r="S56" s="1"/>
  <c r="H55"/>
  <c r="B198" i="3"/>
  <c r="C198"/>
  <c r="D199"/>
  <c r="AN57" i="1"/>
  <c r="BC57" s="1"/>
  <c r="Q57"/>
  <c r="AV57"/>
  <c r="AU57"/>
  <c r="AP57"/>
  <c r="I57"/>
  <c r="BB57"/>
  <c r="E57"/>
  <c r="R57" s="1"/>
  <c r="AX56"/>
  <c r="AZ56" s="1"/>
  <c r="BD56"/>
  <c r="BF56" s="1"/>
  <c r="BA56"/>
  <c r="B58"/>
  <c r="D58"/>
  <c r="C59"/>
  <c r="AS58"/>
  <c r="A58"/>
  <c r="S57"/>
  <c r="AR55"/>
  <c r="AW56"/>
  <c r="AY56" s="1"/>
  <c r="K56"/>
  <c r="AT56"/>
  <c r="R56"/>
  <c r="C65" i="13" l="1"/>
  <c r="D66"/>
  <c r="F65"/>
  <c r="J65"/>
  <c r="AR56" i="1"/>
  <c r="AB27"/>
  <c r="AH27" s="1"/>
  <c r="AO57"/>
  <c r="AA27"/>
  <c r="AG27" s="1"/>
  <c r="AF27"/>
  <c r="C60"/>
  <c r="B59"/>
  <c r="AS59"/>
  <c r="D59"/>
  <c r="A59"/>
  <c r="BD57"/>
  <c r="BF57" s="1"/>
  <c r="BA57"/>
  <c r="O56"/>
  <c r="Y56" s="1"/>
  <c r="W56"/>
  <c r="D200" i="3"/>
  <c r="F58" i="1"/>
  <c r="T58" s="1"/>
  <c r="BE57"/>
  <c r="BG57" s="1"/>
  <c r="AX57"/>
  <c r="AZ57" s="1"/>
  <c r="F57"/>
  <c r="AU58"/>
  <c r="AP58"/>
  <c r="BB58"/>
  <c r="I58"/>
  <c r="Q58"/>
  <c r="AV58"/>
  <c r="AN58"/>
  <c r="AO58" s="1"/>
  <c r="E58"/>
  <c r="AT57"/>
  <c r="K57"/>
  <c r="AW57"/>
  <c r="AY57" s="1"/>
  <c r="B199" i="3"/>
  <c r="C199"/>
  <c r="D201"/>
  <c r="F66" i="13" l="1"/>
  <c r="J66"/>
  <c r="C66"/>
  <c r="D67"/>
  <c r="AR57" i="1"/>
  <c r="P28"/>
  <c r="H58"/>
  <c r="D202" i="3"/>
  <c r="AN59" i="1"/>
  <c r="BC59" s="1"/>
  <c r="AP59"/>
  <c r="Q59"/>
  <c r="AV59"/>
  <c r="BB59"/>
  <c r="I59"/>
  <c r="AU59"/>
  <c r="E59"/>
  <c r="BC58"/>
  <c r="BA58" s="1"/>
  <c r="BD58"/>
  <c r="BF58" s="1"/>
  <c r="D203" i="3"/>
  <c r="R58" i="1"/>
  <c r="O57"/>
  <c r="Y57" s="1"/>
  <c r="W57"/>
  <c r="AX58"/>
  <c r="AZ58" s="1"/>
  <c r="T57"/>
  <c r="S58" s="1"/>
  <c r="H57"/>
  <c r="AW58"/>
  <c r="AY58" s="1"/>
  <c r="K58"/>
  <c r="AT58"/>
  <c r="B200" i="3"/>
  <c r="B201" s="1"/>
  <c r="B202" s="1"/>
  <c r="C200"/>
  <c r="R59" i="1"/>
  <c r="C61"/>
  <c r="D60"/>
  <c r="B60"/>
  <c r="A60"/>
  <c r="AS60"/>
  <c r="S59"/>
  <c r="J67" i="13" l="1"/>
  <c r="D68"/>
  <c r="C67"/>
  <c r="F67"/>
  <c r="AO59" i="1"/>
  <c r="U28"/>
  <c r="Z28" s="1"/>
  <c r="C62"/>
  <c r="D61"/>
  <c r="B61"/>
  <c r="AS61"/>
  <c r="A61"/>
  <c r="O58"/>
  <c r="Y58" s="1"/>
  <c r="W58"/>
  <c r="BE59"/>
  <c r="BG59" s="1"/>
  <c r="AX59"/>
  <c r="AZ59" s="1"/>
  <c r="K59"/>
  <c r="AW59"/>
  <c r="AY59" s="1"/>
  <c r="AT59"/>
  <c r="BA59"/>
  <c r="BD59"/>
  <c r="BF59" s="1"/>
  <c r="C201" i="3"/>
  <c r="B203"/>
  <c r="D213"/>
  <c r="D214" s="1"/>
  <c r="AR58" i="1"/>
  <c r="BB60"/>
  <c r="Q60"/>
  <c r="AN60"/>
  <c r="AO60" s="1"/>
  <c r="AP60"/>
  <c r="AV60"/>
  <c r="I60"/>
  <c r="AU60"/>
  <c r="E60"/>
  <c r="R60" s="1"/>
  <c r="BE58"/>
  <c r="BG58" s="1"/>
  <c r="F59"/>
  <c r="F60" l="1"/>
  <c r="T60" s="1"/>
  <c r="AB28"/>
  <c r="AH28" s="1"/>
  <c r="F68" i="13"/>
  <c r="J68"/>
  <c r="D69"/>
  <c r="C68"/>
  <c r="AF28" i="1"/>
  <c r="BC60"/>
  <c r="BE60" s="1"/>
  <c r="BG60" s="1"/>
  <c r="AA28"/>
  <c r="AR59"/>
  <c r="T59"/>
  <c r="S60" s="1"/>
  <c r="H59"/>
  <c r="AX60"/>
  <c r="AZ60" s="1"/>
  <c r="C214" i="3"/>
  <c r="J214" s="1"/>
  <c r="E214" s="1"/>
  <c r="B214"/>
  <c r="B213"/>
  <c r="C202"/>
  <c r="O59" i="1"/>
  <c r="Y59" s="1"/>
  <c r="W59"/>
  <c r="C63"/>
  <c r="D62"/>
  <c r="B62"/>
  <c r="AS62"/>
  <c r="A62"/>
  <c r="AW60"/>
  <c r="AY60" s="1"/>
  <c r="AR60" s="1"/>
  <c r="K60"/>
  <c r="AT60"/>
  <c r="BD60"/>
  <c r="BF60" s="1"/>
  <c r="BA60"/>
  <c r="I61"/>
  <c r="BB61"/>
  <c r="Q61"/>
  <c r="AV61"/>
  <c r="AN61"/>
  <c r="BC61" s="1"/>
  <c r="AU61"/>
  <c r="AP61"/>
  <c r="E61"/>
  <c r="S61" s="1"/>
  <c r="D215" i="3"/>
  <c r="D216" s="1"/>
  <c r="H60" i="1"/>
  <c r="F69" i="13" l="1"/>
  <c r="C69"/>
  <c r="D70"/>
  <c r="J69"/>
  <c r="K214" i="3"/>
  <c r="G214"/>
  <c r="F61" i="1"/>
  <c r="T61" s="1"/>
  <c r="H214" i="3"/>
  <c r="AG28" i="1"/>
  <c r="P29"/>
  <c r="L214" i="3"/>
  <c r="AO61" i="1"/>
  <c r="C216" i="3"/>
  <c r="I216" s="1"/>
  <c r="B216"/>
  <c r="K61" i="1"/>
  <c r="AW61"/>
  <c r="AY61" s="1"/>
  <c r="AT61"/>
  <c r="A63"/>
  <c r="AS63" s="1"/>
  <c r="C64"/>
  <c r="D63"/>
  <c r="B63"/>
  <c r="S62"/>
  <c r="I214" i="3"/>
  <c r="BE61" i="1"/>
  <c r="BG61" s="1"/>
  <c r="Q62"/>
  <c r="AV62"/>
  <c r="AN62"/>
  <c r="BC62" s="1"/>
  <c r="I62"/>
  <c r="AU62"/>
  <c r="AP62"/>
  <c r="BB62"/>
  <c r="E62"/>
  <c r="R62" s="1"/>
  <c r="C215" i="3"/>
  <c r="I215" s="1"/>
  <c r="B215"/>
  <c r="AZ61" i="1"/>
  <c r="AX61"/>
  <c r="O60"/>
  <c r="Y60" s="1"/>
  <c r="W60"/>
  <c r="BA61"/>
  <c r="BD61"/>
  <c r="BF61" s="1"/>
  <c r="C203" i="3"/>
  <c r="R61" i="1"/>
  <c r="D217" i="3"/>
  <c r="F214"/>
  <c r="H61" i="1" l="1"/>
  <c r="C70" i="13"/>
  <c r="J70"/>
  <c r="D71"/>
  <c r="F70"/>
  <c r="F62" i="1"/>
  <c r="T62" s="1"/>
  <c r="AB29"/>
  <c r="U29"/>
  <c r="BE62"/>
  <c r="BG62" s="1"/>
  <c r="AT62"/>
  <c r="K62"/>
  <c r="AW62"/>
  <c r="AY62" s="1"/>
  <c r="O61"/>
  <c r="Y61" s="1"/>
  <c r="W61"/>
  <c r="G215" i="3"/>
  <c r="L215"/>
  <c r="AO62" i="1"/>
  <c r="B217" i="3"/>
  <c r="C217"/>
  <c r="G217" s="1"/>
  <c r="Q63" i="1"/>
  <c r="BB63"/>
  <c r="AP63"/>
  <c r="I63"/>
  <c r="AN63"/>
  <c r="AO63" s="1"/>
  <c r="AU63"/>
  <c r="AV63"/>
  <c r="E63"/>
  <c r="F215" i="3"/>
  <c r="K215"/>
  <c r="AR61" i="1"/>
  <c r="K216" i="3"/>
  <c r="J216"/>
  <c r="E216" s="1"/>
  <c r="H216"/>
  <c r="C213"/>
  <c r="BA62" i="1"/>
  <c r="BD62"/>
  <c r="BF62" s="1"/>
  <c r="A64"/>
  <c r="B64"/>
  <c r="R63"/>
  <c r="C65"/>
  <c r="D64"/>
  <c r="AS64"/>
  <c r="D218" i="3"/>
  <c r="L216"/>
  <c r="G216"/>
  <c r="AX62" i="1"/>
  <c r="AZ62" s="1"/>
  <c r="S63"/>
  <c r="J215" i="3"/>
  <c r="E215" s="1"/>
  <c r="H215"/>
  <c r="F216"/>
  <c r="C71" i="13" l="1"/>
  <c r="F71"/>
  <c r="J71"/>
  <c r="D72"/>
  <c r="H62" i="1"/>
  <c r="AH29"/>
  <c r="Z29"/>
  <c r="AA29"/>
  <c r="AG29" s="1"/>
  <c r="F63"/>
  <c r="H63" s="1"/>
  <c r="BC63"/>
  <c r="BE63" s="1"/>
  <c r="BG63" s="1"/>
  <c r="I217" i="3"/>
  <c r="B65" i="1"/>
  <c r="AS65"/>
  <c r="C66"/>
  <c r="A65"/>
  <c r="D65"/>
  <c r="AW63"/>
  <c r="AY63" s="1"/>
  <c r="AT63"/>
  <c r="K63"/>
  <c r="O62"/>
  <c r="Y62" s="1"/>
  <c r="W62"/>
  <c r="J217" i="3"/>
  <c r="E217" s="1"/>
  <c r="I64" i="1"/>
  <c r="AP64"/>
  <c r="BB64"/>
  <c r="AV64"/>
  <c r="Q64"/>
  <c r="AN64"/>
  <c r="BC64" s="1"/>
  <c r="AU64"/>
  <c r="E64"/>
  <c r="AX63"/>
  <c r="AZ63" s="1"/>
  <c r="D219" i="3"/>
  <c r="D220" s="1"/>
  <c r="L217"/>
  <c r="K217"/>
  <c r="AR62" i="1"/>
  <c r="C218" i="3"/>
  <c r="G218" s="1"/>
  <c r="B218"/>
  <c r="G52" i="1"/>
  <c r="G53" s="1"/>
  <c r="G54" s="1"/>
  <c r="G55" s="1"/>
  <c r="G56" s="1"/>
  <c r="G57" s="1"/>
  <c r="G58" s="1"/>
  <c r="G59" s="1"/>
  <c r="G60" s="1"/>
  <c r="G61" s="1"/>
  <c r="G62" s="1"/>
  <c r="G63" s="1"/>
  <c r="BD63"/>
  <c r="BF63" s="1"/>
  <c r="F217" i="3"/>
  <c r="H217"/>
  <c r="C72" i="13" l="1"/>
  <c r="J72"/>
  <c r="D73"/>
  <c r="F72"/>
  <c r="BA63" i="1"/>
  <c r="F218" i="3"/>
  <c r="H218"/>
  <c r="F64" i="1"/>
  <c r="T64" s="1"/>
  <c r="I218" i="3"/>
  <c r="T63" i="1"/>
  <c r="S65" s="1"/>
  <c r="AF29"/>
  <c r="P30"/>
  <c r="AO64"/>
  <c r="BE64"/>
  <c r="BG64" s="1"/>
  <c r="AX64"/>
  <c r="AZ64" s="1"/>
  <c r="AU65"/>
  <c r="AV65"/>
  <c r="AN65"/>
  <c r="BC65" s="1"/>
  <c r="Q65"/>
  <c r="BB65"/>
  <c r="I65"/>
  <c r="AP65"/>
  <c r="E65"/>
  <c r="R65" s="1"/>
  <c r="K218" i="3"/>
  <c r="J218"/>
  <c r="E218" s="1"/>
  <c r="K64" i="1"/>
  <c r="AT64"/>
  <c r="AW64"/>
  <c r="AY64" s="1"/>
  <c r="O63"/>
  <c r="Y63" s="1"/>
  <c r="W63"/>
  <c r="V63"/>
  <c r="C219" i="3"/>
  <c r="L219" s="1"/>
  <c r="B219"/>
  <c r="J219"/>
  <c r="E219" s="1"/>
  <c r="D221"/>
  <c r="L218"/>
  <c r="AR63" i="1"/>
  <c r="R64"/>
  <c r="B220" i="3"/>
  <c r="C220"/>
  <c r="G220" s="1"/>
  <c r="BA64" i="1"/>
  <c r="BD64"/>
  <c r="BF64" s="1"/>
  <c r="C67"/>
  <c r="A66"/>
  <c r="B66"/>
  <c r="D66"/>
  <c r="AS66"/>
  <c r="H64"/>
  <c r="F73" i="13" l="1"/>
  <c r="C73"/>
  <c r="D74"/>
  <c r="J73"/>
  <c r="K220" i="3"/>
  <c r="S64" i="1"/>
  <c r="U30"/>
  <c r="AB30" s="1"/>
  <c r="F219" i="3"/>
  <c r="I219"/>
  <c r="H219"/>
  <c r="L220"/>
  <c r="K219"/>
  <c r="F65" i="1"/>
  <c r="T65" s="1"/>
  <c r="G219" i="3"/>
  <c r="AR64" i="1"/>
  <c r="BE65"/>
  <c r="BG65" s="1"/>
  <c r="D67"/>
  <c r="A67"/>
  <c r="AS67"/>
  <c r="B67"/>
  <c r="C68"/>
  <c r="O64"/>
  <c r="W64"/>
  <c r="AX65"/>
  <c r="AZ65" s="1"/>
  <c r="H220" i="3"/>
  <c r="F220"/>
  <c r="J220"/>
  <c r="E220" s="1"/>
  <c r="AV66" i="1"/>
  <c r="AN66"/>
  <c r="AO66" s="1"/>
  <c r="I66"/>
  <c r="Q66"/>
  <c r="AU66"/>
  <c r="AP66"/>
  <c r="BB66"/>
  <c r="E66"/>
  <c r="AW65"/>
  <c r="AY65" s="1"/>
  <c r="K65"/>
  <c r="AT65"/>
  <c r="I220" i="3"/>
  <c r="D222"/>
  <c r="AO65" i="1"/>
  <c r="C221" i="3"/>
  <c r="L221" s="1"/>
  <c r="B221"/>
  <c r="BD65" i="1"/>
  <c r="BF65" s="1"/>
  <c r="BA65"/>
  <c r="C74" i="13" l="1"/>
  <c r="F74"/>
  <c r="D75"/>
  <c r="J74"/>
  <c r="F221" i="3"/>
  <c r="AA30" i="1"/>
  <c r="Z30"/>
  <c r="G221" i="3"/>
  <c r="AH30" i="1"/>
  <c r="F66"/>
  <c r="T66" s="1"/>
  <c r="BC66"/>
  <c r="S66"/>
  <c r="H65"/>
  <c r="I221" i="3"/>
  <c r="AR65" i="1"/>
  <c r="J221" i="3"/>
  <c r="E221" s="1"/>
  <c r="H221"/>
  <c r="O65" i="1"/>
  <c r="W65"/>
  <c r="BD66"/>
  <c r="BF66" s="1"/>
  <c r="BA66"/>
  <c r="AX66"/>
  <c r="AZ66" s="1"/>
  <c r="AT66"/>
  <c r="AW66"/>
  <c r="AY66" s="1"/>
  <c r="K66"/>
  <c r="BE66"/>
  <c r="BG66" s="1"/>
  <c r="D68"/>
  <c r="AS68"/>
  <c r="B68"/>
  <c r="C69"/>
  <c r="A68"/>
  <c r="Y64"/>
  <c r="B222" i="3"/>
  <c r="C222"/>
  <c r="G222" s="1"/>
  <c r="D223"/>
  <c r="AP67" i="1"/>
  <c r="Q67"/>
  <c r="AN67"/>
  <c r="BC67" s="1"/>
  <c r="BB67"/>
  <c r="AV67"/>
  <c r="I67"/>
  <c r="AO67"/>
  <c r="AU67"/>
  <c r="E67"/>
  <c r="R67" s="1"/>
  <c r="K221" i="3"/>
  <c r="H66" i="1"/>
  <c r="R66"/>
  <c r="J75" i="13" l="1"/>
  <c r="F75"/>
  <c r="C75"/>
  <c r="D76"/>
  <c r="P31" i="1"/>
  <c r="AF30"/>
  <c r="AG30"/>
  <c r="Y65"/>
  <c r="S67"/>
  <c r="AR66"/>
  <c r="BE67"/>
  <c r="BG67" s="1"/>
  <c r="B223" i="3"/>
  <c r="H223"/>
  <c r="C223"/>
  <c r="F223" s="1"/>
  <c r="D224"/>
  <c r="BB68" i="1"/>
  <c r="AU68"/>
  <c r="AN68"/>
  <c r="BC68" s="1"/>
  <c r="I68"/>
  <c r="AV68"/>
  <c r="Q68"/>
  <c r="AP68"/>
  <c r="E68"/>
  <c r="I222" i="3"/>
  <c r="O66" i="1"/>
  <c r="Y66" s="1"/>
  <c r="W66"/>
  <c r="K222" i="3"/>
  <c r="J222"/>
  <c r="E222" s="1"/>
  <c r="AW67" i="1"/>
  <c r="AY67" s="1"/>
  <c r="K67"/>
  <c r="AT67"/>
  <c r="BA67"/>
  <c r="BD67"/>
  <c r="BF67" s="1"/>
  <c r="AX67"/>
  <c r="AZ67" s="1"/>
  <c r="B69"/>
  <c r="C70"/>
  <c r="A69"/>
  <c r="R68"/>
  <c r="AS69"/>
  <c r="D69"/>
  <c r="H222" i="3"/>
  <c r="L222"/>
  <c r="F222"/>
  <c r="F67" i="1"/>
  <c r="J76" i="13" l="1"/>
  <c r="D77"/>
  <c r="F76"/>
  <c r="C76"/>
  <c r="Z31" i="1"/>
  <c r="K223" i="3"/>
  <c r="U31" i="1"/>
  <c r="AA31" s="1"/>
  <c r="AG31" s="1"/>
  <c r="F68"/>
  <c r="H68" s="1"/>
  <c r="I223" i="3"/>
  <c r="G223"/>
  <c r="J223"/>
  <c r="E223" s="1"/>
  <c r="L223"/>
  <c r="BE68" i="1"/>
  <c r="BG68" s="1"/>
  <c r="T68"/>
  <c r="O67"/>
  <c r="Y67" s="1"/>
  <c r="W67"/>
  <c r="AX68"/>
  <c r="AZ68" s="1"/>
  <c r="K68"/>
  <c r="AW68"/>
  <c r="AY68" s="1"/>
  <c r="AT68"/>
  <c r="T67"/>
  <c r="S68" s="1"/>
  <c r="H67"/>
  <c r="C224" i="3"/>
  <c r="H224" s="1"/>
  <c r="B224"/>
  <c r="D225"/>
  <c r="BD68" i="1"/>
  <c r="BF68" s="1"/>
  <c r="BA68"/>
  <c r="AR67"/>
  <c r="AO68"/>
  <c r="AU69"/>
  <c r="AN69"/>
  <c r="BC69" s="1"/>
  <c r="AV69"/>
  <c r="BB69"/>
  <c r="AO69"/>
  <c r="I69"/>
  <c r="AP69"/>
  <c r="Q69"/>
  <c r="E69"/>
  <c r="R69" s="1"/>
  <c r="D70"/>
  <c r="B70"/>
  <c r="C71"/>
  <c r="A70"/>
  <c r="AS70"/>
  <c r="D78" i="13" l="1"/>
  <c r="J77"/>
  <c r="C77"/>
  <c r="F77"/>
  <c r="AB31" i="1"/>
  <c r="AH31" s="1"/>
  <c r="AF31"/>
  <c r="I224" i="3"/>
  <c r="F69" i="1"/>
  <c r="T69" s="1"/>
  <c r="F224" i="3"/>
  <c r="K224"/>
  <c r="J224"/>
  <c r="E224" s="1"/>
  <c r="L224"/>
  <c r="BE69" i="1"/>
  <c r="BG69" s="1"/>
  <c r="H69"/>
  <c r="AR68"/>
  <c r="C225" i="3"/>
  <c r="I225" s="1"/>
  <c r="B225"/>
  <c r="F225"/>
  <c r="D226"/>
  <c r="AX69" i="1"/>
  <c r="AZ69" s="1"/>
  <c r="B71"/>
  <c r="C72"/>
  <c r="D71"/>
  <c r="A71"/>
  <c r="AS71"/>
  <c r="BA69"/>
  <c r="BD69"/>
  <c r="BF69" s="1"/>
  <c r="G224" i="3"/>
  <c r="AW69" i="1"/>
  <c r="AY69" s="1"/>
  <c r="AT69"/>
  <c r="K69"/>
  <c r="S69"/>
  <c r="Q70"/>
  <c r="AV70"/>
  <c r="BB70"/>
  <c r="I70"/>
  <c r="AP70"/>
  <c r="AN70"/>
  <c r="BC70" s="1"/>
  <c r="AU70"/>
  <c r="E70"/>
  <c r="R70" s="1"/>
  <c r="O68"/>
  <c r="Y68" s="1"/>
  <c r="W68"/>
  <c r="C78" i="13" l="1"/>
  <c r="D79"/>
  <c r="F78"/>
  <c r="J78"/>
  <c r="P32" i="1"/>
  <c r="AR69"/>
  <c r="L225" i="3"/>
  <c r="BE70" i="1"/>
  <c r="BG70" s="1"/>
  <c r="AX70"/>
  <c r="AZ70" s="1"/>
  <c r="O69"/>
  <c r="Y69" s="1"/>
  <c r="W69"/>
  <c r="AU71"/>
  <c r="AN71"/>
  <c r="BC71" s="1"/>
  <c r="AP71"/>
  <c r="AV71"/>
  <c r="Q71"/>
  <c r="I71"/>
  <c r="BB71"/>
  <c r="E71"/>
  <c r="R71" s="1"/>
  <c r="H225" i="3"/>
  <c r="J225"/>
  <c r="E225" s="1"/>
  <c r="A72" i="1"/>
  <c r="C73"/>
  <c r="B72"/>
  <c r="D72"/>
  <c r="AS72"/>
  <c r="B226" i="3"/>
  <c r="C226"/>
  <c r="I226" s="1"/>
  <c r="D227"/>
  <c r="AO70" i="1"/>
  <c r="K225" i="3"/>
  <c r="G225"/>
  <c r="BA70" i="1"/>
  <c r="BD70"/>
  <c r="BF70" s="1"/>
  <c r="S70"/>
  <c r="AT70"/>
  <c r="K70"/>
  <c r="AW70"/>
  <c r="AY70" s="1"/>
  <c r="F70"/>
  <c r="J79" i="13" l="1"/>
  <c r="D80"/>
  <c r="C79"/>
  <c r="F79"/>
  <c r="Z32" i="1"/>
  <c r="AF32" s="1"/>
  <c r="U32"/>
  <c r="AA32" s="1"/>
  <c r="AG32" s="1"/>
  <c r="H226" i="3"/>
  <c r="F226"/>
  <c r="L226"/>
  <c r="G226"/>
  <c r="J226"/>
  <c r="E226" s="1"/>
  <c r="BE71" i="1"/>
  <c r="BG71" s="1"/>
  <c r="T70"/>
  <c r="S71" s="1"/>
  <c r="H70"/>
  <c r="O70"/>
  <c r="Y70" s="1"/>
  <c r="W70"/>
  <c r="AS73"/>
  <c r="C74"/>
  <c r="B73"/>
  <c r="D73"/>
  <c r="A73"/>
  <c r="AX71"/>
  <c r="AZ71" s="1"/>
  <c r="AW71"/>
  <c r="AY71" s="1"/>
  <c r="K71"/>
  <c r="AT71"/>
  <c r="K226" i="3"/>
  <c r="F72" i="1"/>
  <c r="T72" s="1"/>
  <c r="F71"/>
  <c r="AO71"/>
  <c r="C227" i="3"/>
  <c r="K227" s="1"/>
  <c r="B227"/>
  <c r="D228"/>
  <c r="AN72" i="1"/>
  <c r="AO72" s="1"/>
  <c r="AV72"/>
  <c r="I72"/>
  <c r="Q72"/>
  <c r="BB72"/>
  <c r="AU72"/>
  <c r="AP72"/>
  <c r="E72"/>
  <c r="R72" s="1"/>
  <c r="BD71"/>
  <c r="BF71" s="1"/>
  <c r="BA71"/>
  <c r="AR70"/>
  <c r="J80" i="13" l="1"/>
  <c r="F80"/>
  <c r="D81"/>
  <c r="C80"/>
  <c r="AB32" i="1"/>
  <c r="AH32" s="1"/>
  <c r="BC72"/>
  <c r="BA72" s="1"/>
  <c r="F227" i="3"/>
  <c r="H227"/>
  <c r="H72" i="1"/>
  <c r="AR71"/>
  <c r="BD72"/>
  <c r="BF72" s="1"/>
  <c r="AT72"/>
  <c r="AW72"/>
  <c r="AY72" s="1"/>
  <c r="K72"/>
  <c r="AX72"/>
  <c r="AZ72" s="1"/>
  <c r="L227" i="3"/>
  <c r="G227"/>
  <c r="O71" i="1"/>
  <c r="Y71" s="1"/>
  <c r="W71"/>
  <c r="AU73"/>
  <c r="BB73"/>
  <c r="Q73"/>
  <c r="I73"/>
  <c r="AN73"/>
  <c r="AO73" s="1"/>
  <c r="AV73"/>
  <c r="AP73"/>
  <c r="E73"/>
  <c r="R73" s="1"/>
  <c r="D74"/>
  <c r="A74"/>
  <c r="AS74"/>
  <c r="C75"/>
  <c r="B74"/>
  <c r="S73"/>
  <c r="BE72"/>
  <c r="BG72" s="1"/>
  <c r="T71"/>
  <c r="S72" s="1"/>
  <c r="H71"/>
  <c r="C228" i="3"/>
  <c r="F228" s="1"/>
  <c r="B228"/>
  <c r="D229"/>
  <c r="J227"/>
  <c r="E227" s="1"/>
  <c r="I227"/>
  <c r="J81" i="13" l="1"/>
  <c r="C81"/>
  <c r="D82"/>
  <c r="F81"/>
  <c r="F73" i="1"/>
  <c r="T73" s="1"/>
  <c r="P33"/>
  <c r="G228" i="3"/>
  <c r="AR72" i="1"/>
  <c r="BC73"/>
  <c r="AN74"/>
  <c r="AO74" s="1"/>
  <c r="BB74"/>
  <c r="Q74"/>
  <c r="I74"/>
  <c r="AU74"/>
  <c r="AV74"/>
  <c r="AP74"/>
  <c r="E74"/>
  <c r="AX73"/>
  <c r="AZ73" s="1"/>
  <c r="B229" i="3"/>
  <c r="C229"/>
  <c r="H229" s="1"/>
  <c r="D230"/>
  <c r="AW73" i="1"/>
  <c r="AY73" s="1"/>
  <c r="K73"/>
  <c r="AT73"/>
  <c r="O72"/>
  <c r="Y72" s="1"/>
  <c r="W72"/>
  <c r="I228" i="3"/>
  <c r="BE73" i="1"/>
  <c r="BG73" s="1"/>
  <c r="R74"/>
  <c r="C76"/>
  <c r="D75"/>
  <c r="A75"/>
  <c r="AS75" s="1"/>
  <c r="B75"/>
  <c r="BA73"/>
  <c r="BD73"/>
  <c r="BF73" s="1"/>
  <c r="H73"/>
  <c r="L228" i="3"/>
  <c r="H228"/>
  <c r="K228"/>
  <c r="S74" i="1"/>
  <c r="J228" i="3"/>
  <c r="E228" s="1"/>
  <c r="J82" i="13" l="1"/>
  <c r="D83"/>
  <c r="C82"/>
  <c r="F82"/>
  <c r="BC74" i="1"/>
  <c r="BE74" s="1"/>
  <c r="BG74" s="1"/>
  <c r="U33"/>
  <c r="AB33" s="1"/>
  <c r="AH33" s="1"/>
  <c r="F229" i="3"/>
  <c r="AR73" i="1"/>
  <c r="C230" i="3"/>
  <c r="I230" s="1"/>
  <c r="B230"/>
  <c r="D231"/>
  <c r="G229"/>
  <c r="L229"/>
  <c r="BB75" i="1"/>
  <c r="AP75"/>
  <c r="AU75"/>
  <c r="Q75"/>
  <c r="AN75"/>
  <c r="AO75" s="1"/>
  <c r="AV75"/>
  <c r="I75"/>
  <c r="E75"/>
  <c r="O73"/>
  <c r="Y73" s="1"/>
  <c r="W73"/>
  <c r="K74"/>
  <c r="AW74"/>
  <c r="AY74" s="1"/>
  <c r="AT74"/>
  <c r="BA74"/>
  <c r="BD74"/>
  <c r="BF74" s="1"/>
  <c r="J229" i="3"/>
  <c r="E229" s="1"/>
  <c r="I229"/>
  <c r="R75" i="1"/>
  <c r="D76"/>
  <c r="A76"/>
  <c r="C77"/>
  <c r="AS76"/>
  <c r="B76"/>
  <c r="F75" s="1"/>
  <c r="AX74"/>
  <c r="AZ74" s="1"/>
  <c r="K229" i="3"/>
  <c r="F74" i="1"/>
  <c r="AA33" l="1"/>
  <c r="AG33" s="1"/>
  <c r="C83" i="13"/>
  <c r="D84"/>
  <c r="J83"/>
  <c r="F83"/>
  <c r="Z33" i="1"/>
  <c r="P34" s="1"/>
  <c r="T75"/>
  <c r="H75"/>
  <c r="A77"/>
  <c r="AS77"/>
  <c r="B77"/>
  <c r="C78"/>
  <c r="D77"/>
  <c r="AW75"/>
  <c r="AY75" s="1"/>
  <c r="K75"/>
  <c r="AT75"/>
  <c r="BC75"/>
  <c r="BA75" s="1"/>
  <c r="H230" i="3"/>
  <c r="G230"/>
  <c r="L230"/>
  <c r="F230"/>
  <c r="J230"/>
  <c r="E230" s="1"/>
  <c r="BD75" i="1"/>
  <c r="BF75" s="1"/>
  <c r="K230" i="3"/>
  <c r="T74" i="1"/>
  <c r="S75" s="1"/>
  <c r="H74"/>
  <c r="G64"/>
  <c r="G65" s="1"/>
  <c r="G66" s="1"/>
  <c r="G67" s="1"/>
  <c r="G68" s="1"/>
  <c r="G69" s="1"/>
  <c r="G70" s="1"/>
  <c r="G71" s="1"/>
  <c r="G72" s="1"/>
  <c r="G73" s="1"/>
  <c r="G74" s="1"/>
  <c r="G75" s="1"/>
  <c r="O74"/>
  <c r="Y74" s="1"/>
  <c r="W74"/>
  <c r="AV76"/>
  <c r="AP76"/>
  <c r="AU76"/>
  <c r="Q76"/>
  <c r="I76"/>
  <c r="BB76"/>
  <c r="AN76"/>
  <c r="BC76" s="1"/>
  <c r="E76"/>
  <c r="R76" s="1"/>
  <c r="AX75"/>
  <c r="AZ75" s="1"/>
  <c r="C231" i="3"/>
  <c r="F231" s="1"/>
  <c r="B231"/>
  <c r="D232"/>
  <c r="AR74" i="1"/>
  <c r="C84" i="13" l="1"/>
  <c r="F84"/>
  <c r="D85"/>
  <c r="J84"/>
  <c r="U34" i="1"/>
  <c r="AB34"/>
  <c r="AH34" s="1"/>
  <c r="AA34"/>
  <c r="P35" s="1"/>
  <c r="Z34"/>
  <c r="AF33"/>
  <c r="F76"/>
  <c r="T76" s="1"/>
  <c r="S77" s="1"/>
  <c r="AG34"/>
  <c r="AF34"/>
  <c r="H231" i="3"/>
  <c r="L231"/>
  <c r="G231"/>
  <c r="AR75" i="1"/>
  <c r="I231" i="3"/>
  <c r="BE76" i="1"/>
  <c r="BG76" s="1"/>
  <c r="BE75"/>
  <c r="BG75" s="1"/>
  <c r="S76"/>
  <c r="C232" i="3"/>
  <c r="I232" s="1"/>
  <c r="B232"/>
  <c r="D233"/>
  <c r="K76" i="1"/>
  <c r="AT76"/>
  <c r="AW76"/>
  <c r="AY76" s="1"/>
  <c r="AX76"/>
  <c r="AZ76" s="1"/>
  <c r="O75"/>
  <c r="Y75" s="1"/>
  <c r="W75"/>
  <c r="V75"/>
  <c r="B78"/>
  <c r="AS78"/>
  <c r="D78"/>
  <c r="C79"/>
  <c r="A78"/>
  <c r="AU77"/>
  <c r="AP77"/>
  <c r="Q77"/>
  <c r="BB77"/>
  <c r="AN77"/>
  <c r="BC77" s="1"/>
  <c r="I77"/>
  <c r="AV77"/>
  <c r="E77"/>
  <c r="AO76"/>
  <c r="BA76"/>
  <c r="BD76"/>
  <c r="BF76" s="1"/>
  <c r="J231" i="3"/>
  <c r="E231" s="1"/>
  <c r="K231"/>
  <c r="H76" i="1"/>
  <c r="C85" i="13" l="1"/>
  <c r="J85"/>
  <c r="D86"/>
  <c r="F85"/>
  <c r="U35" i="1"/>
  <c r="AB35" s="1"/>
  <c r="F77"/>
  <c r="T77" s="1"/>
  <c r="S78" s="1"/>
  <c r="AR76"/>
  <c r="J232" i="3"/>
  <c r="E232" s="1"/>
  <c r="H232"/>
  <c r="K232"/>
  <c r="BE77" i="1"/>
  <c r="BG77" s="1"/>
  <c r="AX77"/>
  <c r="AZ77" s="1"/>
  <c r="B233" i="3"/>
  <c r="C233"/>
  <c r="F233" s="1"/>
  <c r="D234"/>
  <c r="AT77" i="1"/>
  <c r="K77"/>
  <c r="AW77"/>
  <c r="AY77" s="1"/>
  <c r="A79"/>
  <c r="AS79"/>
  <c r="B79"/>
  <c r="C80"/>
  <c r="D79"/>
  <c r="O76"/>
  <c r="Y76" s="1"/>
  <c r="W76"/>
  <c r="F232" i="3"/>
  <c r="L232"/>
  <c r="G232"/>
  <c r="BA77" i="1"/>
  <c r="BD77"/>
  <c r="BF77" s="1"/>
  <c r="AU78"/>
  <c r="AP78"/>
  <c r="I78"/>
  <c r="Q78"/>
  <c r="AV78"/>
  <c r="BB78"/>
  <c r="AN78"/>
  <c r="AO78" s="1"/>
  <c r="E78"/>
  <c r="R78" s="1"/>
  <c r="R77"/>
  <c r="AO77"/>
  <c r="J86" i="13" l="1"/>
  <c r="C86"/>
  <c r="D87"/>
  <c r="F86"/>
  <c r="H77" i="1"/>
  <c r="AH35"/>
  <c r="Z35"/>
  <c r="AA35"/>
  <c r="AR77"/>
  <c r="AX78"/>
  <c r="AZ78" s="1"/>
  <c r="AS80"/>
  <c r="B80"/>
  <c r="D80"/>
  <c r="A80"/>
  <c r="C81"/>
  <c r="BD78"/>
  <c r="BF78" s="1"/>
  <c r="AN79"/>
  <c r="AO79" s="1"/>
  <c r="Q79"/>
  <c r="I79"/>
  <c r="AP79"/>
  <c r="BB79"/>
  <c r="AV79"/>
  <c r="AU79"/>
  <c r="E79"/>
  <c r="K233" i="3"/>
  <c r="H233"/>
  <c r="AW78" i="1"/>
  <c r="AY78" s="1"/>
  <c r="K78"/>
  <c r="AT78"/>
  <c r="O77"/>
  <c r="W77"/>
  <c r="BC78"/>
  <c r="G233" i="3"/>
  <c r="I233"/>
  <c r="C234"/>
  <c r="H234" s="1"/>
  <c r="B234"/>
  <c r="D235"/>
  <c r="J233"/>
  <c r="E233" s="1"/>
  <c r="L233"/>
  <c r="Y77" i="1"/>
  <c r="F78"/>
  <c r="F87" i="13" l="1"/>
  <c r="J87"/>
  <c r="D88"/>
  <c r="C87"/>
  <c r="F79" i="1"/>
  <c r="T79" s="1"/>
  <c r="AG35"/>
  <c r="AF35"/>
  <c r="P36"/>
  <c r="H79"/>
  <c r="BC79"/>
  <c r="L234" i="3"/>
  <c r="T78" i="1"/>
  <c r="S79" s="1"/>
  <c r="H78"/>
  <c r="AW79"/>
  <c r="K79"/>
  <c r="AT79"/>
  <c r="AY79"/>
  <c r="BD79"/>
  <c r="BA79"/>
  <c r="BF79"/>
  <c r="D81"/>
  <c r="B81"/>
  <c r="AS81"/>
  <c r="A81"/>
  <c r="C82"/>
  <c r="K234" i="3"/>
  <c r="F234"/>
  <c r="G234"/>
  <c r="BE78" i="1"/>
  <c r="BG78" s="1"/>
  <c r="BE79"/>
  <c r="BG79" s="1"/>
  <c r="I234" i="3"/>
  <c r="J234"/>
  <c r="E234" s="1"/>
  <c r="AR78" i="1"/>
  <c r="BA78"/>
  <c r="AX79"/>
  <c r="AZ79" s="1"/>
  <c r="S80"/>
  <c r="R79"/>
  <c r="C235" i="3"/>
  <c r="H235" s="1"/>
  <c r="I235"/>
  <c r="B235"/>
  <c r="D236"/>
  <c r="O78" i="1"/>
  <c r="Y78" s="1"/>
  <c r="W78"/>
  <c r="Q80"/>
  <c r="AU80"/>
  <c r="AP80"/>
  <c r="BB80"/>
  <c r="AN80"/>
  <c r="BC80" s="1"/>
  <c r="AV80"/>
  <c r="I80"/>
  <c r="E80"/>
  <c r="R80" s="1"/>
  <c r="J88" i="13" l="1"/>
  <c r="F88"/>
  <c r="D89"/>
  <c r="C88"/>
  <c r="AO80" i="1"/>
  <c r="AA36"/>
  <c r="AB36"/>
  <c r="U36"/>
  <c r="Z36" s="1"/>
  <c r="G235" i="3"/>
  <c r="F235"/>
  <c r="J235"/>
  <c r="E235" s="1"/>
  <c r="K235"/>
  <c r="L235"/>
  <c r="AX80" i="1"/>
  <c r="AZ80" s="1"/>
  <c r="C236" i="3"/>
  <c r="L236" s="1"/>
  <c r="B236"/>
  <c r="D237"/>
  <c r="BD80" i="1"/>
  <c r="BF80" s="1"/>
  <c r="BA80"/>
  <c r="BB81"/>
  <c r="AN81"/>
  <c r="AO81" s="1"/>
  <c r="AV81"/>
  <c r="AU81"/>
  <c r="Q81"/>
  <c r="AP81"/>
  <c r="I81"/>
  <c r="E81"/>
  <c r="R81" s="1"/>
  <c r="AR79"/>
  <c r="BE80"/>
  <c r="BG80" s="1"/>
  <c r="AW80"/>
  <c r="AY80" s="1"/>
  <c r="AR80" s="1"/>
  <c r="AT80"/>
  <c r="K80"/>
  <c r="C83"/>
  <c r="B82"/>
  <c r="D82"/>
  <c r="A82"/>
  <c r="AS82"/>
  <c r="O79"/>
  <c r="Y79" s="1"/>
  <c r="W79"/>
  <c r="F80"/>
  <c r="C89" i="13" l="1"/>
  <c r="F89"/>
  <c r="J89"/>
  <c r="D90"/>
  <c r="G236" i="3"/>
  <c r="AG36" i="1"/>
  <c r="AH36"/>
  <c r="J236" i="3"/>
  <c r="E236" s="1"/>
  <c r="F236"/>
  <c r="P37" i="1"/>
  <c r="U37" s="1"/>
  <c r="AF36"/>
  <c r="F81"/>
  <c r="T81" s="1"/>
  <c r="S82" s="1"/>
  <c r="H236" i="3"/>
  <c r="K236"/>
  <c r="I236"/>
  <c r="BC81" i="1"/>
  <c r="BA81" s="1"/>
  <c r="AW81"/>
  <c r="AY81" s="1"/>
  <c r="K81"/>
  <c r="AT81"/>
  <c r="I82"/>
  <c r="AU82"/>
  <c r="AN82"/>
  <c r="BC82" s="1"/>
  <c r="AV82"/>
  <c r="Q82"/>
  <c r="AP82"/>
  <c r="BB82"/>
  <c r="E82"/>
  <c r="R82" s="1"/>
  <c r="BD81"/>
  <c r="BF81" s="1"/>
  <c r="C237" i="3"/>
  <c r="G237" s="1"/>
  <c r="B237"/>
  <c r="D238"/>
  <c r="O80" i="1"/>
  <c r="Y80" s="1"/>
  <c r="W80"/>
  <c r="T80"/>
  <c r="S81" s="1"/>
  <c r="H80"/>
  <c r="B83"/>
  <c r="D83"/>
  <c r="AS83"/>
  <c r="A83"/>
  <c r="C84"/>
  <c r="AX81"/>
  <c r="AZ81" s="1"/>
  <c r="C90" i="13" l="1"/>
  <c r="J90"/>
  <c r="F90"/>
  <c r="D91"/>
  <c r="BE81" i="1"/>
  <c r="BG81" s="1"/>
  <c r="F82"/>
  <c r="T82" s="1"/>
  <c r="S83" s="1"/>
  <c r="AB37"/>
  <c r="Z37"/>
  <c r="AA37"/>
  <c r="H81"/>
  <c r="AR81"/>
  <c r="BE82"/>
  <c r="BG82" s="1"/>
  <c r="C85"/>
  <c r="B84"/>
  <c r="AS84"/>
  <c r="A84"/>
  <c r="D84"/>
  <c r="AV83"/>
  <c r="I83"/>
  <c r="Q83"/>
  <c r="BB83"/>
  <c r="AP83"/>
  <c r="AN83"/>
  <c r="AO83" s="1"/>
  <c r="AU83"/>
  <c r="E83"/>
  <c r="K82"/>
  <c r="AW82"/>
  <c r="AY82" s="1"/>
  <c r="AT82"/>
  <c r="K237" i="3"/>
  <c r="J237"/>
  <c r="E237" s="1"/>
  <c r="F237"/>
  <c r="I237"/>
  <c r="AO82" i="1"/>
  <c r="B238" i="3"/>
  <c r="C238"/>
  <c r="H238" s="1"/>
  <c r="D239"/>
  <c r="BA82" i="1"/>
  <c r="BD82"/>
  <c r="BF82" s="1"/>
  <c r="AX82"/>
  <c r="AZ82" s="1"/>
  <c r="O81"/>
  <c r="Y81" s="1"/>
  <c r="W81"/>
  <c r="H237" i="3"/>
  <c r="H82" i="1"/>
  <c r="L237" i="3"/>
  <c r="F91" i="13" l="1"/>
  <c r="C91"/>
  <c r="D92"/>
  <c r="J91"/>
  <c r="F83" i="1"/>
  <c r="T83" s="1"/>
  <c r="S84" s="1"/>
  <c r="AH37"/>
  <c r="AF37"/>
  <c r="P38"/>
  <c r="U38" s="1"/>
  <c r="AG37"/>
  <c r="AR82"/>
  <c r="F238" i="3"/>
  <c r="BC83" i="1"/>
  <c r="BA83" s="1"/>
  <c r="B239" i="3"/>
  <c r="C239"/>
  <c r="G239" s="1"/>
  <c r="D240"/>
  <c r="O82" i="1"/>
  <c r="Y82" s="1"/>
  <c r="W82"/>
  <c r="BD83"/>
  <c r="BF83" s="1"/>
  <c r="G238" i="3"/>
  <c r="L238"/>
  <c r="I238"/>
  <c r="H83" i="1"/>
  <c r="R83"/>
  <c r="AT83"/>
  <c r="AW83"/>
  <c r="AY83" s="1"/>
  <c r="K83"/>
  <c r="AX83"/>
  <c r="AZ83" s="1"/>
  <c r="AV84"/>
  <c r="AN84"/>
  <c r="AO84" s="1"/>
  <c r="Q84"/>
  <c r="BB84"/>
  <c r="AU84"/>
  <c r="I84"/>
  <c r="AP84"/>
  <c r="E84"/>
  <c r="R84" s="1"/>
  <c r="D85"/>
  <c r="AS85"/>
  <c r="B85"/>
  <c r="A85"/>
  <c r="C86"/>
  <c r="K238" i="3"/>
  <c r="J238"/>
  <c r="E238" s="1"/>
  <c r="C92" i="13" l="1"/>
  <c r="J92"/>
  <c r="F92"/>
  <c r="D93"/>
  <c r="BC84" i="1"/>
  <c r="BE84" s="1"/>
  <c r="BG84" s="1"/>
  <c r="AB38"/>
  <c r="AA38"/>
  <c r="Z38"/>
  <c r="I239" i="3"/>
  <c r="AR83" i="1"/>
  <c r="B86"/>
  <c r="AS86"/>
  <c r="A86"/>
  <c r="C87"/>
  <c r="D86"/>
  <c r="H239" i="3"/>
  <c r="F85" i="1"/>
  <c r="T85" s="1"/>
  <c r="BA84"/>
  <c r="BD84"/>
  <c r="BF84" s="1"/>
  <c r="AX84"/>
  <c r="AZ84" s="1"/>
  <c r="O83"/>
  <c r="Y83" s="1"/>
  <c r="W83"/>
  <c r="BE83"/>
  <c r="BG83" s="1"/>
  <c r="F239" i="3"/>
  <c r="J239"/>
  <c r="E239" s="1"/>
  <c r="AW84" i="1"/>
  <c r="AY84" s="1"/>
  <c r="AT84"/>
  <c r="K84"/>
  <c r="C240" i="3"/>
  <c r="I240" s="1"/>
  <c r="B240"/>
  <c r="D241"/>
  <c r="L239"/>
  <c r="K239"/>
  <c r="F84" i="1"/>
  <c r="I85"/>
  <c r="AU85"/>
  <c r="AN85"/>
  <c r="BC85" s="1"/>
  <c r="AP85"/>
  <c r="AV85"/>
  <c r="Q85"/>
  <c r="BB85"/>
  <c r="E85"/>
  <c r="F93" i="13" l="1"/>
  <c r="C93"/>
  <c r="D94"/>
  <c r="J93"/>
  <c r="M39" i="1"/>
  <c r="AG38"/>
  <c r="P39"/>
  <c r="X39" s="1"/>
  <c r="AF38"/>
  <c r="L39"/>
  <c r="N39"/>
  <c r="AH38"/>
  <c r="G240" i="3"/>
  <c r="BE85" i="1"/>
  <c r="BG85" s="1"/>
  <c r="B241" i="3"/>
  <c r="C241"/>
  <c r="J241" s="1"/>
  <c r="E241" s="1"/>
  <c r="D242"/>
  <c r="O84" i="1"/>
  <c r="Y84" s="1"/>
  <c r="W84"/>
  <c r="AX85"/>
  <c r="AZ85" s="1"/>
  <c r="AP86"/>
  <c r="I86"/>
  <c r="AV86"/>
  <c r="Q86"/>
  <c r="AN86"/>
  <c r="BC86" s="1"/>
  <c r="AU86"/>
  <c r="BB86"/>
  <c r="E86"/>
  <c r="AO85"/>
  <c r="K240" i="3"/>
  <c r="L240"/>
  <c r="H240"/>
  <c r="BD85" i="1"/>
  <c r="BF85" s="1"/>
  <c r="BA85"/>
  <c r="T84"/>
  <c r="S85" s="1"/>
  <c r="H84"/>
  <c r="AT85"/>
  <c r="AW85"/>
  <c r="AY85" s="1"/>
  <c r="K85"/>
  <c r="B87"/>
  <c r="A87"/>
  <c r="D87"/>
  <c r="AS87"/>
  <c r="R86"/>
  <c r="C88"/>
  <c r="F240" i="3"/>
  <c r="J240"/>
  <c r="E240" s="1"/>
  <c r="AR84" i="1"/>
  <c r="H85"/>
  <c r="R85"/>
  <c r="S86"/>
  <c r="C94" i="13" l="1"/>
  <c r="D95"/>
  <c r="F94"/>
  <c r="J94"/>
  <c r="U39" i="1"/>
  <c r="Z39" s="1"/>
  <c r="G241" i="3"/>
  <c r="L241"/>
  <c r="AR85" i="1"/>
  <c r="H241" i="3"/>
  <c r="I241"/>
  <c r="BE86" i="1"/>
  <c r="BG86" s="1"/>
  <c r="AO86"/>
  <c r="AX86"/>
  <c r="AZ86" s="1"/>
  <c r="AW86"/>
  <c r="AY86" s="1"/>
  <c r="AT86"/>
  <c r="K86"/>
  <c r="C242" i="3"/>
  <c r="J242" s="1"/>
  <c r="E242" s="1"/>
  <c r="B242"/>
  <c r="D243"/>
  <c r="F241"/>
  <c r="O85" i="1"/>
  <c r="Y85" s="1"/>
  <c r="W85"/>
  <c r="D88"/>
  <c r="AS88"/>
  <c r="C89"/>
  <c r="A88"/>
  <c r="B88"/>
  <c r="AV87"/>
  <c r="AP87"/>
  <c r="Q87"/>
  <c r="I87"/>
  <c r="BB87"/>
  <c r="AN87"/>
  <c r="AO87" s="1"/>
  <c r="AU87"/>
  <c r="E87"/>
  <c r="R87" s="1"/>
  <c r="BD86"/>
  <c r="BF86" s="1"/>
  <c r="BA86"/>
  <c r="F86"/>
  <c r="K241" i="3"/>
  <c r="F95" i="13" l="1"/>
  <c r="D96"/>
  <c r="J95"/>
  <c r="C95"/>
  <c r="AR86" i="1"/>
  <c r="AA39"/>
  <c r="AF39"/>
  <c r="AB39"/>
  <c r="G242" i="3"/>
  <c r="BC87" i="1"/>
  <c r="BB88"/>
  <c r="AP88"/>
  <c r="I88"/>
  <c r="AV88"/>
  <c r="AU88"/>
  <c r="Q88"/>
  <c r="AN88"/>
  <c r="BC88" s="1"/>
  <c r="E88"/>
  <c r="L242" i="3"/>
  <c r="I242"/>
  <c r="K242"/>
  <c r="T86" i="1"/>
  <c r="S87" s="1"/>
  <c r="H86"/>
  <c r="F242" i="3"/>
  <c r="H242"/>
  <c r="BA87" i="1"/>
  <c r="BD87"/>
  <c r="BF87" s="1"/>
  <c r="G76"/>
  <c r="G77" s="1"/>
  <c r="G78" s="1"/>
  <c r="G79" s="1"/>
  <c r="G80" s="1"/>
  <c r="G81" s="1"/>
  <c r="G82" s="1"/>
  <c r="G83" s="1"/>
  <c r="G84" s="1"/>
  <c r="G85" s="1"/>
  <c r="G86" s="1"/>
  <c r="G87" s="1"/>
  <c r="AT87"/>
  <c r="K87"/>
  <c r="AW87"/>
  <c r="AY87" s="1"/>
  <c r="AX87"/>
  <c r="AZ87" s="1"/>
  <c r="D89"/>
  <c r="B89"/>
  <c r="AS89"/>
  <c r="C90"/>
  <c r="A89"/>
  <c r="R88"/>
  <c r="B243" i="3"/>
  <c r="C243"/>
  <c r="K243" s="1"/>
  <c r="D244"/>
  <c r="O86" i="1"/>
  <c r="Y86" s="1"/>
  <c r="W86"/>
  <c r="F87"/>
  <c r="D97" i="13" l="1"/>
  <c r="F96"/>
  <c r="C96"/>
  <c r="J96"/>
  <c r="P40" i="1"/>
  <c r="AG39"/>
  <c r="J243" i="3"/>
  <c r="E243" s="1"/>
  <c r="F243"/>
  <c r="G243"/>
  <c r="AH39" i="1"/>
  <c r="L243" i="3"/>
  <c r="AR87" i="1"/>
  <c r="BE87"/>
  <c r="BG87" s="1"/>
  <c r="BE88"/>
  <c r="BG88" s="1"/>
  <c r="T87"/>
  <c r="H87"/>
  <c r="AO88"/>
  <c r="C244" i="3"/>
  <c r="L244" s="1"/>
  <c r="B244"/>
  <c r="I244"/>
  <c r="D245"/>
  <c r="AX88" i="1"/>
  <c r="AZ88" s="1"/>
  <c r="BA88"/>
  <c r="BD88"/>
  <c r="BF88" s="1"/>
  <c r="I243" i="3"/>
  <c r="C91" i="1"/>
  <c r="AS90"/>
  <c r="D90"/>
  <c r="A90"/>
  <c r="B90"/>
  <c r="O87"/>
  <c r="Y87" s="1"/>
  <c r="W87"/>
  <c r="V87"/>
  <c r="K88"/>
  <c r="AT88"/>
  <c r="AW88"/>
  <c r="AY88" s="1"/>
  <c r="H243" i="3"/>
  <c r="I89" i="1"/>
  <c r="AN89"/>
  <c r="AO89" s="1"/>
  <c r="BB89"/>
  <c r="AP89"/>
  <c r="AU89"/>
  <c r="AV89"/>
  <c r="Q89"/>
  <c r="E89"/>
  <c r="R89" s="1"/>
  <c r="F88"/>
  <c r="C97" i="13" l="1"/>
  <c r="F97"/>
  <c r="D98"/>
  <c r="J97"/>
  <c r="AA40" i="1"/>
  <c r="U40"/>
  <c r="Z40" s="1"/>
  <c r="H244" i="3"/>
  <c r="BC89" i="1"/>
  <c r="F89"/>
  <c r="H89" s="1"/>
  <c r="AR88"/>
  <c r="J244" i="3"/>
  <c r="E244" s="1"/>
  <c r="G244"/>
  <c r="F244"/>
  <c r="K244"/>
  <c r="BD89" i="1"/>
  <c r="BF89" s="1"/>
  <c r="BA89"/>
  <c r="BE89"/>
  <c r="BG89" s="1"/>
  <c r="S88"/>
  <c r="BB90"/>
  <c r="Q90"/>
  <c r="AU90"/>
  <c r="AV90"/>
  <c r="AN90"/>
  <c r="AO90" s="1"/>
  <c r="AP90"/>
  <c r="I90"/>
  <c r="E90"/>
  <c r="R90" s="1"/>
  <c r="C92"/>
  <c r="D91"/>
  <c r="B91"/>
  <c r="A91"/>
  <c r="AS91"/>
  <c r="B245" i="3"/>
  <c r="C245"/>
  <c r="I245" s="1"/>
  <c r="D246"/>
  <c r="K89" i="1"/>
  <c r="AT89"/>
  <c r="AW89"/>
  <c r="AY89" s="1"/>
  <c r="T88"/>
  <c r="S89" s="1"/>
  <c r="H88"/>
  <c r="AX89"/>
  <c r="AZ89" s="1"/>
  <c r="O88"/>
  <c r="Y88" s="1"/>
  <c r="W88"/>
  <c r="J98" i="13" l="1"/>
  <c r="C98"/>
  <c r="D99"/>
  <c r="F98"/>
  <c r="J245" i="3"/>
  <c r="E245" s="1"/>
  <c r="AG40" i="1"/>
  <c r="AB40"/>
  <c r="P41" s="1"/>
  <c r="AF40"/>
  <c r="T89"/>
  <c r="S90" s="1"/>
  <c r="G245" i="3"/>
  <c r="F245"/>
  <c r="L245"/>
  <c r="AR89" i="1"/>
  <c r="B92"/>
  <c r="C93"/>
  <c r="D92"/>
  <c r="A92"/>
  <c r="AS92"/>
  <c r="AW90"/>
  <c r="AY90" s="1"/>
  <c r="K90"/>
  <c r="AT90"/>
  <c r="F91"/>
  <c r="T91" s="1"/>
  <c r="BD90"/>
  <c r="BF90" s="1"/>
  <c r="BC90"/>
  <c r="B246" i="3"/>
  <c r="C246"/>
  <c r="G246" s="1"/>
  <c r="D247"/>
  <c r="O89" i="1"/>
  <c r="Y89" s="1"/>
  <c r="W89"/>
  <c r="Q91"/>
  <c r="I91"/>
  <c r="AV91"/>
  <c r="AU91"/>
  <c r="AP91"/>
  <c r="AN91"/>
  <c r="BC91" s="1"/>
  <c r="BB91"/>
  <c r="E91"/>
  <c r="AX90"/>
  <c r="AZ90" s="1"/>
  <c r="F90"/>
  <c r="H245" i="3"/>
  <c r="K245"/>
  <c r="J99" i="13" l="1"/>
  <c r="D100"/>
  <c r="C99"/>
  <c r="F99"/>
  <c r="Z41" i="1"/>
  <c r="AA41"/>
  <c r="AH40"/>
  <c r="U41"/>
  <c r="AB41"/>
  <c r="AH41" s="1"/>
  <c r="K246" i="3"/>
  <c r="H91" i="1"/>
  <c r="J246" i="3"/>
  <c r="E246" s="1"/>
  <c r="H246"/>
  <c r="F246"/>
  <c r="L246"/>
  <c r="BE91" i="1"/>
  <c r="BG91" s="1"/>
  <c r="AX91"/>
  <c r="AZ91" s="1"/>
  <c r="AR90"/>
  <c r="T90"/>
  <c r="S91" s="1"/>
  <c r="H90"/>
  <c r="AP92"/>
  <c r="AN92"/>
  <c r="AO92" s="1"/>
  <c r="AV92"/>
  <c r="AU92"/>
  <c r="Q92"/>
  <c r="BB92"/>
  <c r="I92"/>
  <c r="E92"/>
  <c r="R92" s="1"/>
  <c r="S92"/>
  <c r="AW91"/>
  <c r="AY91" s="1"/>
  <c r="K91"/>
  <c r="AT91"/>
  <c r="BE90"/>
  <c r="BG90" s="1"/>
  <c r="O90"/>
  <c r="Y90" s="1"/>
  <c r="W90"/>
  <c r="AO91"/>
  <c r="BA90"/>
  <c r="R91"/>
  <c r="BA91"/>
  <c r="BD91"/>
  <c r="BF91" s="1"/>
  <c r="B247" i="3"/>
  <c r="C247"/>
  <c r="H247" s="1"/>
  <c r="D248"/>
  <c r="AS93" i="1"/>
  <c r="D93"/>
  <c r="B93"/>
  <c r="A93"/>
  <c r="C94"/>
  <c r="I246" i="3"/>
  <c r="C100" i="13" l="1"/>
  <c r="F100"/>
  <c r="D101"/>
  <c r="J100"/>
  <c r="AG41" i="1"/>
  <c r="AA42"/>
  <c r="AG42" s="1"/>
  <c r="L247" i="3"/>
  <c r="AF41" i="1"/>
  <c r="P42"/>
  <c r="U42" s="1"/>
  <c r="AB42" s="1"/>
  <c r="J247" i="3"/>
  <c r="E247" s="1"/>
  <c r="F247"/>
  <c r="I247"/>
  <c r="G247"/>
  <c r="K247"/>
  <c r="AR91" i="1"/>
  <c r="AX92"/>
  <c r="AZ92" s="1"/>
  <c r="BC92"/>
  <c r="BA92" s="1"/>
  <c r="AV93"/>
  <c r="AP93"/>
  <c r="AN93"/>
  <c r="BC93" s="1"/>
  <c r="AU93"/>
  <c r="I93"/>
  <c r="Q93"/>
  <c r="BB93"/>
  <c r="E93"/>
  <c r="K92"/>
  <c r="AT92"/>
  <c r="AW92"/>
  <c r="AY92" s="1"/>
  <c r="A94"/>
  <c r="C95"/>
  <c r="B94"/>
  <c r="D94"/>
  <c r="R93"/>
  <c r="AS94"/>
  <c r="F92"/>
  <c r="C248" i="3"/>
  <c r="K248" s="1"/>
  <c r="B248"/>
  <c r="D249"/>
  <c r="O91" i="1"/>
  <c r="Y91" s="1"/>
  <c r="W91"/>
  <c r="BD92"/>
  <c r="BF92" s="1"/>
  <c r="F101" i="13" l="1"/>
  <c r="D102"/>
  <c r="C101"/>
  <c r="J101"/>
  <c r="AH42" i="1"/>
  <c r="F248" i="3"/>
  <c r="Z42" i="1"/>
  <c r="AR92"/>
  <c r="AO93"/>
  <c r="L248" i="3"/>
  <c r="J248"/>
  <c r="E248" s="1"/>
  <c r="I248"/>
  <c r="F93" i="1"/>
  <c r="T93" s="1"/>
  <c r="O92"/>
  <c r="Y92" s="1"/>
  <c r="W92"/>
  <c r="AW93"/>
  <c r="AY93" s="1"/>
  <c r="AT93"/>
  <c r="K93"/>
  <c r="BE92"/>
  <c r="BG92" s="1"/>
  <c r="AP94"/>
  <c r="AV94"/>
  <c r="Q94"/>
  <c r="AU94"/>
  <c r="AN94"/>
  <c r="BC94" s="1"/>
  <c r="BB94"/>
  <c r="I94"/>
  <c r="E94"/>
  <c r="R94" s="1"/>
  <c r="B249" i="3"/>
  <c r="C249"/>
  <c r="L249" s="1"/>
  <c r="D250"/>
  <c r="T92" i="1"/>
  <c r="S93" s="1"/>
  <c r="H92"/>
  <c r="A95"/>
  <c r="B95"/>
  <c r="C96"/>
  <c r="AS95"/>
  <c r="D95"/>
  <c r="BE93"/>
  <c r="BG93" s="1"/>
  <c r="BD93"/>
  <c r="BF93" s="1"/>
  <c r="BA93"/>
  <c r="AX93"/>
  <c r="AZ93" s="1"/>
  <c r="H248" i="3"/>
  <c r="G248"/>
  <c r="F102" i="13" l="1"/>
  <c r="D103"/>
  <c r="D104" s="1"/>
  <c r="C102"/>
  <c r="J102"/>
  <c r="AO94" i="1"/>
  <c r="P43"/>
  <c r="AF42"/>
  <c r="F94"/>
  <c r="T94" s="1"/>
  <c r="S95" s="1"/>
  <c r="J249" i="3"/>
  <c r="E249" s="1"/>
  <c r="H93" i="1"/>
  <c r="K249" i="3"/>
  <c r="BE94" i="1"/>
  <c r="BG94" s="1"/>
  <c r="O93"/>
  <c r="Y93" s="1"/>
  <c r="W93"/>
  <c r="G249" i="3"/>
  <c r="Q95" i="1"/>
  <c r="AU95"/>
  <c r="AV95"/>
  <c r="AP95"/>
  <c r="I95"/>
  <c r="BB95"/>
  <c r="AN95"/>
  <c r="BC95" s="1"/>
  <c r="E95"/>
  <c r="R95" s="1"/>
  <c r="C250" i="3"/>
  <c r="F250" s="1"/>
  <c r="B250"/>
  <c r="D251"/>
  <c r="AX94" i="1"/>
  <c r="AZ94" s="1"/>
  <c r="H249" i="3"/>
  <c r="F249"/>
  <c r="I249"/>
  <c r="C97" i="1"/>
  <c r="D96"/>
  <c r="B96"/>
  <c r="A96"/>
  <c r="AS96"/>
  <c r="BD94"/>
  <c r="BF94" s="1"/>
  <c r="BA94"/>
  <c r="AW94"/>
  <c r="AY94" s="1"/>
  <c r="K94"/>
  <c r="AT94"/>
  <c r="AR93"/>
  <c r="S94"/>
  <c r="J104" i="13" l="1"/>
  <c r="C104"/>
  <c r="F103"/>
  <c r="J103"/>
  <c r="C103"/>
  <c r="D105"/>
  <c r="F104"/>
  <c r="U43" i="1"/>
  <c r="Z43" s="1"/>
  <c r="L250" i="3"/>
  <c r="AR94" i="1"/>
  <c r="H94"/>
  <c r="G250" i="3"/>
  <c r="BE95" i="1"/>
  <c r="BG95" s="1"/>
  <c r="O94"/>
  <c r="Y94" s="1"/>
  <c r="W94"/>
  <c r="BA95"/>
  <c r="BD95"/>
  <c r="BF95" s="1"/>
  <c r="AX95"/>
  <c r="AZ95" s="1"/>
  <c r="J250" i="3"/>
  <c r="E250" s="1"/>
  <c r="F95" i="1"/>
  <c r="I96"/>
  <c r="AV96"/>
  <c r="AO96"/>
  <c r="AP96"/>
  <c r="AN96"/>
  <c r="BB96"/>
  <c r="AU96"/>
  <c r="BC96"/>
  <c r="Q96"/>
  <c r="E96"/>
  <c r="R96" s="1"/>
  <c r="C251" i="3"/>
  <c r="H251" s="1"/>
  <c r="B251"/>
  <c r="D252"/>
  <c r="I250"/>
  <c r="K250"/>
  <c r="AO95" i="1"/>
  <c r="A97"/>
  <c r="C98"/>
  <c r="B97"/>
  <c r="D97"/>
  <c r="AS97"/>
  <c r="F105" i="13"/>
  <c r="J105"/>
  <c r="C105"/>
  <c r="D106"/>
  <c r="K95" i="1"/>
  <c r="AT95"/>
  <c r="AW95"/>
  <c r="AY95" s="1"/>
  <c r="H250" i="3"/>
  <c r="AB43" i="1" l="1"/>
  <c r="AH43" s="1"/>
  <c r="AF43"/>
  <c r="AA43"/>
  <c r="K251" i="3"/>
  <c r="J251"/>
  <c r="E251" s="1"/>
  <c r="L251"/>
  <c r="G251"/>
  <c r="F251"/>
  <c r="I251"/>
  <c r="AR95" i="1"/>
  <c r="O95"/>
  <c r="W95"/>
  <c r="AN97"/>
  <c r="AO97" s="1"/>
  <c r="AV97"/>
  <c r="AP97"/>
  <c r="I97"/>
  <c r="AU97"/>
  <c r="BB97"/>
  <c r="Q97"/>
  <c r="E97"/>
  <c r="J252" i="3"/>
  <c r="E252" s="1"/>
  <c r="B252"/>
  <c r="C252"/>
  <c r="H252" s="1"/>
  <c r="D253"/>
  <c r="BA96" i="1"/>
  <c r="BD96"/>
  <c r="BF96" s="1"/>
  <c r="AX96"/>
  <c r="AZ96" s="1"/>
  <c r="K96"/>
  <c r="AT96"/>
  <c r="AW96"/>
  <c r="AY96" s="1"/>
  <c r="T95"/>
  <c r="S96" s="1"/>
  <c r="H95"/>
  <c r="F96"/>
  <c r="Y95"/>
  <c r="J106" i="13"/>
  <c r="F106"/>
  <c r="C106"/>
  <c r="D107"/>
  <c r="B98" i="1"/>
  <c r="AS98"/>
  <c r="R97"/>
  <c r="A98"/>
  <c r="D98"/>
  <c r="C99"/>
  <c r="BE96"/>
  <c r="BG96" s="1"/>
  <c r="AG43" l="1"/>
  <c r="P44"/>
  <c r="K252" i="3"/>
  <c r="F252"/>
  <c r="AR96" i="1"/>
  <c r="I252" i="3"/>
  <c r="T96" i="1"/>
  <c r="S97" s="1"/>
  <c r="H96"/>
  <c r="Q98"/>
  <c r="AP98"/>
  <c r="AN98"/>
  <c r="BC98" s="1"/>
  <c r="I98"/>
  <c r="AV98"/>
  <c r="AU98"/>
  <c r="BB98"/>
  <c r="E98"/>
  <c r="B253" i="3"/>
  <c r="C253"/>
  <c r="K253" s="1"/>
  <c r="F253"/>
  <c r="D254"/>
  <c r="AX97" i="1"/>
  <c r="AZ97" s="1"/>
  <c r="L252" i="3"/>
  <c r="G252"/>
  <c r="BC97" i="1"/>
  <c r="BA97" s="1"/>
  <c r="A99"/>
  <c r="B99"/>
  <c r="D99"/>
  <c r="R98"/>
  <c r="AS99"/>
  <c r="C100"/>
  <c r="K97"/>
  <c r="AT97"/>
  <c r="AW97"/>
  <c r="AY97" s="1"/>
  <c r="F97"/>
  <c r="O96"/>
  <c r="Y96" s="1"/>
  <c r="W96"/>
  <c r="BD97"/>
  <c r="BF97" s="1"/>
  <c r="F107" i="13"/>
  <c r="C107"/>
  <c r="J107"/>
  <c r="D108"/>
  <c r="AB44" i="1" l="1"/>
  <c r="Z44"/>
  <c r="U44"/>
  <c r="AA44" s="1"/>
  <c r="H253" i="3"/>
  <c r="F98" i="1"/>
  <c r="T98" s="1"/>
  <c r="AR97"/>
  <c r="J253" i="3"/>
  <c r="E253" s="1"/>
  <c r="AO98" i="1"/>
  <c r="L253" i="3"/>
  <c r="I253"/>
  <c r="BE98" i="1"/>
  <c r="BG98" s="1"/>
  <c r="B254" i="3"/>
  <c r="C254"/>
  <c r="F254" s="1"/>
  <c r="D255"/>
  <c r="AX98" i="1"/>
  <c r="AZ98" s="1"/>
  <c r="J108" i="13"/>
  <c r="F108"/>
  <c r="C108"/>
  <c r="D109"/>
  <c r="BE97" i="1"/>
  <c r="BG97" s="1"/>
  <c r="AT98"/>
  <c r="K98"/>
  <c r="AW98"/>
  <c r="AY98" s="1"/>
  <c r="AR98" s="1"/>
  <c r="BB99"/>
  <c r="AV99"/>
  <c r="AP99"/>
  <c r="I99"/>
  <c r="AN99"/>
  <c r="BC99" s="1"/>
  <c r="Q99"/>
  <c r="AU99"/>
  <c r="E99"/>
  <c r="R99" s="1"/>
  <c r="BD98"/>
  <c r="BF98" s="1"/>
  <c r="BA98"/>
  <c r="T97"/>
  <c r="S98" s="1"/>
  <c r="H97"/>
  <c r="O97"/>
  <c r="Y97" s="1"/>
  <c r="W97"/>
  <c r="A100"/>
  <c r="B100"/>
  <c r="D100"/>
  <c r="C101"/>
  <c r="AS100"/>
  <c r="G253" i="3"/>
  <c r="H98" i="1" l="1"/>
  <c r="AF44"/>
  <c r="P45"/>
  <c r="AG44"/>
  <c r="AA45"/>
  <c r="AG45" s="1"/>
  <c r="AH44"/>
  <c r="U45"/>
  <c r="Z45" s="1"/>
  <c r="F99"/>
  <c r="T99" s="1"/>
  <c r="L254" i="3"/>
  <c r="H254"/>
  <c r="K254"/>
  <c r="G254"/>
  <c r="BE99" i="1"/>
  <c r="BG99" s="1"/>
  <c r="G88"/>
  <c r="G89" s="1"/>
  <c r="G90" s="1"/>
  <c r="G91" s="1"/>
  <c r="G92" s="1"/>
  <c r="G93" s="1"/>
  <c r="G94" s="1"/>
  <c r="G95" s="1"/>
  <c r="G96" s="1"/>
  <c r="G97" s="1"/>
  <c r="G98" s="1"/>
  <c r="G99" s="1"/>
  <c r="AW99"/>
  <c r="AY99" s="1"/>
  <c r="K99"/>
  <c r="AT99"/>
  <c r="BA99"/>
  <c r="BD99"/>
  <c r="BF99" s="1"/>
  <c r="O98"/>
  <c r="W98"/>
  <c r="F109" i="13"/>
  <c r="J109"/>
  <c r="C109"/>
  <c r="D110"/>
  <c r="H99" i="1"/>
  <c r="J254" i="3"/>
  <c r="E254" s="1"/>
  <c r="S99" i="1"/>
  <c r="S100"/>
  <c r="AX99"/>
  <c r="AZ99" s="1"/>
  <c r="C255" i="3"/>
  <c r="L255" s="1"/>
  <c r="D256"/>
  <c r="Y98" i="1"/>
  <c r="B101"/>
  <c r="A101"/>
  <c r="AS101"/>
  <c r="C102"/>
  <c r="D101"/>
  <c r="I100"/>
  <c r="Q100"/>
  <c r="AP100"/>
  <c r="BB100"/>
  <c r="AN100"/>
  <c r="AO100" s="1"/>
  <c r="AU100"/>
  <c r="AV100"/>
  <c r="E100"/>
  <c r="R100" s="1"/>
  <c r="AO99"/>
  <c r="I254" i="3"/>
  <c r="H255" l="1"/>
  <c r="AB45" i="1"/>
  <c r="P46" s="1"/>
  <c r="AF45"/>
  <c r="AR99"/>
  <c r="AX100"/>
  <c r="AZ100" s="1"/>
  <c r="AV101"/>
  <c r="BB101"/>
  <c r="Q101"/>
  <c r="AN101"/>
  <c r="BC101" s="1"/>
  <c r="I101"/>
  <c r="AU101"/>
  <c r="AP101"/>
  <c r="E101"/>
  <c r="C256" i="3"/>
  <c r="J256" s="1"/>
  <c r="E256" s="1"/>
  <c r="D257"/>
  <c r="C110" i="13"/>
  <c r="F110"/>
  <c r="J110"/>
  <c r="D111"/>
  <c r="BC100" i="1"/>
  <c r="F255" i="3"/>
  <c r="J255"/>
  <c r="E255" s="1"/>
  <c r="BD100" i="1"/>
  <c r="BF100" s="1"/>
  <c r="BA100"/>
  <c r="O99"/>
  <c r="Y99" s="1"/>
  <c r="W99"/>
  <c r="V99"/>
  <c r="K255" i="3"/>
  <c r="I255"/>
  <c r="F100" i="1"/>
  <c r="AW100"/>
  <c r="AY100" s="1"/>
  <c r="K100"/>
  <c r="AT100"/>
  <c r="C103"/>
  <c r="A102"/>
  <c r="AS102"/>
  <c r="R101"/>
  <c r="B102"/>
  <c r="D102"/>
  <c r="G255" i="3"/>
  <c r="H256" l="1"/>
  <c r="U46" i="1"/>
  <c r="Z46" s="1"/>
  <c r="AF46" s="1"/>
  <c r="K256" i="3"/>
  <c r="I256"/>
  <c r="G256"/>
  <c r="L256"/>
  <c r="AH45" i="1"/>
  <c r="AB46"/>
  <c r="F256" i="3"/>
  <c r="BE101" i="1"/>
  <c r="BG101" s="1"/>
  <c r="C104"/>
  <c r="D103"/>
  <c r="B103"/>
  <c r="A103"/>
  <c r="AS103"/>
  <c r="F111" i="13"/>
  <c r="C111"/>
  <c r="J111"/>
  <c r="D112"/>
  <c r="C257" i="3"/>
  <c r="F257" s="1"/>
  <c r="D258"/>
  <c r="AX101" i="1"/>
  <c r="AZ101" s="1"/>
  <c r="T100"/>
  <c r="S101" s="1"/>
  <c r="H100"/>
  <c r="BD101"/>
  <c r="BF101" s="1"/>
  <c r="BA101"/>
  <c r="I102"/>
  <c r="AN102"/>
  <c r="AO102" s="1"/>
  <c r="Q102"/>
  <c r="AU102"/>
  <c r="AV102"/>
  <c r="BB102"/>
  <c r="AP102"/>
  <c r="E102"/>
  <c r="R102" s="1"/>
  <c r="AR100"/>
  <c r="AO101"/>
  <c r="O100"/>
  <c r="Y100" s="1"/>
  <c r="W100"/>
  <c r="BG100"/>
  <c r="BE100"/>
  <c r="AT101"/>
  <c r="K101"/>
  <c r="AW101"/>
  <c r="AY101" s="1"/>
  <c r="F101"/>
  <c r="AA46" l="1"/>
  <c r="AG46" s="1"/>
  <c r="L257" i="3"/>
  <c r="AH46" i="1"/>
  <c r="K257" i="3"/>
  <c r="AR101" i="1"/>
  <c r="G257" i="3"/>
  <c r="AX102" i="1"/>
  <c r="AZ102" s="1"/>
  <c r="BD102"/>
  <c r="BF102" s="1"/>
  <c r="C258" i="3"/>
  <c r="G258" s="1"/>
  <c r="D259"/>
  <c r="AN103" i="1"/>
  <c r="AO103" s="1"/>
  <c r="I103"/>
  <c r="Q103"/>
  <c r="BB103"/>
  <c r="AU103"/>
  <c r="AP103"/>
  <c r="AV103"/>
  <c r="E103"/>
  <c r="I257" i="3"/>
  <c r="H257"/>
  <c r="T101" i="1"/>
  <c r="S102" s="1"/>
  <c r="H101"/>
  <c r="F112" i="13"/>
  <c r="C112"/>
  <c r="J112"/>
  <c r="D113"/>
  <c r="B104" i="1"/>
  <c r="AS104"/>
  <c r="A104"/>
  <c r="R103"/>
  <c r="D104"/>
  <c r="C105"/>
  <c r="Y101"/>
  <c r="O101"/>
  <c r="W101"/>
  <c r="AW102"/>
  <c r="AY102" s="1"/>
  <c r="K102"/>
  <c r="AT102"/>
  <c r="BC102"/>
  <c r="BA102" s="1"/>
  <c r="F102"/>
  <c r="J257" i="3"/>
  <c r="E257" s="1"/>
  <c r="F103" i="1" l="1"/>
  <c r="T103" s="1"/>
  <c r="P47"/>
  <c r="U47" s="1"/>
  <c r="AB47" s="1"/>
  <c r="AH47" s="1"/>
  <c r="F258" i="3"/>
  <c r="BC103" i="1"/>
  <c r="BE103" s="1"/>
  <c r="BG103" s="1"/>
  <c r="H258" i="3"/>
  <c r="L258"/>
  <c r="AR102" i="1"/>
  <c r="T102"/>
  <c r="S103" s="1"/>
  <c r="H102"/>
  <c r="C113" i="13"/>
  <c r="F113"/>
  <c r="J113"/>
  <c r="D114"/>
  <c r="AW103" i="1"/>
  <c r="K103"/>
  <c r="AY103"/>
  <c r="AT103"/>
  <c r="I258" i="3"/>
  <c r="K258"/>
  <c r="Q104" i="1"/>
  <c r="BB104"/>
  <c r="AN104"/>
  <c r="BC104" s="1"/>
  <c r="AU104"/>
  <c r="AP104"/>
  <c r="I104"/>
  <c r="AV104"/>
  <c r="E104"/>
  <c r="R104" s="1"/>
  <c r="O102"/>
  <c r="Y102" s="1"/>
  <c r="W102"/>
  <c r="C259" i="3"/>
  <c r="F259" s="1"/>
  <c r="D260"/>
  <c r="J258"/>
  <c r="E258" s="1"/>
  <c r="BE102" i="1"/>
  <c r="BG102" s="1"/>
  <c r="D105"/>
  <c r="B105"/>
  <c r="AS105"/>
  <c r="A105"/>
  <c r="C106"/>
  <c r="AX103"/>
  <c r="AZ103" s="1"/>
  <c r="BD103"/>
  <c r="BF103" s="1"/>
  <c r="S104"/>
  <c r="BA103" l="1"/>
  <c r="H103"/>
  <c r="AA47"/>
  <c r="AG47" s="1"/>
  <c r="Z47"/>
  <c r="P48" s="1"/>
  <c r="AO104"/>
  <c r="J259" i="3"/>
  <c r="E259" s="1"/>
  <c r="G259"/>
  <c r="I259"/>
  <c r="K259"/>
  <c r="L259"/>
  <c r="H259"/>
  <c r="BE104" i="1"/>
  <c r="BG104" s="1"/>
  <c r="B106"/>
  <c r="D106"/>
  <c r="AS106"/>
  <c r="A106"/>
  <c r="C107"/>
  <c r="F114" i="13"/>
  <c r="C114"/>
  <c r="J114"/>
  <c r="D115"/>
  <c r="AX104" i="1"/>
  <c r="AZ104" s="1"/>
  <c r="C260" i="3"/>
  <c r="J260" s="1"/>
  <c r="E260" s="1"/>
  <c r="D261"/>
  <c r="BB105" i="1"/>
  <c r="AV105"/>
  <c r="I105"/>
  <c r="AN105"/>
  <c r="AO105" s="1"/>
  <c r="Q105"/>
  <c r="AU105"/>
  <c r="AP105"/>
  <c r="E105"/>
  <c r="K104"/>
  <c r="AT104"/>
  <c r="AW104"/>
  <c r="AY104" s="1"/>
  <c r="O103"/>
  <c r="Y103" s="1"/>
  <c r="W103"/>
  <c r="BD104"/>
  <c r="BF104" s="1"/>
  <c r="BA104"/>
  <c r="F104"/>
  <c r="AR103"/>
  <c r="AF47" l="1"/>
  <c r="BC105"/>
  <c r="BA105" s="1"/>
  <c r="U48"/>
  <c r="AA48" s="1"/>
  <c r="AB48"/>
  <c r="Z48"/>
  <c r="AR104"/>
  <c r="G260" i="3"/>
  <c r="F260"/>
  <c r="T104" i="1"/>
  <c r="S105" s="1"/>
  <c r="H104"/>
  <c r="O104"/>
  <c r="Y104" s="1"/>
  <c r="W104"/>
  <c r="AX105"/>
  <c r="AZ105" s="1"/>
  <c r="A107"/>
  <c r="C108"/>
  <c r="B107"/>
  <c r="D107"/>
  <c r="AS107"/>
  <c r="L260" i="3"/>
  <c r="I260"/>
  <c r="BE105" i="1"/>
  <c r="BG105" s="1"/>
  <c r="AW105"/>
  <c r="AY105" s="1"/>
  <c r="AT105"/>
  <c r="K105"/>
  <c r="C261" i="3"/>
  <c r="I261" s="1"/>
  <c r="B261"/>
  <c r="D262"/>
  <c r="F115" i="13"/>
  <c r="C115"/>
  <c r="J115"/>
  <c r="D116"/>
  <c r="BB106" i="1"/>
  <c r="AN106"/>
  <c r="AO106" s="1"/>
  <c r="I106"/>
  <c r="AV106"/>
  <c r="AP106"/>
  <c r="Q106"/>
  <c r="AU106"/>
  <c r="E106"/>
  <c r="H260" i="3"/>
  <c r="F105" i="1"/>
  <c r="BD105"/>
  <c r="BF105" s="1"/>
  <c r="K260" i="3"/>
  <c r="R105" i="1"/>
  <c r="H261" i="3" l="1"/>
  <c r="AF48" i="1"/>
  <c r="AH48"/>
  <c r="P49"/>
  <c r="AG48"/>
  <c r="K261" i="3"/>
  <c r="BC106" i="1"/>
  <c r="BA106" s="1"/>
  <c r="AR105"/>
  <c r="BD106"/>
  <c r="BF106" s="1"/>
  <c r="BB107"/>
  <c r="AV107"/>
  <c r="AN107"/>
  <c r="BC107" s="1"/>
  <c r="I107"/>
  <c r="AP107"/>
  <c r="Q107"/>
  <c r="AU107"/>
  <c r="E107"/>
  <c r="R107" s="1"/>
  <c r="J261" i="3"/>
  <c r="E261" s="1"/>
  <c r="G261"/>
  <c r="R106" i="1"/>
  <c r="AW106"/>
  <c r="AY106" s="1"/>
  <c r="AT106"/>
  <c r="K106"/>
  <c r="A108"/>
  <c r="AS108"/>
  <c r="B108"/>
  <c r="C109"/>
  <c r="D108"/>
  <c r="F106"/>
  <c r="F261" i="3"/>
  <c r="T105" i="1"/>
  <c r="S106" s="1"/>
  <c r="H105"/>
  <c r="AX106"/>
  <c r="AZ106" s="1"/>
  <c r="C116" i="13"/>
  <c r="J116"/>
  <c r="F116"/>
  <c r="D117"/>
  <c r="C262" i="3"/>
  <c r="G262" s="1"/>
  <c r="B262"/>
  <c r="D263"/>
  <c r="O105" i="1"/>
  <c r="Y105" s="1"/>
  <c r="W105"/>
  <c r="F107"/>
  <c r="T107" s="1"/>
  <c r="L261" i="3"/>
  <c r="F262" l="1"/>
  <c r="AB49" i="1"/>
  <c r="U49"/>
  <c r="AA49" s="1"/>
  <c r="I262" i="3"/>
  <c r="BE106" i="1"/>
  <c r="BG106" s="1"/>
  <c r="K262" i="3"/>
  <c r="H262"/>
  <c r="AR106" i="1"/>
  <c r="L262" i="3"/>
  <c r="J262"/>
  <c r="E262" s="1"/>
  <c r="BE107" i="1"/>
  <c r="BG107" s="1"/>
  <c r="T106"/>
  <c r="S107" s="1"/>
  <c r="H106"/>
  <c r="O106"/>
  <c r="Y106" s="1"/>
  <c r="W106"/>
  <c r="H107"/>
  <c r="AO107"/>
  <c r="A109"/>
  <c r="AS109"/>
  <c r="B109"/>
  <c r="C110"/>
  <c r="D109"/>
  <c r="AP108"/>
  <c r="I108"/>
  <c r="AN108"/>
  <c r="BC108" s="1"/>
  <c r="AU108"/>
  <c r="AV108"/>
  <c r="Q108"/>
  <c r="BB108"/>
  <c r="E108"/>
  <c r="AX107"/>
  <c r="AZ107" s="1"/>
  <c r="S108"/>
  <c r="C263" i="3"/>
  <c r="G263" s="1"/>
  <c r="B263"/>
  <c r="D264"/>
  <c r="C117" i="13"/>
  <c r="J117"/>
  <c r="F117"/>
  <c r="D118"/>
  <c r="AT107" i="1"/>
  <c r="K107"/>
  <c r="AW107"/>
  <c r="AY107" s="1"/>
  <c r="BD107"/>
  <c r="BF107" s="1"/>
  <c r="BA107"/>
  <c r="Z49" l="1"/>
  <c r="AF49" s="1"/>
  <c r="AH49"/>
  <c r="AG49"/>
  <c r="AO108"/>
  <c r="BE108"/>
  <c r="BG108" s="1"/>
  <c r="O107"/>
  <c r="Y107" s="1"/>
  <c r="W107"/>
  <c r="BD108"/>
  <c r="BF108" s="1"/>
  <c r="BA108"/>
  <c r="K263" i="3"/>
  <c r="L263"/>
  <c r="H263"/>
  <c r="J263"/>
  <c r="E263" s="1"/>
  <c r="AW108" i="1"/>
  <c r="AY108" s="1"/>
  <c r="K108"/>
  <c r="AT108"/>
  <c r="J118" i="13"/>
  <c r="C118"/>
  <c r="F118"/>
  <c r="D119"/>
  <c r="B264" i="3"/>
  <c r="C264"/>
  <c r="I264" s="1"/>
  <c r="D265"/>
  <c r="AX108" i="1"/>
  <c r="AZ108" s="1"/>
  <c r="AR107"/>
  <c r="F263" i="3"/>
  <c r="I263"/>
  <c r="R108" i="1"/>
  <c r="F108"/>
  <c r="A110"/>
  <c r="D110"/>
  <c r="B110"/>
  <c r="AS110"/>
  <c r="C111"/>
  <c r="I109"/>
  <c r="AN109"/>
  <c r="BC109" s="1"/>
  <c r="AP109"/>
  <c r="AV109"/>
  <c r="BB109"/>
  <c r="Q109"/>
  <c r="AU109"/>
  <c r="E109"/>
  <c r="R109" s="1"/>
  <c r="AO109" l="1"/>
  <c r="P50"/>
  <c r="U50" s="1"/>
  <c r="AX109"/>
  <c r="AZ109" s="1"/>
  <c r="C112"/>
  <c r="B111"/>
  <c r="A111"/>
  <c r="AS111" s="1"/>
  <c r="D111"/>
  <c r="C265" i="3"/>
  <c r="I265" s="1"/>
  <c r="B265"/>
  <c r="D266"/>
  <c r="J119" i="13"/>
  <c r="C119"/>
  <c r="F119"/>
  <c r="D120"/>
  <c r="L264" i="3"/>
  <c r="K264"/>
  <c r="G264"/>
  <c r="AR108" i="1"/>
  <c r="AW109"/>
  <c r="AY109" s="1"/>
  <c r="K109"/>
  <c r="AT109"/>
  <c r="BD109"/>
  <c r="BF109" s="1"/>
  <c r="BA109"/>
  <c r="F110"/>
  <c r="T110" s="1"/>
  <c r="T108"/>
  <c r="S109" s="1"/>
  <c r="H108"/>
  <c r="J264" i="3"/>
  <c r="E264" s="1"/>
  <c r="F264"/>
  <c r="BE109" i="1"/>
  <c r="BG109" s="1"/>
  <c r="AP110"/>
  <c r="AN110"/>
  <c r="AO110" s="1"/>
  <c r="I110"/>
  <c r="Q110"/>
  <c r="AV110"/>
  <c r="BB110"/>
  <c r="AU110"/>
  <c r="E110"/>
  <c r="O108"/>
  <c r="Y108" s="1"/>
  <c r="W108"/>
  <c r="H264" i="3"/>
  <c r="F109" i="1"/>
  <c r="AB50" l="1"/>
  <c r="N51" s="1"/>
  <c r="H265" i="3"/>
  <c r="Z50" i="1"/>
  <c r="AA50"/>
  <c r="AG50" s="1"/>
  <c r="L51"/>
  <c r="AF50"/>
  <c r="G265" i="3"/>
  <c r="K265"/>
  <c r="J265"/>
  <c r="E265" s="1"/>
  <c r="O109" i="1"/>
  <c r="W109"/>
  <c r="AT110"/>
  <c r="K110"/>
  <c r="AW110"/>
  <c r="AY110" s="1"/>
  <c r="AN111"/>
  <c r="BC111" s="1"/>
  <c r="AV111"/>
  <c r="AU111"/>
  <c r="BB111"/>
  <c r="I111"/>
  <c r="Q111"/>
  <c r="AP111"/>
  <c r="E111"/>
  <c r="A112"/>
  <c r="B112"/>
  <c r="AS112"/>
  <c r="C113"/>
  <c r="D112"/>
  <c r="H110"/>
  <c r="C120" i="13"/>
  <c r="F120"/>
  <c r="J120"/>
  <c r="C266" i="3"/>
  <c r="J266" s="1"/>
  <c r="E266" s="1"/>
  <c r="D267"/>
  <c r="AR109" i="1"/>
  <c r="BD110"/>
  <c r="BF110" s="1"/>
  <c r="T109"/>
  <c r="S110" s="1"/>
  <c r="H109"/>
  <c r="AX110"/>
  <c r="AZ110" s="1"/>
  <c r="BC110"/>
  <c r="BA110" s="1"/>
  <c r="Y109"/>
  <c r="F265" i="3"/>
  <c r="L265"/>
  <c r="R110" i="1"/>
  <c r="AH50" l="1"/>
  <c r="M51"/>
  <c r="P51"/>
  <c r="X51" s="1"/>
  <c r="F111"/>
  <c r="T111" s="1"/>
  <c r="L266" i="3"/>
  <c r="F266"/>
  <c r="AO111" i="1"/>
  <c r="H266" i="3"/>
  <c r="G266"/>
  <c r="K266"/>
  <c r="AR110" i="1"/>
  <c r="C267" i="3"/>
  <c r="F267" s="1"/>
  <c r="B267"/>
  <c r="D268"/>
  <c r="A113" i="1"/>
  <c r="B113"/>
  <c r="C114"/>
  <c r="AS113"/>
  <c r="D113"/>
  <c r="BB112"/>
  <c r="AU112"/>
  <c r="AP112"/>
  <c r="AV112"/>
  <c r="Q112"/>
  <c r="AN112"/>
  <c r="AO112" s="1"/>
  <c r="I112"/>
  <c r="E112"/>
  <c r="R112" s="1"/>
  <c r="AT111"/>
  <c r="K111"/>
  <c r="AW111"/>
  <c r="AY111" s="1"/>
  <c r="I266" i="3"/>
  <c r="F112" i="1"/>
  <c r="T112" s="1"/>
  <c r="S113" s="1"/>
  <c r="G100"/>
  <c r="G101" s="1"/>
  <c r="G102" s="1"/>
  <c r="G103" s="1"/>
  <c r="G104" s="1"/>
  <c r="G105" s="1"/>
  <c r="G106" s="1"/>
  <c r="G107" s="1"/>
  <c r="G108" s="1"/>
  <c r="G109" s="1"/>
  <c r="G110" s="1"/>
  <c r="G111" s="1"/>
  <c r="BA111"/>
  <c r="BD111"/>
  <c r="BF111" s="1"/>
  <c r="O110"/>
  <c r="Y110" s="1"/>
  <c r="W110"/>
  <c r="BE110"/>
  <c r="BG110" s="1"/>
  <c r="S112"/>
  <c r="R111"/>
  <c r="BE111"/>
  <c r="BG111" s="1"/>
  <c r="AX111"/>
  <c r="AZ111" s="1"/>
  <c r="S111"/>
  <c r="H111" l="1"/>
  <c r="U51"/>
  <c r="AB51"/>
  <c r="AH51" s="1"/>
  <c r="AA51"/>
  <c r="Z51"/>
  <c r="AR111"/>
  <c r="O111"/>
  <c r="Y111" s="1"/>
  <c r="W111"/>
  <c r="V111"/>
  <c r="H112"/>
  <c r="K267" i="3"/>
  <c r="G267"/>
  <c r="AX112" i="1"/>
  <c r="AZ112" s="1"/>
  <c r="BD112"/>
  <c r="BF112" s="1"/>
  <c r="BC112"/>
  <c r="AW112"/>
  <c r="AY112" s="1"/>
  <c r="AT112"/>
  <c r="K112"/>
  <c r="C115"/>
  <c r="A114"/>
  <c r="D114"/>
  <c r="AS114"/>
  <c r="B114"/>
  <c r="C268" i="3"/>
  <c r="K268" s="1"/>
  <c r="B268"/>
  <c r="L267"/>
  <c r="H267"/>
  <c r="Q113" i="1"/>
  <c r="AV113"/>
  <c r="AU113"/>
  <c r="AN113"/>
  <c r="AO113" s="1"/>
  <c r="I113"/>
  <c r="BB113"/>
  <c r="AP113"/>
  <c r="E113"/>
  <c r="J267" i="3"/>
  <c r="E267" s="1"/>
  <c r="I267"/>
  <c r="P52" i="1" l="1"/>
  <c r="AF51"/>
  <c r="AG51"/>
  <c r="F113"/>
  <c r="T113" s="1"/>
  <c r="S114" s="1"/>
  <c r="AR112"/>
  <c r="BC113"/>
  <c r="L268" i="3"/>
  <c r="J268"/>
  <c r="E268" s="1"/>
  <c r="AX113" i="1"/>
  <c r="AZ113" s="1"/>
  <c r="C116"/>
  <c r="AS115"/>
  <c r="B115"/>
  <c r="F114" s="1"/>
  <c r="T114" s="1"/>
  <c r="A115"/>
  <c r="D115"/>
  <c r="G268" i="3"/>
  <c r="H268"/>
  <c r="BE112" i="1"/>
  <c r="BG112" s="1"/>
  <c r="R113"/>
  <c r="BA112"/>
  <c r="BA113"/>
  <c r="BD113"/>
  <c r="BF113" s="1"/>
  <c r="AW113"/>
  <c r="AY113" s="1"/>
  <c r="K113"/>
  <c r="AT113"/>
  <c r="AU114"/>
  <c r="AV114"/>
  <c r="BB114"/>
  <c r="AN114"/>
  <c r="BC114" s="1"/>
  <c r="AP114"/>
  <c r="Q114"/>
  <c r="I114"/>
  <c r="E114"/>
  <c r="O112"/>
  <c r="W112"/>
  <c r="I268" i="3"/>
  <c r="F268"/>
  <c r="H113" i="1" l="1"/>
  <c r="AB52"/>
  <c r="U52"/>
  <c r="AA52"/>
  <c r="Z52"/>
  <c r="AO114"/>
  <c r="S115"/>
  <c r="H114"/>
  <c r="O113"/>
  <c r="W113"/>
  <c r="AU115"/>
  <c r="I115"/>
  <c r="BB115"/>
  <c r="AV115"/>
  <c r="Q115"/>
  <c r="AN115"/>
  <c r="BC115" s="1"/>
  <c r="AP115"/>
  <c r="E115"/>
  <c r="A116"/>
  <c r="C117"/>
  <c r="R115"/>
  <c r="B116"/>
  <c r="AS116"/>
  <c r="D116"/>
  <c r="F115" s="1"/>
  <c r="T115" s="1"/>
  <c r="S116" s="1"/>
  <c r="BG114"/>
  <c r="BE114"/>
  <c r="K114"/>
  <c r="AT114"/>
  <c r="AY114"/>
  <c r="AW114"/>
  <c r="BE113"/>
  <c r="BG113" s="1"/>
  <c r="AR113"/>
  <c r="Y112"/>
  <c r="BD114"/>
  <c r="BF114" s="1"/>
  <c r="BA114"/>
  <c r="AX114"/>
  <c r="AZ114" s="1"/>
  <c r="R114"/>
  <c r="U53" l="1"/>
  <c r="Z53" s="1"/>
  <c r="AH52"/>
  <c r="AG52"/>
  <c r="P53"/>
  <c r="AF52"/>
  <c r="Y113"/>
  <c r="BE115"/>
  <c r="BG115" s="1"/>
  <c r="AW115"/>
  <c r="AY115" s="1"/>
  <c r="AT115"/>
  <c r="K115"/>
  <c r="AR114"/>
  <c r="H115"/>
  <c r="AO115"/>
  <c r="O114"/>
  <c r="Y114" s="1"/>
  <c r="W114"/>
  <c r="AP116"/>
  <c r="AV116"/>
  <c r="AU116"/>
  <c r="AN116"/>
  <c r="AO116" s="1"/>
  <c r="I116"/>
  <c r="Q116"/>
  <c r="BB116"/>
  <c r="E116"/>
  <c r="R116" s="1"/>
  <c r="BD115"/>
  <c r="BF115" s="1"/>
  <c r="BA115"/>
  <c r="C118"/>
  <c r="D117"/>
  <c r="A117"/>
  <c r="AS117"/>
  <c r="B117"/>
  <c r="AX115"/>
  <c r="AZ115" s="1"/>
  <c r="F116" l="1"/>
  <c r="H116" s="1"/>
  <c r="AA53"/>
  <c r="AG53" s="1"/>
  <c r="AB53"/>
  <c r="AF53"/>
  <c r="BC116"/>
  <c r="BA116" s="1"/>
  <c r="BD116"/>
  <c r="BF116" s="1"/>
  <c r="AR115"/>
  <c r="BB117"/>
  <c r="I117"/>
  <c r="Q117"/>
  <c r="AV117"/>
  <c r="AP117"/>
  <c r="AU117"/>
  <c r="AN117"/>
  <c r="BC117" s="1"/>
  <c r="E117"/>
  <c r="AX116"/>
  <c r="AZ116" s="1"/>
  <c r="O115"/>
  <c r="Y115" s="1"/>
  <c r="W115"/>
  <c r="D118"/>
  <c r="B118"/>
  <c r="AS118"/>
  <c r="C119"/>
  <c r="A118"/>
  <c r="AT116"/>
  <c r="AW116"/>
  <c r="AY116" s="1"/>
  <c r="K116"/>
  <c r="BE116" l="1"/>
  <c r="BG116" s="1"/>
  <c r="T116"/>
  <c r="S117" s="1"/>
  <c r="AH53"/>
  <c r="P54"/>
  <c r="AO117"/>
  <c r="BE117"/>
  <c r="BG117" s="1"/>
  <c r="AV118"/>
  <c r="AP118"/>
  <c r="I118"/>
  <c r="AN118"/>
  <c r="BC118" s="1"/>
  <c r="Q118"/>
  <c r="AU118"/>
  <c r="BB118"/>
  <c r="E118"/>
  <c r="R118" s="1"/>
  <c r="B119"/>
  <c r="A119"/>
  <c r="AS119"/>
  <c r="D119"/>
  <c r="F118" s="1"/>
  <c r="T118" s="1"/>
  <c r="C120"/>
  <c r="AT117"/>
  <c r="K117"/>
  <c r="AW117"/>
  <c r="AY117" s="1"/>
  <c r="AX117"/>
  <c r="AZ117" s="1"/>
  <c r="AR116"/>
  <c r="R117"/>
  <c r="F117"/>
  <c r="O116"/>
  <c r="Y116" s="1"/>
  <c r="W116"/>
  <c r="BA117"/>
  <c r="BD117"/>
  <c r="BF117" s="1"/>
  <c r="AA54" l="1"/>
  <c r="Z54"/>
  <c r="U54"/>
  <c r="AB54" s="1"/>
  <c r="AO118"/>
  <c r="AR117"/>
  <c r="BE118"/>
  <c r="BG118" s="1"/>
  <c r="T117"/>
  <c r="S118" s="1"/>
  <c r="H117"/>
  <c r="O117"/>
  <c r="Y117" s="1"/>
  <c r="W117"/>
  <c r="AW118"/>
  <c r="AY118" s="1"/>
  <c r="AT118"/>
  <c r="K118"/>
  <c r="D120"/>
  <c r="A120"/>
  <c r="B120"/>
  <c r="AS120"/>
  <c r="C121"/>
  <c r="BD118"/>
  <c r="BF118" s="1"/>
  <c r="BA118"/>
  <c r="AX118"/>
  <c r="AZ118" s="1"/>
  <c r="S119"/>
  <c r="AN119"/>
  <c r="Q119"/>
  <c r="AU119"/>
  <c r="AP119"/>
  <c r="AV119"/>
  <c r="I119"/>
  <c r="BB119"/>
  <c r="BC119"/>
  <c r="AO119"/>
  <c r="E119"/>
  <c r="R119" s="1"/>
  <c r="H118"/>
  <c r="AF54" l="1"/>
  <c r="P55"/>
  <c r="U55" s="1"/>
  <c r="Z55" s="1"/>
  <c r="AH54"/>
  <c r="AG54"/>
  <c r="AA55"/>
  <c r="AG55" s="1"/>
  <c r="F119"/>
  <c r="H119" s="1"/>
  <c r="AR118"/>
  <c r="C122"/>
  <c r="B121"/>
  <c r="D121"/>
  <c r="A121"/>
  <c r="AS121"/>
  <c r="Q120"/>
  <c r="AN120"/>
  <c r="AO120" s="1"/>
  <c r="BB120"/>
  <c r="I120"/>
  <c r="AU120"/>
  <c r="AP120"/>
  <c r="AV120"/>
  <c r="E120"/>
  <c r="O118"/>
  <c r="Y118" s="1"/>
  <c r="W118"/>
  <c r="BE119"/>
  <c r="BG119" s="1"/>
  <c r="BD119"/>
  <c r="BF119" s="1"/>
  <c r="BA119"/>
  <c r="AW119"/>
  <c r="AY119" s="1"/>
  <c r="K119"/>
  <c r="AT119"/>
  <c r="AX119"/>
  <c r="AZ119" s="1"/>
  <c r="AB55" l="1"/>
  <c r="P56" s="1"/>
  <c r="U56" s="1"/>
  <c r="AF55"/>
  <c r="T119"/>
  <c r="S120" s="1"/>
  <c r="BC120"/>
  <c r="BE120" s="1"/>
  <c r="BG120" s="1"/>
  <c r="AX120"/>
  <c r="AZ120" s="1"/>
  <c r="BD120"/>
  <c r="BF120" s="1"/>
  <c r="AW120"/>
  <c r="AY120" s="1"/>
  <c r="K120"/>
  <c r="AT120"/>
  <c r="Q121"/>
  <c r="AV121"/>
  <c r="AU121"/>
  <c r="BB121"/>
  <c r="AP121"/>
  <c r="I121"/>
  <c r="AN121"/>
  <c r="AO121" s="1"/>
  <c r="E121"/>
  <c r="R120"/>
  <c r="O119"/>
  <c r="Y119" s="1"/>
  <c r="W119"/>
  <c r="B122"/>
  <c r="D122"/>
  <c r="C123"/>
  <c r="AS122"/>
  <c r="A122"/>
  <c r="F120"/>
  <c r="AR119"/>
  <c r="AH55" l="1"/>
  <c r="F121"/>
  <c r="T121" s="1"/>
  <c r="AA56"/>
  <c r="AB56"/>
  <c r="Z56"/>
  <c r="BA120"/>
  <c r="BC121"/>
  <c r="BE121" s="1"/>
  <c r="AR120"/>
  <c r="T120"/>
  <c r="S121" s="1"/>
  <c r="H120"/>
  <c r="BD121"/>
  <c r="BF121" s="1"/>
  <c r="AP122"/>
  <c r="AU122"/>
  <c r="I122"/>
  <c r="BB122"/>
  <c r="Q122"/>
  <c r="AN122"/>
  <c r="AO122" s="1"/>
  <c r="AV122"/>
  <c r="E122"/>
  <c r="C124"/>
  <c r="D123"/>
  <c r="A123"/>
  <c r="B123"/>
  <c r="AX121"/>
  <c r="AZ121" s="1"/>
  <c r="O120"/>
  <c r="Y120" s="1"/>
  <c r="W120"/>
  <c r="AW121"/>
  <c r="AY121" s="1"/>
  <c r="AT121"/>
  <c r="K121"/>
  <c r="R121"/>
  <c r="S122" l="1"/>
  <c r="H121"/>
  <c r="AG56"/>
  <c r="AH56"/>
  <c r="P57"/>
  <c r="U57" s="1"/>
  <c r="Z57" s="1"/>
  <c r="AF56"/>
  <c r="BC122"/>
  <c r="BE122" s="1"/>
  <c r="BG122" s="1"/>
  <c r="BG121"/>
  <c r="BA121"/>
  <c r="C125"/>
  <c r="AS124"/>
  <c r="B124"/>
  <c r="D124"/>
  <c r="A124"/>
  <c r="AR121"/>
  <c r="O121"/>
  <c r="Y121" s="1"/>
  <c r="W121"/>
  <c r="K122"/>
  <c r="AT122"/>
  <c r="AW122"/>
  <c r="AY122" s="1"/>
  <c r="AN123"/>
  <c r="AO123" s="1"/>
  <c r="Q123"/>
  <c r="BB123"/>
  <c r="I123"/>
  <c r="AP123"/>
  <c r="AU123"/>
  <c r="AV123"/>
  <c r="E123"/>
  <c r="AX122"/>
  <c r="AZ122" s="1"/>
  <c r="BA122"/>
  <c r="BD122"/>
  <c r="BF122" s="1"/>
  <c r="R122"/>
  <c r="F122"/>
  <c r="AS123"/>
  <c r="F123" l="1"/>
  <c r="T123" s="1"/>
  <c r="AB57"/>
  <c r="AF57"/>
  <c r="AA57"/>
  <c r="H123"/>
  <c r="BC123"/>
  <c r="BA123" s="1"/>
  <c r="AR122"/>
  <c r="AX123"/>
  <c r="AZ123" s="1"/>
  <c r="T122"/>
  <c r="S123" s="1"/>
  <c r="H122"/>
  <c r="S124"/>
  <c r="AT123"/>
  <c r="AW123"/>
  <c r="AY123" s="1"/>
  <c r="K123"/>
  <c r="R123"/>
  <c r="BD123"/>
  <c r="BF123" s="1"/>
  <c r="A125"/>
  <c r="C126"/>
  <c r="B125"/>
  <c r="F124" s="1"/>
  <c r="T124" s="1"/>
  <c r="S125" s="1"/>
  <c r="D125"/>
  <c r="AS125"/>
  <c r="AU124"/>
  <c r="AN124"/>
  <c r="BC124" s="1"/>
  <c r="BB124"/>
  <c r="Q124"/>
  <c r="AP124"/>
  <c r="I124"/>
  <c r="AV124"/>
  <c r="E124"/>
  <c r="R124" s="1"/>
  <c r="O122"/>
  <c r="Y122" s="1"/>
  <c r="W122"/>
  <c r="G112"/>
  <c r="G113" s="1"/>
  <c r="G114" s="1"/>
  <c r="G115" s="1"/>
  <c r="G116" s="1"/>
  <c r="G117" s="1"/>
  <c r="G118" s="1"/>
  <c r="G119" s="1"/>
  <c r="G120" s="1"/>
  <c r="G121" s="1"/>
  <c r="G122" s="1"/>
  <c r="G123" s="1"/>
  <c r="P58" l="1"/>
  <c r="U58" s="1"/>
  <c r="Z58" s="1"/>
  <c r="AF58" s="1"/>
  <c r="AH57"/>
  <c r="AG57"/>
  <c r="BE123"/>
  <c r="BG123" s="1"/>
  <c r="AO124"/>
  <c r="H124"/>
  <c r="BE124"/>
  <c r="BG124" s="1"/>
  <c r="AR123"/>
  <c r="AW124"/>
  <c r="AY124" s="1"/>
  <c r="AT124"/>
  <c r="K124"/>
  <c r="C127"/>
  <c r="A126"/>
  <c r="D126"/>
  <c r="AS126"/>
  <c r="B126"/>
  <c r="BA124"/>
  <c r="BD124"/>
  <c r="BF124" s="1"/>
  <c r="I125"/>
  <c r="AN125"/>
  <c r="BC125" s="1"/>
  <c r="Q125"/>
  <c r="AU125"/>
  <c r="BB125"/>
  <c r="AP125"/>
  <c r="AV125"/>
  <c r="E125"/>
  <c r="AX124"/>
  <c r="AZ124" s="1"/>
  <c r="O123"/>
  <c r="Y123" s="1"/>
  <c r="W123"/>
  <c r="V123"/>
  <c r="AA58" l="1"/>
  <c r="AG58" s="1"/>
  <c r="AB58"/>
  <c r="AH58" s="1"/>
  <c r="F125"/>
  <c r="H125" s="1"/>
  <c r="BE125"/>
  <c r="BG125" s="1"/>
  <c r="AX125"/>
  <c r="AZ125" s="1"/>
  <c r="AO125"/>
  <c r="R125"/>
  <c r="K125"/>
  <c r="AT125"/>
  <c r="AW125"/>
  <c r="AY125" s="1"/>
  <c r="I126"/>
  <c r="Q126"/>
  <c r="AP126"/>
  <c r="BB126"/>
  <c r="AV126"/>
  <c r="AU126"/>
  <c r="AN126"/>
  <c r="AO126" s="1"/>
  <c r="E126"/>
  <c r="R126" s="1"/>
  <c r="AR124"/>
  <c r="O124"/>
  <c r="W124"/>
  <c r="BA125"/>
  <c r="BD125"/>
  <c r="BF125" s="1"/>
  <c r="D127"/>
  <c r="C128"/>
  <c r="A127"/>
  <c r="B127"/>
  <c r="AS127"/>
  <c r="P59" l="1"/>
  <c r="U59" s="1"/>
  <c r="Z59" s="1"/>
  <c r="T125"/>
  <c r="S126" s="1"/>
  <c r="BC126"/>
  <c r="BE126" s="1"/>
  <c r="BG126" s="1"/>
  <c r="AR125"/>
  <c r="AW126"/>
  <c r="AY126" s="1"/>
  <c r="K126"/>
  <c r="AT126"/>
  <c r="C129"/>
  <c r="A128"/>
  <c r="AS128"/>
  <c r="B128"/>
  <c r="D128"/>
  <c r="O125"/>
  <c r="W125"/>
  <c r="BD126"/>
  <c r="BF126" s="1"/>
  <c r="F126"/>
  <c r="AN127"/>
  <c r="AO127" s="1"/>
  <c r="AP127"/>
  <c r="BB127"/>
  <c r="AV127"/>
  <c r="Q127"/>
  <c r="I127"/>
  <c r="AU127"/>
  <c r="E127"/>
  <c r="R127" s="1"/>
  <c r="AX126"/>
  <c r="AZ126" s="1"/>
  <c r="Y124"/>
  <c r="Y125" s="1"/>
  <c r="AF59" l="1"/>
  <c r="AA59"/>
  <c r="AB59"/>
  <c r="BA126"/>
  <c r="BC127"/>
  <c r="BA127" s="1"/>
  <c r="F127"/>
  <c r="H127" s="1"/>
  <c r="BD127"/>
  <c r="BF127" s="1"/>
  <c r="D129"/>
  <c r="B129"/>
  <c r="A129"/>
  <c r="C130"/>
  <c r="AS129"/>
  <c r="BE127"/>
  <c r="BG127" s="1"/>
  <c r="AX127"/>
  <c r="AZ127" s="1"/>
  <c r="T126"/>
  <c r="S127" s="1"/>
  <c r="H126"/>
  <c r="AU128"/>
  <c r="AN128"/>
  <c r="AO128" s="1"/>
  <c r="AP128"/>
  <c r="BB128"/>
  <c r="AV128"/>
  <c r="Q128"/>
  <c r="I128"/>
  <c r="E128"/>
  <c r="AW127"/>
  <c r="AY127" s="1"/>
  <c r="K127"/>
  <c r="AT127"/>
  <c r="O126"/>
  <c r="Y126" s="1"/>
  <c r="W126"/>
  <c r="AR126"/>
  <c r="AH59" l="1"/>
  <c r="P60"/>
  <c r="U60" s="1"/>
  <c r="AB60" s="1"/>
  <c r="AG59"/>
  <c r="F128"/>
  <c r="H128" s="1"/>
  <c r="T127"/>
  <c r="S128" s="1"/>
  <c r="AR127"/>
  <c r="BC128"/>
  <c r="BA128" s="1"/>
  <c r="O127"/>
  <c r="Y127" s="1"/>
  <c r="W127"/>
  <c r="BD128"/>
  <c r="BF128" s="1"/>
  <c r="AW128"/>
  <c r="AY128" s="1"/>
  <c r="K128"/>
  <c r="AT128"/>
  <c r="C131"/>
  <c r="A130"/>
  <c r="B130"/>
  <c r="AS130"/>
  <c r="D130"/>
  <c r="AX128"/>
  <c r="AZ128" s="1"/>
  <c r="R128"/>
  <c r="AU129"/>
  <c r="AV129"/>
  <c r="AP129"/>
  <c r="I129"/>
  <c r="BB129"/>
  <c r="Q129"/>
  <c r="AN129"/>
  <c r="AO129" s="1"/>
  <c r="E129"/>
  <c r="R129" s="1"/>
  <c r="T128" l="1"/>
  <c r="S129" s="1"/>
  <c r="AH60"/>
  <c r="BE128"/>
  <c r="BG128" s="1"/>
  <c r="F129"/>
  <c r="H129" s="1"/>
  <c r="AA60"/>
  <c r="Z60"/>
  <c r="AR128"/>
  <c r="AX129"/>
  <c r="AZ129" s="1"/>
  <c r="O128"/>
  <c r="Y128" s="1"/>
  <c r="W128"/>
  <c r="BC129"/>
  <c r="BA129" s="1"/>
  <c r="AV130"/>
  <c r="Q130"/>
  <c r="BB130"/>
  <c r="I130"/>
  <c r="AN130"/>
  <c r="BC130" s="1"/>
  <c r="AP130"/>
  <c r="AU130"/>
  <c r="E130"/>
  <c r="R130" s="1"/>
  <c r="BD129"/>
  <c r="BF129" s="1"/>
  <c r="AT129"/>
  <c r="K129"/>
  <c r="AW129"/>
  <c r="AY129" s="1"/>
  <c r="AS131"/>
  <c r="C132"/>
  <c r="A131"/>
  <c r="B131"/>
  <c r="D131"/>
  <c r="AG60" l="1"/>
  <c r="T129"/>
  <c r="S130" s="1"/>
  <c r="P61"/>
  <c r="AF60"/>
  <c r="AR129"/>
  <c r="AO130"/>
  <c r="BE130"/>
  <c r="BG130" s="1"/>
  <c r="O129"/>
  <c r="Y129" s="1"/>
  <c r="W129"/>
  <c r="BA130"/>
  <c r="BD130"/>
  <c r="BF130" s="1"/>
  <c r="AW130"/>
  <c r="AY130" s="1"/>
  <c r="AT130"/>
  <c r="K130"/>
  <c r="AX130"/>
  <c r="AZ130" s="1"/>
  <c r="AS132"/>
  <c r="A132"/>
  <c r="D132"/>
  <c r="C133"/>
  <c r="B132"/>
  <c r="BE129"/>
  <c r="BG129" s="1"/>
  <c r="AV131"/>
  <c r="AP131"/>
  <c r="BB131"/>
  <c r="Q131"/>
  <c r="AN131"/>
  <c r="BC131" s="1"/>
  <c r="AU131"/>
  <c r="I131"/>
  <c r="E131"/>
  <c r="R131" s="1"/>
  <c r="F131"/>
  <c r="T131" s="1"/>
  <c r="F130"/>
  <c r="U61" l="1"/>
  <c r="Z61" s="1"/>
  <c r="BE131"/>
  <c r="BG131" s="1"/>
  <c r="K131"/>
  <c r="AT131"/>
  <c r="AW131"/>
  <c r="AY131" s="1"/>
  <c r="O130"/>
  <c r="Y130" s="1"/>
  <c r="W130"/>
  <c r="AX131"/>
  <c r="AZ131" s="1"/>
  <c r="AR130"/>
  <c r="BA131"/>
  <c r="BD131"/>
  <c r="BF131" s="1"/>
  <c r="Q132"/>
  <c r="AN132"/>
  <c r="AO132" s="1"/>
  <c r="AP132"/>
  <c r="I132"/>
  <c r="AU132"/>
  <c r="BB132"/>
  <c r="AV132"/>
  <c r="E132"/>
  <c r="T130"/>
  <c r="S131" s="1"/>
  <c r="H130"/>
  <c r="C134"/>
  <c r="A133"/>
  <c r="AS133"/>
  <c r="B133"/>
  <c r="D133"/>
  <c r="S132"/>
  <c r="AO131"/>
  <c r="H131"/>
  <c r="BC132" l="1"/>
  <c r="BA132" s="1"/>
  <c r="AB61"/>
  <c r="AF61"/>
  <c r="AA61"/>
  <c r="AR131"/>
  <c r="F132"/>
  <c r="H132" s="1"/>
  <c r="AT132"/>
  <c r="K132"/>
  <c r="AW132"/>
  <c r="AY132" s="1"/>
  <c r="BD132"/>
  <c r="BF132" s="1"/>
  <c r="AN133"/>
  <c r="BC133" s="1"/>
  <c r="Q133"/>
  <c r="AU133"/>
  <c r="BB133"/>
  <c r="I133"/>
  <c r="AV133"/>
  <c r="AP133"/>
  <c r="E133"/>
  <c r="O131"/>
  <c r="Y131" s="1"/>
  <c r="W131"/>
  <c r="A134"/>
  <c r="R133"/>
  <c r="C135"/>
  <c r="D134"/>
  <c r="B134"/>
  <c r="AS134"/>
  <c r="AX132"/>
  <c r="AZ132" s="1"/>
  <c r="R132"/>
  <c r="BE132" l="1"/>
  <c r="BG132" s="1"/>
  <c r="AH61"/>
  <c r="AG61"/>
  <c r="F133"/>
  <c r="P62"/>
  <c r="T132"/>
  <c r="S133" s="1"/>
  <c r="AR132"/>
  <c r="BE133"/>
  <c r="BG133" s="1"/>
  <c r="T133"/>
  <c r="S134" s="1"/>
  <c r="H133"/>
  <c r="I134"/>
  <c r="AN134"/>
  <c r="AO134" s="1"/>
  <c r="AV134"/>
  <c r="AU134"/>
  <c r="BB134"/>
  <c r="BC134"/>
  <c r="AP134"/>
  <c r="Q134"/>
  <c r="E134"/>
  <c r="R134" s="1"/>
  <c r="O132"/>
  <c r="Y132" s="1"/>
  <c r="W132"/>
  <c r="B135"/>
  <c r="A135"/>
  <c r="C136"/>
  <c r="AS135"/>
  <c r="D135"/>
  <c r="AO133"/>
  <c r="BD133"/>
  <c r="BF133" s="1"/>
  <c r="BA133"/>
  <c r="AZ133"/>
  <c r="AX133"/>
  <c r="K133"/>
  <c r="AT133"/>
  <c r="AW133"/>
  <c r="AY133" s="1"/>
  <c r="AR133" s="1"/>
  <c r="Z62" l="1"/>
  <c r="AA62"/>
  <c r="U62"/>
  <c r="AB62"/>
  <c r="AW134"/>
  <c r="AY134" s="1"/>
  <c r="AT134"/>
  <c r="K134"/>
  <c r="BD134"/>
  <c r="BF134" s="1"/>
  <c r="BA134"/>
  <c r="A136"/>
  <c r="D136"/>
  <c r="F135" s="1"/>
  <c r="B136"/>
  <c r="C137"/>
  <c r="AS136"/>
  <c r="BE134"/>
  <c r="BG134" s="1"/>
  <c r="O133"/>
  <c r="Y133" s="1"/>
  <c r="W133"/>
  <c r="BB135"/>
  <c r="AN135"/>
  <c r="BC135" s="1"/>
  <c r="AV135"/>
  <c r="AU135"/>
  <c r="AP135"/>
  <c r="I135"/>
  <c r="Q135"/>
  <c r="E135"/>
  <c r="AX134"/>
  <c r="AZ134" s="1"/>
  <c r="F134"/>
  <c r="M63" l="1"/>
  <c r="AG62"/>
  <c r="P63"/>
  <c r="X63" s="1"/>
  <c r="AF62"/>
  <c r="L63"/>
  <c r="U63"/>
  <c r="AA63" s="1"/>
  <c r="AG63" s="1"/>
  <c r="N63"/>
  <c r="AH62"/>
  <c r="AO135"/>
  <c r="AR134"/>
  <c r="T135"/>
  <c r="H135"/>
  <c r="BE135"/>
  <c r="BG135" s="1"/>
  <c r="T134"/>
  <c r="S135" s="1"/>
  <c r="H134"/>
  <c r="BA135"/>
  <c r="BD135"/>
  <c r="BF135" s="1"/>
  <c r="AS137"/>
  <c r="D137"/>
  <c r="F136" s="1"/>
  <c r="T136" s="1"/>
  <c r="S137" s="1"/>
  <c r="C138"/>
  <c r="B137"/>
  <c r="A137"/>
  <c r="AU136"/>
  <c r="I136"/>
  <c r="AV136"/>
  <c r="AP136"/>
  <c r="AN136"/>
  <c r="AO136" s="1"/>
  <c r="BB136"/>
  <c r="Q136"/>
  <c r="E136"/>
  <c r="O134"/>
  <c r="Y134" s="1"/>
  <c r="W134"/>
  <c r="R135"/>
  <c r="AX135"/>
  <c r="AZ135" s="1"/>
  <c r="AW135"/>
  <c r="AY135" s="1"/>
  <c r="K135"/>
  <c r="AT135"/>
  <c r="G124"/>
  <c r="G125" s="1"/>
  <c r="G126" s="1"/>
  <c r="G127" s="1"/>
  <c r="G128" s="1"/>
  <c r="G129" s="1"/>
  <c r="G130" s="1"/>
  <c r="G131" s="1"/>
  <c r="G132" s="1"/>
  <c r="G133" s="1"/>
  <c r="G134" s="1"/>
  <c r="G135" s="1"/>
  <c r="Z63" l="1"/>
  <c r="AB63"/>
  <c r="AR135"/>
  <c r="BC136"/>
  <c r="BA136" s="1"/>
  <c r="O135"/>
  <c r="Y135" s="1"/>
  <c r="W135"/>
  <c r="V135"/>
  <c r="BD136"/>
  <c r="BF136" s="1"/>
  <c r="AX136"/>
  <c r="AZ136" s="1"/>
  <c r="AN137"/>
  <c r="BC137" s="1"/>
  <c r="BB137"/>
  <c r="AU137"/>
  <c r="I137"/>
  <c r="Q137"/>
  <c r="AP137"/>
  <c r="AV137"/>
  <c r="E137"/>
  <c r="R137" s="1"/>
  <c r="AS138"/>
  <c r="C139"/>
  <c r="D138"/>
  <c r="B138"/>
  <c r="A138"/>
  <c r="AT136"/>
  <c r="K136"/>
  <c r="AW136"/>
  <c r="AY136" s="1"/>
  <c r="S136"/>
  <c r="H136"/>
  <c r="R136"/>
  <c r="AF63" l="1"/>
  <c r="P64"/>
  <c r="U64" s="1"/>
  <c r="Z64" s="1"/>
  <c r="AO137"/>
  <c r="AH63"/>
  <c r="AR136"/>
  <c r="BE137"/>
  <c r="BG137" s="1"/>
  <c r="O136"/>
  <c r="W136"/>
  <c r="BD137"/>
  <c r="BF137" s="1"/>
  <c r="BA137"/>
  <c r="F137"/>
  <c r="Q138"/>
  <c r="AN138"/>
  <c r="BC138" s="1"/>
  <c r="I138"/>
  <c r="AP138"/>
  <c r="AU138"/>
  <c r="BB138"/>
  <c r="AV138"/>
  <c r="E138"/>
  <c r="C140"/>
  <c r="B139"/>
  <c r="D139"/>
  <c r="R138"/>
  <c r="AS139"/>
  <c r="A139"/>
  <c r="AT137"/>
  <c r="K137"/>
  <c r="AW137"/>
  <c r="AY137" s="1"/>
  <c r="AX137"/>
  <c r="AZ137" s="1"/>
  <c r="BE136"/>
  <c r="BG136" s="1"/>
  <c r="AF64" l="1"/>
  <c r="AA64"/>
  <c r="AB64"/>
  <c r="AR137"/>
  <c r="AO138"/>
  <c r="AV139"/>
  <c r="AU139"/>
  <c r="Q139"/>
  <c r="I139"/>
  <c r="AN139"/>
  <c r="AO139" s="1"/>
  <c r="BB139"/>
  <c r="AP139"/>
  <c r="E139"/>
  <c r="BA138"/>
  <c r="BD138"/>
  <c r="BF138" s="1"/>
  <c r="T137"/>
  <c r="S138" s="1"/>
  <c r="H137"/>
  <c r="Y136"/>
  <c r="AX138"/>
  <c r="AZ138" s="1"/>
  <c r="BE138"/>
  <c r="BG138" s="1"/>
  <c r="O137"/>
  <c r="W137"/>
  <c r="B140"/>
  <c r="R139"/>
  <c r="AS140"/>
  <c r="A140"/>
  <c r="C141"/>
  <c r="D140"/>
  <c r="K138"/>
  <c r="AT138"/>
  <c r="AW138"/>
  <c r="AY138" s="1"/>
  <c r="F138"/>
  <c r="AH64" l="1"/>
  <c r="P65"/>
  <c r="AG64"/>
  <c r="F139"/>
  <c r="H139" s="1"/>
  <c r="AR138"/>
  <c r="BD139"/>
  <c r="BF139" s="1"/>
  <c r="Y137"/>
  <c r="O138"/>
  <c r="W138"/>
  <c r="AN140"/>
  <c r="AO140" s="1"/>
  <c r="Q140"/>
  <c r="BB140"/>
  <c r="AP140"/>
  <c r="AV140"/>
  <c r="I140"/>
  <c r="AU140"/>
  <c r="E140"/>
  <c r="AX139"/>
  <c r="AZ139" s="1"/>
  <c r="BC139"/>
  <c r="BA139" s="1"/>
  <c r="T138"/>
  <c r="S139" s="1"/>
  <c r="H138"/>
  <c r="D141"/>
  <c r="C142"/>
  <c r="AS141"/>
  <c r="A141"/>
  <c r="B141"/>
  <c r="F140" s="1"/>
  <c r="T140" s="1"/>
  <c r="AW139"/>
  <c r="AY139" s="1"/>
  <c r="K139"/>
  <c r="AT139"/>
  <c r="S141" l="1"/>
  <c r="AR139"/>
  <c r="T139"/>
  <c r="BC140"/>
  <c r="BA140" s="1"/>
  <c r="Z65"/>
  <c r="U65"/>
  <c r="AA65"/>
  <c r="AB65"/>
  <c r="S140"/>
  <c r="H140"/>
  <c r="AX140"/>
  <c r="AZ140" s="1"/>
  <c r="BD140"/>
  <c r="BF140" s="1"/>
  <c r="Y138"/>
  <c r="AS142"/>
  <c r="C143"/>
  <c r="B142"/>
  <c r="D142"/>
  <c r="A142"/>
  <c r="O139"/>
  <c r="W139"/>
  <c r="BB141"/>
  <c r="AN141"/>
  <c r="AO141" s="1"/>
  <c r="AP141"/>
  <c r="AV141"/>
  <c r="Q141"/>
  <c r="AU141"/>
  <c r="I141"/>
  <c r="E141"/>
  <c r="R141" s="1"/>
  <c r="BE139"/>
  <c r="BG139" s="1"/>
  <c r="AW140"/>
  <c r="AY140" s="1"/>
  <c r="AR140" s="1"/>
  <c r="K140"/>
  <c r="AT140"/>
  <c r="R140"/>
  <c r="F141" l="1"/>
  <c r="T141" s="1"/>
  <c r="S142" s="1"/>
  <c r="AH65"/>
  <c r="P66"/>
  <c r="AF65"/>
  <c r="BE140"/>
  <c r="BG140" s="1"/>
  <c r="AG65"/>
  <c r="AT141"/>
  <c r="K141"/>
  <c r="AW141"/>
  <c r="AY141" s="1"/>
  <c r="I142"/>
  <c r="BB142"/>
  <c r="AN142"/>
  <c r="AO142" s="1"/>
  <c r="AU142"/>
  <c r="AV142"/>
  <c r="Q142"/>
  <c r="AP142"/>
  <c r="E142"/>
  <c r="R142" s="1"/>
  <c r="BC141"/>
  <c r="BA141" s="1"/>
  <c r="AX141"/>
  <c r="AZ141" s="1"/>
  <c r="BD141"/>
  <c r="BF141" s="1"/>
  <c r="C144"/>
  <c r="AS143"/>
  <c r="D143"/>
  <c r="A143"/>
  <c r="B143"/>
  <c r="F142" s="1"/>
  <c r="O140"/>
  <c r="W140"/>
  <c r="Y139"/>
  <c r="H141" l="1"/>
  <c r="U66"/>
  <c r="AB66" s="1"/>
  <c r="BC142"/>
  <c r="Y140"/>
  <c r="AR141"/>
  <c r="T142"/>
  <c r="S143" s="1"/>
  <c r="H142"/>
  <c r="AX142"/>
  <c r="AZ142" s="1"/>
  <c r="AU143"/>
  <c r="I143"/>
  <c r="Q143"/>
  <c r="AP143"/>
  <c r="AV143"/>
  <c r="BB143"/>
  <c r="AN143"/>
  <c r="BC143" s="1"/>
  <c r="E143"/>
  <c r="R143" s="1"/>
  <c r="D144"/>
  <c r="A144"/>
  <c r="C145"/>
  <c r="AS144"/>
  <c r="B144"/>
  <c r="BE141"/>
  <c r="BG141" s="1"/>
  <c r="BD142"/>
  <c r="BF142" s="1"/>
  <c r="BA142"/>
  <c r="O141"/>
  <c r="Y141" s="1"/>
  <c r="W141"/>
  <c r="BE142"/>
  <c r="BG142" s="1"/>
  <c r="K142"/>
  <c r="AT142"/>
  <c r="AW142"/>
  <c r="AY142" s="1"/>
  <c r="AH66" l="1"/>
  <c r="Z66"/>
  <c r="AA66"/>
  <c r="AG66" s="1"/>
  <c r="F143"/>
  <c r="T143" s="1"/>
  <c r="S144" s="1"/>
  <c r="BE143"/>
  <c r="BG143" s="1"/>
  <c r="A145"/>
  <c r="D145"/>
  <c r="B145"/>
  <c r="C146"/>
  <c r="AS145"/>
  <c r="AO143"/>
  <c r="K143"/>
  <c r="AT143"/>
  <c r="AW143"/>
  <c r="AY143" s="1"/>
  <c r="AX143"/>
  <c r="AZ143" s="1"/>
  <c r="O142"/>
  <c r="Y142" s="1"/>
  <c r="W142"/>
  <c r="AV144"/>
  <c r="BB144"/>
  <c r="AU144"/>
  <c r="I144"/>
  <c r="AN144"/>
  <c r="BC144" s="1"/>
  <c r="Q144"/>
  <c r="AP144"/>
  <c r="E144"/>
  <c r="BA143"/>
  <c r="BD143"/>
  <c r="BF143" s="1"/>
  <c r="AR142"/>
  <c r="P67" l="1"/>
  <c r="AF66"/>
  <c r="H143"/>
  <c r="F144"/>
  <c r="T144" s="1"/>
  <c r="S145" s="1"/>
  <c r="BE144"/>
  <c r="BG144" s="1"/>
  <c r="AR143"/>
  <c r="O143"/>
  <c r="Y143" s="1"/>
  <c r="W143"/>
  <c r="AX144"/>
  <c r="AZ144" s="1"/>
  <c r="AO144"/>
  <c r="R144"/>
  <c r="BD144"/>
  <c r="BF144" s="1"/>
  <c r="BA144"/>
  <c r="AW144"/>
  <c r="AY144" s="1"/>
  <c r="K144"/>
  <c r="AT144"/>
  <c r="C147"/>
  <c r="AS146"/>
  <c r="D146"/>
  <c r="A146"/>
  <c r="B146"/>
  <c r="AV145"/>
  <c r="Q145"/>
  <c r="AU145"/>
  <c r="AN145"/>
  <c r="BC145" s="1"/>
  <c r="AP145"/>
  <c r="BB145"/>
  <c r="I145"/>
  <c r="E145"/>
  <c r="R145" s="1"/>
  <c r="H144"/>
  <c r="AA67" l="1"/>
  <c r="AG67" s="1"/>
  <c r="U67"/>
  <c r="Z67" s="1"/>
  <c r="AR144"/>
  <c r="BE145"/>
  <c r="BG145" s="1"/>
  <c r="O144"/>
  <c r="Y144" s="1"/>
  <c r="W144"/>
  <c r="F145"/>
  <c r="AX145"/>
  <c r="AZ145" s="1"/>
  <c r="AO145"/>
  <c r="BD145"/>
  <c r="BF145" s="1"/>
  <c r="BA145"/>
  <c r="AT145"/>
  <c r="K145"/>
  <c r="AW145"/>
  <c r="AY145" s="1"/>
  <c r="BB146"/>
  <c r="Q146"/>
  <c r="AP146"/>
  <c r="AV146"/>
  <c r="AU146"/>
  <c r="AN146"/>
  <c r="AO146" s="1"/>
  <c r="I146"/>
  <c r="E146"/>
  <c r="R146" s="1"/>
  <c r="D147"/>
  <c r="C148"/>
  <c r="A147"/>
  <c r="AS147" s="1"/>
  <c r="B147"/>
  <c r="AB67" l="1"/>
  <c r="P68" s="1"/>
  <c r="AF67"/>
  <c r="AR145"/>
  <c r="C149"/>
  <c r="AS148"/>
  <c r="A148"/>
  <c r="B148"/>
  <c r="D148"/>
  <c r="AP147"/>
  <c r="Q147"/>
  <c r="AV147"/>
  <c r="BB147"/>
  <c r="I147"/>
  <c r="AN147"/>
  <c r="AO147" s="1"/>
  <c r="AU147"/>
  <c r="E147"/>
  <c r="AX146"/>
  <c r="AZ146" s="1"/>
  <c r="BD146"/>
  <c r="BF146" s="1"/>
  <c r="T145"/>
  <c r="S146" s="1"/>
  <c r="H145"/>
  <c r="AW146"/>
  <c r="AY146" s="1"/>
  <c r="K146"/>
  <c r="AT146"/>
  <c r="O145"/>
  <c r="Y145" s="1"/>
  <c r="W145"/>
  <c r="BC146"/>
  <c r="BA146" s="1"/>
  <c r="F146"/>
  <c r="AH67" l="1"/>
  <c r="AR146"/>
  <c r="U68"/>
  <c r="Z68" s="1"/>
  <c r="T146"/>
  <c r="S147" s="1"/>
  <c r="H146"/>
  <c r="G136"/>
  <c r="G137" s="1"/>
  <c r="G138" s="1"/>
  <c r="G139" s="1"/>
  <c r="G140" s="1"/>
  <c r="G141" s="1"/>
  <c r="G142" s="1"/>
  <c r="G143" s="1"/>
  <c r="G144" s="1"/>
  <c r="G145" s="1"/>
  <c r="G146" s="1"/>
  <c r="G147" s="1"/>
  <c r="AX147"/>
  <c r="AZ147" s="1"/>
  <c r="A149"/>
  <c r="AS149"/>
  <c r="C150"/>
  <c r="D149"/>
  <c r="B149"/>
  <c r="F147"/>
  <c r="BC147"/>
  <c r="BA147" s="1"/>
  <c r="BD147"/>
  <c r="BF147" s="1"/>
  <c r="R147"/>
  <c r="BE146"/>
  <c r="BG146" s="1"/>
  <c r="O146"/>
  <c r="Y146" s="1"/>
  <c r="W146"/>
  <c r="AW147"/>
  <c r="AY147" s="1"/>
  <c r="K147"/>
  <c r="AT147"/>
  <c r="Q148"/>
  <c r="AU148"/>
  <c r="AV148"/>
  <c r="AN148"/>
  <c r="AO148" s="1"/>
  <c r="BB148"/>
  <c r="AP148"/>
  <c r="I148"/>
  <c r="E148"/>
  <c r="R148" s="1"/>
  <c r="AA68" l="1"/>
  <c r="AG68" s="1"/>
  <c r="AB68"/>
  <c r="AH68" s="1"/>
  <c r="AF68"/>
  <c r="AR147"/>
  <c r="F148"/>
  <c r="T148" s="1"/>
  <c r="S149" s="1"/>
  <c r="T147"/>
  <c r="H147"/>
  <c r="AX148"/>
  <c r="AZ148" s="1"/>
  <c r="AW148"/>
  <c r="AY148" s="1"/>
  <c r="K148"/>
  <c r="AT148"/>
  <c r="O147"/>
  <c r="Y147" s="1"/>
  <c r="W147"/>
  <c r="V147"/>
  <c r="BE147"/>
  <c r="BG147" s="1"/>
  <c r="C151"/>
  <c r="AS150"/>
  <c r="A150"/>
  <c r="B150"/>
  <c r="D150"/>
  <c r="BC148"/>
  <c r="BA148" s="1"/>
  <c r="BD148"/>
  <c r="BF148" s="1"/>
  <c r="I149"/>
  <c r="AN149"/>
  <c r="AO149" s="1"/>
  <c r="AV149"/>
  <c r="AP149"/>
  <c r="BB149"/>
  <c r="AU149"/>
  <c r="Q149"/>
  <c r="E149"/>
  <c r="R149" s="1"/>
  <c r="F149"/>
  <c r="T149" s="1"/>
  <c r="P69" l="1"/>
  <c r="U69" s="1"/>
  <c r="BC149"/>
  <c r="H148"/>
  <c r="S150"/>
  <c r="AR148"/>
  <c r="AX149"/>
  <c r="AZ149" s="1"/>
  <c r="D151"/>
  <c r="B151"/>
  <c r="C152"/>
  <c r="AS151"/>
  <c r="A151"/>
  <c r="BE149"/>
  <c r="BD149"/>
  <c r="BF149" s="1"/>
  <c r="BE148"/>
  <c r="BG148" s="1"/>
  <c r="AP150"/>
  <c r="I150"/>
  <c r="AN150"/>
  <c r="AO150" s="1"/>
  <c r="AU150"/>
  <c r="AV150"/>
  <c r="BB150"/>
  <c r="Q150"/>
  <c r="E150"/>
  <c r="AW149"/>
  <c r="AY149" s="1"/>
  <c r="K149"/>
  <c r="AT149"/>
  <c r="O148"/>
  <c r="W148"/>
  <c r="S148"/>
  <c r="H149"/>
  <c r="AA69" l="1"/>
  <c r="AB69"/>
  <c r="AH69" s="1"/>
  <c r="Z69"/>
  <c r="AF69" s="1"/>
  <c r="F150"/>
  <c r="T150" s="1"/>
  <c r="S151" s="1"/>
  <c r="AG69"/>
  <c r="BG149"/>
  <c r="BA149"/>
  <c r="AT150"/>
  <c r="K150"/>
  <c r="AW150"/>
  <c r="AY150" s="1"/>
  <c r="AP151"/>
  <c r="AV151"/>
  <c r="AU151"/>
  <c r="I151"/>
  <c r="AN151"/>
  <c r="AO151" s="1"/>
  <c r="BB151"/>
  <c r="Q151"/>
  <c r="E151"/>
  <c r="R151" s="1"/>
  <c r="Y148"/>
  <c r="AS152"/>
  <c r="A152"/>
  <c r="C153"/>
  <c r="D152"/>
  <c r="B152"/>
  <c r="BC150"/>
  <c r="O149"/>
  <c r="W149"/>
  <c r="AX150"/>
  <c r="AZ150" s="1"/>
  <c r="H150"/>
  <c r="R150"/>
  <c r="BD150"/>
  <c r="BF150" s="1"/>
  <c r="AR149"/>
  <c r="P70" l="1"/>
  <c r="AR150"/>
  <c r="BE150"/>
  <c r="BG150" s="1"/>
  <c r="AS153"/>
  <c r="C154"/>
  <c r="D153"/>
  <c r="A153"/>
  <c r="B153"/>
  <c r="BD151"/>
  <c r="BF151" s="1"/>
  <c r="F151"/>
  <c r="BC151"/>
  <c r="AX151"/>
  <c r="AZ151" s="1"/>
  <c r="Y149"/>
  <c r="AP152"/>
  <c r="Q152"/>
  <c r="BB152"/>
  <c r="AU152"/>
  <c r="I152"/>
  <c r="AN152"/>
  <c r="AO152" s="1"/>
  <c r="AV152"/>
  <c r="E152"/>
  <c r="AW151"/>
  <c r="AY151" s="1"/>
  <c r="K151"/>
  <c r="AT151"/>
  <c r="O150"/>
  <c r="W150"/>
  <c r="BA150"/>
  <c r="Z70" l="1"/>
  <c r="AF70" s="1"/>
  <c r="U70"/>
  <c r="AR151"/>
  <c r="BC152"/>
  <c r="BA152" s="1"/>
  <c r="F152"/>
  <c r="O151"/>
  <c r="W151"/>
  <c r="BD152"/>
  <c r="BF152" s="1"/>
  <c r="Q153"/>
  <c r="I153"/>
  <c r="BB153"/>
  <c r="AN153"/>
  <c r="AO153" s="1"/>
  <c r="AU153"/>
  <c r="AV153"/>
  <c r="AP153"/>
  <c r="E153"/>
  <c r="R153" s="1"/>
  <c r="Y150"/>
  <c r="AX152"/>
  <c r="AZ152" s="1"/>
  <c r="T151"/>
  <c r="S152" s="1"/>
  <c r="H151"/>
  <c r="C155"/>
  <c r="B154"/>
  <c r="A154"/>
  <c r="D154"/>
  <c r="AS154"/>
  <c r="AT152"/>
  <c r="K152"/>
  <c r="AW152"/>
  <c r="AY152" s="1"/>
  <c r="AR152" s="1"/>
  <c r="BE151"/>
  <c r="BG151" s="1"/>
  <c r="BA151"/>
  <c r="R152"/>
  <c r="AB70" l="1"/>
  <c r="AH70" s="1"/>
  <c r="AA70"/>
  <c r="AG70" s="1"/>
  <c r="F153"/>
  <c r="T153" s="1"/>
  <c r="O152"/>
  <c r="W152"/>
  <c r="Q154"/>
  <c r="AV154"/>
  <c r="BB154"/>
  <c r="I154"/>
  <c r="AU154"/>
  <c r="AP154"/>
  <c r="AN154"/>
  <c r="BC154" s="1"/>
  <c r="E154"/>
  <c r="R154" s="1"/>
  <c r="AS155"/>
  <c r="A155"/>
  <c r="C156"/>
  <c r="D155"/>
  <c r="B155"/>
  <c r="AX153"/>
  <c r="AZ153" s="1"/>
  <c r="Y151"/>
  <c r="Y152" s="1"/>
  <c r="BC153"/>
  <c r="BA153" s="1"/>
  <c r="BD153"/>
  <c r="BF153" s="1"/>
  <c r="T152"/>
  <c r="S153" s="1"/>
  <c r="H152"/>
  <c r="S154"/>
  <c r="AT153"/>
  <c r="K153"/>
  <c r="AW153"/>
  <c r="AY153" s="1"/>
  <c r="BE152"/>
  <c r="BG152" s="1"/>
  <c r="H153" l="1"/>
  <c r="P71"/>
  <c r="F154"/>
  <c r="T154" s="1"/>
  <c r="S155" s="1"/>
  <c r="BE154"/>
  <c r="BG154" s="1"/>
  <c r="AR153"/>
  <c r="BE153"/>
  <c r="BG153" s="1"/>
  <c r="Q155"/>
  <c r="AU155"/>
  <c r="AN155"/>
  <c r="BC155" s="1"/>
  <c r="AV155"/>
  <c r="AP155"/>
  <c r="BB155"/>
  <c r="I155"/>
  <c r="E155"/>
  <c r="R155" s="1"/>
  <c r="BD154"/>
  <c r="BF154" s="1"/>
  <c r="BA154"/>
  <c r="AS156"/>
  <c r="C157"/>
  <c r="D156"/>
  <c r="A156"/>
  <c r="B156"/>
  <c r="AW154"/>
  <c r="AY154" s="1"/>
  <c r="K154"/>
  <c r="AT154"/>
  <c r="AX154"/>
  <c r="AZ154" s="1"/>
  <c r="H154"/>
  <c r="O153"/>
  <c r="Y153" s="1"/>
  <c r="W153"/>
  <c r="AO154"/>
  <c r="U71" l="1"/>
  <c r="Z71"/>
  <c r="AA71"/>
  <c r="AB71"/>
  <c r="N75"/>
  <c r="L75"/>
  <c r="M75"/>
  <c r="BE155"/>
  <c r="BG155" s="1"/>
  <c r="AO155"/>
  <c r="O154"/>
  <c r="W154"/>
  <c r="AP156"/>
  <c r="AN156"/>
  <c r="AO156" s="1"/>
  <c r="Q156"/>
  <c r="I156"/>
  <c r="BB156"/>
  <c r="BC156"/>
  <c r="AU156"/>
  <c r="AV156"/>
  <c r="E156"/>
  <c r="R156" s="1"/>
  <c r="AX155"/>
  <c r="AZ155" s="1"/>
  <c r="AT155"/>
  <c r="K155"/>
  <c r="AW155"/>
  <c r="AY155" s="1"/>
  <c r="Y154"/>
  <c r="F155"/>
  <c r="B157"/>
  <c r="AS157"/>
  <c r="A157"/>
  <c r="D157"/>
  <c r="C158"/>
  <c r="BD155"/>
  <c r="BF155" s="1"/>
  <c r="BA155"/>
  <c r="AR154"/>
  <c r="AF71" l="1"/>
  <c r="P72"/>
  <c r="U72" s="1"/>
  <c r="AB72" s="1"/>
  <c r="AG71"/>
  <c r="AH71"/>
  <c r="AR155"/>
  <c r="F156"/>
  <c r="T156" s="1"/>
  <c r="D158"/>
  <c r="A158"/>
  <c r="B158"/>
  <c r="AS158"/>
  <c r="C159"/>
  <c r="T155"/>
  <c r="S156" s="1"/>
  <c r="H155"/>
  <c r="BE156"/>
  <c r="BG156" s="1"/>
  <c r="O155"/>
  <c r="W155"/>
  <c r="K156"/>
  <c r="AT156"/>
  <c r="AW156"/>
  <c r="AY156" s="1"/>
  <c r="H156"/>
  <c r="AX156"/>
  <c r="AZ156" s="1"/>
  <c r="S157"/>
  <c r="AN157"/>
  <c r="AO157" s="1"/>
  <c r="I157"/>
  <c r="Q157"/>
  <c r="BC157"/>
  <c r="AU157"/>
  <c r="AV157"/>
  <c r="BB157"/>
  <c r="AP157"/>
  <c r="E157"/>
  <c r="F157"/>
  <c r="T157" s="1"/>
  <c r="S158" s="1"/>
  <c r="BD156"/>
  <c r="BF156" s="1"/>
  <c r="BA156"/>
  <c r="Y155"/>
  <c r="AH72" l="1"/>
  <c r="AA72"/>
  <c r="Z72"/>
  <c r="H157"/>
  <c r="AR156"/>
  <c r="K157"/>
  <c r="AW157"/>
  <c r="AY157" s="1"/>
  <c r="AT157"/>
  <c r="AX157"/>
  <c r="AZ157" s="1"/>
  <c r="B159"/>
  <c r="D159"/>
  <c r="C160"/>
  <c r="A159"/>
  <c r="R157"/>
  <c r="BE157"/>
  <c r="BG157" s="1"/>
  <c r="AV158"/>
  <c r="AN158"/>
  <c r="BC158" s="1"/>
  <c r="AU158"/>
  <c r="BB158"/>
  <c r="Q158"/>
  <c r="AP158"/>
  <c r="I158"/>
  <c r="E158"/>
  <c r="R158" s="1"/>
  <c r="BA157"/>
  <c r="BD157"/>
  <c r="BF157" s="1"/>
  <c r="O156"/>
  <c r="Y156" s="1"/>
  <c r="W156"/>
  <c r="P73" l="1"/>
  <c r="AF72"/>
  <c r="AG72"/>
  <c r="F158"/>
  <c r="T158" s="1"/>
  <c r="S159" s="1"/>
  <c r="AO158"/>
  <c r="AR157"/>
  <c r="C161"/>
  <c r="D160"/>
  <c r="AS160"/>
  <c r="B160"/>
  <c r="A160"/>
  <c r="H158"/>
  <c r="AW158"/>
  <c r="AY158" s="1"/>
  <c r="AT158"/>
  <c r="K158"/>
  <c r="F159"/>
  <c r="T159" s="1"/>
  <c r="BD158"/>
  <c r="BF158" s="1"/>
  <c r="BA158"/>
  <c r="AX158"/>
  <c r="AZ158" s="1"/>
  <c r="BB159"/>
  <c r="I159"/>
  <c r="AV159"/>
  <c r="AP159"/>
  <c r="AN159"/>
  <c r="BC159" s="1"/>
  <c r="AU159"/>
  <c r="Q159"/>
  <c r="E159"/>
  <c r="R159" s="1"/>
  <c r="BE158"/>
  <c r="BG158" s="1"/>
  <c r="O157"/>
  <c r="Y157" s="1"/>
  <c r="W157"/>
  <c r="AS159"/>
  <c r="U73" l="1"/>
  <c r="AB73"/>
  <c r="BE159"/>
  <c r="BG159" s="1"/>
  <c r="K159"/>
  <c r="AT159"/>
  <c r="AW159"/>
  <c r="AY159" s="1"/>
  <c r="G148"/>
  <c r="G149" s="1"/>
  <c r="G150" s="1"/>
  <c r="G151" s="1"/>
  <c r="G152" s="1"/>
  <c r="G153" s="1"/>
  <c r="G154" s="1"/>
  <c r="G155" s="1"/>
  <c r="G156" s="1"/>
  <c r="G157" s="1"/>
  <c r="G158" s="1"/>
  <c r="G159" s="1"/>
  <c r="AO159"/>
  <c r="H159"/>
  <c r="BA159"/>
  <c r="BD159"/>
  <c r="BF159" s="1"/>
  <c r="C162"/>
  <c r="A161"/>
  <c r="B161"/>
  <c r="AS161"/>
  <c r="D161"/>
  <c r="O158"/>
  <c r="Y158" s="1"/>
  <c r="W158"/>
  <c r="BB160"/>
  <c r="Q160"/>
  <c r="AN160"/>
  <c r="AO160" s="1"/>
  <c r="AV160"/>
  <c r="I160"/>
  <c r="AU160"/>
  <c r="AP160"/>
  <c r="E160"/>
  <c r="AX159"/>
  <c r="AZ159" s="1"/>
  <c r="S160"/>
  <c r="AR158"/>
  <c r="Z73" l="1"/>
  <c r="AA73"/>
  <c r="AG73" s="1"/>
  <c r="AH73"/>
  <c r="BC160"/>
  <c r="BE160" s="1"/>
  <c r="BG160" s="1"/>
  <c r="AR159"/>
  <c r="R160"/>
  <c r="K160"/>
  <c r="AT160"/>
  <c r="AW160"/>
  <c r="AY160" s="1"/>
  <c r="O159"/>
  <c r="Y159" s="1"/>
  <c r="W159"/>
  <c r="V159"/>
  <c r="F160"/>
  <c r="D162"/>
  <c r="C163"/>
  <c r="A162"/>
  <c r="B162"/>
  <c r="AS162"/>
  <c r="AX160"/>
  <c r="AZ160" s="1"/>
  <c r="BD160"/>
  <c r="BF160" s="1"/>
  <c r="BB161"/>
  <c r="Q161"/>
  <c r="AP161"/>
  <c r="AU161"/>
  <c r="I161"/>
  <c r="AV161"/>
  <c r="AN161"/>
  <c r="AO161" s="1"/>
  <c r="E161"/>
  <c r="AF73" l="1"/>
  <c r="P74"/>
  <c r="BA160"/>
  <c r="AR160"/>
  <c r="AT161"/>
  <c r="K161"/>
  <c r="AW161"/>
  <c r="AY161" s="1"/>
  <c r="D163"/>
  <c r="AS163"/>
  <c r="A163"/>
  <c r="B163"/>
  <c r="C164"/>
  <c r="BC161"/>
  <c r="BA161" s="1"/>
  <c r="T160"/>
  <c r="S161" s="1"/>
  <c r="H160"/>
  <c r="O160"/>
  <c r="Y160" s="1"/>
  <c r="W160"/>
  <c r="F161"/>
  <c r="BD161"/>
  <c r="BF161" s="1"/>
  <c r="AP162"/>
  <c r="I162"/>
  <c r="BB162"/>
  <c r="AN162"/>
  <c r="BC162" s="1"/>
  <c r="AV162"/>
  <c r="AU162"/>
  <c r="Q162"/>
  <c r="E162"/>
  <c r="AX161"/>
  <c r="AZ161" s="1"/>
  <c r="R161"/>
  <c r="U74" l="1"/>
  <c r="AB74"/>
  <c r="AH74" s="1"/>
  <c r="AO162"/>
  <c r="F162"/>
  <c r="T162" s="1"/>
  <c r="AR161"/>
  <c r="C165"/>
  <c r="A164"/>
  <c r="B164"/>
  <c r="AS164"/>
  <c r="D164"/>
  <c r="S163"/>
  <c r="BE162"/>
  <c r="BG162" s="1"/>
  <c r="T161"/>
  <c r="S162" s="1"/>
  <c r="H161"/>
  <c r="BA162"/>
  <c r="BD162"/>
  <c r="BF162" s="1"/>
  <c r="O161"/>
  <c r="Y161" s="1"/>
  <c r="W161"/>
  <c r="H162"/>
  <c r="R162"/>
  <c r="AX162"/>
  <c r="AZ162" s="1"/>
  <c r="AT162"/>
  <c r="AW162"/>
  <c r="AY162" s="1"/>
  <c r="K162"/>
  <c r="BE161"/>
  <c r="BG161" s="1"/>
  <c r="BB163"/>
  <c r="AP163"/>
  <c r="AN163"/>
  <c r="BC163" s="1"/>
  <c r="I163"/>
  <c r="AU163"/>
  <c r="Q163"/>
  <c r="AV163"/>
  <c r="E163"/>
  <c r="AA74" l="1"/>
  <c r="Z74"/>
  <c r="BE163"/>
  <c r="BG163" s="1"/>
  <c r="I164"/>
  <c r="Q164"/>
  <c r="AN164"/>
  <c r="BC164" s="1"/>
  <c r="AV164"/>
  <c r="AP164"/>
  <c r="BB164"/>
  <c r="AU164"/>
  <c r="E164"/>
  <c r="AX163"/>
  <c r="AZ163" s="1"/>
  <c r="AR162"/>
  <c r="AO163"/>
  <c r="F163"/>
  <c r="AW163"/>
  <c r="AY163" s="1"/>
  <c r="AT163"/>
  <c r="K163"/>
  <c r="O162"/>
  <c r="Y162" s="1"/>
  <c r="W162"/>
  <c r="BD163"/>
  <c r="BF163" s="1"/>
  <c r="BA163"/>
  <c r="C166"/>
  <c r="A165"/>
  <c r="B165"/>
  <c r="AS165"/>
  <c r="R164"/>
  <c r="D165"/>
  <c r="R163"/>
  <c r="AG74" l="1"/>
  <c r="AF74"/>
  <c r="P75"/>
  <c r="AO164"/>
  <c r="BE164"/>
  <c r="BG164" s="1"/>
  <c r="Q165"/>
  <c r="BB165"/>
  <c r="AP165"/>
  <c r="AV165"/>
  <c r="AN165"/>
  <c r="AO165" s="1"/>
  <c r="AU165"/>
  <c r="I165"/>
  <c r="E165"/>
  <c r="R165" s="1"/>
  <c r="K164"/>
  <c r="AW164"/>
  <c r="AY164" s="1"/>
  <c r="AT164"/>
  <c r="AX164"/>
  <c r="AZ164" s="1"/>
  <c r="O163"/>
  <c r="Y163" s="1"/>
  <c r="W163"/>
  <c r="AS166"/>
  <c r="A166"/>
  <c r="B166"/>
  <c r="C167"/>
  <c r="D166"/>
  <c r="T163"/>
  <c r="S164" s="1"/>
  <c r="H163"/>
  <c r="BA164"/>
  <c r="BD164"/>
  <c r="BF164" s="1"/>
  <c r="AR163"/>
  <c r="F164"/>
  <c r="U75" l="1"/>
  <c r="X75"/>
  <c r="F165"/>
  <c r="H165" s="1"/>
  <c r="AR164"/>
  <c r="K165"/>
  <c r="AW165"/>
  <c r="AY165" s="1"/>
  <c r="AT165"/>
  <c r="BD165"/>
  <c r="BF165" s="1"/>
  <c r="T164"/>
  <c r="S165" s="1"/>
  <c r="H164"/>
  <c r="BC165"/>
  <c r="AV166"/>
  <c r="AU166"/>
  <c r="AN166"/>
  <c r="AO166" s="1"/>
  <c r="BB166"/>
  <c r="AP166"/>
  <c r="I166"/>
  <c r="Q166"/>
  <c r="E166"/>
  <c r="B167"/>
  <c r="AS167"/>
  <c r="D167"/>
  <c r="C168"/>
  <c r="A167"/>
  <c r="O164"/>
  <c r="Y164" s="1"/>
  <c r="W164"/>
  <c r="AX165"/>
  <c r="AZ165" s="1"/>
  <c r="AB75" l="1"/>
  <c r="AA75"/>
  <c r="Z75"/>
  <c r="F166"/>
  <c r="T166" s="1"/>
  <c r="S167" s="1"/>
  <c r="BC166"/>
  <c r="BE166" s="1"/>
  <c r="BG166" s="1"/>
  <c r="T165"/>
  <c r="S166" s="1"/>
  <c r="AR165"/>
  <c r="A168"/>
  <c r="B168"/>
  <c r="AS168"/>
  <c r="C169"/>
  <c r="D168"/>
  <c r="AW166"/>
  <c r="AY166" s="1"/>
  <c r="AT166"/>
  <c r="K166"/>
  <c r="BE165"/>
  <c r="BG165" s="1"/>
  <c r="R166"/>
  <c r="BA165"/>
  <c r="O165"/>
  <c r="Y165" s="1"/>
  <c r="W165"/>
  <c r="BB167"/>
  <c r="I167"/>
  <c r="Q167"/>
  <c r="AP167"/>
  <c r="AU167"/>
  <c r="AN167"/>
  <c r="AO167" s="1"/>
  <c r="AV167"/>
  <c r="E167"/>
  <c r="BA166"/>
  <c r="BD166"/>
  <c r="BF166" s="1"/>
  <c r="AX166"/>
  <c r="AZ166" s="1"/>
  <c r="F167" l="1"/>
  <c r="T167" s="1"/>
  <c r="AH75"/>
  <c r="AG75"/>
  <c r="P76"/>
  <c r="AF75"/>
  <c r="H166"/>
  <c r="S168"/>
  <c r="AR166"/>
  <c r="BC167"/>
  <c r="BA167" s="1"/>
  <c r="AX167"/>
  <c r="AZ167" s="1"/>
  <c r="AW167"/>
  <c r="AY167" s="1"/>
  <c r="K167"/>
  <c r="AT167"/>
  <c r="BD167"/>
  <c r="BF167" s="1"/>
  <c r="C170"/>
  <c r="B169"/>
  <c r="A169"/>
  <c r="AS169"/>
  <c r="D169"/>
  <c r="BB168"/>
  <c r="AN168"/>
  <c r="AO168" s="1"/>
  <c r="AU168"/>
  <c r="Q168"/>
  <c r="AP168"/>
  <c r="AV168"/>
  <c r="I168"/>
  <c r="E168"/>
  <c r="BE167"/>
  <c r="BG167" s="1"/>
  <c r="O166"/>
  <c r="Y166" s="1"/>
  <c r="W166"/>
  <c r="H167"/>
  <c r="R167"/>
  <c r="F168" l="1"/>
  <c r="T168" s="1"/>
  <c r="S169" s="1"/>
  <c r="AB76"/>
  <c r="AH76" s="1"/>
  <c r="U76"/>
  <c r="BD168"/>
  <c r="BF168" s="1"/>
  <c r="AV169"/>
  <c r="AN169"/>
  <c r="AO169" s="1"/>
  <c r="AP169"/>
  <c r="AU169"/>
  <c r="BB169"/>
  <c r="Q169"/>
  <c r="I169"/>
  <c r="E169"/>
  <c r="R169" s="1"/>
  <c r="O167"/>
  <c r="Y167" s="1"/>
  <c r="W167"/>
  <c r="B170"/>
  <c r="D170"/>
  <c r="A170"/>
  <c r="AS170"/>
  <c r="C171"/>
  <c r="AX168"/>
  <c r="AZ168" s="1"/>
  <c r="K168"/>
  <c r="AT168"/>
  <c r="AW168"/>
  <c r="AY168" s="1"/>
  <c r="R168"/>
  <c r="AR167"/>
  <c r="F169"/>
  <c r="T169" s="1"/>
  <c r="S170" s="1"/>
  <c r="H168"/>
  <c r="BC168"/>
  <c r="BA168" s="1"/>
  <c r="AA76" l="1"/>
  <c r="Z76"/>
  <c r="AR168"/>
  <c r="BC169"/>
  <c r="BA169" s="1"/>
  <c r="O168"/>
  <c r="Y168" s="1"/>
  <c r="W168"/>
  <c r="H169"/>
  <c r="B171"/>
  <c r="A171"/>
  <c r="AS171" s="1"/>
  <c r="D171"/>
  <c r="C172"/>
  <c r="BE168"/>
  <c r="BG168" s="1"/>
  <c r="Q170"/>
  <c r="AU170"/>
  <c r="AV170"/>
  <c r="AN170"/>
  <c r="BC170" s="1"/>
  <c r="I170"/>
  <c r="AP170"/>
  <c r="BB170"/>
  <c r="E170"/>
  <c r="R170" s="1"/>
  <c r="K169"/>
  <c r="AW169"/>
  <c r="AY169" s="1"/>
  <c r="AT169"/>
  <c r="AX169"/>
  <c r="AZ169" s="1"/>
  <c r="BD169"/>
  <c r="BF169" s="1"/>
  <c r="AG76" l="1"/>
  <c r="AA77"/>
  <c r="AG77" s="1"/>
  <c r="AF76"/>
  <c r="P77"/>
  <c r="U77" s="1"/>
  <c r="AB77" s="1"/>
  <c r="Z77"/>
  <c r="BE169"/>
  <c r="BG169" s="1"/>
  <c r="F170"/>
  <c r="T170" s="1"/>
  <c r="S171" s="1"/>
  <c r="BE170"/>
  <c r="BG170" s="1"/>
  <c r="C173"/>
  <c r="D172"/>
  <c r="B172"/>
  <c r="F171" s="1"/>
  <c r="A172"/>
  <c r="AS172"/>
  <c r="AO170"/>
  <c r="AX170"/>
  <c r="AZ170" s="1"/>
  <c r="BD170"/>
  <c r="BF170" s="1"/>
  <c r="BA170"/>
  <c r="I171"/>
  <c r="AP171"/>
  <c r="AU171"/>
  <c r="BB171"/>
  <c r="AV171"/>
  <c r="AN171"/>
  <c r="AO171" s="1"/>
  <c r="Q171"/>
  <c r="E171"/>
  <c r="O169"/>
  <c r="Y169" s="1"/>
  <c r="W169"/>
  <c r="AW170"/>
  <c r="AY170" s="1"/>
  <c r="AT170"/>
  <c r="K170"/>
  <c r="AR169"/>
  <c r="AH77" l="1"/>
  <c r="AF77"/>
  <c r="P78"/>
  <c r="U78" s="1"/>
  <c r="T171"/>
  <c r="H171"/>
  <c r="BC171"/>
  <c r="BA171" s="1"/>
  <c r="H170"/>
  <c r="AR170"/>
  <c r="O170"/>
  <c r="Y170" s="1"/>
  <c r="W170"/>
  <c r="BD171"/>
  <c r="BF171" s="1"/>
  <c r="S172"/>
  <c r="I172"/>
  <c r="AU172"/>
  <c r="AN172"/>
  <c r="BC172" s="1"/>
  <c r="BB172"/>
  <c r="Q172"/>
  <c r="AV172"/>
  <c r="AP172"/>
  <c r="E172"/>
  <c r="G160"/>
  <c r="G161" s="1"/>
  <c r="G162" s="1"/>
  <c r="G163" s="1"/>
  <c r="G164" s="1"/>
  <c r="G165" s="1"/>
  <c r="G166" s="1"/>
  <c r="G167" s="1"/>
  <c r="G168" s="1"/>
  <c r="G169" s="1"/>
  <c r="G170" s="1"/>
  <c r="G171" s="1"/>
  <c r="AX171"/>
  <c r="AZ171" s="1"/>
  <c r="K171"/>
  <c r="AT171"/>
  <c r="AW171"/>
  <c r="AY171" s="1"/>
  <c r="C174"/>
  <c r="R172"/>
  <c r="B173"/>
  <c r="AS173"/>
  <c r="A173"/>
  <c r="D173"/>
  <c r="R171"/>
  <c r="AB78" l="1"/>
  <c r="AH78" s="1"/>
  <c r="AA78"/>
  <c r="Z78"/>
  <c r="AG78"/>
  <c r="AO172"/>
  <c r="AR171"/>
  <c r="BE171"/>
  <c r="BG171" s="1"/>
  <c r="O171"/>
  <c r="W171"/>
  <c r="V171"/>
  <c r="AX172"/>
  <c r="AZ172" s="1"/>
  <c r="Y171"/>
  <c r="AV173"/>
  <c r="AN173"/>
  <c r="BC173" s="1"/>
  <c r="Q173"/>
  <c r="I173"/>
  <c r="AU173"/>
  <c r="BB173"/>
  <c r="AP173"/>
  <c r="E173"/>
  <c r="C175"/>
  <c r="A174"/>
  <c r="AS174"/>
  <c r="B174"/>
  <c r="D174"/>
  <c r="BE172"/>
  <c r="BG172" s="1"/>
  <c r="BD172"/>
  <c r="BF172" s="1"/>
  <c r="BA172"/>
  <c r="AW172"/>
  <c r="AY172" s="1"/>
  <c r="AT172"/>
  <c r="K172"/>
  <c r="F172"/>
  <c r="P79" l="1"/>
  <c r="U79" s="1"/>
  <c r="AF78"/>
  <c r="AB79"/>
  <c r="AA79"/>
  <c r="Z79"/>
  <c r="F173"/>
  <c r="T173" s="1"/>
  <c r="AR172"/>
  <c r="BE173"/>
  <c r="BG173" s="1"/>
  <c r="T172"/>
  <c r="S173" s="1"/>
  <c r="H172"/>
  <c r="AS175"/>
  <c r="B175"/>
  <c r="A175"/>
  <c r="D175"/>
  <c r="C176"/>
  <c r="R173"/>
  <c r="AO173"/>
  <c r="O172"/>
  <c r="W172"/>
  <c r="AP174"/>
  <c r="BB174"/>
  <c r="AN174"/>
  <c r="AO174" s="1"/>
  <c r="AV174"/>
  <c r="I174"/>
  <c r="BC174"/>
  <c r="AU174"/>
  <c r="Q174"/>
  <c r="E174"/>
  <c r="R174" s="1"/>
  <c r="Y172"/>
  <c r="AW173"/>
  <c r="K173"/>
  <c r="AT173"/>
  <c r="AY173"/>
  <c r="AX173"/>
  <c r="AZ173" s="1"/>
  <c r="S174"/>
  <c r="F174"/>
  <c r="T174" s="1"/>
  <c r="S175" s="1"/>
  <c r="BD173"/>
  <c r="BF173" s="1"/>
  <c r="BA173"/>
  <c r="H173"/>
  <c r="AH79" l="1"/>
  <c r="AG79"/>
  <c r="AF79"/>
  <c r="P80"/>
  <c r="U80" s="1"/>
  <c r="AW174"/>
  <c r="AY174" s="1"/>
  <c r="K174"/>
  <c r="AT174"/>
  <c r="AX174"/>
  <c r="AZ174" s="1"/>
  <c r="D176"/>
  <c r="C177"/>
  <c r="AS176"/>
  <c r="A176"/>
  <c r="B176"/>
  <c r="F175" s="1"/>
  <c r="T175" s="1"/>
  <c r="S176" s="1"/>
  <c r="H174"/>
  <c r="BD174"/>
  <c r="BF174" s="1"/>
  <c r="BA174"/>
  <c r="O173"/>
  <c r="Y173" s="1"/>
  <c r="W173"/>
  <c r="Q175"/>
  <c r="AU175"/>
  <c r="BB175"/>
  <c r="I175"/>
  <c r="AV175"/>
  <c r="AP175"/>
  <c r="AN175"/>
  <c r="BC175" s="1"/>
  <c r="E175"/>
  <c r="BE174"/>
  <c r="BG174" s="1"/>
  <c r="AR173"/>
  <c r="Z80" l="1"/>
  <c r="AB80"/>
  <c r="AA80"/>
  <c r="AG80" s="1"/>
  <c r="BE175"/>
  <c r="BG175" s="1"/>
  <c r="D177"/>
  <c r="AS177"/>
  <c r="B177"/>
  <c r="C178"/>
  <c r="A177"/>
  <c r="AX175"/>
  <c r="AZ175" s="1"/>
  <c r="AW175"/>
  <c r="AY175" s="1"/>
  <c r="K175"/>
  <c r="AT175"/>
  <c r="AR174"/>
  <c r="H175"/>
  <c r="O174"/>
  <c r="Y174" s="1"/>
  <c r="W174"/>
  <c r="AO175"/>
  <c r="AV176"/>
  <c r="AU176"/>
  <c r="AP176"/>
  <c r="I176"/>
  <c r="BB176"/>
  <c r="AN176"/>
  <c r="AO176" s="1"/>
  <c r="Q176"/>
  <c r="E176"/>
  <c r="BD175"/>
  <c r="BF175" s="1"/>
  <c r="BA175"/>
  <c r="F176"/>
  <c r="T176" s="1"/>
  <c r="S177" s="1"/>
  <c r="R175"/>
  <c r="AF80" l="1"/>
  <c r="P81"/>
  <c r="AH80"/>
  <c r="AR175"/>
  <c r="BC176"/>
  <c r="BE176" s="1"/>
  <c r="BG176" s="1"/>
  <c r="AW176"/>
  <c r="AY176" s="1"/>
  <c r="AT176"/>
  <c r="K176"/>
  <c r="H176"/>
  <c r="A178"/>
  <c r="D178"/>
  <c r="C179"/>
  <c r="AS178"/>
  <c r="B178"/>
  <c r="AX176"/>
  <c r="AZ176" s="1"/>
  <c r="I177"/>
  <c r="AP177"/>
  <c r="AN177"/>
  <c r="AO177" s="1"/>
  <c r="BB177"/>
  <c r="AV177"/>
  <c r="AU177"/>
  <c r="Q177"/>
  <c r="E177"/>
  <c r="R177" s="1"/>
  <c r="BD176"/>
  <c r="BF176" s="1"/>
  <c r="BA176"/>
  <c r="O175"/>
  <c r="Y175" s="1"/>
  <c r="W175"/>
  <c r="R176"/>
  <c r="Z81" l="1"/>
  <c r="U81"/>
  <c r="BC177"/>
  <c r="BE177" s="1"/>
  <c r="BG177" s="1"/>
  <c r="AR176"/>
  <c r="AU178"/>
  <c r="AN178"/>
  <c r="AO178" s="1"/>
  <c r="I178"/>
  <c r="BB178"/>
  <c r="AP178"/>
  <c r="Q178"/>
  <c r="AV178"/>
  <c r="E178"/>
  <c r="R178" s="1"/>
  <c r="O176"/>
  <c r="Y176" s="1"/>
  <c r="W176"/>
  <c r="AX177"/>
  <c r="AZ177" s="1"/>
  <c r="B179"/>
  <c r="A179"/>
  <c r="AS179"/>
  <c r="D179"/>
  <c r="C180"/>
  <c r="BD177"/>
  <c r="BF177" s="1"/>
  <c r="AW177"/>
  <c r="AY177" s="1"/>
  <c r="AR177" s="1"/>
  <c r="AT177"/>
  <c r="K177"/>
  <c r="F177"/>
  <c r="AF81" l="1"/>
  <c r="AB81"/>
  <c r="AA81"/>
  <c r="AG81" s="1"/>
  <c r="BA177"/>
  <c r="D180"/>
  <c r="B180"/>
  <c r="A180"/>
  <c r="C181"/>
  <c r="AS180"/>
  <c r="O177"/>
  <c r="Y177" s="1"/>
  <c r="W177"/>
  <c r="AX178"/>
  <c r="AZ178" s="1"/>
  <c r="BC178"/>
  <c r="BD178"/>
  <c r="BF178" s="1"/>
  <c r="AW178"/>
  <c r="AY178" s="1"/>
  <c r="K178"/>
  <c r="AT178"/>
  <c r="AU179"/>
  <c r="I179"/>
  <c r="AP179"/>
  <c r="AN179"/>
  <c r="BC179" s="1"/>
  <c r="Q179"/>
  <c r="AV179"/>
  <c r="BB179"/>
  <c r="E179"/>
  <c r="T177"/>
  <c r="S178" s="1"/>
  <c r="H177"/>
  <c r="F178"/>
  <c r="P82" l="1"/>
  <c r="AH81"/>
  <c r="AO179"/>
  <c r="AR178"/>
  <c r="BE179"/>
  <c r="BG179" s="1"/>
  <c r="AS181"/>
  <c r="A181"/>
  <c r="C182"/>
  <c r="D181"/>
  <c r="B181"/>
  <c r="AW179"/>
  <c r="AY179" s="1"/>
  <c r="AT179"/>
  <c r="K179"/>
  <c r="T178"/>
  <c r="S179" s="1"/>
  <c r="H178"/>
  <c r="BD179"/>
  <c r="BF179" s="1"/>
  <c r="BA179"/>
  <c r="BE178"/>
  <c r="BG178" s="1"/>
  <c r="F179"/>
  <c r="BA178"/>
  <c r="R179"/>
  <c r="AX179"/>
  <c r="AZ179" s="1"/>
  <c r="O178"/>
  <c r="Y178" s="1"/>
  <c r="W178"/>
  <c r="BB180"/>
  <c r="AP180"/>
  <c r="AV180"/>
  <c r="AU180"/>
  <c r="AN180"/>
  <c r="AO180" s="1"/>
  <c r="Q180"/>
  <c r="I180"/>
  <c r="E180"/>
  <c r="R180" s="1"/>
  <c r="Z82" l="1"/>
  <c r="AA82"/>
  <c r="AG82" s="1"/>
  <c r="U82"/>
  <c r="AB82" s="1"/>
  <c r="AH82" s="1"/>
  <c r="AR179"/>
  <c r="AV181"/>
  <c r="AU181"/>
  <c r="I181"/>
  <c r="AN181"/>
  <c r="AO181" s="1"/>
  <c r="BB181"/>
  <c r="AP181"/>
  <c r="Q181"/>
  <c r="E181"/>
  <c r="O179"/>
  <c r="W179"/>
  <c r="A182"/>
  <c r="AS182"/>
  <c r="B182"/>
  <c r="D182"/>
  <c r="C183"/>
  <c r="BC180"/>
  <c r="BA180" s="1"/>
  <c r="AX180"/>
  <c r="AZ180" s="1"/>
  <c r="T179"/>
  <c r="S180" s="1"/>
  <c r="H179"/>
  <c r="BD180"/>
  <c r="BF180" s="1"/>
  <c r="AT180"/>
  <c r="AY180"/>
  <c r="AW180"/>
  <c r="K180"/>
  <c r="Y179"/>
  <c r="F180"/>
  <c r="AF82" l="1"/>
  <c r="P83"/>
  <c r="U83" s="1"/>
  <c r="AR180"/>
  <c r="AX181"/>
  <c r="AZ181" s="1"/>
  <c r="AN182"/>
  <c r="BC182" s="1"/>
  <c r="AU182"/>
  <c r="AV182"/>
  <c r="Q182"/>
  <c r="AP182"/>
  <c r="I182"/>
  <c r="BB182"/>
  <c r="E182"/>
  <c r="K181"/>
  <c r="AT181"/>
  <c r="AW181"/>
  <c r="AY181" s="1"/>
  <c r="F181"/>
  <c r="BC181"/>
  <c r="BE180"/>
  <c r="BG180" s="1"/>
  <c r="T180"/>
  <c r="S181" s="1"/>
  <c r="H180"/>
  <c r="O180"/>
  <c r="Y180" s="1"/>
  <c r="W180"/>
  <c r="C184"/>
  <c r="R182"/>
  <c r="D183"/>
  <c r="B183"/>
  <c r="A183"/>
  <c r="BD181"/>
  <c r="BF181" s="1"/>
  <c r="R181"/>
  <c r="AA83" l="1"/>
  <c r="AB83"/>
  <c r="AH83" s="1"/>
  <c r="Z83"/>
  <c r="P84" s="1"/>
  <c r="AO182"/>
  <c r="AF83"/>
  <c r="AG83"/>
  <c r="F182"/>
  <c r="T182" s="1"/>
  <c r="S183" s="1"/>
  <c r="AU183"/>
  <c r="Q183"/>
  <c r="BB183"/>
  <c r="AN183"/>
  <c r="BC183" s="1"/>
  <c r="AV183"/>
  <c r="I183"/>
  <c r="AP183"/>
  <c r="E183"/>
  <c r="R183" s="1"/>
  <c r="BE181"/>
  <c r="BG181" s="1"/>
  <c r="AR181"/>
  <c r="BE182"/>
  <c r="BG182" s="1"/>
  <c r="O181"/>
  <c r="Y181" s="1"/>
  <c r="W181"/>
  <c r="AT182"/>
  <c r="AW182"/>
  <c r="AY182" s="1"/>
  <c r="K182"/>
  <c r="BA181"/>
  <c r="AS183"/>
  <c r="D184"/>
  <c r="B184"/>
  <c r="C185"/>
  <c r="A184"/>
  <c r="AS184"/>
  <c r="T181"/>
  <c r="S182" s="1"/>
  <c r="H181"/>
  <c r="BA182"/>
  <c r="BD182"/>
  <c r="BF182" s="1"/>
  <c r="AX182"/>
  <c r="AZ182" s="1"/>
  <c r="AO183" l="1"/>
  <c r="AB84"/>
  <c r="U84"/>
  <c r="H182"/>
  <c r="AR182"/>
  <c r="BE183"/>
  <c r="BG183" s="1"/>
  <c r="AS185"/>
  <c r="A185"/>
  <c r="B185"/>
  <c r="F184" s="1"/>
  <c r="T184" s="1"/>
  <c r="C186"/>
  <c r="D185"/>
  <c r="AX183"/>
  <c r="AZ183" s="1"/>
  <c r="I184"/>
  <c r="BB184"/>
  <c r="AU184"/>
  <c r="AV184"/>
  <c r="AP184"/>
  <c r="AN184"/>
  <c r="AO184" s="1"/>
  <c r="Q184"/>
  <c r="E184"/>
  <c r="R184" s="1"/>
  <c r="BA183"/>
  <c r="BD183"/>
  <c r="BF183" s="1"/>
  <c r="G172"/>
  <c r="G173" s="1"/>
  <c r="G174" s="1"/>
  <c r="G175" s="1"/>
  <c r="G176" s="1"/>
  <c r="G177" s="1"/>
  <c r="G178" s="1"/>
  <c r="G179" s="1"/>
  <c r="G180" s="1"/>
  <c r="G181" s="1"/>
  <c r="G182" s="1"/>
  <c r="G183" s="1"/>
  <c r="O182"/>
  <c r="Y182" s="1"/>
  <c r="W182"/>
  <c r="AW183"/>
  <c r="AY183" s="1"/>
  <c r="AT183"/>
  <c r="K183"/>
  <c r="F183"/>
  <c r="AH84" l="1"/>
  <c r="AA84"/>
  <c r="Z84"/>
  <c r="AR183"/>
  <c r="H184"/>
  <c r="K184"/>
  <c r="AT184"/>
  <c r="AW184"/>
  <c r="AY184" s="1"/>
  <c r="A186"/>
  <c r="D186"/>
  <c r="C187"/>
  <c r="AS186"/>
  <c r="B186"/>
  <c r="O183"/>
  <c r="Y183" s="1"/>
  <c r="W183"/>
  <c r="V183"/>
  <c r="AX184"/>
  <c r="AZ184" s="1"/>
  <c r="BD184"/>
  <c r="BF184" s="1"/>
  <c r="I185"/>
  <c r="Q185"/>
  <c r="BB185"/>
  <c r="AN185"/>
  <c r="BC185" s="1"/>
  <c r="AP185"/>
  <c r="AV185"/>
  <c r="AU185"/>
  <c r="E185"/>
  <c r="R185" s="1"/>
  <c r="BC184"/>
  <c r="T183"/>
  <c r="S185" s="1"/>
  <c r="H183"/>
  <c r="F185" l="1"/>
  <c r="T185" s="1"/>
  <c r="S186" s="1"/>
  <c r="AG84"/>
  <c r="AF84"/>
  <c r="P85"/>
  <c r="AR184"/>
  <c r="BE185"/>
  <c r="BG185" s="1"/>
  <c r="BD185"/>
  <c r="BF185" s="1"/>
  <c r="BA185"/>
  <c r="AS187"/>
  <c r="A187"/>
  <c r="D187"/>
  <c r="B187"/>
  <c r="C188"/>
  <c r="BE184"/>
  <c r="BG184" s="1"/>
  <c r="AX185"/>
  <c r="AZ185" s="1"/>
  <c r="K185"/>
  <c r="AW185"/>
  <c r="AY185" s="1"/>
  <c r="AT185"/>
  <c r="O184"/>
  <c r="W184"/>
  <c r="AO185"/>
  <c r="S184"/>
  <c r="AU186"/>
  <c r="I186"/>
  <c r="AV186"/>
  <c r="AN186"/>
  <c r="BC186" s="1"/>
  <c r="BB186"/>
  <c r="Q186"/>
  <c r="AP186"/>
  <c r="AO186"/>
  <c r="E186"/>
  <c r="F186"/>
  <c r="T186" s="1"/>
  <c r="S187" s="1"/>
  <c r="H185"/>
  <c r="BA184"/>
  <c r="AB85" l="1"/>
  <c r="U85"/>
  <c r="AR185"/>
  <c r="BE186"/>
  <c r="BG186" s="1"/>
  <c r="BA186"/>
  <c r="BD186"/>
  <c r="BF186" s="1"/>
  <c r="D188"/>
  <c r="B188"/>
  <c r="C189"/>
  <c r="A188"/>
  <c r="AS188"/>
  <c r="H186"/>
  <c r="R186"/>
  <c r="AU187"/>
  <c r="AN187"/>
  <c r="AO187" s="1"/>
  <c r="Q187"/>
  <c r="AP187"/>
  <c r="BB187"/>
  <c r="AV187"/>
  <c r="I187"/>
  <c r="E187"/>
  <c r="Y184"/>
  <c r="AX186"/>
  <c r="AZ186" s="1"/>
  <c r="K186"/>
  <c r="AY186"/>
  <c r="AW186"/>
  <c r="AT186"/>
  <c r="O185"/>
  <c r="W185"/>
  <c r="AH85" l="1"/>
  <c r="Z85"/>
  <c r="AA85"/>
  <c r="AR186"/>
  <c r="BC187"/>
  <c r="BE187" s="1"/>
  <c r="BG187" s="1"/>
  <c r="Y185"/>
  <c r="BD187"/>
  <c r="BF187" s="1"/>
  <c r="AW187"/>
  <c r="AY187" s="1"/>
  <c r="AT187"/>
  <c r="K187"/>
  <c r="AP188"/>
  <c r="Q188"/>
  <c r="BB188"/>
  <c r="AV188"/>
  <c r="I188"/>
  <c r="AN188"/>
  <c r="AO188" s="1"/>
  <c r="AU188"/>
  <c r="E188"/>
  <c r="AX187"/>
  <c r="AZ187" s="1"/>
  <c r="R187"/>
  <c r="B189"/>
  <c r="C190"/>
  <c r="A189"/>
  <c r="D189"/>
  <c r="AS189"/>
  <c r="O186"/>
  <c r="Y186" s="1"/>
  <c r="W186"/>
  <c r="F187"/>
  <c r="F188" l="1"/>
  <c r="T188" s="1"/>
  <c r="BA187"/>
  <c r="BC188"/>
  <c r="AF85"/>
  <c r="P86"/>
  <c r="AG85"/>
  <c r="AR187"/>
  <c r="AN189"/>
  <c r="AO189" s="1"/>
  <c r="AV189"/>
  <c r="AP189"/>
  <c r="Q189"/>
  <c r="BB189"/>
  <c r="AU189"/>
  <c r="I189"/>
  <c r="E189"/>
  <c r="BE188"/>
  <c r="BG188" s="1"/>
  <c r="T187"/>
  <c r="S188" s="1"/>
  <c r="H187"/>
  <c r="BA188"/>
  <c r="BD188"/>
  <c r="BF188" s="1"/>
  <c r="O187"/>
  <c r="Y187" s="1"/>
  <c r="W187"/>
  <c r="S189"/>
  <c r="D190"/>
  <c r="A190"/>
  <c r="AS190"/>
  <c r="B190"/>
  <c r="C191"/>
  <c r="AW188"/>
  <c r="AY188" s="1"/>
  <c r="K188"/>
  <c r="AT188"/>
  <c r="AX188"/>
  <c r="AZ188" s="1"/>
  <c r="H188"/>
  <c r="R188"/>
  <c r="BC189" l="1"/>
  <c r="BA189" s="1"/>
  <c r="U86"/>
  <c r="AB86"/>
  <c r="AR188"/>
  <c r="F189"/>
  <c r="H189" s="1"/>
  <c r="A191"/>
  <c r="D191"/>
  <c r="C192"/>
  <c r="B191"/>
  <c r="F190" s="1"/>
  <c r="T190" s="1"/>
  <c r="AS191"/>
  <c r="I190"/>
  <c r="AP190"/>
  <c r="AN190"/>
  <c r="AO190" s="1"/>
  <c r="AU190"/>
  <c r="BB190"/>
  <c r="AV190"/>
  <c r="Q190"/>
  <c r="E190"/>
  <c r="BD189"/>
  <c r="BF189" s="1"/>
  <c r="AX189"/>
  <c r="AZ189" s="1"/>
  <c r="K189"/>
  <c r="AW189"/>
  <c r="AY189" s="1"/>
  <c r="AT189"/>
  <c r="O188"/>
  <c r="Y188" s="1"/>
  <c r="W188"/>
  <c r="R189"/>
  <c r="BE189" l="1"/>
  <c r="BG189" s="1"/>
  <c r="AA86"/>
  <c r="Z86"/>
  <c r="N87"/>
  <c r="AH86"/>
  <c r="S191"/>
  <c r="AR189"/>
  <c r="T189"/>
  <c r="S190" s="1"/>
  <c r="H190"/>
  <c r="AW190"/>
  <c r="AY190" s="1"/>
  <c r="AT190"/>
  <c r="K190"/>
  <c r="BD190"/>
  <c r="BF190" s="1"/>
  <c r="B192"/>
  <c r="C193"/>
  <c r="A192"/>
  <c r="AS192"/>
  <c r="D192"/>
  <c r="BC190"/>
  <c r="BA190" s="1"/>
  <c r="Q191"/>
  <c r="I191"/>
  <c r="AP191"/>
  <c r="BB191"/>
  <c r="AV191"/>
  <c r="AN191"/>
  <c r="BC191" s="1"/>
  <c r="AU191"/>
  <c r="E191"/>
  <c r="O189"/>
  <c r="Y189" s="1"/>
  <c r="W189"/>
  <c r="AX190"/>
  <c r="AZ190" s="1"/>
  <c r="R190"/>
  <c r="F191" l="1"/>
  <c r="T191" s="1"/>
  <c r="S192" s="1"/>
  <c r="M87"/>
  <c r="AG86"/>
  <c r="AF86"/>
  <c r="L87"/>
  <c r="P87"/>
  <c r="AR190"/>
  <c r="BE191"/>
  <c r="BG191" s="1"/>
  <c r="AX191"/>
  <c r="AZ191" s="1"/>
  <c r="AN192"/>
  <c r="AO192" s="1"/>
  <c r="Q192"/>
  <c r="BB192"/>
  <c r="I192"/>
  <c r="AV192"/>
  <c r="AU192"/>
  <c r="AP192"/>
  <c r="E192"/>
  <c r="R192" s="1"/>
  <c r="AO191"/>
  <c r="BE190"/>
  <c r="BG190" s="1"/>
  <c r="BA191"/>
  <c r="BD191"/>
  <c r="BF191" s="1"/>
  <c r="O190"/>
  <c r="Y190" s="1"/>
  <c r="W190"/>
  <c r="AW191"/>
  <c r="AY191" s="1"/>
  <c r="K191"/>
  <c r="AT191"/>
  <c r="B193"/>
  <c r="AS193"/>
  <c r="D193"/>
  <c r="C194"/>
  <c r="A193"/>
  <c r="R191"/>
  <c r="H191" l="1"/>
  <c r="X87"/>
  <c r="U87"/>
  <c r="Z87" s="1"/>
  <c r="I193"/>
  <c r="Q193"/>
  <c r="AU193"/>
  <c r="BB193"/>
  <c r="AP193"/>
  <c r="AN193"/>
  <c r="BC193" s="1"/>
  <c r="AV193"/>
  <c r="E193"/>
  <c r="AX192"/>
  <c r="AZ192" s="1"/>
  <c r="AR191"/>
  <c r="BC192"/>
  <c r="O191"/>
  <c r="W191"/>
  <c r="AW192"/>
  <c r="AY192" s="1"/>
  <c r="AT192"/>
  <c r="K192"/>
  <c r="F192"/>
  <c r="B194"/>
  <c r="C195"/>
  <c r="A194"/>
  <c r="D194"/>
  <c r="AS194"/>
  <c r="BD192"/>
  <c r="BF192" s="1"/>
  <c r="Y191"/>
  <c r="AA87" l="1"/>
  <c r="AG87" s="1"/>
  <c r="AB87"/>
  <c r="AH87" s="1"/>
  <c r="AF87"/>
  <c r="AR192"/>
  <c r="BE193"/>
  <c r="BG193" s="1"/>
  <c r="T192"/>
  <c r="S193" s="1"/>
  <c r="H192"/>
  <c r="K193"/>
  <c r="AT193"/>
  <c r="AY193"/>
  <c r="AW193"/>
  <c r="O192"/>
  <c r="Y192" s="1"/>
  <c r="W192"/>
  <c r="BE192"/>
  <c r="BG192" s="1"/>
  <c r="AX193"/>
  <c r="AZ193" s="1"/>
  <c r="BD193"/>
  <c r="BF193" s="1"/>
  <c r="BA193"/>
  <c r="BA192"/>
  <c r="R193"/>
  <c r="F193"/>
  <c r="BB194"/>
  <c r="I194"/>
  <c r="Q194"/>
  <c r="AV194"/>
  <c r="AP194"/>
  <c r="AU194"/>
  <c r="AN194"/>
  <c r="BC194" s="1"/>
  <c r="E194"/>
  <c r="B195"/>
  <c r="D195"/>
  <c r="A195"/>
  <c r="R194"/>
  <c r="C196"/>
  <c r="AS195"/>
  <c r="AO193"/>
  <c r="P88" l="1"/>
  <c r="U88" s="1"/>
  <c r="AB88" s="1"/>
  <c r="AH88" s="1"/>
  <c r="AR193"/>
  <c r="AO194"/>
  <c r="BE194"/>
  <c r="BG194" s="1"/>
  <c r="AX194"/>
  <c r="AZ194" s="1"/>
  <c r="T193"/>
  <c r="S194" s="1"/>
  <c r="H193"/>
  <c r="AW194"/>
  <c r="AY194" s="1"/>
  <c r="K194"/>
  <c r="AT194"/>
  <c r="BA194"/>
  <c r="BD194"/>
  <c r="BF194" s="1"/>
  <c r="O193"/>
  <c r="Y193" s="1"/>
  <c r="W193"/>
  <c r="A196"/>
  <c r="B196"/>
  <c r="D196"/>
  <c r="AS196"/>
  <c r="C197"/>
  <c r="BB195"/>
  <c r="I195"/>
  <c r="Q195"/>
  <c r="AP195"/>
  <c r="AU195"/>
  <c r="AV195"/>
  <c r="AN195"/>
  <c r="BC195" s="1"/>
  <c r="E195"/>
  <c r="R195" s="1"/>
  <c r="F194"/>
  <c r="AA88" l="1"/>
  <c r="AG88" s="1"/>
  <c r="Z88"/>
  <c r="AF88" s="1"/>
  <c r="AO195"/>
  <c r="BE195"/>
  <c r="BG195" s="1"/>
  <c r="AW195"/>
  <c r="AY195" s="1"/>
  <c r="K195"/>
  <c r="AT195"/>
  <c r="O194"/>
  <c r="Y194" s="1"/>
  <c r="W194"/>
  <c r="BA195"/>
  <c r="BD195"/>
  <c r="BF195" s="1"/>
  <c r="I196"/>
  <c r="BB196"/>
  <c r="AP196"/>
  <c r="AN196"/>
  <c r="AO196" s="1"/>
  <c r="Q196"/>
  <c r="AV196"/>
  <c r="AU196"/>
  <c r="E196"/>
  <c r="D197"/>
  <c r="A197"/>
  <c r="B197"/>
  <c r="R196"/>
  <c r="AS197"/>
  <c r="C198"/>
  <c r="G184"/>
  <c r="G185" s="1"/>
  <c r="G186" s="1"/>
  <c r="G187" s="1"/>
  <c r="G188" s="1"/>
  <c r="G189" s="1"/>
  <c r="G190" s="1"/>
  <c r="G191" s="1"/>
  <c r="G192" s="1"/>
  <c r="G193" s="1"/>
  <c r="G194" s="1"/>
  <c r="G195" s="1"/>
  <c r="AR194"/>
  <c r="F195"/>
  <c r="T194"/>
  <c r="S195" s="1"/>
  <c r="H194"/>
  <c r="AX195"/>
  <c r="AZ195" s="1"/>
  <c r="P89" l="1"/>
  <c r="U89" s="1"/>
  <c r="F196"/>
  <c r="T196" s="1"/>
  <c r="AR195"/>
  <c r="AW196"/>
  <c r="AY196" s="1"/>
  <c r="AT196"/>
  <c r="K196"/>
  <c r="O195"/>
  <c r="W195"/>
  <c r="V195"/>
  <c r="S197"/>
  <c r="T195"/>
  <c r="H195"/>
  <c r="BD196"/>
  <c r="BF196" s="1"/>
  <c r="H196"/>
  <c r="D198"/>
  <c r="C199"/>
  <c r="AS198"/>
  <c r="B198"/>
  <c r="A198"/>
  <c r="AU197"/>
  <c r="Q197"/>
  <c r="AN197"/>
  <c r="BC197" s="1"/>
  <c r="AV197"/>
  <c r="AP197"/>
  <c r="I197"/>
  <c r="BB197"/>
  <c r="E197"/>
  <c r="BC196"/>
  <c r="AX196"/>
  <c r="AZ196" s="1"/>
  <c r="Y195"/>
  <c r="AB89" l="1"/>
  <c r="AH89" s="1"/>
  <c r="Z89"/>
  <c r="AF89" s="1"/>
  <c r="AA89"/>
  <c r="AG89" s="1"/>
  <c r="AO197"/>
  <c r="AR196"/>
  <c r="BE197"/>
  <c r="BG197" s="1"/>
  <c r="BE196"/>
  <c r="BG196" s="1"/>
  <c r="AV198"/>
  <c r="AP198"/>
  <c r="Q198"/>
  <c r="AU198"/>
  <c r="AN198"/>
  <c r="BC198" s="1"/>
  <c r="I198"/>
  <c r="BB198"/>
  <c r="E198"/>
  <c r="R198" s="1"/>
  <c r="S196"/>
  <c r="BA196"/>
  <c r="AX197"/>
  <c r="AZ197" s="1"/>
  <c r="A199"/>
  <c r="D199"/>
  <c r="AS199"/>
  <c r="B199"/>
  <c r="C200"/>
  <c r="F197"/>
  <c r="R197"/>
  <c r="BD197"/>
  <c r="BF197" s="1"/>
  <c r="BA197"/>
  <c r="AW197"/>
  <c r="AY197" s="1"/>
  <c r="K197"/>
  <c r="AT197"/>
  <c r="O196"/>
  <c r="W196"/>
  <c r="P90" l="1"/>
  <c r="U90" s="1"/>
  <c r="AA90" s="1"/>
  <c r="AG90" s="1"/>
  <c r="AR197"/>
  <c r="BE198"/>
  <c r="BG198" s="1"/>
  <c r="AS200"/>
  <c r="A200"/>
  <c r="B200"/>
  <c r="D200"/>
  <c r="C201"/>
  <c r="AU199"/>
  <c r="AV199"/>
  <c r="BB199"/>
  <c r="Q199"/>
  <c r="AN199"/>
  <c r="BC199" s="1"/>
  <c r="I199"/>
  <c r="AP199"/>
  <c r="E199"/>
  <c r="BD198"/>
  <c r="BF198" s="1"/>
  <c r="BA198"/>
  <c r="AX198"/>
  <c r="AZ198" s="1"/>
  <c r="AO198"/>
  <c r="AW198"/>
  <c r="AY198" s="1"/>
  <c r="AT198"/>
  <c r="K198"/>
  <c r="Y196"/>
  <c r="O197"/>
  <c r="W197"/>
  <c r="T197"/>
  <c r="S198" s="1"/>
  <c r="H197"/>
  <c r="F198"/>
  <c r="AB90" l="1"/>
  <c r="AH90" s="1"/>
  <c r="Z90"/>
  <c r="AF90" s="1"/>
  <c r="F199"/>
  <c r="T199" s="1"/>
  <c r="AO199"/>
  <c r="AX199"/>
  <c r="AZ199" s="1"/>
  <c r="BB200"/>
  <c r="AN200"/>
  <c r="BC200" s="1"/>
  <c r="AV200"/>
  <c r="AP200"/>
  <c r="I200"/>
  <c r="Q200"/>
  <c r="AU200"/>
  <c r="E200"/>
  <c r="R200" s="1"/>
  <c r="Y197"/>
  <c r="R199"/>
  <c r="S200"/>
  <c r="T198"/>
  <c r="S199" s="1"/>
  <c r="H198"/>
  <c r="BE199"/>
  <c r="BG199" s="1"/>
  <c r="BF199"/>
  <c r="BD199"/>
  <c r="BA199"/>
  <c r="AR198"/>
  <c r="H199"/>
  <c r="O198"/>
  <c r="W198"/>
  <c r="K199"/>
  <c r="AW199"/>
  <c r="AY199" s="1"/>
  <c r="AT199"/>
  <c r="A201"/>
  <c r="D201"/>
  <c r="C202"/>
  <c r="AS201"/>
  <c r="B201"/>
  <c r="P91" l="1"/>
  <c r="U91" s="1"/>
  <c r="AO200"/>
  <c r="BE200"/>
  <c r="BG200" s="1"/>
  <c r="AX200"/>
  <c r="AZ200" s="1"/>
  <c r="Y198"/>
  <c r="AW200"/>
  <c r="AY200" s="1"/>
  <c r="K200"/>
  <c r="AT200"/>
  <c r="BA200"/>
  <c r="BD200"/>
  <c r="BF200" s="1"/>
  <c r="F200"/>
  <c r="B202"/>
  <c r="AS202"/>
  <c r="C203"/>
  <c r="A202"/>
  <c r="D202"/>
  <c r="Q201"/>
  <c r="BB201"/>
  <c r="AU201"/>
  <c r="I201"/>
  <c r="AN201"/>
  <c r="AO201" s="1"/>
  <c r="AV201"/>
  <c r="AP201"/>
  <c r="E201"/>
  <c r="O199"/>
  <c r="W199"/>
  <c r="AR199"/>
  <c r="Z91" l="1"/>
  <c r="AF91" s="1"/>
  <c r="AA91"/>
  <c r="AG91" s="1"/>
  <c r="AB91"/>
  <c r="AH91" s="1"/>
  <c r="BC201"/>
  <c r="BE201" s="1"/>
  <c r="BG201" s="1"/>
  <c r="AR200"/>
  <c r="O200"/>
  <c r="W200"/>
  <c r="BD201"/>
  <c r="BF201" s="1"/>
  <c r="C204"/>
  <c r="AS203"/>
  <c r="B203"/>
  <c r="A203"/>
  <c r="D203"/>
  <c r="K201"/>
  <c r="AT201"/>
  <c r="AW201"/>
  <c r="AY201" s="1"/>
  <c r="I202"/>
  <c r="AP202"/>
  <c r="AN202"/>
  <c r="AO202" s="1"/>
  <c r="AU202"/>
  <c r="AV202"/>
  <c r="BB202"/>
  <c r="Q202"/>
  <c r="E202"/>
  <c r="F202"/>
  <c r="T202" s="1"/>
  <c r="T200"/>
  <c r="S201" s="1"/>
  <c r="H200"/>
  <c r="Y199"/>
  <c r="Y200" s="1"/>
  <c r="AX201"/>
  <c r="AZ201" s="1"/>
  <c r="R201"/>
  <c r="F201"/>
  <c r="P92" l="1"/>
  <c r="U92" s="1"/>
  <c r="BA201"/>
  <c r="H202"/>
  <c r="AR201"/>
  <c r="T201"/>
  <c r="S202" s="1"/>
  <c r="H201"/>
  <c r="AW202"/>
  <c r="AY202" s="1"/>
  <c r="K202"/>
  <c r="AT202"/>
  <c r="BC202"/>
  <c r="BA202" s="1"/>
  <c r="R202"/>
  <c r="AX202"/>
  <c r="AZ202" s="1"/>
  <c r="I203"/>
  <c r="Q203"/>
  <c r="AV203"/>
  <c r="AP203"/>
  <c r="BB203"/>
  <c r="AU203"/>
  <c r="AN203"/>
  <c r="BC203" s="1"/>
  <c r="E203"/>
  <c r="B204"/>
  <c r="F203" s="1"/>
  <c r="T203" s="1"/>
  <c r="S204" s="1"/>
  <c r="A204"/>
  <c r="C205"/>
  <c r="D204"/>
  <c r="AS204"/>
  <c r="S203"/>
  <c r="BD202"/>
  <c r="BF202" s="1"/>
  <c r="O201"/>
  <c r="Y201" s="1"/>
  <c r="W201"/>
  <c r="Z92" l="1"/>
  <c r="AB92"/>
  <c r="AH92" s="1"/>
  <c r="AA92"/>
  <c r="AG92" s="1"/>
  <c r="BE203"/>
  <c r="BG203" s="1"/>
  <c r="D205"/>
  <c r="C206"/>
  <c r="B205"/>
  <c r="AS205"/>
  <c r="A205"/>
  <c r="BD203"/>
  <c r="BF203" s="1"/>
  <c r="BA203"/>
  <c r="H203"/>
  <c r="AO203"/>
  <c r="O202"/>
  <c r="Y202" s="1"/>
  <c r="W202"/>
  <c r="AW203"/>
  <c r="AY203" s="1"/>
  <c r="AT203"/>
  <c r="K203"/>
  <c r="AX203"/>
  <c r="AZ203" s="1"/>
  <c r="R203"/>
  <c r="AR202"/>
  <c r="I204"/>
  <c r="AP204"/>
  <c r="AU204"/>
  <c r="AN204"/>
  <c r="BC204" s="1"/>
  <c r="Q204"/>
  <c r="AV204"/>
  <c r="BB204"/>
  <c r="E204"/>
  <c r="R204" s="1"/>
  <c r="BE202"/>
  <c r="BG202" s="1"/>
  <c r="P93" l="1"/>
  <c r="AF92"/>
  <c r="F204"/>
  <c r="T204" s="1"/>
  <c r="S205" s="1"/>
  <c r="AR203"/>
  <c r="BE204"/>
  <c r="BG204" s="1"/>
  <c r="AW204"/>
  <c r="AY204" s="1"/>
  <c r="K204"/>
  <c r="AT204"/>
  <c r="O203"/>
  <c r="Y203" s="1"/>
  <c r="W203"/>
  <c r="AO204"/>
  <c r="AX204"/>
  <c r="AZ204" s="1"/>
  <c r="BD204"/>
  <c r="BF204" s="1"/>
  <c r="BA204"/>
  <c r="AN205"/>
  <c r="BC205" s="1"/>
  <c r="I205"/>
  <c r="AP205"/>
  <c r="BB205"/>
  <c r="AV205"/>
  <c r="Q205"/>
  <c r="AU205"/>
  <c r="E205"/>
  <c r="R205" s="1"/>
  <c r="C207"/>
  <c r="A206"/>
  <c r="D206"/>
  <c r="B206"/>
  <c r="AS206"/>
  <c r="H204"/>
  <c r="AB93" l="1"/>
  <c r="AH93" s="1"/>
  <c r="U93"/>
  <c r="Z93" s="1"/>
  <c r="AF93" s="1"/>
  <c r="AA93"/>
  <c r="AG93" s="1"/>
  <c r="F205"/>
  <c r="T205" s="1"/>
  <c r="S206" s="1"/>
  <c r="AR204"/>
  <c r="BE205"/>
  <c r="BG205" s="1"/>
  <c r="AU206"/>
  <c r="AN206"/>
  <c r="AO206" s="1"/>
  <c r="AP206"/>
  <c r="Q206"/>
  <c r="AV206"/>
  <c r="I206"/>
  <c r="BB206"/>
  <c r="E206"/>
  <c r="R206" s="1"/>
  <c r="AX205"/>
  <c r="AZ205" s="1"/>
  <c r="O204"/>
  <c r="Y204" s="1"/>
  <c r="W204"/>
  <c r="AO205"/>
  <c r="AW205"/>
  <c r="AY205" s="1"/>
  <c r="AT205"/>
  <c r="K205"/>
  <c r="B207"/>
  <c r="D207"/>
  <c r="A207"/>
  <c r="C208"/>
  <c r="BD205"/>
  <c r="BF205" s="1"/>
  <c r="BA205"/>
  <c r="F206"/>
  <c r="T206" s="1"/>
  <c r="S207" s="1"/>
  <c r="H205" l="1"/>
  <c r="P94"/>
  <c r="AR205"/>
  <c r="Q207"/>
  <c r="AP207"/>
  <c r="BB207"/>
  <c r="AU207"/>
  <c r="I207"/>
  <c r="AN207"/>
  <c r="AO207" s="1"/>
  <c r="AV207"/>
  <c r="E207"/>
  <c r="R207" s="1"/>
  <c r="BD206"/>
  <c r="BF206" s="1"/>
  <c r="BC206"/>
  <c r="O205"/>
  <c r="Y205" s="1"/>
  <c r="W205"/>
  <c r="AW206"/>
  <c r="AY206" s="1"/>
  <c r="K206"/>
  <c r="AT206"/>
  <c r="B208"/>
  <c r="A208"/>
  <c r="C209"/>
  <c r="AS208"/>
  <c r="D208"/>
  <c r="AX206"/>
  <c r="AZ206" s="1"/>
  <c r="H206"/>
  <c r="AS207"/>
  <c r="U94" l="1"/>
  <c r="AA94" s="1"/>
  <c r="AG94" s="1"/>
  <c r="F207"/>
  <c r="H207" s="1"/>
  <c r="D209"/>
  <c r="F208" s="1"/>
  <c r="B209"/>
  <c r="A209"/>
  <c r="AS209"/>
  <c r="C210"/>
  <c r="BD207"/>
  <c r="BF207" s="1"/>
  <c r="AR206"/>
  <c r="BE206"/>
  <c r="BG206" s="1"/>
  <c r="AX207"/>
  <c r="AZ207" s="1"/>
  <c r="AW207"/>
  <c r="AY207" s="1"/>
  <c r="AT207"/>
  <c r="K207"/>
  <c r="O206"/>
  <c r="Y206" s="1"/>
  <c r="W206"/>
  <c r="BC207"/>
  <c r="G196"/>
  <c r="G197" s="1"/>
  <c r="G198" s="1"/>
  <c r="G199" s="1"/>
  <c r="G200" s="1"/>
  <c r="G201" s="1"/>
  <c r="G202" s="1"/>
  <c r="G203" s="1"/>
  <c r="G204" s="1"/>
  <c r="G205" s="1"/>
  <c r="G206" s="1"/>
  <c r="G207" s="1"/>
  <c r="AV208"/>
  <c r="I208"/>
  <c r="AU208"/>
  <c r="AP208"/>
  <c r="AN208"/>
  <c r="BC208" s="1"/>
  <c r="BB208"/>
  <c r="Q208"/>
  <c r="E208"/>
  <c r="R208" s="1"/>
  <c r="BA206"/>
  <c r="Z94" l="1"/>
  <c r="AB94"/>
  <c r="AH94" s="1"/>
  <c r="T208"/>
  <c r="H208"/>
  <c r="AR207"/>
  <c r="T207"/>
  <c r="S208" s="1"/>
  <c r="BE208"/>
  <c r="BG208" s="1"/>
  <c r="BB209"/>
  <c r="AN209"/>
  <c r="AO209" s="1"/>
  <c r="AP209"/>
  <c r="AU209"/>
  <c r="I209"/>
  <c r="Q209"/>
  <c r="AV209"/>
  <c r="E209"/>
  <c r="R209" s="1"/>
  <c r="BE207"/>
  <c r="BG207" s="1"/>
  <c r="AX208"/>
  <c r="AZ208" s="1"/>
  <c r="AO208"/>
  <c r="BA207"/>
  <c r="BD208"/>
  <c r="BF208" s="1"/>
  <c r="BA208"/>
  <c r="K208"/>
  <c r="AT208"/>
  <c r="AW208"/>
  <c r="AY208" s="1"/>
  <c r="O207"/>
  <c r="Y207" s="1"/>
  <c r="W207"/>
  <c r="V207"/>
  <c r="C211"/>
  <c r="D210"/>
  <c r="A210"/>
  <c r="AS210"/>
  <c r="B210"/>
  <c r="P95" l="1"/>
  <c r="U95" s="1"/>
  <c r="S209"/>
  <c r="AF94"/>
  <c r="AA95"/>
  <c r="AG95" s="1"/>
  <c r="AB95"/>
  <c r="Z95"/>
  <c r="O208"/>
  <c r="Y208" s="1"/>
  <c r="W208"/>
  <c r="AX209"/>
  <c r="AZ209" s="1"/>
  <c r="BD209"/>
  <c r="BF209" s="1"/>
  <c r="K209"/>
  <c r="AT209"/>
  <c r="AW209"/>
  <c r="AY209" s="1"/>
  <c r="AR209" s="1"/>
  <c r="BC209"/>
  <c r="B211"/>
  <c r="D211"/>
  <c r="C212"/>
  <c r="A211"/>
  <c r="AS211"/>
  <c r="AP210"/>
  <c r="AU210"/>
  <c r="I210"/>
  <c r="BB210"/>
  <c r="AN210"/>
  <c r="BC210" s="1"/>
  <c r="AV210"/>
  <c r="Q210"/>
  <c r="E210"/>
  <c r="F209"/>
  <c r="AR208"/>
  <c r="AH95" l="1"/>
  <c r="P96"/>
  <c r="U96" s="1"/>
  <c r="AA96" s="1"/>
  <c r="AG96" s="1"/>
  <c r="AF95"/>
  <c r="BE210"/>
  <c r="BG210" s="1"/>
  <c r="A212"/>
  <c r="AS212"/>
  <c r="C213"/>
  <c r="B212"/>
  <c r="D212"/>
  <c r="BA210"/>
  <c r="BD210"/>
  <c r="BF210" s="1"/>
  <c r="BE209"/>
  <c r="BG209" s="1"/>
  <c r="O209"/>
  <c r="Y209" s="1"/>
  <c r="W209"/>
  <c r="BA209"/>
  <c r="T209"/>
  <c r="S210" s="1"/>
  <c r="H209"/>
  <c r="AV211"/>
  <c r="I211"/>
  <c r="AN211"/>
  <c r="BC211" s="1"/>
  <c r="AU211"/>
  <c r="BB211"/>
  <c r="Q211"/>
  <c r="AP211"/>
  <c r="E211"/>
  <c r="AO210"/>
  <c r="F210"/>
  <c r="AT210"/>
  <c r="AW210"/>
  <c r="AY210" s="1"/>
  <c r="K210"/>
  <c r="AX210"/>
  <c r="AZ210" s="1"/>
  <c r="R210"/>
  <c r="Z96" l="1"/>
  <c r="AF96" s="1"/>
  <c r="AB96"/>
  <c r="AH96" s="1"/>
  <c r="F211"/>
  <c r="H211" s="1"/>
  <c r="BE211"/>
  <c r="BG211" s="1"/>
  <c r="C214"/>
  <c r="A213"/>
  <c r="B213"/>
  <c r="D213"/>
  <c r="AS213"/>
  <c r="BA211"/>
  <c r="BD211"/>
  <c r="BF211" s="1"/>
  <c r="O210"/>
  <c r="Y210" s="1"/>
  <c r="W210"/>
  <c r="AW211"/>
  <c r="AY211" s="1"/>
  <c r="K211"/>
  <c r="AT211"/>
  <c r="AX211"/>
  <c r="AZ211" s="1"/>
  <c r="AR210"/>
  <c r="T210"/>
  <c r="S211" s="1"/>
  <c r="H210"/>
  <c r="AN212"/>
  <c r="AO212" s="1"/>
  <c r="I212"/>
  <c r="AV212"/>
  <c r="BB212"/>
  <c r="Q212"/>
  <c r="AU212"/>
  <c r="AP212"/>
  <c r="E212"/>
  <c r="AO211"/>
  <c r="R211"/>
  <c r="P97" l="1"/>
  <c r="U97" s="1"/>
  <c r="AB97" s="1"/>
  <c r="T211"/>
  <c r="S212" s="1"/>
  <c r="F212"/>
  <c r="T212" s="1"/>
  <c r="S213" s="1"/>
  <c r="AX212"/>
  <c r="AZ212" s="1"/>
  <c r="BD212"/>
  <c r="BF212" s="1"/>
  <c r="C215"/>
  <c r="A214"/>
  <c r="AS214"/>
  <c r="D214"/>
  <c r="B214"/>
  <c r="BC212"/>
  <c r="AR211"/>
  <c r="AT212"/>
  <c r="AW212"/>
  <c r="AY212" s="1"/>
  <c r="K212"/>
  <c r="R212"/>
  <c r="O211"/>
  <c r="Y211" s="1"/>
  <c r="W211"/>
  <c r="Q213"/>
  <c r="BB213"/>
  <c r="AP213"/>
  <c r="AV213"/>
  <c r="AU213"/>
  <c r="AN213"/>
  <c r="AO213" s="1"/>
  <c r="I213"/>
  <c r="E213"/>
  <c r="H212" l="1"/>
  <c r="F213"/>
  <c r="H213" s="1"/>
  <c r="AH97"/>
  <c r="Z97"/>
  <c r="AA97"/>
  <c r="AR212"/>
  <c r="BD213"/>
  <c r="BF213" s="1"/>
  <c r="BC213"/>
  <c r="AT213"/>
  <c r="K213"/>
  <c r="AW213"/>
  <c r="AY213" s="1"/>
  <c r="AS215"/>
  <c r="A215"/>
  <c r="C216"/>
  <c r="B215"/>
  <c r="D215"/>
  <c r="O212"/>
  <c r="Y212" s="1"/>
  <c r="W212"/>
  <c r="AN214"/>
  <c r="AO214" s="1"/>
  <c r="AP214"/>
  <c r="AU214"/>
  <c r="Q214"/>
  <c r="BB214"/>
  <c r="I214"/>
  <c r="AV214"/>
  <c r="E214"/>
  <c r="R214" s="1"/>
  <c r="AX213"/>
  <c r="AZ213" s="1"/>
  <c r="BE212"/>
  <c r="BG212" s="1"/>
  <c r="R213"/>
  <c r="BA212"/>
  <c r="T213" l="1"/>
  <c r="S214" s="1"/>
  <c r="AF97"/>
  <c r="P98"/>
  <c r="AG97"/>
  <c r="F214"/>
  <c r="T214" s="1"/>
  <c r="S215" s="1"/>
  <c r="AX214"/>
  <c r="AZ214" s="1"/>
  <c r="AS216"/>
  <c r="C217"/>
  <c r="B216"/>
  <c r="D216"/>
  <c r="A216"/>
  <c r="BE213"/>
  <c r="BG213" s="1"/>
  <c r="AR213"/>
  <c r="AW214"/>
  <c r="AY214" s="1"/>
  <c r="AT214"/>
  <c r="K214"/>
  <c r="BD214"/>
  <c r="BF214" s="1"/>
  <c r="AU215"/>
  <c r="Q215"/>
  <c r="AV215"/>
  <c r="AN215"/>
  <c r="BC215" s="1"/>
  <c r="BB215"/>
  <c r="I215"/>
  <c r="AP215"/>
  <c r="E215"/>
  <c r="O213"/>
  <c r="Y213" s="1"/>
  <c r="W213"/>
  <c r="BC214"/>
  <c r="BA213"/>
  <c r="U98" l="1"/>
  <c r="AB98"/>
  <c r="F215"/>
  <c r="T215" s="1"/>
  <c r="S216" s="1"/>
  <c r="H214"/>
  <c r="BE215"/>
  <c r="BG215" s="1"/>
  <c r="BE214"/>
  <c r="BG214" s="1"/>
  <c r="BD215"/>
  <c r="BF215" s="1"/>
  <c r="BA215"/>
  <c r="AX215"/>
  <c r="AZ215" s="1"/>
  <c r="H215"/>
  <c r="O214"/>
  <c r="Y214" s="1"/>
  <c r="W214"/>
  <c r="Q216"/>
  <c r="AU216"/>
  <c r="I216"/>
  <c r="AV216"/>
  <c r="BB216"/>
  <c r="AP216"/>
  <c r="AN216"/>
  <c r="BC216" s="1"/>
  <c r="E216"/>
  <c r="R216" s="1"/>
  <c r="AW215"/>
  <c r="AY215" s="1"/>
  <c r="K215"/>
  <c r="AT215"/>
  <c r="D217"/>
  <c r="AS217"/>
  <c r="B217"/>
  <c r="A217"/>
  <c r="C218"/>
  <c r="AO215"/>
  <c r="BA214"/>
  <c r="AR214"/>
  <c r="R215"/>
  <c r="Z98" l="1"/>
  <c r="AA98"/>
  <c r="N99"/>
  <c r="AH98"/>
  <c r="F216"/>
  <c r="H216" s="1"/>
  <c r="BE216"/>
  <c r="BG216" s="1"/>
  <c r="A218"/>
  <c r="D218"/>
  <c r="AS218"/>
  <c r="C219"/>
  <c r="B218"/>
  <c r="AR215"/>
  <c r="AO216"/>
  <c r="O215"/>
  <c r="Y215" s="1"/>
  <c r="W215"/>
  <c r="BA216"/>
  <c r="BD216"/>
  <c r="BF216" s="1"/>
  <c r="AT216"/>
  <c r="AW216"/>
  <c r="AY216" s="1"/>
  <c r="K216"/>
  <c r="BB217"/>
  <c r="I217"/>
  <c r="AP217"/>
  <c r="AV217"/>
  <c r="AU217"/>
  <c r="AN217"/>
  <c r="BC217" s="1"/>
  <c r="Q217"/>
  <c r="E217"/>
  <c r="AX216"/>
  <c r="AZ216" s="1"/>
  <c r="L99" l="1"/>
  <c r="P99"/>
  <c r="AF98"/>
  <c r="M99"/>
  <c r="AG98"/>
  <c r="F217"/>
  <c r="H217" s="1"/>
  <c r="T216"/>
  <c r="S217" s="1"/>
  <c r="BE217"/>
  <c r="BG217" s="1"/>
  <c r="AX217"/>
  <c r="AZ217" s="1"/>
  <c r="O216"/>
  <c r="Y216" s="1"/>
  <c r="W216"/>
  <c r="D219"/>
  <c r="C220"/>
  <c r="B219"/>
  <c r="A219"/>
  <c r="AR216"/>
  <c r="AO217"/>
  <c r="R217"/>
  <c r="AY217"/>
  <c r="AW217"/>
  <c r="K217"/>
  <c r="AT217"/>
  <c r="AN218"/>
  <c r="AO218" s="1"/>
  <c r="Q218"/>
  <c r="AP218"/>
  <c r="BB218"/>
  <c r="I218"/>
  <c r="AU218"/>
  <c r="AV218"/>
  <c r="E218"/>
  <c r="BD217"/>
  <c r="BF217" s="1"/>
  <c r="BA217"/>
  <c r="X99" l="1"/>
  <c r="AB99"/>
  <c r="U99"/>
  <c r="T217"/>
  <c r="S218" s="1"/>
  <c r="O217"/>
  <c r="Y217" s="1"/>
  <c r="W217"/>
  <c r="C221"/>
  <c r="AS220"/>
  <c r="B220"/>
  <c r="D220"/>
  <c r="A220"/>
  <c r="AW218"/>
  <c r="AY218" s="1"/>
  <c r="AT218"/>
  <c r="K218"/>
  <c r="AX218"/>
  <c r="AZ218" s="1"/>
  <c r="AN219"/>
  <c r="BC219" s="1"/>
  <c r="Q219"/>
  <c r="AP219"/>
  <c r="BB219"/>
  <c r="AU219"/>
  <c r="I219"/>
  <c r="AV219"/>
  <c r="E219"/>
  <c r="R219" s="1"/>
  <c r="AR217"/>
  <c r="BD218"/>
  <c r="BF218" s="1"/>
  <c r="BC218"/>
  <c r="F218"/>
  <c r="AS219"/>
  <c r="R218"/>
  <c r="AH99" l="1"/>
  <c r="Z99"/>
  <c r="AA99"/>
  <c r="AR218"/>
  <c r="AO219"/>
  <c r="BE219"/>
  <c r="BG219" s="1"/>
  <c r="AW219"/>
  <c r="AY219" s="1"/>
  <c r="K219"/>
  <c r="AT219"/>
  <c r="O218"/>
  <c r="Y218" s="1"/>
  <c r="W218"/>
  <c r="AS221"/>
  <c r="C222"/>
  <c r="B221"/>
  <c r="D221"/>
  <c r="A221"/>
  <c r="BE218"/>
  <c r="BG218" s="1"/>
  <c r="AX219"/>
  <c r="AZ219" s="1"/>
  <c r="AP220"/>
  <c r="AN220"/>
  <c r="BC220" s="1"/>
  <c r="Q220"/>
  <c r="AU220"/>
  <c r="I220"/>
  <c r="BB220"/>
  <c r="AV220"/>
  <c r="E220"/>
  <c r="F219"/>
  <c r="T218"/>
  <c r="S219" s="1"/>
  <c r="H218"/>
  <c r="BA219"/>
  <c r="BD219"/>
  <c r="BF219" s="1"/>
  <c r="G208"/>
  <c r="G209" s="1"/>
  <c r="G210" s="1"/>
  <c r="G211" s="1"/>
  <c r="G212" s="1"/>
  <c r="G213" s="1"/>
  <c r="G214" s="1"/>
  <c r="G215" s="1"/>
  <c r="G216" s="1"/>
  <c r="G217" s="1"/>
  <c r="G218" s="1"/>
  <c r="G219" s="1"/>
  <c r="BA218"/>
  <c r="F220" l="1"/>
  <c r="T220" s="1"/>
  <c r="P100"/>
  <c r="AF99"/>
  <c r="AG99"/>
  <c r="AR219"/>
  <c r="BE220"/>
  <c r="BG220" s="1"/>
  <c r="AU221"/>
  <c r="AP221"/>
  <c r="I221"/>
  <c r="Q221"/>
  <c r="BB221"/>
  <c r="AV221"/>
  <c r="AN221"/>
  <c r="AO221" s="1"/>
  <c r="E221"/>
  <c r="AS222"/>
  <c r="A222"/>
  <c r="D222"/>
  <c r="R221"/>
  <c r="B222"/>
  <c r="C223"/>
  <c r="S221"/>
  <c r="AO220"/>
  <c r="O219"/>
  <c r="Y219" s="1"/>
  <c r="W219"/>
  <c r="V219"/>
  <c r="R220"/>
  <c r="T219"/>
  <c r="H219"/>
  <c r="BF220"/>
  <c r="BD220"/>
  <c r="BA220"/>
  <c r="F221"/>
  <c r="T221" s="1"/>
  <c r="S222" s="1"/>
  <c r="AX220"/>
  <c r="AZ220" s="1"/>
  <c r="K220"/>
  <c r="AW220"/>
  <c r="AY220" s="1"/>
  <c r="AT220"/>
  <c r="U100" l="1"/>
  <c r="AB100" s="1"/>
  <c r="H220"/>
  <c r="H221"/>
  <c r="AR220"/>
  <c r="BD221"/>
  <c r="BF221" s="1"/>
  <c r="S220"/>
  <c r="BC221"/>
  <c r="O220"/>
  <c r="Y220" s="1"/>
  <c r="W220"/>
  <c r="C224"/>
  <c r="A223"/>
  <c r="D223"/>
  <c r="AS223"/>
  <c r="B223"/>
  <c r="F222" s="1"/>
  <c r="AN222"/>
  <c r="BC222" s="1"/>
  <c r="Q222"/>
  <c r="BB222"/>
  <c r="AV222"/>
  <c r="I222"/>
  <c r="AP222"/>
  <c r="AU222"/>
  <c r="E222"/>
  <c r="R222" s="1"/>
  <c r="AX221"/>
  <c r="AZ221" s="1"/>
  <c r="AW221"/>
  <c r="AY221" s="1"/>
  <c r="AT221"/>
  <c r="K221"/>
  <c r="AH100" l="1"/>
  <c r="Z100"/>
  <c r="AA100"/>
  <c r="T222"/>
  <c r="S223" s="1"/>
  <c r="H222"/>
  <c r="BE222"/>
  <c r="BG222" s="1"/>
  <c r="A224"/>
  <c r="AS224"/>
  <c r="B224"/>
  <c r="C225"/>
  <c r="D224"/>
  <c r="O221"/>
  <c r="Y221" s="1"/>
  <c r="W221"/>
  <c r="AU223"/>
  <c r="I223"/>
  <c r="AP223"/>
  <c r="AN223"/>
  <c r="AO223" s="1"/>
  <c r="BB223"/>
  <c r="AV223"/>
  <c r="Q223"/>
  <c r="E223"/>
  <c r="R223" s="1"/>
  <c r="AW222"/>
  <c r="AY222" s="1"/>
  <c r="AT222"/>
  <c r="K222"/>
  <c r="BA222"/>
  <c r="BD222"/>
  <c r="BF222" s="1"/>
  <c r="AO222"/>
  <c r="AZ222"/>
  <c r="AX222"/>
  <c r="BE221"/>
  <c r="BG221" s="1"/>
  <c r="AR221"/>
  <c r="BA221"/>
  <c r="P101" l="1"/>
  <c r="U101" s="1"/>
  <c r="AB101" s="1"/>
  <c r="AF100"/>
  <c r="Z101"/>
  <c r="AG100"/>
  <c r="AA101"/>
  <c r="AG101" s="1"/>
  <c r="F223"/>
  <c r="H223" s="1"/>
  <c r="BC223"/>
  <c r="AX223"/>
  <c r="AZ223" s="1"/>
  <c r="BB224"/>
  <c r="AN224"/>
  <c r="BC224" s="1"/>
  <c r="I224"/>
  <c r="AU224"/>
  <c r="AV224"/>
  <c r="Q224"/>
  <c r="AP224"/>
  <c r="E224"/>
  <c r="A225"/>
  <c r="D225"/>
  <c r="F224" s="1"/>
  <c r="T224" s="1"/>
  <c r="R224"/>
  <c r="AS225"/>
  <c r="B225"/>
  <c r="C226"/>
  <c r="O222"/>
  <c r="Y222" s="1"/>
  <c r="W222"/>
  <c r="BE223"/>
  <c r="BG223" s="1"/>
  <c r="AT223"/>
  <c r="K223"/>
  <c r="AW223"/>
  <c r="AY223" s="1"/>
  <c r="BA223"/>
  <c r="BD223"/>
  <c r="BF223" s="1"/>
  <c r="AR222"/>
  <c r="AH101" l="1"/>
  <c r="P102"/>
  <c r="AF101"/>
  <c r="S225"/>
  <c r="T223"/>
  <c r="S224" s="1"/>
  <c r="AO224"/>
  <c r="BE224"/>
  <c r="BG224" s="1"/>
  <c r="AW224"/>
  <c r="AY224" s="1"/>
  <c r="K224"/>
  <c r="AT224"/>
  <c r="BD224"/>
  <c r="BF224" s="1"/>
  <c r="BA224"/>
  <c r="H224"/>
  <c r="AX224"/>
  <c r="AZ224" s="1"/>
  <c r="Q225"/>
  <c r="AU225"/>
  <c r="AN225"/>
  <c r="AO225" s="1"/>
  <c r="I225"/>
  <c r="AP225"/>
  <c r="BB225"/>
  <c r="AV225"/>
  <c r="E225"/>
  <c r="R225" s="1"/>
  <c r="O223"/>
  <c r="Y223" s="1"/>
  <c r="W223"/>
  <c r="AS226"/>
  <c r="D226"/>
  <c r="B226"/>
  <c r="C227"/>
  <c r="A226"/>
  <c r="AR223"/>
  <c r="AA102" l="1"/>
  <c r="U102"/>
  <c r="BC225"/>
  <c r="BE225" s="1"/>
  <c r="BG225" s="1"/>
  <c r="AR224"/>
  <c r="AU226"/>
  <c r="AN226"/>
  <c r="AO226" s="1"/>
  <c r="BB226"/>
  <c r="I226"/>
  <c r="AP226"/>
  <c r="Q226"/>
  <c r="AV226"/>
  <c r="E226"/>
  <c r="R226" s="1"/>
  <c r="O224"/>
  <c r="Y224" s="1"/>
  <c r="W224"/>
  <c r="AX225"/>
  <c r="AZ225" s="1"/>
  <c r="A227"/>
  <c r="C228"/>
  <c r="D227"/>
  <c r="AS227"/>
  <c r="B227"/>
  <c r="BD225"/>
  <c r="BF225" s="1"/>
  <c r="BA225"/>
  <c r="AW225"/>
  <c r="AY225" s="1"/>
  <c r="AT225"/>
  <c r="K225"/>
  <c r="F225"/>
  <c r="AG102" l="1"/>
  <c r="Z102"/>
  <c r="AB102"/>
  <c r="AR225"/>
  <c r="F226"/>
  <c r="T226" s="1"/>
  <c r="T225"/>
  <c r="S226" s="1"/>
  <c r="H225"/>
  <c r="B228"/>
  <c r="A228"/>
  <c r="C229"/>
  <c r="AS228"/>
  <c r="D228"/>
  <c r="AX226"/>
  <c r="AZ226" s="1"/>
  <c r="BF226"/>
  <c r="BD226"/>
  <c r="Q227"/>
  <c r="AN227"/>
  <c r="AO227" s="1"/>
  <c r="BB227"/>
  <c r="AU227"/>
  <c r="AP227"/>
  <c r="I227"/>
  <c r="AV227"/>
  <c r="E227"/>
  <c r="R227" s="1"/>
  <c r="BC226"/>
  <c r="O225"/>
  <c r="Y225" s="1"/>
  <c r="W225"/>
  <c r="AW226"/>
  <c r="AY226" s="1"/>
  <c r="AT226"/>
  <c r="K226"/>
  <c r="H226"/>
  <c r="S227"/>
  <c r="AH102" l="1"/>
  <c r="P103"/>
  <c r="AF102"/>
  <c r="F227"/>
  <c r="H227" s="1"/>
  <c r="O226"/>
  <c r="Y226" s="1"/>
  <c r="W226"/>
  <c r="BD227"/>
  <c r="BF227" s="1"/>
  <c r="BE226"/>
  <c r="BG226" s="1"/>
  <c r="AX227"/>
  <c r="AZ227" s="1"/>
  <c r="AW227"/>
  <c r="AY227" s="1"/>
  <c r="K227"/>
  <c r="AT227"/>
  <c r="AN228"/>
  <c r="BC228" s="1"/>
  <c r="AP228"/>
  <c r="Q228"/>
  <c r="AU228"/>
  <c r="AV228"/>
  <c r="I228"/>
  <c r="BB228"/>
  <c r="E228"/>
  <c r="R228" s="1"/>
  <c r="AR226"/>
  <c r="AS229"/>
  <c r="C230"/>
  <c r="B229"/>
  <c r="A229"/>
  <c r="D229"/>
  <c r="BC227"/>
  <c r="BA226"/>
  <c r="AA103" l="1"/>
  <c r="U103"/>
  <c r="AO228"/>
  <c r="AR227"/>
  <c r="T227"/>
  <c r="S228" s="1"/>
  <c r="BE228"/>
  <c r="BG228" s="1"/>
  <c r="AX228"/>
  <c r="AZ228" s="1"/>
  <c r="O227"/>
  <c r="Y227" s="1"/>
  <c r="W227"/>
  <c r="BE227"/>
  <c r="BG227" s="1"/>
  <c r="BD228"/>
  <c r="BF228" s="1"/>
  <c r="BA228"/>
  <c r="C231"/>
  <c r="AS230"/>
  <c r="B230"/>
  <c r="A230"/>
  <c r="D230"/>
  <c r="AN229"/>
  <c r="BC229" s="1"/>
  <c r="BB229"/>
  <c r="AU229"/>
  <c r="I229"/>
  <c r="AV229"/>
  <c r="AP229"/>
  <c r="Q229"/>
  <c r="E229"/>
  <c r="R229" s="1"/>
  <c r="AW228"/>
  <c r="AY228" s="1"/>
  <c r="AR228" s="1"/>
  <c r="AT228"/>
  <c r="K228"/>
  <c r="F228"/>
  <c r="BA227"/>
  <c r="AG103" l="1"/>
  <c r="AB103"/>
  <c r="Z103"/>
  <c r="BE229"/>
  <c r="BG229" s="1"/>
  <c r="AO229"/>
  <c r="F229"/>
  <c r="AX229"/>
  <c r="AZ229" s="1"/>
  <c r="O228"/>
  <c r="Y228" s="1"/>
  <c r="W228"/>
  <c r="BA229"/>
  <c r="BD229"/>
  <c r="BF229" s="1"/>
  <c r="AP230"/>
  <c r="AN230"/>
  <c r="BC230" s="1"/>
  <c r="Q230"/>
  <c r="AU230"/>
  <c r="BB230"/>
  <c r="I230"/>
  <c r="AV230"/>
  <c r="E230"/>
  <c r="A231"/>
  <c r="AS231" s="1"/>
  <c r="C232"/>
  <c r="B231"/>
  <c r="D231"/>
  <c r="T228"/>
  <c r="S229" s="1"/>
  <c r="H228"/>
  <c r="AT229"/>
  <c r="K229"/>
  <c r="AW229"/>
  <c r="AY229" s="1"/>
  <c r="P104" l="1"/>
  <c r="AF103"/>
  <c r="AH103"/>
  <c r="AO230"/>
  <c r="AR229"/>
  <c r="BA230"/>
  <c r="BD230"/>
  <c r="BF230" s="1"/>
  <c r="BE230"/>
  <c r="BG230" s="1"/>
  <c r="O229"/>
  <c r="Y229" s="1"/>
  <c r="W229"/>
  <c r="I231"/>
  <c r="BB231"/>
  <c r="AN231"/>
  <c r="BC231" s="1"/>
  <c r="AV231"/>
  <c r="Q231"/>
  <c r="AU231"/>
  <c r="AP231"/>
  <c r="E231"/>
  <c r="R231" s="1"/>
  <c r="AX230"/>
  <c r="AZ230" s="1"/>
  <c r="AT230"/>
  <c r="K230"/>
  <c r="AW230"/>
  <c r="AY230" s="1"/>
  <c r="R230"/>
  <c r="C233"/>
  <c r="B232"/>
  <c r="D232"/>
  <c r="A232"/>
  <c r="AS232"/>
  <c r="T229"/>
  <c r="S230" s="1"/>
  <c r="H229"/>
  <c r="F230"/>
  <c r="U104" l="1"/>
  <c r="AA104" s="1"/>
  <c r="AR230"/>
  <c r="BE231"/>
  <c r="BG231" s="1"/>
  <c r="AU232"/>
  <c r="BB232"/>
  <c r="I232"/>
  <c r="Q232"/>
  <c r="AN232"/>
  <c r="BC232" s="1"/>
  <c r="AP232"/>
  <c r="AV232"/>
  <c r="E232"/>
  <c r="R232" s="1"/>
  <c r="G220"/>
  <c r="G221" s="1"/>
  <c r="G222" s="1"/>
  <c r="G223" s="1"/>
  <c r="G224" s="1"/>
  <c r="G225" s="1"/>
  <c r="G226" s="1"/>
  <c r="G227" s="1"/>
  <c r="G228" s="1"/>
  <c r="G229" s="1"/>
  <c r="G230" s="1"/>
  <c r="G231" s="1"/>
  <c r="AX231"/>
  <c r="AZ231" s="1"/>
  <c r="AO231"/>
  <c r="O230"/>
  <c r="Y230" s="1"/>
  <c r="W230"/>
  <c r="K231"/>
  <c r="AW231"/>
  <c r="AY231" s="1"/>
  <c r="AT231"/>
  <c r="BA231"/>
  <c r="BD231"/>
  <c r="BF231" s="1"/>
  <c r="T230"/>
  <c r="S231" s="1"/>
  <c r="H230"/>
  <c r="A233"/>
  <c r="D233"/>
  <c r="C234"/>
  <c r="AS233"/>
  <c r="B233"/>
  <c r="F231"/>
  <c r="Z104" l="1"/>
  <c r="AB104"/>
  <c r="AG104"/>
  <c r="AR231"/>
  <c r="BE232"/>
  <c r="BG232" s="1"/>
  <c r="T231"/>
  <c r="H231"/>
  <c r="AU233"/>
  <c r="AN233"/>
  <c r="AO233" s="1"/>
  <c r="AV233"/>
  <c r="AP233"/>
  <c r="Q233"/>
  <c r="I233"/>
  <c r="BB233"/>
  <c r="E233"/>
  <c r="AX232"/>
  <c r="AZ232" s="1"/>
  <c r="AT232"/>
  <c r="K232"/>
  <c r="AW232"/>
  <c r="AY232" s="1"/>
  <c r="F232"/>
  <c r="AO232"/>
  <c r="BD232"/>
  <c r="BF232" s="1"/>
  <c r="BA232"/>
  <c r="C235"/>
  <c r="AS234"/>
  <c r="R233"/>
  <c r="B234"/>
  <c r="D234"/>
  <c r="A234"/>
  <c r="O231"/>
  <c r="Y231" s="1"/>
  <c r="W231"/>
  <c r="V231"/>
  <c r="AF104" l="1"/>
  <c r="P105"/>
  <c r="U105" s="1"/>
  <c r="AH104"/>
  <c r="F233"/>
  <c r="T233" s="1"/>
  <c r="AR232"/>
  <c r="BC233"/>
  <c r="BA233" s="1"/>
  <c r="H233"/>
  <c r="O232"/>
  <c r="Y232" s="1"/>
  <c r="W232"/>
  <c r="BD233"/>
  <c r="BF233" s="1"/>
  <c r="AX233"/>
  <c r="AZ233" s="1"/>
  <c r="AU234"/>
  <c r="AP234"/>
  <c r="AN234"/>
  <c r="AO234" s="1"/>
  <c r="Q234"/>
  <c r="I234"/>
  <c r="BB234"/>
  <c r="AV234"/>
  <c r="E234"/>
  <c r="R234" s="1"/>
  <c r="C236"/>
  <c r="D235"/>
  <c r="A235"/>
  <c r="AS235"/>
  <c r="B235"/>
  <c r="T232"/>
  <c r="S233" s="1"/>
  <c r="H232"/>
  <c r="AT233"/>
  <c r="K233"/>
  <c r="AW233"/>
  <c r="AY233" s="1"/>
  <c r="S232"/>
  <c r="BE233" l="1"/>
  <c r="BG233" s="1"/>
  <c r="S234"/>
  <c r="Z105"/>
  <c r="AF105" s="1"/>
  <c r="AB105"/>
  <c r="AH105" s="1"/>
  <c r="F234"/>
  <c r="H234" s="1"/>
  <c r="AA105"/>
  <c r="AR233"/>
  <c r="AP235"/>
  <c r="Q235"/>
  <c r="AV235"/>
  <c r="I235"/>
  <c r="BB235"/>
  <c r="AU235"/>
  <c r="AN235"/>
  <c r="BC235" s="1"/>
  <c r="E235"/>
  <c r="R235" s="1"/>
  <c r="BC234"/>
  <c r="BA234" s="1"/>
  <c r="BD234"/>
  <c r="BF234" s="1"/>
  <c r="D236"/>
  <c r="C237"/>
  <c r="B236"/>
  <c r="A236"/>
  <c r="AS236"/>
  <c r="AX234"/>
  <c r="AZ234" s="1"/>
  <c r="AT234"/>
  <c r="AW234"/>
  <c r="AY234" s="1"/>
  <c r="K234"/>
  <c r="O233"/>
  <c r="Y233" s="1"/>
  <c r="W233"/>
  <c r="T234" l="1"/>
  <c r="S235" s="1"/>
  <c r="P106"/>
  <c r="U106"/>
  <c r="Z106"/>
  <c r="AB106"/>
  <c r="AG105"/>
  <c r="AA106"/>
  <c r="AG106" s="1"/>
  <c r="F235"/>
  <c r="T235" s="1"/>
  <c r="S236" s="1"/>
  <c r="BE235"/>
  <c r="BG235" s="1"/>
  <c r="AT235"/>
  <c r="AW235"/>
  <c r="AY235" s="1"/>
  <c r="K235"/>
  <c r="D237"/>
  <c r="A237"/>
  <c r="C238"/>
  <c r="AS237"/>
  <c r="B237"/>
  <c r="BA235"/>
  <c r="BD235"/>
  <c r="BF235" s="1"/>
  <c r="F236"/>
  <c r="T236" s="1"/>
  <c r="S237" s="1"/>
  <c r="AR234"/>
  <c r="AO235"/>
  <c r="O234"/>
  <c r="Y234" s="1"/>
  <c r="W234"/>
  <c r="BB236"/>
  <c r="AN236"/>
  <c r="BC236" s="1"/>
  <c r="I236"/>
  <c r="Q236"/>
  <c r="AU236"/>
  <c r="AP236"/>
  <c r="AV236"/>
  <c r="E236"/>
  <c r="BE234"/>
  <c r="BG234" s="1"/>
  <c r="AX235"/>
  <c r="AZ235" s="1"/>
  <c r="H235" l="1"/>
  <c r="P107"/>
  <c r="U107" s="1"/>
  <c r="Z107" s="1"/>
  <c r="AF106"/>
  <c r="AH106"/>
  <c r="AR235"/>
  <c r="H236"/>
  <c r="AO236"/>
  <c r="BE236"/>
  <c r="BG236" s="1"/>
  <c r="Q237"/>
  <c r="I237"/>
  <c r="BB237"/>
  <c r="AU237"/>
  <c r="AP237"/>
  <c r="AN237"/>
  <c r="BC237" s="1"/>
  <c r="AV237"/>
  <c r="E237"/>
  <c r="R237" s="1"/>
  <c r="O235"/>
  <c r="Y235" s="1"/>
  <c r="W235"/>
  <c r="BD236"/>
  <c r="BF236" s="1"/>
  <c r="BA236"/>
  <c r="B238"/>
  <c r="D238"/>
  <c r="A238"/>
  <c r="C239"/>
  <c r="AS238"/>
  <c r="AT236"/>
  <c r="K236"/>
  <c r="AW236"/>
  <c r="AY236" s="1"/>
  <c r="AX236"/>
  <c r="AZ236" s="1"/>
  <c r="R236"/>
  <c r="AF107" l="1"/>
  <c r="AA107"/>
  <c r="AB107"/>
  <c r="AR236"/>
  <c r="BE237"/>
  <c r="BG237" s="1"/>
  <c r="AW237"/>
  <c r="AY237" s="1"/>
  <c r="K237"/>
  <c r="AT237"/>
  <c r="AO237"/>
  <c r="B239"/>
  <c r="C240"/>
  <c r="D239"/>
  <c r="AS239"/>
  <c r="A239"/>
  <c r="AX237"/>
  <c r="AZ237" s="1"/>
  <c r="O236"/>
  <c r="Y236" s="1"/>
  <c r="W236"/>
  <c r="AN238"/>
  <c r="AO238" s="1"/>
  <c r="AV238"/>
  <c r="I238"/>
  <c r="AP238"/>
  <c r="AU238"/>
  <c r="Q238"/>
  <c r="BB238"/>
  <c r="E238"/>
  <c r="R238" s="1"/>
  <c r="BD237"/>
  <c r="BF237" s="1"/>
  <c r="BA237"/>
  <c r="F237"/>
  <c r="P108" l="1"/>
  <c r="AH107"/>
  <c r="AG107"/>
  <c r="F238"/>
  <c r="H238" s="1"/>
  <c r="AR237"/>
  <c r="AU239"/>
  <c r="Q239"/>
  <c r="I239"/>
  <c r="AP239"/>
  <c r="AN239"/>
  <c r="BC239" s="1"/>
  <c r="BB239"/>
  <c r="AV239"/>
  <c r="E239"/>
  <c r="BC238"/>
  <c r="BA238" s="1"/>
  <c r="C241"/>
  <c r="A240"/>
  <c r="D240"/>
  <c r="B240"/>
  <c r="AS240"/>
  <c r="T237"/>
  <c r="S238" s="1"/>
  <c r="H237"/>
  <c r="BD238"/>
  <c r="BF238" s="1"/>
  <c r="AW238"/>
  <c r="AY238" s="1"/>
  <c r="K238"/>
  <c r="AT238"/>
  <c r="AX238"/>
  <c r="AZ238" s="1"/>
  <c r="O237"/>
  <c r="Y237" s="1"/>
  <c r="W237"/>
  <c r="F239" l="1"/>
  <c r="T239" s="1"/>
  <c r="AB108"/>
  <c r="AH108" s="1"/>
  <c r="AA108"/>
  <c r="AG108" s="1"/>
  <c r="U108"/>
  <c r="Z108" s="1"/>
  <c r="AF108" s="1"/>
  <c r="T238"/>
  <c r="S239" s="1"/>
  <c r="BE239"/>
  <c r="BG239" s="1"/>
  <c r="O238"/>
  <c r="Y238" s="1"/>
  <c r="W238"/>
  <c r="AP240"/>
  <c r="BB240"/>
  <c r="AU240"/>
  <c r="Q240"/>
  <c r="AV240"/>
  <c r="I240"/>
  <c r="AN240"/>
  <c r="BC240" s="1"/>
  <c r="E240"/>
  <c r="R240" s="1"/>
  <c r="BA239"/>
  <c r="BD239"/>
  <c r="BF239" s="1"/>
  <c r="AO239"/>
  <c r="D241"/>
  <c r="B241"/>
  <c r="A241"/>
  <c r="AS241"/>
  <c r="C242"/>
  <c r="AX239"/>
  <c r="AZ239" s="1"/>
  <c r="AW239"/>
  <c r="AY239" s="1"/>
  <c r="AT239"/>
  <c r="K239"/>
  <c r="H239"/>
  <c r="AR238"/>
  <c r="R239"/>
  <c r="BE238"/>
  <c r="BG238" s="1"/>
  <c r="P109" l="1"/>
  <c r="S240"/>
  <c r="F240"/>
  <c r="T240" s="1"/>
  <c r="S241" s="1"/>
  <c r="AR239"/>
  <c r="BE240"/>
  <c r="BG240" s="1"/>
  <c r="K240"/>
  <c r="AT240"/>
  <c r="AW240"/>
  <c r="AY240" s="1"/>
  <c r="Q241"/>
  <c r="I241"/>
  <c r="AV241"/>
  <c r="BB241"/>
  <c r="AP241"/>
  <c r="AN241"/>
  <c r="BC241" s="1"/>
  <c r="AU241"/>
  <c r="E241"/>
  <c r="R241" s="1"/>
  <c r="AX240"/>
  <c r="AZ240" s="1"/>
  <c r="H240"/>
  <c r="AO240"/>
  <c r="O239"/>
  <c r="Y239" s="1"/>
  <c r="W239"/>
  <c r="A242"/>
  <c r="D242"/>
  <c r="C243"/>
  <c r="AS242"/>
  <c r="B242"/>
  <c r="BA240"/>
  <c r="BD240"/>
  <c r="BF240" s="1"/>
  <c r="U109" l="1"/>
  <c r="Z109" s="1"/>
  <c r="AF109" s="1"/>
  <c r="AR240"/>
  <c r="BE241"/>
  <c r="BG241" s="1"/>
  <c r="AT241"/>
  <c r="AW241"/>
  <c r="AY241" s="1"/>
  <c r="K241"/>
  <c r="BD241"/>
  <c r="BF241" s="1"/>
  <c r="BA241"/>
  <c r="O240"/>
  <c r="Y240" s="1"/>
  <c r="W240"/>
  <c r="B243"/>
  <c r="C244"/>
  <c r="A243"/>
  <c r="AS243" s="1"/>
  <c r="D243"/>
  <c r="AP242"/>
  <c r="BB242"/>
  <c r="AN242"/>
  <c r="BC242" s="1"/>
  <c r="AU242"/>
  <c r="I242"/>
  <c r="AV242"/>
  <c r="Q242"/>
  <c r="E242"/>
  <c r="R242" s="1"/>
  <c r="AX241"/>
  <c r="AZ241" s="1"/>
  <c r="AO241"/>
  <c r="F241"/>
  <c r="AA109" l="1"/>
  <c r="AB109"/>
  <c r="F242"/>
  <c r="H242" s="1"/>
  <c r="AR241"/>
  <c r="BE242"/>
  <c r="BG242" s="1"/>
  <c r="AX242"/>
  <c r="AZ242" s="1"/>
  <c r="AO242"/>
  <c r="O241"/>
  <c r="Y241" s="1"/>
  <c r="W241"/>
  <c r="T241"/>
  <c r="S242" s="1"/>
  <c r="H241"/>
  <c r="AT242"/>
  <c r="AW242"/>
  <c r="AY242" s="1"/>
  <c r="K242"/>
  <c r="A244"/>
  <c r="AS244"/>
  <c r="B244"/>
  <c r="D244"/>
  <c r="C245"/>
  <c r="BD242"/>
  <c r="BF242" s="1"/>
  <c r="BA242"/>
  <c r="I243"/>
  <c r="AN243"/>
  <c r="AO243" s="1"/>
  <c r="Q243"/>
  <c r="AP243"/>
  <c r="AU243"/>
  <c r="BB243"/>
  <c r="AV243"/>
  <c r="E243"/>
  <c r="R243" s="1"/>
  <c r="AG109" l="1"/>
  <c r="P110"/>
  <c r="U110" s="1"/>
  <c r="Z110" s="1"/>
  <c r="AH109"/>
  <c r="AR242"/>
  <c r="T242"/>
  <c r="S243" s="1"/>
  <c r="BC243"/>
  <c r="BA243" s="1"/>
  <c r="BD243"/>
  <c r="BF243" s="1"/>
  <c r="AW243"/>
  <c r="AY243" s="1"/>
  <c r="AT243"/>
  <c r="K243"/>
  <c r="C246"/>
  <c r="AS245"/>
  <c r="B245"/>
  <c r="F244" s="1"/>
  <c r="T244" s="1"/>
  <c r="A245"/>
  <c r="D245"/>
  <c r="AX243"/>
  <c r="AZ243" s="1"/>
  <c r="G232"/>
  <c r="G233" s="1"/>
  <c r="G234" s="1"/>
  <c r="G235" s="1"/>
  <c r="G236" s="1"/>
  <c r="G237" s="1"/>
  <c r="G238" s="1"/>
  <c r="G239" s="1"/>
  <c r="G240" s="1"/>
  <c r="G241" s="1"/>
  <c r="G242" s="1"/>
  <c r="G243" s="1"/>
  <c r="F243"/>
  <c r="O242"/>
  <c r="Y242" s="1"/>
  <c r="W242"/>
  <c r="AV244"/>
  <c r="AU244"/>
  <c r="AN244"/>
  <c r="AO244" s="1"/>
  <c r="Q244"/>
  <c r="I244"/>
  <c r="BB244"/>
  <c r="AP244"/>
  <c r="E244"/>
  <c r="R244" s="1"/>
  <c r="AA110" l="1"/>
  <c r="AF110"/>
  <c r="L111"/>
  <c r="AB110"/>
  <c r="BE243"/>
  <c r="BG243" s="1"/>
  <c r="BC244"/>
  <c r="BA244" s="1"/>
  <c r="AR243"/>
  <c r="BD244"/>
  <c r="BF244" s="1"/>
  <c r="AX244"/>
  <c r="AZ244" s="1"/>
  <c r="T243"/>
  <c r="H243"/>
  <c r="BB245"/>
  <c r="AU245"/>
  <c r="AV245"/>
  <c r="AP245"/>
  <c r="Q245"/>
  <c r="AN245"/>
  <c r="BC245" s="1"/>
  <c r="I245"/>
  <c r="E245"/>
  <c r="R245" s="1"/>
  <c r="D246"/>
  <c r="B246"/>
  <c r="C247"/>
  <c r="A246"/>
  <c r="AS246"/>
  <c r="H244"/>
  <c r="S245"/>
  <c r="O243"/>
  <c r="Y243" s="1"/>
  <c r="W243"/>
  <c r="V243"/>
  <c r="K244"/>
  <c r="AT244"/>
  <c r="AW244"/>
  <c r="AY244" s="1"/>
  <c r="N111" l="1"/>
  <c r="AH110"/>
  <c r="M111"/>
  <c r="AG110"/>
  <c r="P111"/>
  <c r="U111" s="1"/>
  <c r="AO245"/>
  <c r="F245"/>
  <c r="T245" s="1"/>
  <c r="S246" s="1"/>
  <c r="BE244"/>
  <c r="BG244" s="1"/>
  <c r="AR244"/>
  <c r="BE245"/>
  <c r="BG245" s="1"/>
  <c r="AX245"/>
  <c r="AZ245" s="1"/>
  <c r="S244"/>
  <c r="AS247"/>
  <c r="D247"/>
  <c r="A247"/>
  <c r="C248"/>
  <c r="B247"/>
  <c r="BA245"/>
  <c r="BF245"/>
  <c r="BD245"/>
  <c r="O244"/>
  <c r="Y244" s="1"/>
  <c r="W244"/>
  <c r="AV246"/>
  <c r="AP246"/>
  <c r="BB246"/>
  <c r="AU246"/>
  <c r="I246"/>
  <c r="AN246"/>
  <c r="BC246" s="1"/>
  <c r="Q246"/>
  <c r="E246"/>
  <c r="AW245"/>
  <c r="AY245" s="1"/>
  <c r="AR245" s="1"/>
  <c r="K245"/>
  <c r="AT245"/>
  <c r="AB111" l="1"/>
  <c r="X111"/>
  <c r="Z111"/>
  <c r="AA111"/>
  <c r="AG111" s="1"/>
  <c r="AO246"/>
  <c r="H245"/>
  <c r="BE246"/>
  <c r="BG246" s="1"/>
  <c r="K246"/>
  <c r="AT246"/>
  <c r="AW246"/>
  <c r="AY246" s="1"/>
  <c r="AX246"/>
  <c r="AZ246" s="1"/>
  <c r="I247"/>
  <c r="AP247"/>
  <c r="Q247"/>
  <c r="BB247"/>
  <c r="AV247"/>
  <c r="AU247"/>
  <c r="AN247"/>
  <c r="BC247" s="1"/>
  <c r="E247"/>
  <c r="R247" s="1"/>
  <c r="O245"/>
  <c r="Y245" s="1"/>
  <c r="W245"/>
  <c r="BD246"/>
  <c r="BF246" s="1"/>
  <c r="BA246"/>
  <c r="AS248"/>
  <c r="C249"/>
  <c r="D248"/>
  <c r="B248"/>
  <c r="A248"/>
  <c r="R246"/>
  <c r="F246"/>
  <c r="AH111" l="1"/>
  <c r="AF111"/>
  <c r="P112"/>
  <c r="BE247"/>
  <c r="BG247" s="1"/>
  <c r="AR246"/>
  <c r="A249"/>
  <c r="C250"/>
  <c r="AS249"/>
  <c r="B249"/>
  <c r="D249"/>
  <c r="AT247"/>
  <c r="AW247"/>
  <c r="AY247" s="1"/>
  <c r="K247"/>
  <c r="O246"/>
  <c r="Y246" s="1"/>
  <c r="W246"/>
  <c r="BD247"/>
  <c r="BF247" s="1"/>
  <c r="BA247"/>
  <c r="AX247"/>
  <c r="AZ247" s="1"/>
  <c r="F247"/>
  <c r="AO247"/>
  <c r="T246"/>
  <c r="S247" s="1"/>
  <c r="H246"/>
  <c r="AU248"/>
  <c r="Q248"/>
  <c r="AP248"/>
  <c r="I248"/>
  <c r="BB248"/>
  <c r="AN248"/>
  <c r="BC248" s="1"/>
  <c r="AV248"/>
  <c r="E248"/>
  <c r="AB112" l="1"/>
  <c r="U112"/>
  <c r="F248"/>
  <c r="T248" s="1"/>
  <c r="AO248"/>
  <c r="BE248"/>
  <c r="BG248" s="1"/>
  <c r="T247"/>
  <c r="S248" s="1"/>
  <c r="H247"/>
  <c r="O247"/>
  <c r="Y247" s="1"/>
  <c r="W247"/>
  <c r="C251"/>
  <c r="B250"/>
  <c r="D250"/>
  <c r="A250"/>
  <c r="AS250"/>
  <c r="AX248"/>
  <c r="AZ248" s="1"/>
  <c r="BD248"/>
  <c r="BF248" s="1"/>
  <c r="BA248"/>
  <c r="AW248"/>
  <c r="AY248" s="1"/>
  <c r="AR248" s="1"/>
  <c r="AT248"/>
  <c r="K248"/>
  <c r="S249"/>
  <c r="F249"/>
  <c r="T249" s="1"/>
  <c r="S250" s="1"/>
  <c r="AR247"/>
  <c r="AV249"/>
  <c r="AP249"/>
  <c r="BB249"/>
  <c r="AU249"/>
  <c r="AN249"/>
  <c r="AO249" s="1"/>
  <c r="Q249"/>
  <c r="I249"/>
  <c r="E249"/>
  <c r="R249" s="1"/>
  <c r="H248"/>
  <c r="R248"/>
  <c r="AH112" l="1"/>
  <c r="AA112"/>
  <c r="Z112"/>
  <c r="BC249"/>
  <c r="BE249" s="1"/>
  <c r="BG249" s="1"/>
  <c r="H249"/>
  <c r="AX249"/>
  <c r="AZ249" s="1"/>
  <c r="Q250"/>
  <c r="AN250"/>
  <c r="BC250" s="1"/>
  <c r="AU250"/>
  <c r="I250"/>
  <c r="BB250"/>
  <c r="AV250"/>
  <c r="AP250"/>
  <c r="E250"/>
  <c r="R250" s="1"/>
  <c r="C252"/>
  <c r="D251"/>
  <c r="AS251"/>
  <c r="B251"/>
  <c r="A251"/>
  <c r="O248"/>
  <c r="Y248" s="1"/>
  <c r="W248"/>
  <c r="BD249"/>
  <c r="BF249" s="1"/>
  <c r="AT249"/>
  <c r="K249"/>
  <c r="AW249"/>
  <c r="AY249" s="1"/>
  <c r="AR249" s="1"/>
  <c r="P113" l="1"/>
  <c r="AF112"/>
  <c r="AG112"/>
  <c r="BA249"/>
  <c r="F250"/>
  <c r="H250" s="1"/>
  <c r="AO250"/>
  <c r="BE250"/>
  <c r="BG250" s="1"/>
  <c r="O249"/>
  <c r="Y249" s="1"/>
  <c r="W249"/>
  <c r="D252"/>
  <c r="B252"/>
  <c r="A252"/>
  <c r="C253"/>
  <c r="AS252"/>
  <c r="AX250"/>
  <c r="AZ250" s="1"/>
  <c r="BB251"/>
  <c r="AN251"/>
  <c r="AO251" s="1"/>
  <c r="AU251"/>
  <c r="Q251"/>
  <c r="AP251"/>
  <c r="I251"/>
  <c r="AV251"/>
  <c r="E251"/>
  <c r="AT250"/>
  <c r="AY250"/>
  <c r="AW250"/>
  <c r="K250"/>
  <c r="BA250"/>
  <c r="BD250"/>
  <c r="BF250" s="1"/>
  <c r="AB113" l="1"/>
  <c r="U113"/>
  <c r="AA113" s="1"/>
  <c r="Z113"/>
  <c r="F251"/>
  <c r="H251" s="1"/>
  <c r="T250"/>
  <c r="S251" s="1"/>
  <c r="BC251"/>
  <c r="BA251" s="1"/>
  <c r="R251"/>
  <c r="O250"/>
  <c r="Y250" s="1"/>
  <c r="W250"/>
  <c r="AX251"/>
  <c r="AZ251" s="1"/>
  <c r="AW251"/>
  <c r="AY251" s="1"/>
  <c r="K251"/>
  <c r="AT251"/>
  <c r="BB252"/>
  <c r="AV252"/>
  <c r="I252"/>
  <c r="AN252"/>
  <c r="BC252" s="1"/>
  <c r="AU252"/>
  <c r="AP252"/>
  <c r="Q252"/>
  <c r="E252"/>
  <c r="R252" s="1"/>
  <c r="AR250"/>
  <c r="BD251"/>
  <c r="BF251" s="1"/>
  <c r="AS253"/>
  <c r="C254"/>
  <c r="B253"/>
  <c r="D253"/>
  <c r="A253"/>
  <c r="AH113" l="1"/>
  <c r="AG113"/>
  <c r="P114"/>
  <c r="U114" s="1"/>
  <c r="Z114" s="1"/>
  <c r="AF113"/>
  <c r="T251"/>
  <c r="S252" s="1"/>
  <c r="F252"/>
  <c r="T252" s="1"/>
  <c r="S253" s="1"/>
  <c r="AO252"/>
  <c r="BE252"/>
  <c r="BG252" s="1"/>
  <c r="AN253"/>
  <c r="BC253" s="1"/>
  <c r="AP253"/>
  <c r="BB253"/>
  <c r="Q253"/>
  <c r="AV253"/>
  <c r="I253"/>
  <c r="AU253"/>
  <c r="E253"/>
  <c r="A254"/>
  <c r="D254"/>
  <c r="AS254"/>
  <c r="C255"/>
  <c r="B254"/>
  <c r="BE251"/>
  <c r="BG251" s="1"/>
  <c r="AR251"/>
  <c r="BD252"/>
  <c r="BF252" s="1"/>
  <c r="BA252"/>
  <c r="AX252"/>
  <c r="AZ252" s="1"/>
  <c r="AW252"/>
  <c r="AY252" s="1"/>
  <c r="AT252"/>
  <c r="K252"/>
  <c r="O251"/>
  <c r="Y251" s="1"/>
  <c r="W251"/>
  <c r="AA114" l="1"/>
  <c r="AF114"/>
  <c r="AB114"/>
  <c r="H252"/>
  <c r="AR252"/>
  <c r="BE253"/>
  <c r="BG253" s="1"/>
  <c r="C256"/>
  <c r="B255"/>
  <c r="A255"/>
  <c r="AS255" s="1"/>
  <c r="D255"/>
  <c r="Q254"/>
  <c r="AN254"/>
  <c r="AO254" s="1"/>
  <c r="AP254"/>
  <c r="BB254"/>
  <c r="I254"/>
  <c r="AV254"/>
  <c r="AU254"/>
  <c r="E254"/>
  <c r="R254" s="1"/>
  <c r="AX253"/>
  <c r="AZ253" s="1"/>
  <c r="BD253"/>
  <c r="BF253" s="1"/>
  <c r="BA253"/>
  <c r="AT253"/>
  <c r="AW253"/>
  <c r="AY253" s="1"/>
  <c r="AR253" s="1"/>
  <c r="K253"/>
  <c r="O252"/>
  <c r="Y252" s="1"/>
  <c r="W252"/>
  <c r="F253"/>
  <c r="R253"/>
  <c r="AO253"/>
  <c r="AG114" l="1"/>
  <c r="P115"/>
  <c r="AH114"/>
  <c r="BC254"/>
  <c r="BA254" s="1"/>
  <c r="T253"/>
  <c r="S254" s="1"/>
  <c r="H253"/>
  <c r="AX254"/>
  <c r="AZ254" s="1"/>
  <c r="C257"/>
  <c r="B256"/>
  <c r="AS256"/>
  <c r="A256"/>
  <c r="D256"/>
  <c r="AT254"/>
  <c r="AW254"/>
  <c r="AY254" s="1"/>
  <c r="K254"/>
  <c r="O253"/>
  <c r="Y253" s="1"/>
  <c r="W253"/>
  <c r="BD254"/>
  <c r="BF254" s="1"/>
  <c r="BB255"/>
  <c r="AN255"/>
  <c r="AO255" s="1"/>
  <c r="I255"/>
  <c r="AV255"/>
  <c r="Q255"/>
  <c r="AP255"/>
  <c r="AU255"/>
  <c r="E255"/>
  <c r="R255" s="1"/>
  <c r="F254"/>
  <c r="U115" l="1"/>
  <c r="Z115" s="1"/>
  <c r="BE254"/>
  <c r="BG254" s="1"/>
  <c r="F255"/>
  <c r="T255" s="1"/>
  <c r="AR254"/>
  <c r="AS257"/>
  <c r="B257"/>
  <c r="D257"/>
  <c r="F256" s="1"/>
  <c r="T256" s="1"/>
  <c r="S257" s="1"/>
  <c r="C258"/>
  <c r="A257"/>
  <c r="AX255"/>
  <c r="AZ255" s="1"/>
  <c r="BD255"/>
  <c r="BF255" s="1"/>
  <c r="AV256"/>
  <c r="AU256"/>
  <c r="BB256"/>
  <c r="AN256"/>
  <c r="AO256" s="1"/>
  <c r="AP256"/>
  <c r="I256"/>
  <c r="Q256"/>
  <c r="E256"/>
  <c r="R256" s="1"/>
  <c r="BC255"/>
  <c r="S256"/>
  <c r="G244"/>
  <c r="G245" s="1"/>
  <c r="G246" s="1"/>
  <c r="G247" s="1"/>
  <c r="G248" s="1"/>
  <c r="G249" s="1"/>
  <c r="G250" s="1"/>
  <c r="G251" s="1"/>
  <c r="G252" s="1"/>
  <c r="G253" s="1"/>
  <c r="G254" s="1"/>
  <c r="G255" s="1"/>
  <c r="O254"/>
  <c r="Y254" s="1"/>
  <c r="W254"/>
  <c r="T254"/>
  <c r="S255" s="1"/>
  <c r="H254"/>
  <c r="AW255"/>
  <c r="AY255" s="1"/>
  <c r="AT255"/>
  <c r="K255"/>
  <c r="H255"/>
  <c r="AB115" l="1"/>
  <c r="AA115"/>
  <c r="AF115"/>
  <c r="AR255"/>
  <c r="H256"/>
  <c r="BE255"/>
  <c r="BG255" s="1"/>
  <c r="A258"/>
  <c r="C259"/>
  <c r="D258"/>
  <c r="AS258"/>
  <c r="B258"/>
  <c r="BC256"/>
  <c r="BA256" s="1"/>
  <c r="BD256"/>
  <c r="BF256" s="1"/>
  <c r="AX256"/>
  <c r="AZ256" s="1"/>
  <c r="I257"/>
  <c r="AN257"/>
  <c r="BC257" s="1"/>
  <c r="Q257"/>
  <c r="AP257"/>
  <c r="AV257"/>
  <c r="BB257"/>
  <c r="AU257"/>
  <c r="E257"/>
  <c r="BA255"/>
  <c r="O255"/>
  <c r="Y255" s="1"/>
  <c r="W255"/>
  <c r="V255"/>
  <c r="AT256"/>
  <c r="AW256"/>
  <c r="AY256" s="1"/>
  <c r="K256"/>
  <c r="AH115" l="1"/>
  <c r="AG115"/>
  <c r="P116"/>
  <c r="F257"/>
  <c r="T257" s="1"/>
  <c r="S258" s="1"/>
  <c r="AO257"/>
  <c r="AR256"/>
  <c r="O256"/>
  <c r="Y256" s="1"/>
  <c r="W256"/>
  <c r="AW257"/>
  <c r="AY257" s="1"/>
  <c r="K257"/>
  <c r="AT257"/>
  <c r="AU258"/>
  <c r="AN258"/>
  <c r="AO258" s="1"/>
  <c r="AP258"/>
  <c r="AV258"/>
  <c r="I258"/>
  <c r="Q258"/>
  <c r="BB258"/>
  <c r="E258"/>
  <c r="R258" s="1"/>
  <c r="AX257"/>
  <c r="AZ257" s="1"/>
  <c r="C260"/>
  <c r="B259"/>
  <c r="AS259"/>
  <c r="D259"/>
  <c r="A259"/>
  <c r="H257"/>
  <c r="R257"/>
  <c r="BA257"/>
  <c r="BD257"/>
  <c r="BF257" s="1"/>
  <c r="BE257"/>
  <c r="BG257" s="1"/>
  <c r="BE256"/>
  <c r="BG256" s="1"/>
  <c r="Z116" l="1"/>
  <c r="U116"/>
  <c r="BC258"/>
  <c r="BE258" s="1"/>
  <c r="BG258" s="1"/>
  <c r="F258"/>
  <c r="H258" s="1"/>
  <c r="AR257"/>
  <c r="BD258"/>
  <c r="BF258" s="1"/>
  <c r="AX258"/>
  <c r="AZ258" s="1"/>
  <c r="K258"/>
  <c r="AW258"/>
  <c r="AY258" s="1"/>
  <c r="AT258"/>
  <c r="O257"/>
  <c r="Y257" s="1"/>
  <c r="W257"/>
  <c r="AN259"/>
  <c r="AO259" s="1"/>
  <c r="BB259"/>
  <c r="Q259"/>
  <c r="AP259"/>
  <c r="AV259"/>
  <c r="AU259"/>
  <c r="I259"/>
  <c r="E259"/>
  <c r="R259" s="1"/>
  <c r="A260"/>
  <c r="C261"/>
  <c r="B260"/>
  <c r="AS260"/>
  <c r="D260"/>
  <c r="AF116" l="1"/>
  <c r="AB116"/>
  <c r="AA116"/>
  <c r="BA258"/>
  <c r="T258"/>
  <c r="S259" s="1"/>
  <c r="BC259"/>
  <c r="BA259" s="1"/>
  <c r="AR258"/>
  <c r="AU260"/>
  <c r="I260"/>
  <c r="Q260"/>
  <c r="AV260"/>
  <c r="AN260"/>
  <c r="AO260" s="1"/>
  <c r="AP260"/>
  <c r="BB260"/>
  <c r="E260"/>
  <c r="R260" s="1"/>
  <c r="K259"/>
  <c r="AW259"/>
  <c r="AY259" s="1"/>
  <c r="AT259"/>
  <c r="AX259"/>
  <c r="AZ259" s="1"/>
  <c r="AS261"/>
  <c r="A261"/>
  <c r="C262"/>
  <c r="D261"/>
  <c r="B261"/>
  <c r="BD259"/>
  <c r="BF259" s="1"/>
  <c r="O258"/>
  <c r="Y258" s="1"/>
  <c r="W258"/>
  <c r="F259"/>
  <c r="AG116" l="1"/>
  <c r="P117"/>
  <c r="AH116"/>
  <c r="U117"/>
  <c r="AB117" s="1"/>
  <c r="F260"/>
  <c r="T260" s="1"/>
  <c r="BE259"/>
  <c r="BG259" s="1"/>
  <c r="AR259"/>
  <c r="BC260"/>
  <c r="BA260" s="1"/>
  <c r="BD260"/>
  <c r="BF260" s="1"/>
  <c r="S261"/>
  <c r="D262"/>
  <c r="C263"/>
  <c r="A262"/>
  <c r="AS262"/>
  <c r="B262"/>
  <c r="BE260"/>
  <c r="AX260"/>
  <c r="AZ260" s="1"/>
  <c r="AT260"/>
  <c r="AW260"/>
  <c r="AY260" s="1"/>
  <c r="K260"/>
  <c r="T259"/>
  <c r="S260" s="1"/>
  <c r="H259"/>
  <c r="AV261"/>
  <c r="Q261"/>
  <c r="AU261"/>
  <c r="AP261"/>
  <c r="AN261"/>
  <c r="AO261" s="1"/>
  <c r="BB261"/>
  <c r="I261"/>
  <c r="E261"/>
  <c r="O259"/>
  <c r="Y259" s="1"/>
  <c r="W259"/>
  <c r="H260"/>
  <c r="AH117" l="1"/>
  <c r="Z117"/>
  <c r="AA117"/>
  <c r="AR260"/>
  <c r="BG260"/>
  <c r="AT261"/>
  <c r="K261"/>
  <c r="AW261"/>
  <c r="AY261" s="1"/>
  <c r="BD261"/>
  <c r="BF261" s="1"/>
  <c r="BC261"/>
  <c r="AU262"/>
  <c r="AP262"/>
  <c r="Q262"/>
  <c r="AN262"/>
  <c r="BC262" s="1"/>
  <c r="BB262"/>
  <c r="I262"/>
  <c r="AV262"/>
  <c r="E262"/>
  <c r="R262" s="1"/>
  <c r="AX261"/>
  <c r="AZ261" s="1"/>
  <c r="B263"/>
  <c r="AS263"/>
  <c r="D263"/>
  <c r="C264"/>
  <c r="A263"/>
  <c r="F261"/>
  <c r="O260"/>
  <c r="Y260" s="1"/>
  <c r="W260"/>
  <c r="R261"/>
  <c r="AG117" l="1"/>
  <c r="P118"/>
  <c r="AF117"/>
  <c r="AR261"/>
  <c r="AO262"/>
  <c r="BE262"/>
  <c r="BG262" s="1"/>
  <c r="BD262"/>
  <c r="BF262" s="1"/>
  <c r="BA262"/>
  <c r="BE261"/>
  <c r="BG261" s="1"/>
  <c r="AU263"/>
  <c r="AN263"/>
  <c r="BC263" s="1"/>
  <c r="AP263"/>
  <c r="BB263"/>
  <c r="I263"/>
  <c r="Q263"/>
  <c r="AV263"/>
  <c r="E263"/>
  <c r="BA261"/>
  <c r="AX262"/>
  <c r="AZ262" s="1"/>
  <c r="AT262"/>
  <c r="K262"/>
  <c r="AW262"/>
  <c r="AY262" s="1"/>
  <c r="O261"/>
  <c r="Y261" s="1"/>
  <c r="W261"/>
  <c r="F262"/>
  <c r="T261"/>
  <c r="S262" s="1"/>
  <c r="H261"/>
  <c r="B264"/>
  <c r="D264"/>
  <c r="AS264"/>
  <c r="C265"/>
  <c r="A264"/>
  <c r="U118" l="1"/>
  <c r="AB118"/>
  <c r="AR262"/>
  <c r="BE263"/>
  <c r="BG263" s="1"/>
  <c r="O262"/>
  <c r="Y262" s="1"/>
  <c r="W262"/>
  <c r="AO263"/>
  <c r="AX263"/>
  <c r="AZ263" s="1"/>
  <c r="C266"/>
  <c r="AS265"/>
  <c r="D265"/>
  <c r="B265"/>
  <c r="A265"/>
  <c r="Q264"/>
  <c r="AU264"/>
  <c r="AP264"/>
  <c r="AN264"/>
  <c r="AO264" s="1"/>
  <c r="BB264"/>
  <c r="AV264"/>
  <c r="I264"/>
  <c r="E264"/>
  <c r="R264" s="1"/>
  <c r="T262"/>
  <c r="S263" s="1"/>
  <c r="H262"/>
  <c r="BD263"/>
  <c r="BF263" s="1"/>
  <c r="BA263"/>
  <c r="AW263"/>
  <c r="AY263" s="1"/>
  <c r="AT263"/>
  <c r="K263"/>
  <c r="R263"/>
  <c r="F263"/>
  <c r="Z118" l="1"/>
  <c r="AA118"/>
  <c r="AH118"/>
  <c r="BC264"/>
  <c r="BE264" s="1"/>
  <c r="BG264" s="1"/>
  <c r="F264"/>
  <c r="T264" s="1"/>
  <c r="AX264"/>
  <c r="AZ264" s="1"/>
  <c r="T263"/>
  <c r="S264" s="1"/>
  <c r="H263"/>
  <c r="AR263"/>
  <c r="O263"/>
  <c r="Y263" s="1"/>
  <c r="W263"/>
  <c r="BD264"/>
  <c r="BF264" s="1"/>
  <c r="K264"/>
  <c r="AT264"/>
  <c r="AW264"/>
  <c r="AY264" s="1"/>
  <c r="AN265"/>
  <c r="BC265" s="1"/>
  <c r="AV265"/>
  <c r="AP265"/>
  <c r="Q265"/>
  <c r="BB265"/>
  <c r="I265"/>
  <c r="AU265"/>
  <c r="E265"/>
  <c r="R265" s="1"/>
  <c r="AS266"/>
  <c r="A266"/>
  <c r="B266"/>
  <c r="C267"/>
  <c r="D266"/>
  <c r="S265"/>
  <c r="P119" l="1"/>
  <c r="U119" s="1"/>
  <c r="AB119" s="1"/>
  <c r="AF118"/>
  <c r="Z119"/>
  <c r="AG118"/>
  <c r="AA119"/>
  <c r="AG119" s="1"/>
  <c r="H264"/>
  <c r="BA264"/>
  <c r="F265"/>
  <c r="H265" s="1"/>
  <c r="AO265"/>
  <c r="BE265"/>
  <c r="BG265" s="1"/>
  <c r="AW265"/>
  <c r="AY265" s="1"/>
  <c r="AT265"/>
  <c r="K265"/>
  <c r="A267"/>
  <c r="C268"/>
  <c r="B267"/>
  <c r="D267"/>
  <c r="AS267"/>
  <c r="I266"/>
  <c r="BB266"/>
  <c r="Q266"/>
  <c r="AV266"/>
  <c r="AU266"/>
  <c r="AP266"/>
  <c r="AN266"/>
  <c r="AO266" s="1"/>
  <c r="E266"/>
  <c r="R266" s="1"/>
  <c r="O264"/>
  <c r="Y264" s="1"/>
  <c r="W264"/>
  <c r="AR264"/>
  <c r="BD265"/>
  <c r="BF265" s="1"/>
  <c r="BA265"/>
  <c r="AX265"/>
  <c r="AZ265" s="1"/>
  <c r="Z120" l="1"/>
  <c r="AH119"/>
  <c r="AB120"/>
  <c r="P120"/>
  <c r="U120" s="1"/>
  <c r="AA120" s="1"/>
  <c r="AG120" s="1"/>
  <c r="AF119"/>
  <c r="F266"/>
  <c r="T266" s="1"/>
  <c r="S267" s="1"/>
  <c r="T265"/>
  <c r="S266" s="1"/>
  <c r="BC266"/>
  <c r="BE266" s="1"/>
  <c r="BG266" s="1"/>
  <c r="BB267"/>
  <c r="AP267"/>
  <c r="AU267"/>
  <c r="AV267"/>
  <c r="Q267"/>
  <c r="AN267"/>
  <c r="BC267" s="1"/>
  <c r="I267"/>
  <c r="E267"/>
  <c r="R267" s="1"/>
  <c r="O265"/>
  <c r="Y265" s="1"/>
  <c r="W265"/>
  <c r="AX266"/>
  <c r="AZ266" s="1"/>
  <c r="AW266"/>
  <c r="AY266" s="1"/>
  <c r="AT266"/>
  <c r="K266"/>
  <c r="A268"/>
  <c r="C269"/>
  <c r="AS268"/>
  <c r="D268"/>
  <c r="B268"/>
  <c r="BD266"/>
  <c r="BF266" s="1"/>
  <c r="AR265"/>
  <c r="P121" l="1"/>
  <c r="U121" s="1"/>
  <c r="Z121" s="1"/>
  <c r="AF120"/>
  <c r="AH120"/>
  <c r="H266"/>
  <c r="BA266"/>
  <c r="F267"/>
  <c r="T267" s="1"/>
  <c r="S268" s="1"/>
  <c r="BE267"/>
  <c r="BG267" s="1"/>
  <c r="AR266"/>
  <c r="BD267"/>
  <c r="BF267" s="1"/>
  <c r="BA267"/>
  <c r="AO267"/>
  <c r="G256"/>
  <c r="G257" s="1"/>
  <c r="G258" s="1"/>
  <c r="G259" s="1"/>
  <c r="G260" s="1"/>
  <c r="G261" s="1"/>
  <c r="G262" s="1"/>
  <c r="G263" s="1"/>
  <c r="G264" s="1"/>
  <c r="G265" s="1"/>
  <c r="G266" s="1"/>
  <c r="G267" s="1"/>
  <c r="BB268"/>
  <c r="AN268"/>
  <c r="BC268" s="1"/>
  <c r="I268"/>
  <c r="AU268"/>
  <c r="AP268"/>
  <c r="Q268"/>
  <c r="AV268"/>
  <c r="E268"/>
  <c r="R268" s="1"/>
  <c r="AS269"/>
  <c r="B269"/>
  <c r="C270"/>
  <c r="D269"/>
  <c r="A269"/>
  <c r="K267"/>
  <c r="AW267"/>
  <c r="AY267" s="1"/>
  <c r="AT267"/>
  <c r="O266"/>
  <c r="Y266" s="1"/>
  <c r="W266"/>
  <c r="AX267"/>
  <c r="AZ267" s="1"/>
  <c r="AB121" l="1"/>
  <c r="AF121"/>
  <c r="AA121"/>
  <c r="AG121" s="1"/>
  <c r="H267"/>
  <c r="F268"/>
  <c r="T268" s="1"/>
  <c r="S269" s="1"/>
  <c r="AO268"/>
  <c r="BE268"/>
  <c r="BG268" s="1"/>
  <c r="AW268"/>
  <c r="AY268" s="1"/>
  <c r="K268"/>
  <c r="AT268"/>
  <c r="A270"/>
  <c r="B270"/>
  <c r="C271"/>
  <c r="D270"/>
  <c r="AS270"/>
  <c r="BD268"/>
  <c r="BF268" s="1"/>
  <c r="BA268"/>
  <c r="AR267"/>
  <c r="AX268"/>
  <c r="AZ268" s="1"/>
  <c r="O267"/>
  <c r="Y267" s="1"/>
  <c r="W267"/>
  <c r="V267"/>
  <c r="AU269"/>
  <c r="BB269"/>
  <c r="I269"/>
  <c r="Q269"/>
  <c r="AV269"/>
  <c r="AP269"/>
  <c r="AN269"/>
  <c r="BC269" s="1"/>
  <c r="E269"/>
  <c r="AH121" l="1"/>
  <c r="P122"/>
  <c r="F269"/>
  <c r="T269" s="1"/>
  <c r="AO269"/>
  <c r="H268"/>
  <c r="S270"/>
  <c r="AR268"/>
  <c r="BE269"/>
  <c r="BG269" s="1"/>
  <c r="O268"/>
  <c r="Y268" s="1"/>
  <c r="W268"/>
  <c r="AX269"/>
  <c r="AZ269" s="1"/>
  <c r="AW269"/>
  <c r="AY269" s="1"/>
  <c r="K269"/>
  <c r="AT269"/>
  <c r="BB270"/>
  <c r="Q270"/>
  <c r="AN270"/>
  <c r="AO270" s="1"/>
  <c r="AV270"/>
  <c r="I270"/>
  <c r="AP270"/>
  <c r="AU270"/>
  <c r="E270"/>
  <c r="BD269"/>
  <c r="BF269" s="1"/>
  <c r="BA269"/>
  <c r="H269"/>
  <c r="R269"/>
  <c r="D271"/>
  <c r="A271"/>
  <c r="R270"/>
  <c r="B271"/>
  <c r="AS271"/>
  <c r="C272"/>
  <c r="U122" l="1"/>
  <c r="Z122"/>
  <c r="BC270"/>
  <c r="BE270" s="1"/>
  <c r="BG270" s="1"/>
  <c r="AR269"/>
  <c r="AS272"/>
  <c r="D272"/>
  <c r="C273"/>
  <c r="A272"/>
  <c r="B272"/>
  <c r="I271"/>
  <c r="BB271"/>
  <c r="AU271"/>
  <c r="AP271"/>
  <c r="AN271"/>
  <c r="BC271" s="1"/>
  <c r="AV271"/>
  <c r="Q271"/>
  <c r="E271"/>
  <c r="K270"/>
  <c r="AT270"/>
  <c r="AW270"/>
  <c r="AY270" s="1"/>
  <c r="AX270"/>
  <c r="AZ270" s="1"/>
  <c r="BD270"/>
  <c r="BF270" s="1"/>
  <c r="BA270"/>
  <c r="F270"/>
  <c r="O269"/>
  <c r="Y269" s="1"/>
  <c r="W269"/>
  <c r="AA122" l="1"/>
  <c r="AB122"/>
  <c r="L123"/>
  <c r="AF122"/>
  <c r="P123"/>
  <c r="X123" s="1"/>
  <c r="BE271"/>
  <c r="BG271" s="1"/>
  <c r="BD271"/>
  <c r="BF271" s="1"/>
  <c r="BA271"/>
  <c r="A273"/>
  <c r="AS273"/>
  <c r="D273"/>
  <c r="C274"/>
  <c r="B273"/>
  <c r="O270"/>
  <c r="Y270" s="1"/>
  <c r="W270"/>
  <c r="K271"/>
  <c r="AT271"/>
  <c r="AW271"/>
  <c r="AY271" s="1"/>
  <c r="AV272"/>
  <c r="AN272"/>
  <c r="BC272" s="1"/>
  <c r="I272"/>
  <c r="AP272"/>
  <c r="Q272"/>
  <c r="BB272"/>
  <c r="AU272"/>
  <c r="E272"/>
  <c r="R272" s="1"/>
  <c r="AO271"/>
  <c r="R271"/>
  <c r="AX271"/>
  <c r="AZ271" s="1"/>
  <c r="T270"/>
  <c r="S271" s="1"/>
  <c r="H270"/>
  <c r="AR270"/>
  <c r="F271"/>
  <c r="M123" l="1"/>
  <c r="AG122"/>
  <c r="AA123"/>
  <c r="AH122"/>
  <c r="N123"/>
  <c r="U123"/>
  <c r="Z123" s="1"/>
  <c r="AB123"/>
  <c r="F272"/>
  <c r="T272" s="1"/>
  <c r="AR271"/>
  <c r="BE272"/>
  <c r="BG272" s="1"/>
  <c r="AO272"/>
  <c r="BD272"/>
  <c r="BF272" s="1"/>
  <c r="BA272"/>
  <c r="D274"/>
  <c r="C275"/>
  <c r="A274"/>
  <c r="B274"/>
  <c r="AS274"/>
  <c r="AT272"/>
  <c r="AW272"/>
  <c r="AY272" s="1"/>
  <c r="K272"/>
  <c r="AX272"/>
  <c r="AZ272" s="1"/>
  <c r="O271"/>
  <c r="Y271" s="1"/>
  <c r="W271"/>
  <c r="AN273"/>
  <c r="AO273" s="1"/>
  <c r="I273"/>
  <c r="Q273"/>
  <c r="AU273"/>
  <c r="BB273"/>
  <c r="AV273"/>
  <c r="AP273"/>
  <c r="E273"/>
  <c r="T271"/>
  <c r="S272" s="1"/>
  <c r="H271"/>
  <c r="AF123" l="1"/>
  <c r="P124"/>
  <c r="Z124"/>
  <c r="AH123"/>
  <c r="U124"/>
  <c r="AG123"/>
  <c r="AA124"/>
  <c r="AG124" s="1"/>
  <c r="AB124"/>
  <c r="AH124" s="1"/>
  <c r="H272"/>
  <c r="S273"/>
  <c r="F273"/>
  <c r="T273" s="1"/>
  <c r="S274" s="1"/>
  <c r="BC273"/>
  <c r="BE273" s="1"/>
  <c r="BG273" s="1"/>
  <c r="AR272"/>
  <c r="R273"/>
  <c r="AX273"/>
  <c r="AZ273" s="1"/>
  <c r="AW273"/>
  <c r="AY273" s="1"/>
  <c r="K273"/>
  <c r="AT273"/>
  <c r="H273"/>
  <c r="AV274"/>
  <c r="AP274"/>
  <c r="Q274"/>
  <c r="AU274"/>
  <c r="I274"/>
  <c r="AN274"/>
  <c r="AO274" s="1"/>
  <c r="BB274"/>
  <c r="E274"/>
  <c r="R274" s="1"/>
  <c r="BD273"/>
  <c r="BF273" s="1"/>
  <c r="O272"/>
  <c r="Y272" s="1"/>
  <c r="W272"/>
  <c r="B275"/>
  <c r="C276"/>
  <c r="AS275"/>
  <c r="A275"/>
  <c r="D275"/>
  <c r="AF124" l="1"/>
  <c r="P125"/>
  <c r="U125" s="1"/>
  <c r="BA273"/>
  <c r="AR273"/>
  <c r="BD274"/>
  <c r="BF274" s="1"/>
  <c r="AT274"/>
  <c r="K274"/>
  <c r="AW274"/>
  <c r="AY274" s="1"/>
  <c r="AX274"/>
  <c r="AZ274" s="1"/>
  <c r="Q275"/>
  <c r="AN275"/>
  <c r="AO275" s="1"/>
  <c r="AV275"/>
  <c r="I275"/>
  <c r="AU275"/>
  <c r="BB275"/>
  <c r="AP275"/>
  <c r="E275"/>
  <c r="R275" s="1"/>
  <c r="A276"/>
  <c r="C277"/>
  <c r="AS276"/>
  <c r="D276"/>
  <c r="B276"/>
  <c r="BC274"/>
  <c r="BA274" s="1"/>
  <c r="F274"/>
  <c r="O273"/>
  <c r="Y273" s="1"/>
  <c r="W273"/>
  <c r="AB125" l="1"/>
  <c r="U126" s="1"/>
  <c r="AA125"/>
  <c r="P126" s="1"/>
  <c r="Z125"/>
  <c r="AF125" s="1"/>
  <c r="BC275"/>
  <c r="BA275" s="1"/>
  <c r="F275"/>
  <c r="T275" s="1"/>
  <c r="AR274"/>
  <c r="BD275"/>
  <c r="BF275" s="1"/>
  <c r="O274"/>
  <c r="Y274" s="1"/>
  <c r="W274"/>
  <c r="BB276"/>
  <c r="AP276"/>
  <c r="AU276"/>
  <c r="AV276"/>
  <c r="Q276"/>
  <c r="AN276"/>
  <c r="AO276" s="1"/>
  <c r="I276"/>
  <c r="E276"/>
  <c r="T274"/>
  <c r="S275" s="1"/>
  <c r="H274"/>
  <c r="BE274"/>
  <c r="BG274" s="1"/>
  <c r="R276"/>
  <c r="D277"/>
  <c r="B277"/>
  <c r="C278"/>
  <c r="AS277"/>
  <c r="A277"/>
  <c r="AX275"/>
  <c r="AZ275" s="1"/>
  <c r="BE275"/>
  <c r="BG275" s="1"/>
  <c r="AW275"/>
  <c r="AY275" s="1"/>
  <c r="K275"/>
  <c r="AT275"/>
  <c r="AH125" l="1"/>
  <c r="AB126"/>
  <c r="Z126"/>
  <c r="AA126"/>
  <c r="AG126" s="1"/>
  <c r="AG125"/>
  <c r="P127"/>
  <c r="AF126"/>
  <c r="AH126"/>
  <c r="S276"/>
  <c r="H275"/>
  <c r="AR275"/>
  <c r="I277"/>
  <c r="AP277"/>
  <c r="Q277"/>
  <c r="AV277"/>
  <c r="AU277"/>
  <c r="AN277"/>
  <c r="AO277" s="1"/>
  <c r="BB277"/>
  <c r="E277"/>
  <c r="AX276"/>
  <c r="AZ276" s="1"/>
  <c r="BD276"/>
  <c r="BF276" s="1"/>
  <c r="BC276"/>
  <c r="BA276" s="1"/>
  <c r="F276"/>
  <c r="O275"/>
  <c r="Y275" s="1"/>
  <c r="W275"/>
  <c r="R277"/>
  <c r="B278"/>
  <c r="D278"/>
  <c r="AS278"/>
  <c r="C279"/>
  <c r="A278"/>
  <c r="AW276"/>
  <c r="AY276" s="1"/>
  <c r="AT276"/>
  <c r="K276"/>
  <c r="AA127" l="1"/>
  <c r="AB127"/>
  <c r="U127"/>
  <c r="Z127" s="1"/>
  <c r="AR276"/>
  <c r="BB278"/>
  <c r="Q278"/>
  <c r="AU278"/>
  <c r="AN278"/>
  <c r="BC278" s="1"/>
  <c r="AP278"/>
  <c r="AV278"/>
  <c r="I278"/>
  <c r="E278"/>
  <c r="R278" s="1"/>
  <c r="BD277"/>
  <c r="BF277" s="1"/>
  <c r="BE276"/>
  <c r="BG276" s="1"/>
  <c r="AX277"/>
  <c r="AZ277" s="1"/>
  <c r="BC277"/>
  <c r="O276"/>
  <c r="Y276" s="1"/>
  <c r="W276"/>
  <c r="D279"/>
  <c r="C280"/>
  <c r="B279"/>
  <c r="A279"/>
  <c r="AS279" s="1"/>
  <c r="T276"/>
  <c r="S277" s="1"/>
  <c r="H276"/>
  <c r="AT277"/>
  <c r="K277"/>
  <c r="AW277"/>
  <c r="AY277" s="1"/>
  <c r="F277"/>
  <c r="AG127" l="1"/>
  <c r="AH127"/>
  <c r="AF127"/>
  <c r="P128"/>
  <c r="U128" s="1"/>
  <c r="AB128" s="1"/>
  <c r="BE278"/>
  <c r="BG278" s="1"/>
  <c r="BE277"/>
  <c r="BG277" s="1"/>
  <c r="AX278"/>
  <c r="AZ278" s="1"/>
  <c r="AW278"/>
  <c r="AY278" s="1"/>
  <c r="AT278"/>
  <c r="K278"/>
  <c r="BA278"/>
  <c r="BD278"/>
  <c r="BF278" s="1"/>
  <c r="AR277"/>
  <c r="BA277"/>
  <c r="T277"/>
  <c r="S278" s="1"/>
  <c r="H277"/>
  <c r="O277"/>
  <c r="Y277" s="1"/>
  <c r="W277"/>
  <c r="I279"/>
  <c r="BB279"/>
  <c r="AU279"/>
  <c r="AN279"/>
  <c r="BC279" s="1"/>
  <c r="AV279"/>
  <c r="AP279"/>
  <c r="Q279"/>
  <c r="E279"/>
  <c r="R279" s="1"/>
  <c r="AS280"/>
  <c r="B280"/>
  <c r="A280"/>
  <c r="D280"/>
  <c r="C281"/>
  <c r="AO278"/>
  <c r="F278"/>
  <c r="AH128" l="1"/>
  <c r="AA128"/>
  <c r="Z128"/>
  <c r="F279"/>
  <c r="H279" s="1"/>
  <c r="AO279"/>
  <c r="BE279"/>
  <c r="BG279" s="1"/>
  <c r="AW279"/>
  <c r="AY279" s="1"/>
  <c r="AT279"/>
  <c r="K279"/>
  <c r="T278"/>
  <c r="S279" s="1"/>
  <c r="H278"/>
  <c r="BB280"/>
  <c r="Q280"/>
  <c r="AV280"/>
  <c r="AN280"/>
  <c r="AO280" s="1"/>
  <c r="I280"/>
  <c r="AU280"/>
  <c r="AP280"/>
  <c r="E280"/>
  <c r="O278"/>
  <c r="Y278" s="1"/>
  <c r="W278"/>
  <c r="BD279"/>
  <c r="BF279" s="1"/>
  <c r="BA279"/>
  <c r="AR278"/>
  <c r="G268"/>
  <c r="G269" s="1"/>
  <c r="G270" s="1"/>
  <c r="G271" s="1"/>
  <c r="G272" s="1"/>
  <c r="G273" s="1"/>
  <c r="G274" s="1"/>
  <c r="G275" s="1"/>
  <c r="G276" s="1"/>
  <c r="G277" s="1"/>
  <c r="G278" s="1"/>
  <c r="G279" s="1"/>
  <c r="B281"/>
  <c r="A281"/>
  <c r="AS281"/>
  <c r="C282"/>
  <c r="R280"/>
  <c r="D281"/>
  <c r="AX279"/>
  <c r="AZ279" s="1"/>
  <c r="AF128" l="1"/>
  <c r="P129"/>
  <c r="AG128"/>
  <c r="BC280"/>
  <c r="BE280" s="1"/>
  <c r="BG280" s="1"/>
  <c r="T279"/>
  <c r="AR279"/>
  <c r="O279"/>
  <c r="Y279" s="1"/>
  <c r="W279"/>
  <c r="V279"/>
  <c r="I281"/>
  <c r="Q281"/>
  <c r="AV281"/>
  <c r="AU281"/>
  <c r="AP281"/>
  <c r="BB281"/>
  <c r="AN281"/>
  <c r="BC281" s="1"/>
  <c r="E281"/>
  <c r="AW280"/>
  <c r="AY280" s="1"/>
  <c r="K280"/>
  <c r="AT280"/>
  <c r="AX280"/>
  <c r="AZ280" s="1"/>
  <c r="F280"/>
  <c r="S280"/>
  <c r="AS282"/>
  <c r="B282"/>
  <c r="A282"/>
  <c r="R281"/>
  <c r="C283"/>
  <c r="D282"/>
  <c r="BA280"/>
  <c r="BF280"/>
  <c r="BD280"/>
  <c r="AB129" l="1"/>
  <c r="U129"/>
  <c r="F281"/>
  <c r="T281" s="1"/>
  <c r="S282" s="1"/>
  <c r="BE281"/>
  <c r="BG281" s="1"/>
  <c r="T280"/>
  <c r="S281" s="1"/>
  <c r="H280"/>
  <c r="AR280"/>
  <c r="BD281"/>
  <c r="BF281" s="1"/>
  <c r="BA281"/>
  <c r="AX281"/>
  <c r="AZ281" s="1"/>
  <c r="I282"/>
  <c r="AV282"/>
  <c r="AN282"/>
  <c r="AO282" s="1"/>
  <c r="Q282"/>
  <c r="BB282"/>
  <c r="AU282"/>
  <c r="AP282"/>
  <c r="E282"/>
  <c r="R282" s="1"/>
  <c r="AW281"/>
  <c r="AY281" s="1"/>
  <c r="AT281"/>
  <c r="K281"/>
  <c r="AO281"/>
  <c r="D283"/>
  <c r="A283"/>
  <c r="B283"/>
  <c r="C284"/>
  <c r="AS283"/>
  <c r="O280"/>
  <c r="W280"/>
  <c r="AH129" l="1"/>
  <c r="Z129"/>
  <c r="AA129"/>
  <c r="H281"/>
  <c r="BC282"/>
  <c r="BA282" s="1"/>
  <c r="AR281"/>
  <c r="F282"/>
  <c r="AV283"/>
  <c r="BB283"/>
  <c r="AU283"/>
  <c r="AP283"/>
  <c r="I283"/>
  <c r="Q283"/>
  <c r="AN283"/>
  <c r="BC283" s="1"/>
  <c r="E283"/>
  <c r="AT282"/>
  <c r="K282"/>
  <c r="AW282"/>
  <c r="AY282" s="1"/>
  <c r="O281"/>
  <c r="W281"/>
  <c r="A284"/>
  <c r="AS284"/>
  <c r="B284"/>
  <c r="D284"/>
  <c r="C285"/>
  <c r="BD282"/>
  <c r="BF282" s="1"/>
  <c r="AX282"/>
  <c r="AZ282" s="1"/>
  <c r="Y280"/>
  <c r="AG129" l="1"/>
  <c r="AF129"/>
  <c r="P130"/>
  <c r="BE282"/>
  <c r="BG282" s="1"/>
  <c r="F283"/>
  <c r="H283" s="1"/>
  <c r="AR282"/>
  <c r="AO283"/>
  <c r="BD283"/>
  <c r="BF283" s="1"/>
  <c r="BA283"/>
  <c r="AS285"/>
  <c r="D285"/>
  <c r="C286"/>
  <c r="A285"/>
  <c r="B285"/>
  <c r="AN284"/>
  <c r="AO284" s="1"/>
  <c r="I284"/>
  <c r="AV284"/>
  <c r="AP284"/>
  <c r="BB284"/>
  <c r="Q284"/>
  <c r="AU284"/>
  <c r="E284"/>
  <c r="R284" s="1"/>
  <c r="AT283"/>
  <c r="K283"/>
  <c r="AW283"/>
  <c r="AY283" s="1"/>
  <c r="O282"/>
  <c r="W282"/>
  <c r="BE283"/>
  <c r="BG283" s="1"/>
  <c r="T282"/>
  <c r="S283" s="1"/>
  <c r="H282"/>
  <c r="R283"/>
  <c r="AX283"/>
  <c r="AZ283" s="1"/>
  <c r="Y281"/>
  <c r="AA130" l="1"/>
  <c r="AB130"/>
  <c r="U130"/>
  <c r="Z130" s="1"/>
  <c r="F284"/>
  <c r="T284" s="1"/>
  <c r="S285" s="1"/>
  <c r="T283"/>
  <c r="BC284"/>
  <c r="S284"/>
  <c r="O283"/>
  <c r="W283"/>
  <c r="BE284"/>
  <c r="BG284" s="1"/>
  <c r="BD284"/>
  <c r="BF284" s="1"/>
  <c r="BA284"/>
  <c r="H284"/>
  <c r="AR283"/>
  <c r="D286"/>
  <c r="C287"/>
  <c r="A286"/>
  <c r="AS286"/>
  <c r="B286"/>
  <c r="Y282"/>
  <c r="AW284"/>
  <c r="AY284" s="1"/>
  <c r="AT284"/>
  <c r="K284"/>
  <c r="AX284"/>
  <c r="AZ284" s="1"/>
  <c r="AU285"/>
  <c r="I285"/>
  <c r="BB285"/>
  <c r="Q285"/>
  <c r="AP285"/>
  <c r="AV285"/>
  <c r="AN285"/>
  <c r="BC285" s="1"/>
  <c r="E285"/>
  <c r="R285" s="1"/>
  <c r="AG130" l="1"/>
  <c r="AH130"/>
  <c r="AF130"/>
  <c r="P131"/>
  <c r="U131" s="1"/>
  <c r="AR284"/>
  <c r="BE285"/>
  <c r="BG285" s="1"/>
  <c r="AW285"/>
  <c r="AY285" s="1"/>
  <c r="K285"/>
  <c r="AT285"/>
  <c r="D287"/>
  <c r="B287"/>
  <c r="C288"/>
  <c r="AS287"/>
  <c r="A287"/>
  <c r="Y283"/>
  <c r="AX285"/>
  <c r="AZ285" s="1"/>
  <c r="AO285"/>
  <c r="O284"/>
  <c r="W284"/>
  <c r="BD285"/>
  <c r="BF285" s="1"/>
  <c r="BA285"/>
  <c r="AN286"/>
  <c r="BC286" s="1"/>
  <c r="Q286"/>
  <c r="I286"/>
  <c r="AU286"/>
  <c r="AV286"/>
  <c r="BB286"/>
  <c r="AP286"/>
  <c r="E286"/>
  <c r="R286" s="1"/>
  <c r="F285"/>
  <c r="Z131" l="1"/>
  <c r="AA131"/>
  <c r="AB131"/>
  <c r="F286"/>
  <c r="T286" s="1"/>
  <c r="AR285"/>
  <c r="BE286"/>
  <c r="BG286" s="1"/>
  <c r="BA286"/>
  <c r="BD286"/>
  <c r="BF286" s="1"/>
  <c r="AO286"/>
  <c r="AX286"/>
  <c r="AZ286" s="1"/>
  <c r="O285"/>
  <c r="W285"/>
  <c r="BB287"/>
  <c r="AN287"/>
  <c r="BC287" s="1"/>
  <c r="AV287"/>
  <c r="Q287"/>
  <c r="AU287"/>
  <c r="AP287"/>
  <c r="I287"/>
  <c r="E287"/>
  <c r="T285"/>
  <c r="S286" s="1"/>
  <c r="H285"/>
  <c r="AW286"/>
  <c r="AY286" s="1"/>
  <c r="K286"/>
  <c r="AT286"/>
  <c r="B288"/>
  <c r="AS288"/>
  <c r="D288"/>
  <c r="C289"/>
  <c r="A288"/>
  <c r="Y284"/>
  <c r="AF131" l="1"/>
  <c r="P132"/>
  <c r="AG131"/>
  <c r="AH131"/>
  <c r="U132"/>
  <c r="AB132" s="1"/>
  <c r="H286"/>
  <c r="AR286"/>
  <c r="BE287"/>
  <c r="BG287" s="1"/>
  <c r="C290"/>
  <c r="B289"/>
  <c r="A289"/>
  <c r="AS289"/>
  <c r="D289"/>
  <c r="AX287"/>
  <c r="AZ287" s="1"/>
  <c r="I288"/>
  <c r="Q288"/>
  <c r="AV288"/>
  <c r="BB288"/>
  <c r="AP288"/>
  <c r="AN288"/>
  <c r="BC288" s="1"/>
  <c r="AU288"/>
  <c r="E288"/>
  <c r="R288" s="1"/>
  <c r="O286"/>
  <c r="W286"/>
  <c r="AW287"/>
  <c r="AY287" s="1"/>
  <c r="K287"/>
  <c r="AT287"/>
  <c r="BD287"/>
  <c r="BF287" s="1"/>
  <c r="BA287"/>
  <c r="F287"/>
  <c r="AO287"/>
  <c r="R287"/>
  <c r="Y285"/>
  <c r="S287"/>
  <c r="AA132" l="1"/>
  <c r="AG132" s="1"/>
  <c r="Z132"/>
  <c r="AF132" s="1"/>
  <c r="AH132"/>
  <c r="Y286"/>
  <c r="AO288"/>
  <c r="K288"/>
  <c r="AW288"/>
  <c r="AY288" s="1"/>
  <c r="AT288"/>
  <c r="BD288"/>
  <c r="BF288" s="1"/>
  <c r="BA288"/>
  <c r="T287"/>
  <c r="S288" s="1"/>
  <c r="H287"/>
  <c r="BE288"/>
  <c r="BG288" s="1"/>
  <c r="O287"/>
  <c r="Y287" s="1"/>
  <c r="W287"/>
  <c r="AP289"/>
  <c r="Q289"/>
  <c r="AN289"/>
  <c r="BC289" s="1"/>
  <c r="AU289"/>
  <c r="AV289"/>
  <c r="BB289"/>
  <c r="I289"/>
  <c r="E289"/>
  <c r="R289" s="1"/>
  <c r="AX288"/>
  <c r="AZ288" s="1"/>
  <c r="B290"/>
  <c r="AS290"/>
  <c r="C291"/>
  <c r="D290"/>
  <c r="A290"/>
  <c r="F288"/>
  <c r="AR287"/>
  <c r="P133" l="1"/>
  <c r="U133" s="1"/>
  <c r="AR288"/>
  <c r="BE289"/>
  <c r="BG289" s="1"/>
  <c r="Q290"/>
  <c r="AU290"/>
  <c r="AN290"/>
  <c r="AO290" s="1"/>
  <c r="AV290"/>
  <c r="AP290"/>
  <c r="BB290"/>
  <c r="I290"/>
  <c r="E290"/>
  <c r="R290" s="1"/>
  <c r="O288"/>
  <c r="Y288" s="1"/>
  <c r="W288"/>
  <c r="T288"/>
  <c r="S289" s="1"/>
  <c r="H288"/>
  <c r="D291"/>
  <c r="C292"/>
  <c r="B291"/>
  <c r="A291"/>
  <c r="AS291" s="1"/>
  <c r="AX289"/>
  <c r="AZ289" s="1"/>
  <c r="AO289"/>
  <c r="K289"/>
  <c r="AT289"/>
  <c r="AW289"/>
  <c r="AY289" s="1"/>
  <c r="BD289"/>
  <c r="BF289" s="1"/>
  <c r="BA289"/>
  <c r="F289"/>
  <c r="Z133" l="1"/>
  <c r="AF133" s="1"/>
  <c r="AA133"/>
  <c r="AG133" s="1"/>
  <c r="AB133"/>
  <c r="AH133" s="1"/>
  <c r="F290"/>
  <c r="T290" s="1"/>
  <c r="AR289"/>
  <c r="BC290"/>
  <c r="O289"/>
  <c r="W289"/>
  <c r="AS292"/>
  <c r="D292"/>
  <c r="A292"/>
  <c r="C293"/>
  <c r="B292"/>
  <c r="AW290"/>
  <c r="AY290" s="1"/>
  <c r="AT290"/>
  <c r="K290"/>
  <c r="S291"/>
  <c r="BE290"/>
  <c r="BG290" s="1"/>
  <c r="AX290"/>
  <c r="AZ290" s="1"/>
  <c r="T289"/>
  <c r="S290" s="1"/>
  <c r="H289"/>
  <c r="BA290"/>
  <c r="BD290"/>
  <c r="BF290" s="1"/>
  <c r="Y289"/>
  <c r="AN291"/>
  <c r="BC291" s="1"/>
  <c r="BB291"/>
  <c r="AU291"/>
  <c r="AV291"/>
  <c r="I291"/>
  <c r="Q291"/>
  <c r="AP291"/>
  <c r="E291"/>
  <c r="AA134" l="1"/>
  <c r="M135" s="1"/>
  <c r="P134"/>
  <c r="U134" s="1"/>
  <c r="AB134"/>
  <c r="AH134" s="1"/>
  <c r="Z134"/>
  <c r="AF134" s="1"/>
  <c r="AG134"/>
  <c r="H290"/>
  <c r="F291"/>
  <c r="T291" s="1"/>
  <c r="S292" s="1"/>
  <c r="AO291"/>
  <c r="BE291"/>
  <c r="BG291" s="1"/>
  <c r="AW291"/>
  <c r="AY291" s="1"/>
  <c r="K291"/>
  <c r="AT291"/>
  <c r="O290"/>
  <c r="Y290" s="1"/>
  <c r="W290"/>
  <c r="AX291"/>
  <c r="AZ291" s="1"/>
  <c r="D293"/>
  <c r="B293"/>
  <c r="A293"/>
  <c r="AS293"/>
  <c r="C294"/>
  <c r="AR290"/>
  <c r="AP292"/>
  <c r="AU292"/>
  <c r="Q292"/>
  <c r="BB292"/>
  <c r="I292"/>
  <c r="AV292"/>
  <c r="AN292"/>
  <c r="BC292" s="1"/>
  <c r="E292"/>
  <c r="G280"/>
  <c r="G281" s="1"/>
  <c r="G282" s="1"/>
  <c r="G283" s="1"/>
  <c r="G284" s="1"/>
  <c r="G285" s="1"/>
  <c r="G286" s="1"/>
  <c r="G287" s="1"/>
  <c r="G288" s="1"/>
  <c r="G289" s="1"/>
  <c r="G290" s="1"/>
  <c r="G291" s="1"/>
  <c r="BD291"/>
  <c r="BF291" s="1"/>
  <c r="BA291"/>
  <c r="R291"/>
  <c r="L135" l="1"/>
  <c r="H291"/>
  <c r="P135"/>
  <c r="X135" s="1"/>
  <c r="N135"/>
  <c r="F292"/>
  <c r="T292" s="1"/>
  <c r="S293"/>
  <c r="AR291"/>
  <c r="AO292"/>
  <c r="BE292"/>
  <c r="BG292" s="1"/>
  <c r="BA292"/>
  <c r="BD292"/>
  <c r="BF292" s="1"/>
  <c r="O291"/>
  <c r="W291"/>
  <c r="V291"/>
  <c r="C295"/>
  <c r="D294"/>
  <c r="A294"/>
  <c r="B294"/>
  <c r="AS294"/>
  <c r="AX292"/>
  <c r="AZ292" s="1"/>
  <c r="AW292"/>
  <c r="AY292" s="1"/>
  <c r="AT292"/>
  <c r="K292"/>
  <c r="R292"/>
  <c r="AU293"/>
  <c r="BB293"/>
  <c r="AP293"/>
  <c r="AV293"/>
  <c r="AN293"/>
  <c r="AO293" s="1"/>
  <c r="Q293"/>
  <c r="I293"/>
  <c r="E293"/>
  <c r="H292"/>
  <c r="Y291"/>
  <c r="U135" l="1"/>
  <c r="Z135"/>
  <c r="AF135" s="1"/>
  <c r="F293"/>
  <c r="T293" s="1"/>
  <c r="S294" s="1"/>
  <c r="AR292"/>
  <c r="AX293"/>
  <c r="AZ293" s="1"/>
  <c r="AW293"/>
  <c r="AY293" s="1"/>
  <c r="AT293"/>
  <c r="K293"/>
  <c r="O292"/>
  <c r="Y292" s="1"/>
  <c r="W292"/>
  <c r="A295"/>
  <c r="AS295"/>
  <c r="D295"/>
  <c r="C296"/>
  <c r="B295"/>
  <c r="BC293"/>
  <c r="BA293" s="1"/>
  <c r="BD293"/>
  <c r="BF293" s="1"/>
  <c r="R293"/>
  <c r="BB294"/>
  <c r="I294"/>
  <c r="AP294"/>
  <c r="AV294"/>
  <c r="Q294"/>
  <c r="AU294"/>
  <c r="AN294"/>
  <c r="AO294" s="1"/>
  <c r="E294"/>
  <c r="AB135" l="1"/>
  <c r="AH135" s="1"/>
  <c r="AA135"/>
  <c r="AG135" s="1"/>
  <c r="H293"/>
  <c r="BC294"/>
  <c r="BE294" s="1"/>
  <c r="BG294" s="1"/>
  <c r="AR293"/>
  <c r="AX294"/>
  <c r="AZ294" s="1"/>
  <c r="BD294"/>
  <c r="BF294" s="1"/>
  <c r="A296"/>
  <c r="B296"/>
  <c r="C297"/>
  <c r="D296"/>
  <c r="AS296"/>
  <c r="BB295"/>
  <c r="AP295"/>
  <c r="AU295"/>
  <c r="Q295"/>
  <c r="I295"/>
  <c r="AV295"/>
  <c r="AN295"/>
  <c r="AO295" s="1"/>
  <c r="E295"/>
  <c r="K294"/>
  <c r="AT294"/>
  <c r="AW294"/>
  <c r="AY294" s="1"/>
  <c r="F294"/>
  <c r="R294"/>
  <c r="BE293"/>
  <c r="BG293" s="1"/>
  <c r="O293"/>
  <c r="Y293" s="1"/>
  <c r="W293"/>
  <c r="P136" l="1"/>
  <c r="U136" s="1"/>
  <c r="BA294"/>
  <c r="BC295"/>
  <c r="BA295" s="1"/>
  <c r="AV296"/>
  <c r="I296"/>
  <c r="Q296"/>
  <c r="AN296"/>
  <c r="AO296" s="1"/>
  <c r="AU296"/>
  <c r="BB296"/>
  <c r="AP296"/>
  <c r="E296"/>
  <c r="R296" s="1"/>
  <c r="AR294"/>
  <c r="R295"/>
  <c r="BD295"/>
  <c r="BF295" s="1"/>
  <c r="O294"/>
  <c r="Y294" s="1"/>
  <c r="W294"/>
  <c r="AX295"/>
  <c r="AZ295" s="1"/>
  <c r="AT295"/>
  <c r="K295"/>
  <c r="AW295"/>
  <c r="AY295" s="1"/>
  <c r="AR295" s="1"/>
  <c r="T294"/>
  <c r="S295" s="1"/>
  <c r="H294"/>
  <c r="B297"/>
  <c r="C298"/>
  <c r="A297"/>
  <c r="AS297"/>
  <c r="D297"/>
  <c r="F295"/>
  <c r="AA136" l="1"/>
  <c r="AG136" s="1"/>
  <c r="AB136"/>
  <c r="AH136" s="1"/>
  <c r="Z136"/>
  <c r="BE295"/>
  <c r="BG295" s="1"/>
  <c r="AW296"/>
  <c r="AY296" s="1"/>
  <c r="K296"/>
  <c r="AT296"/>
  <c r="BC296"/>
  <c r="T295"/>
  <c r="S296" s="1"/>
  <c r="H295"/>
  <c r="AS298"/>
  <c r="B298"/>
  <c r="R297"/>
  <c r="A298"/>
  <c r="C299"/>
  <c r="D298"/>
  <c r="I297"/>
  <c r="AN297"/>
  <c r="AO297" s="1"/>
  <c r="AP297"/>
  <c r="Q297"/>
  <c r="AV297"/>
  <c r="AU297"/>
  <c r="BB297"/>
  <c r="E297"/>
  <c r="BD296"/>
  <c r="BF296" s="1"/>
  <c r="O295"/>
  <c r="Y295" s="1"/>
  <c r="W295"/>
  <c r="AX296"/>
  <c r="AZ296" s="1"/>
  <c r="F296"/>
  <c r="P137" l="1"/>
  <c r="AF136"/>
  <c r="BC297"/>
  <c r="BA297" s="1"/>
  <c r="AR296"/>
  <c r="BE296"/>
  <c r="BG296" s="1"/>
  <c r="BD297"/>
  <c r="BF297" s="1"/>
  <c r="AX297"/>
  <c r="AZ297" s="1"/>
  <c r="T296"/>
  <c r="S297" s="1"/>
  <c r="H296"/>
  <c r="AU298"/>
  <c r="AV298"/>
  <c r="AN298"/>
  <c r="BC298" s="1"/>
  <c r="Q298"/>
  <c r="BB298"/>
  <c r="I298"/>
  <c r="AP298"/>
  <c r="E298"/>
  <c r="R298" s="1"/>
  <c r="AW297"/>
  <c r="AY297" s="1"/>
  <c r="AT297"/>
  <c r="K297"/>
  <c r="B299"/>
  <c r="A299"/>
  <c r="D299"/>
  <c r="AS299"/>
  <c r="C300"/>
  <c r="O296"/>
  <c r="Y296" s="1"/>
  <c r="W296"/>
  <c r="F297"/>
  <c r="BA296"/>
  <c r="Z137" l="1"/>
  <c r="AB137"/>
  <c r="U137"/>
  <c r="AA137" s="1"/>
  <c r="AO298"/>
  <c r="BE297"/>
  <c r="BG297" s="1"/>
  <c r="AR297"/>
  <c r="BE298"/>
  <c r="BG298" s="1"/>
  <c r="T297"/>
  <c r="S298" s="1"/>
  <c r="H297"/>
  <c r="D300"/>
  <c r="AS300"/>
  <c r="C301"/>
  <c r="B300"/>
  <c r="A300"/>
  <c r="AX298"/>
  <c r="AZ298" s="1"/>
  <c r="BD298"/>
  <c r="BF298" s="1"/>
  <c r="BA298"/>
  <c r="Q299"/>
  <c r="AV299"/>
  <c r="I299"/>
  <c r="AP299"/>
  <c r="AN299"/>
  <c r="BC299" s="1"/>
  <c r="AU299"/>
  <c r="BB299"/>
  <c r="E299"/>
  <c r="O297"/>
  <c r="Y297" s="1"/>
  <c r="W297"/>
  <c r="K298"/>
  <c r="AW298"/>
  <c r="AY298" s="1"/>
  <c r="AT298"/>
  <c r="F298"/>
  <c r="AF137" l="1"/>
  <c r="AH137"/>
  <c r="P138"/>
  <c r="AG137"/>
  <c r="F299"/>
  <c r="T299" s="1"/>
  <c r="AR298"/>
  <c r="AO299"/>
  <c r="H299"/>
  <c r="T298"/>
  <c r="S299" s="1"/>
  <c r="H298"/>
  <c r="AX299"/>
  <c r="AZ299" s="1"/>
  <c r="I300"/>
  <c r="AU300"/>
  <c r="AP300"/>
  <c r="AV300"/>
  <c r="AN300"/>
  <c r="BC300" s="1"/>
  <c r="BB300"/>
  <c r="Q300"/>
  <c r="E300"/>
  <c r="S300"/>
  <c r="O298"/>
  <c r="Y298" s="1"/>
  <c r="W298"/>
  <c r="BD299"/>
  <c r="BF299" s="1"/>
  <c r="BA299"/>
  <c r="BE299"/>
  <c r="BG299" s="1"/>
  <c r="R299"/>
  <c r="AT299"/>
  <c r="AW299"/>
  <c r="AY299" s="1"/>
  <c r="K299"/>
  <c r="B301"/>
  <c r="C302"/>
  <c r="D301"/>
  <c r="AS301"/>
  <c r="A301"/>
  <c r="AB138" l="1"/>
  <c r="U138"/>
  <c r="AA138" s="1"/>
  <c r="Z138"/>
  <c r="AO300"/>
  <c r="BE300"/>
  <c r="BG300" s="1"/>
  <c r="O299"/>
  <c r="Y299" s="1"/>
  <c r="W299"/>
  <c r="AW300"/>
  <c r="AY300" s="1"/>
  <c r="K300"/>
  <c r="AT300"/>
  <c r="BD300"/>
  <c r="BF300" s="1"/>
  <c r="BA300"/>
  <c r="AR299"/>
  <c r="R300"/>
  <c r="F300"/>
  <c r="AP301"/>
  <c r="BB301"/>
  <c r="AV301"/>
  <c r="AU301"/>
  <c r="I301"/>
  <c r="AN301"/>
  <c r="AO301" s="1"/>
  <c r="Q301"/>
  <c r="E301"/>
  <c r="R301" s="1"/>
  <c r="A302"/>
  <c r="AS302"/>
  <c r="D302"/>
  <c r="C303"/>
  <c r="B302"/>
  <c r="F301" s="1"/>
  <c r="T301" s="1"/>
  <c r="AX300"/>
  <c r="AZ300" s="1"/>
  <c r="AH138" l="1"/>
  <c r="AG138"/>
  <c r="P139"/>
  <c r="U139" s="1"/>
  <c r="AF138"/>
  <c r="AR300"/>
  <c r="T300"/>
  <c r="S301" s="1"/>
  <c r="H300"/>
  <c r="S302"/>
  <c r="H301"/>
  <c r="AW301"/>
  <c r="AY301" s="1"/>
  <c r="K301"/>
  <c r="AT301"/>
  <c r="B303"/>
  <c r="A303"/>
  <c r="AS303" s="1"/>
  <c r="C304"/>
  <c r="D303"/>
  <c r="AN302"/>
  <c r="BC302" s="1"/>
  <c r="AV302"/>
  <c r="BB302"/>
  <c r="AP302"/>
  <c r="Q302"/>
  <c r="I302"/>
  <c r="AU302"/>
  <c r="E302"/>
  <c r="AX301"/>
  <c r="AZ301" s="1"/>
  <c r="BD301"/>
  <c r="BF301" s="1"/>
  <c r="BC301"/>
  <c r="O300"/>
  <c r="Y300" s="1"/>
  <c r="W300"/>
  <c r="AB139" l="1"/>
  <c r="AA139"/>
  <c r="Z139"/>
  <c r="AR301"/>
  <c r="AO302"/>
  <c r="D304"/>
  <c r="A304"/>
  <c r="AS304"/>
  <c r="B304"/>
  <c r="C305"/>
  <c r="BE301"/>
  <c r="BG301" s="1"/>
  <c r="AX302"/>
  <c r="AZ302" s="1"/>
  <c r="BD302"/>
  <c r="BF302" s="1"/>
  <c r="BA302"/>
  <c r="O301"/>
  <c r="Y301" s="1"/>
  <c r="W301"/>
  <c r="BA301"/>
  <c r="BE302"/>
  <c r="BG302" s="1"/>
  <c r="F302"/>
  <c r="AT302"/>
  <c r="AW302"/>
  <c r="AY302" s="1"/>
  <c r="K302"/>
  <c r="Q303"/>
  <c r="AU303"/>
  <c r="AN303"/>
  <c r="BC303" s="1"/>
  <c r="BB303"/>
  <c r="I303"/>
  <c r="AP303"/>
  <c r="AV303"/>
  <c r="E303"/>
  <c r="R302"/>
  <c r="AH139" l="1"/>
  <c r="AG139"/>
  <c r="AF139"/>
  <c r="P140"/>
  <c r="U140" s="1"/>
  <c r="Z140" s="1"/>
  <c r="F303"/>
  <c r="T303" s="1"/>
  <c r="AR302"/>
  <c r="AO303"/>
  <c r="BE303"/>
  <c r="BG303" s="1"/>
  <c r="AW303"/>
  <c r="AY303" s="1"/>
  <c r="K303"/>
  <c r="AT303"/>
  <c r="G292"/>
  <c r="G293" s="1"/>
  <c r="G294" s="1"/>
  <c r="G295" s="1"/>
  <c r="G296" s="1"/>
  <c r="G297" s="1"/>
  <c r="G298" s="1"/>
  <c r="G299" s="1"/>
  <c r="G300" s="1"/>
  <c r="G301" s="1"/>
  <c r="G302" s="1"/>
  <c r="G303" s="1"/>
  <c r="AX303"/>
  <c r="AZ303" s="1"/>
  <c r="T302"/>
  <c r="S303" s="1"/>
  <c r="H302"/>
  <c r="S304"/>
  <c r="A305"/>
  <c r="C306"/>
  <c r="B305"/>
  <c r="AS305"/>
  <c r="D305"/>
  <c r="AV304"/>
  <c r="AN304"/>
  <c r="AO304" s="1"/>
  <c r="BB304"/>
  <c r="I304"/>
  <c r="AU304"/>
  <c r="AP304"/>
  <c r="Q304"/>
  <c r="E304"/>
  <c r="O302"/>
  <c r="Y302" s="1"/>
  <c r="W302"/>
  <c r="BF303"/>
  <c r="BD303"/>
  <c r="BA303"/>
  <c r="R303"/>
  <c r="AF140" l="1"/>
  <c r="AB140"/>
  <c r="AA140"/>
  <c r="H303"/>
  <c r="AR303"/>
  <c r="BC304"/>
  <c r="BE304" s="1"/>
  <c r="BG304" s="1"/>
  <c r="O303"/>
  <c r="Y303" s="1"/>
  <c r="W303"/>
  <c r="V303"/>
  <c r="AX304"/>
  <c r="AZ304" s="1"/>
  <c r="AV305"/>
  <c r="AP305"/>
  <c r="Q305"/>
  <c r="AN305"/>
  <c r="AO305" s="1"/>
  <c r="AU305"/>
  <c r="I305"/>
  <c r="BB305"/>
  <c r="E305"/>
  <c r="R304"/>
  <c r="F304"/>
  <c r="AW304"/>
  <c r="AY304" s="1"/>
  <c r="AT304"/>
  <c r="K304"/>
  <c r="BD304"/>
  <c r="BF304" s="1"/>
  <c r="C307"/>
  <c r="D306"/>
  <c r="AS306"/>
  <c r="A306"/>
  <c r="B306"/>
  <c r="AG140" l="1"/>
  <c r="P141"/>
  <c r="AH140"/>
  <c r="U141"/>
  <c r="AA141" s="1"/>
  <c r="AG141" s="1"/>
  <c r="BA304"/>
  <c r="AR304"/>
  <c r="BC305"/>
  <c r="BE305" s="1"/>
  <c r="BG305" s="1"/>
  <c r="F305"/>
  <c r="K305"/>
  <c r="AW305"/>
  <c r="AY305" s="1"/>
  <c r="AT305"/>
  <c r="AN306"/>
  <c r="BC306" s="1"/>
  <c r="BB306"/>
  <c r="AV306"/>
  <c r="I306"/>
  <c r="Q306"/>
  <c r="AU306"/>
  <c r="AP306"/>
  <c r="E306"/>
  <c r="C308"/>
  <c r="D307"/>
  <c r="AS307"/>
  <c r="R306"/>
  <c r="A307"/>
  <c r="B307"/>
  <c r="F306" s="1"/>
  <c r="T306" s="1"/>
  <c r="T304"/>
  <c r="S305" s="1"/>
  <c r="H304"/>
  <c r="O304"/>
  <c r="Y304" s="1"/>
  <c r="W304"/>
  <c r="BD305"/>
  <c r="BF305" s="1"/>
  <c r="BA305"/>
  <c r="AX305"/>
  <c r="AZ305" s="1"/>
  <c r="R305"/>
  <c r="AB141" l="1"/>
  <c r="Z141"/>
  <c r="BE306"/>
  <c r="BG306" s="1"/>
  <c r="AR305"/>
  <c r="O305"/>
  <c r="Y305" s="1"/>
  <c r="W305"/>
  <c r="T305"/>
  <c r="S306" s="1"/>
  <c r="H305"/>
  <c r="BA306"/>
  <c r="BD306"/>
  <c r="BF306" s="1"/>
  <c r="AN307"/>
  <c r="BC307" s="1"/>
  <c r="BB307"/>
  <c r="Q307"/>
  <c r="AU307"/>
  <c r="AV307"/>
  <c r="AP307"/>
  <c r="I307"/>
  <c r="E307"/>
  <c r="R307" s="1"/>
  <c r="A308"/>
  <c r="C309"/>
  <c r="B308"/>
  <c r="D308"/>
  <c r="F307" s="1"/>
  <c r="T307" s="1"/>
  <c r="S308" s="1"/>
  <c r="AS308"/>
  <c r="AW306"/>
  <c r="AY306" s="1"/>
  <c r="AT306"/>
  <c r="K306"/>
  <c r="AX306"/>
  <c r="AZ306" s="1"/>
  <c r="S307"/>
  <c r="AO306"/>
  <c r="H306"/>
  <c r="AH141" l="1"/>
  <c r="AB142"/>
  <c r="P142"/>
  <c r="U142" s="1"/>
  <c r="AA142" s="1"/>
  <c r="AF141"/>
  <c r="Z142"/>
  <c r="AR306"/>
  <c r="AO307"/>
  <c r="BE307"/>
  <c r="BG307" s="1"/>
  <c r="AX307"/>
  <c r="AZ307" s="1"/>
  <c r="BD307"/>
  <c r="BF307" s="1"/>
  <c r="BA307"/>
  <c r="C310"/>
  <c r="A309"/>
  <c r="AS309"/>
  <c r="B309"/>
  <c r="D309"/>
  <c r="O306"/>
  <c r="Y306" s="1"/>
  <c r="W306"/>
  <c r="AP308"/>
  <c r="Q308"/>
  <c r="AV308"/>
  <c r="I308"/>
  <c r="AU308"/>
  <c r="AN308"/>
  <c r="BC308" s="1"/>
  <c r="BB308"/>
  <c r="E308"/>
  <c r="R308" s="1"/>
  <c r="K307"/>
  <c r="AW307"/>
  <c r="AY307" s="1"/>
  <c r="AR307" s="1"/>
  <c r="AT307"/>
  <c r="H307"/>
  <c r="P143" l="1"/>
  <c r="AF142"/>
  <c r="AH142"/>
  <c r="AG142"/>
  <c r="F308"/>
  <c r="T308" s="1"/>
  <c r="S309" s="1"/>
  <c r="AO308"/>
  <c r="BE308"/>
  <c r="BG308" s="1"/>
  <c r="AS310"/>
  <c r="C311"/>
  <c r="A310"/>
  <c r="B310"/>
  <c r="D310"/>
  <c r="O307"/>
  <c r="Y307" s="1"/>
  <c r="W307"/>
  <c r="AN309"/>
  <c r="BC309" s="1"/>
  <c r="Q309"/>
  <c r="AU309"/>
  <c r="BB309"/>
  <c r="AP309"/>
  <c r="I309"/>
  <c r="AV309"/>
  <c r="E309"/>
  <c r="R309" s="1"/>
  <c r="BA308"/>
  <c r="BD308"/>
  <c r="BF308" s="1"/>
  <c r="K308"/>
  <c r="AW308"/>
  <c r="AY308" s="1"/>
  <c r="AT308"/>
  <c r="AX308"/>
  <c r="AZ308" s="1"/>
  <c r="F309"/>
  <c r="T309" s="1"/>
  <c r="S310" s="1"/>
  <c r="AB143" l="1"/>
  <c r="Z143"/>
  <c r="U143"/>
  <c r="AA143" s="1"/>
  <c r="H308"/>
  <c r="AO309"/>
  <c r="H309"/>
  <c r="AW309"/>
  <c r="AY309" s="1"/>
  <c r="K309"/>
  <c r="AT309"/>
  <c r="B311"/>
  <c r="D311"/>
  <c r="C312"/>
  <c r="AS311"/>
  <c r="A311"/>
  <c r="AX309"/>
  <c r="AZ309" s="1"/>
  <c r="BD309"/>
  <c r="BF309" s="1"/>
  <c r="BA309"/>
  <c r="Q310"/>
  <c r="AU310"/>
  <c r="I310"/>
  <c r="BB310"/>
  <c r="AN310"/>
  <c r="AO310" s="1"/>
  <c r="AV310"/>
  <c r="AP310"/>
  <c r="E310"/>
  <c r="O308"/>
  <c r="Y308" s="1"/>
  <c r="W308"/>
  <c r="BE309"/>
  <c r="BG309" s="1"/>
  <c r="AR308"/>
  <c r="AH143" l="1"/>
  <c r="AB144"/>
  <c r="AH144" s="1"/>
  <c r="AF143"/>
  <c r="P144"/>
  <c r="U144" s="1"/>
  <c r="Z144" s="1"/>
  <c r="AG143"/>
  <c r="AA144"/>
  <c r="AG144" s="1"/>
  <c r="F310"/>
  <c r="T310" s="1"/>
  <c r="S311" s="1"/>
  <c r="I311"/>
  <c r="AN311"/>
  <c r="BC311" s="1"/>
  <c r="AP311"/>
  <c r="BB311"/>
  <c r="AV311"/>
  <c r="AU311"/>
  <c r="Q311"/>
  <c r="E311"/>
  <c r="R311" s="1"/>
  <c r="O309"/>
  <c r="Y309" s="1"/>
  <c r="W309"/>
  <c r="AX310"/>
  <c r="AZ310" s="1"/>
  <c r="C313"/>
  <c r="D312"/>
  <c r="B312"/>
  <c r="A312"/>
  <c r="AS312"/>
  <c r="BC310"/>
  <c r="BA310" s="1"/>
  <c r="AR309"/>
  <c r="BD310"/>
  <c r="BF310" s="1"/>
  <c r="AW310"/>
  <c r="AY310" s="1"/>
  <c r="K310"/>
  <c r="AT310"/>
  <c r="R310"/>
  <c r="AF144" l="1"/>
  <c r="P145"/>
  <c r="F311"/>
  <c r="T311" s="1"/>
  <c r="S312" s="1"/>
  <c r="H310"/>
  <c r="BE311"/>
  <c r="BG311" s="1"/>
  <c r="O310"/>
  <c r="Y310" s="1"/>
  <c r="W310"/>
  <c r="BA311"/>
  <c r="BD311"/>
  <c r="BF311" s="1"/>
  <c r="AO311"/>
  <c r="BE310"/>
  <c r="BG310" s="1"/>
  <c r="AX311"/>
  <c r="AZ311" s="1"/>
  <c r="AR310"/>
  <c r="AP312"/>
  <c r="AN312"/>
  <c r="AO312" s="1"/>
  <c r="AV312"/>
  <c r="Q312"/>
  <c r="BB312"/>
  <c r="AU312"/>
  <c r="I312"/>
  <c r="E312"/>
  <c r="R312" s="1"/>
  <c r="B313"/>
  <c r="A313"/>
  <c r="AS313"/>
  <c r="D313"/>
  <c r="C314"/>
  <c r="AW311"/>
  <c r="AY311" s="1"/>
  <c r="K311"/>
  <c r="AT311"/>
  <c r="H311"/>
  <c r="AB145" l="1"/>
  <c r="AH145" s="1"/>
  <c r="U145"/>
  <c r="Z145" s="1"/>
  <c r="AA145"/>
  <c r="AG145" s="1"/>
  <c r="AR311"/>
  <c r="F312"/>
  <c r="T312" s="1"/>
  <c r="S313" s="1"/>
  <c r="BD312"/>
  <c r="BF312" s="1"/>
  <c r="AW312"/>
  <c r="AY312" s="1"/>
  <c r="AT312"/>
  <c r="K312"/>
  <c r="AX312"/>
  <c r="AZ312" s="1"/>
  <c r="C315"/>
  <c r="A314"/>
  <c r="AS314"/>
  <c r="D314"/>
  <c r="B314"/>
  <c r="AP313"/>
  <c r="BB313"/>
  <c r="AU313"/>
  <c r="I313"/>
  <c r="Q313"/>
  <c r="AN313"/>
  <c r="AO313" s="1"/>
  <c r="AV313"/>
  <c r="E313"/>
  <c r="BC312"/>
  <c r="O311"/>
  <c r="Y311" s="1"/>
  <c r="W311"/>
  <c r="P146" l="1"/>
  <c r="U146" s="1"/>
  <c r="AF145"/>
  <c r="F313"/>
  <c r="T313" s="1"/>
  <c r="H312"/>
  <c r="BC313"/>
  <c r="BE313" s="1"/>
  <c r="BG313" s="1"/>
  <c r="AR312"/>
  <c r="S314"/>
  <c r="BE312"/>
  <c r="BG312" s="1"/>
  <c r="AU314"/>
  <c r="I314"/>
  <c r="AN314"/>
  <c r="BC314" s="1"/>
  <c r="Q314"/>
  <c r="BB314"/>
  <c r="AP314"/>
  <c r="AV314"/>
  <c r="E314"/>
  <c r="R314" s="1"/>
  <c r="BA312"/>
  <c r="AW313"/>
  <c r="AY313" s="1"/>
  <c r="K313"/>
  <c r="AT313"/>
  <c r="C316"/>
  <c r="B315"/>
  <c r="D315"/>
  <c r="A315"/>
  <c r="AS315" s="1"/>
  <c r="AX313"/>
  <c r="AZ313" s="1"/>
  <c r="H313"/>
  <c r="BD313"/>
  <c r="BF313" s="1"/>
  <c r="BA313"/>
  <c r="O312"/>
  <c r="Y312" s="1"/>
  <c r="W312"/>
  <c r="R313"/>
  <c r="AB146" l="1"/>
  <c r="AA146"/>
  <c r="Z146"/>
  <c r="AF146" s="1"/>
  <c r="P147"/>
  <c r="U147" s="1"/>
  <c r="AB147" s="1"/>
  <c r="AH147" s="1"/>
  <c r="AA147"/>
  <c r="AG147" s="1"/>
  <c r="Z147"/>
  <c r="AR313"/>
  <c r="BE314"/>
  <c r="BG314" s="1"/>
  <c r="AX314"/>
  <c r="AZ314" s="1"/>
  <c r="K314"/>
  <c r="AW314"/>
  <c r="AY314" s="1"/>
  <c r="AT314"/>
  <c r="AO314"/>
  <c r="A316"/>
  <c r="D316"/>
  <c r="AS316"/>
  <c r="B316"/>
  <c r="F315" s="1"/>
  <c r="C317"/>
  <c r="BD314"/>
  <c r="BF314" s="1"/>
  <c r="BA314"/>
  <c r="AN315"/>
  <c r="AO315" s="1"/>
  <c r="Q315"/>
  <c r="AV315"/>
  <c r="AU315"/>
  <c r="AP315"/>
  <c r="BB315"/>
  <c r="I315"/>
  <c r="E315"/>
  <c r="O313"/>
  <c r="Y313" s="1"/>
  <c r="W313"/>
  <c r="F314"/>
  <c r="N147" l="1"/>
  <c r="AH146"/>
  <c r="M147"/>
  <c r="AG146"/>
  <c r="L147"/>
  <c r="X147"/>
  <c r="P148"/>
  <c r="AF147"/>
  <c r="BC315"/>
  <c r="BA315" s="1"/>
  <c r="AR314"/>
  <c r="T315"/>
  <c r="H315"/>
  <c r="BE315"/>
  <c r="BG315" s="1"/>
  <c r="O314"/>
  <c r="Y314" s="1"/>
  <c r="W314"/>
  <c r="AW315"/>
  <c r="AY315" s="1"/>
  <c r="AT315"/>
  <c r="K315"/>
  <c r="T314"/>
  <c r="S315" s="1"/>
  <c r="H314"/>
  <c r="G304"/>
  <c r="G305" s="1"/>
  <c r="G306" s="1"/>
  <c r="G307" s="1"/>
  <c r="G308" s="1"/>
  <c r="G309" s="1"/>
  <c r="G310" s="1"/>
  <c r="G311" s="1"/>
  <c r="G312" s="1"/>
  <c r="G313" s="1"/>
  <c r="G314" s="1"/>
  <c r="G315" s="1"/>
  <c r="BD315"/>
  <c r="BF315" s="1"/>
  <c r="AV316"/>
  <c r="AN316"/>
  <c r="AO316" s="1"/>
  <c r="I316"/>
  <c r="AU316"/>
  <c r="AP316"/>
  <c r="BB316"/>
  <c r="Q316"/>
  <c r="E316"/>
  <c r="R316" s="1"/>
  <c r="AX315"/>
  <c r="AZ315" s="1"/>
  <c r="B317"/>
  <c r="AS317"/>
  <c r="C318"/>
  <c r="A317"/>
  <c r="D317"/>
  <c r="R315"/>
  <c r="U148" l="1"/>
  <c r="AB148"/>
  <c r="AH148" s="1"/>
  <c r="F316"/>
  <c r="T316" s="1"/>
  <c r="S317" s="1"/>
  <c r="AR315"/>
  <c r="AV317"/>
  <c r="I317"/>
  <c r="BB317"/>
  <c r="AP317"/>
  <c r="AU317"/>
  <c r="AN317"/>
  <c r="AO317" s="1"/>
  <c r="Q317"/>
  <c r="E317"/>
  <c r="R317" s="1"/>
  <c r="AW316"/>
  <c r="AY316" s="1"/>
  <c r="K316"/>
  <c r="AT316"/>
  <c r="S316"/>
  <c r="BC316"/>
  <c r="BA316" s="1"/>
  <c r="AS318"/>
  <c r="B318"/>
  <c r="D318"/>
  <c r="A318"/>
  <c r="C319"/>
  <c r="BD316"/>
  <c r="BF316" s="1"/>
  <c r="AX316"/>
  <c r="AZ316" s="1"/>
  <c r="O315"/>
  <c r="Y315" s="1"/>
  <c r="W315"/>
  <c r="V315"/>
  <c r="F317" l="1"/>
  <c r="T317" s="1"/>
  <c r="S318" s="1"/>
  <c r="Z148"/>
  <c r="AA148"/>
  <c r="H316"/>
  <c r="AR316"/>
  <c r="A319"/>
  <c r="C320"/>
  <c r="B319"/>
  <c r="D319"/>
  <c r="AS319"/>
  <c r="AX317"/>
  <c r="AZ317" s="1"/>
  <c r="BC317"/>
  <c r="BA317" s="1"/>
  <c r="Q318"/>
  <c r="AN318"/>
  <c r="AO318" s="1"/>
  <c r="BB318"/>
  <c r="AV318"/>
  <c r="AU318"/>
  <c r="BC318"/>
  <c r="I318"/>
  <c r="AP318"/>
  <c r="E318"/>
  <c r="R318" s="1"/>
  <c r="O316"/>
  <c r="W316"/>
  <c r="BE316"/>
  <c r="BG316" s="1"/>
  <c r="AW317"/>
  <c r="AY317" s="1"/>
  <c r="AR317" s="1"/>
  <c r="K317"/>
  <c r="AT317"/>
  <c r="BD317"/>
  <c r="BF317" s="1"/>
  <c r="H317"/>
  <c r="P149" l="1"/>
  <c r="AF148"/>
  <c r="AG148"/>
  <c r="F318"/>
  <c r="T318" s="1"/>
  <c r="S319" s="1"/>
  <c r="AP319"/>
  <c r="AU319"/>
  <c r="AN319"/>
  <c r="AO319" s="1"/>
  <c r="BB319"/>
  <c r="AV319"/>
  <c r="I319"/>
  <c r="Q319"/>
  <c r="E319"/>
  <c r="O317"/>
  <c r="W317"/>
  <c r="BD318"/>
  <c r="BF318" s="1"/>
  <c r="BA318"/>
  <c r="BE317"/>
  <c r="BG317" s="1"/>
  <c r="A320"/>
  <c r="C321"/>
  <c r="AS320"/>
  <c r="B320"/>
  <c r="D320"/>
  <c r="BE318"/>
  <c r="BG318" s="1"/>
  <c r="AX318"/>
  <c r="AZ318" s="1"/>
  <c r="AW318"/>
  <c r="AY318" s="1"/>
  <c r="AT318"/>
  <c r="K318"/>
  <c r="Y316"/>
  <c r="U149" l="1"/>
  <c r="AB149" s="1"/>
  <c r="Y317"/>
  <c r="H318"/>
  <c r="BD319"/>
  <c r="BF319" s="1"/>
  <c r="B321"/>
  <c r="AS321"/>
  <c r="A321"/>
  <c r="D321"/>
  <c r="C322"/>
  <c r="O318"/>
  <c r="W318"/>
  <c r="AX319"/>
  <c r="AZ319" s="1"/>
  <c r="BC319"/>
  <c r="BA319" s="1"/>
  <c r="AV320"/>
  <c r="AP320"/>
  <c r="AN320"/>
  <c r="BC320" s="1"/>
  <c r="Q320"/>
  <c r="AU320"/>
  <c r="I320"/>
  <c r="BB320"/>
  <c r="E320"/>
  <c r="K319"/>
  <c r="AW319"/>
  <c r="AY319" s="1"/>
  <c r="AT319"/>
  <c r="AR318"/>
  <c r="F319"/>
  <c r="R319"/>
  <c r="Z149" l="1"/>
  <c r="AA149"/>
  <c r="AG149" s="1"/>
  <c r="AH149"/>
  <c r="Y318"/>
  <c r="AO320"/>
  <c r="O319"/>
  <c r="W319"/>
  <c r="AW320"/>
  <c r="AY320" s="1"/>
  <c r="K320"/>
  <c r="AT320"/>
  <c r="B322"/>
  <c r="A322"/>
  <c r="AS322"/>
  <c r="C323"/>
  <c r="D322"/>
  <c r="R320"/>
  <c r="BE320"/>
  <c r="BG320" s="1"/>
  <c r="AR319"/>
  <c r="Y319"/>
  <c r="T319"/>
  <c r="S320" s="1"/>
  <c r="H319"/>
  <c r="BD320"/>
  <c r="BF320" s="1"/>
  <c r="BA320"/>
  <c r="AX320"/>
  <c r="AZ320" s="1"/>
  <c r="BE319"/>
  <c r="BG319" s="1"/>
  <c r="Q321"/>
  <c r="AV321"/>
  <c r="AP321"/>
  <c r="BB321"/>
  <c r="AN321"/>
  <c r="BC321" s="1"/>
  <c r="AU321"/>
  <c r="I321"/>
  <c r="E321"/>
  <c r="R321" s="1"/>
  <c r="F320"/>
  <c r="P150" l="1"/>
  <c r="AF149"/>
  <c r="BE321"/>
  <c r="BG321" s="1"/>
  <c r="AR320"/>
  <c r="BD321"/>
  <c r="BF321" s="1"/>
  <c r="BA321"/>
  <c r="A323"/>
  <c r="C324"/>
  <c r="AS323"/>
  <c r="D323"/>
  <c r="B323"/>
  <c r="O320"/>
  <c r="Y320" s="1"/>
  <c r="W320"/>
  <c r="AW321"/>
  <c r="AY321" s="1"/>
  <c r="K321"/>
  <c r="AT321"/>
  <c r="AX321"/>
  <c r="AZ321" s="1"/>
  <c r="T320"/>
  <c r="S321" s="1"/>
  <c r="H320"/>
  <c r="I322"/>
  <c r="AN322"/>
  <c r="AO322" s="1"/>
  <c r="Q322"/>
  <c r="AU322"/>
  <c r="BB322"/>
  <c r="AP322"/>
  <c r="AV322"/>
  <c r="E322"/>
  <c r="R322" s="1"/>
  <c r="AO321"/>
  <c r="F321"/>
  <c r="F322" l="1"/>
  <c r="T322" s="1"/>
  <c r="U150"/>
  <c r="AB150" s="1"/>
  <c r="AR321"/>
  <c r="AW322"/>
  <c r="AY322" s="1"/>
  <c r="K322"/>
  <c r="AT322"/>
  <c r="C325"/>
  <c r="D324"/>
  <c r="B324"/>
  <c r="A324"/>
  <c r="AS324"/>
  <c r="BD322"/>
  <c r="BF322" s="1"/>
  <c r="AX322"/>
  <c r="AZ322" s="1"/>
  <c r="BC322"/>
  <c r="BA322" s="1"/>
  <c r="T321"/>
  <c r="S322" s="1"/>
  <c r="H321"/>
  <c r="O321"/>
  <c r="Y321" s="1"/>
  <c r="W321"/>
  <c r="F323"/>
  <c r="T323" s="1"/>
  <c r="AN323"/>
  <c r="BC323" s="1"/>
  <c r="Q323"/>
  <c r="I323"/>
  <c r="AP323"/>
  <c r="AV323"/>
  <c r="AU323"/>
  <c r="BB323"/>
  <c r="AO323"/>
  <c r="E323"/>
  <c r="H322" l="1"/>
  <c r="S324"/>
  <c r="AA150"/>
  <c r="Z150"/>
  <c r="AH150"/>
  <c r="S323"/>
  <c r="H323"/>
  <c r="BE322"/>
  <c r="BG322" s="1"/>
  <c r="AR322"/>
  <c r="AX323"/>
  <c r="AZ323" s="1"/>
  <c r="C326"/>
  <c r="AS325"/>
  <c r="D325"/>
  <c r="B325"/>
  <c r="A325"/>
  <c r="AW323"/>
  <c r="AY323" s="1"/>
  <c r="K323"/>
  <c r="AT323"/>
  <c r="BD323"/>
  <c r="BF323" s="1"/>
  <c r="BA323"/>
  <c r="BE323"/>
  <c r="BG323" s="1"/>
  <c r="I324"/>
  <c r="AN324"/>
  <c r="AO324" s="1"/>
  <c r="AP324"/>
  <c r="Q324"/>
  <c r="AV324"/>
  <c r="BB324"/>
  <c r="AU324"/>
  <c r="E324"/>
  <c r="O322"/>
  <c r="Y322" s="1"/>
  <c r="W322"/>
  <c r="R323"/>
  <c r="AG150" l="1"/>
  <c r="P151"/>
  <c r="AF150"/>
  <c r="AR323"/>
  <c r="BC324"/>
  <c r="BA324" s="1"/>
  <c r="AX324"/>
  <c r="AZ324" s="1"/>
  <c r="BD324"/>
  <c r="BF324" s="1"/>
  <c r="AP325"/>
  <c r="Q325"/>
  <c r="BB325"/>
  <c r="AN325"/>
  <c r="AO325" s="1"/>
  <c r="AU325"/>
  <c r="I325"/>
  <c r="AV325"/>
  <c r="E325"/>
  <c r="A326"/>
  <c r="D326"/>
  <c r="B326"/>
  <c r="AS326"/>
  <c r="C327"/>
  <c r="AW324"/>
  <c r="AY324" s="1"/>
  <c r="AT324"/>
  <c r="K324"/>
  <c r="R324"/>
  <c r="O323"/>
  <c r="Y323" s="1"/>
  <c r="W323"/>
  <c r="F324"/>
  <c r="AB151" l="1"/>
  <c r="U151"/>
  <c r="F325"/>
  <c r="T325" s="1"/>
  <c r="AR324"/>
  <c r="BE324"/>
  <c r="BG324" s="1"/>
  <c r="BC325"/>
  <c r="BA325" s="1"/>
  <c r="C328"/>
  <c r="A327"/>
  <c r="AS327" s="1"/>
  <c r="B327"/>
  <c r="D327"/>
  <c r="BD325"/>
  <c r="BF325" s="1"/>
  <c r="T324"/>
  <c r="S325" s="1"/>
  <c r="H324"/>
  <c r="AX325"/>
  <c r="AZ325" s="1"/>
  <c r="O324"/>
  <c r="Y324" s="1"/>
  <c r="W324"/>
  <c r="BB326"/>
  <c r="Q326"/>
  <c r="AV326"/>
  <c r="AN326"/>
  <c r="BC326" s="1"/>
  <c r="AU326"/>
  <c r="AP326"/>
  <c r="I326"/>
  <c r="E326"/>
  <c r="AW325"/>
  <c r="AY325" s="1"/>
  <c r="AT325"/>
  <c r="K325"/>
  <c r="S326"/>
  <c r="R325"/>
  <c r="BE325" l="1"/>
  <c r="BG325" s="1"/>
  <c r="H325"/>
  <c r="F326"/>
  <c r="T326" s="1"/>
  <c r="S327" s="1"/>
  <c r="AH151"/>
  <c r="Z151"/>
  <c r="AA151"/>
  <c r="AR325"/>
  <c r="BE326"/>
  <c r="BG326" s="1"/>
  <c r="O325"/>
  <c r="Y325" s="1"/>
  <c r="W325"/>
  <c r="BA326"/>
  <c r="BD326"/>
  <c r="BF326" s="1"/>
  <c r="AW326"/>
  <c r="AY326" s="1"/>
  <c r="AT326"/>
  <c r="K326"/>
  <c r="R326"/>
  <c r="B328"/>
  <c r="A328"/>
  <c r="C329"/>
  <c r="AS328"/>
  <c r="D328"/>
  <c r="AX326"/>
  <c r="AZ326" s="1"/>
  <c r="AP327"/>
  <c r="AN327"/>
  <c r="BC327" s="1"/>
  <c r="Q327"/>
  <c r="AV327"/>
  <c r="BB327"/>
  <c r="I327"/>
  <c r="AU327"/>
  <c r="E327"/>
  <c r="AO326"/>
  <c r="H326" l="1"/>
  <c r="AF151"/>
  <c r="P152"/>
  <c r="U152" s="1"/>
  <c r="AB152" s="1"/>
  <c r="AG151"/>
  <c r="AO327"/>
  <c r="BE327"/>
  <c r="BG327" s="1"/>
  <c r="BC328"/>
  <c r="I328"/>
  <c r="AP328"/>
  <c r="AO328"/>
  <c r="BB328"/>
  <c r="AV328"/>
  <c r="AU328"/>
  <c r="AN328"/>
  <c r="Q328"/>
  <c r="E328"/>
  <c r="AR326"/>
  <c r="K327"/>
  <c r="AT327"/>
  <c r="AW327"/>
  <c r="AY327" s="1"/>
  <c r="G316"/>
  <c r="G317" s="1"/>
  <c r="G318" s="1"/>
  <c r="G319" s="1"/>
  <c r="G320" s="1"/>
  <c r="G321" s="1"/>
  <c r="G322" s="1"/>
  <c r="G323" s="1"/>
  <c r="G324" s="1"/>
  <c r="G325" s="1"/>
  <c r="G326" s="1"/>
  <c r="G327" s="1"/>
  <c r="BA327"/>
  <c r="BD327"/>
  <c r="BF327" s="1"/>
  <c r="C330"/>
  <c r="A329"/>
  <c r="R328"/>
  <c r="D329"/>
  <c r="AS329"/>
  <c r="B329"/>
  <c r="F327"/>
  <c r="AX327"/>
  <c r="AZ327" s="1"/>
  <c r="R327"/>
  <c r="O326"/>
  <c r="Y326" s="1"/>
  <c r="W326"/>
  <c r="AA152" l="1"/>
  <c r="AG152" s="1"/>
  <c r="Z152"/>
  <c r="AF152" s="1"/>
  <c r="AH152"/>
  <c r="AR327"/>
  <c r="AX328"/>
  <c r="AZ328" s="1"/>
  <c r="F328"/>
  <c r="O327"/>
  <c r="Y327" s="1"/>
  <c r="W327"/>
  <c r="V327"/>
  <c r="A330"/>
  <c r="AS330"/>
  <c r="C331"/>
  <c r="B330"/>
  <c r="D330"/>
  <c r="AW328"/>
  <c r="AY328" s="1"/>
  <c r="K328"/>
  <c r="AT328"/>
  <c r="AN329"/>
  <c r="BB329"/>
  <c r="I329"/>
  <c r="AU329"/>
  <c r="BC329"/>
  <c r="Q329"/>
  <c r="AP329"/>
  <c r="AV329"/>
  <c r="AO329"/>
  <c r="E329"/>
  <c r="T327"/>
  <c r="H327"/>
  <c r="BD328"/>
  <c r="BF328" s="1"/>
  <c r="BA328"/>
  <c r="BE328"/>
  <c r="BG328" s="1"/>
  <c r="P153" l="1"/>
  <c r="U153" s="1"/>
  <c r="AR328"/>
  <c r="BE329"/>
  <c r="BG329" s="1"/>
  <c r="BD329"/>
  <c r="BF329" s="1"/>
  <c r="BA329"/>
  <c r="R329"/>
  <c r="F329"/>
  <c r="AX329"/>
  <c r="AZ329" s="1"/>
  <c r="S328"/>
  <c r="BC330"/>
  <c r="Q330"/>
  <c r="AV330"/>
  <c r="AU330"/>
  <c r="AP330"/>
  <c r="AN330"/>
  <c r="BB330"/>
  <c r="AO330"/>
  <c r="I330"/>
  <c r="E330"/>
  <c r="R330" s="1"/>
  <c r="AT329"/>
  <c r="AW329"/>
  <c r="AY329" s="1"/>
  <c r="K329"/>
  <c r="O328"/>
  <c r="W328"/>
  <c r="D331"/>
  <c r="B331"/>
  <c r="A331"/>
  <c r="C332"/>
  <c r="AS331"/>
  <c r="T328"/>
  <c r="S329" s="1"/>
  <c r="H328"/>
  <c r="Z153" l="1"/>
  <c r="AF153" s="1"/>
  <c r="AA153"/>
  <c r="AG153" s="1"/>
  <c r="AB153"/>
  <c r="AH153" s="1"/>
  <c r="AR329"/>
  <c r="BA330"/>
  <c r="BD330"/>
  <c r="BF330" s="1"/>
  <c r="AX330"/>
  <c r="AZ330" s="1"/>
  <c r="F330"/>
  <c r="BC331"/>
  <c r="AP331"/>
  <c r="AN331"/>
  <c r="Q331"/>
  <c r="AV331"/>
  <c r="I331"/>
  <c r="AO331"/>
  <c r="AU331"/>
  <c r="BB331"/>
  <c r="E331"/>
  <c r="R331" s="1"/>
  <c r="O329"/>
  <c r="W329"/>
  <c r="BE330"/>
  <c r="BG330" s="1"/>
  <c r="AT330"/>
  <c r="K330"/>
  <c r="AW330"/>
  <c r="AY330" s="1"/>
  <c r="C333"/>
  <c r="A332"/>
  <c r="AS332"/>
  <c r="B332"/>
  <c r="D332"/>
  <c r="T329"/>
  <c r="S330" s="1"/>
  <c r="H329"/>
  <c r="Y328"/>
  <c r="P154" l="1"/>
  <c r="Y329"/>
  <c r="AR330"/>
  <c r="A333"/>
  <c r="AS333"/>
  <c r="D333"/>
  <c r="C334"/>
  <c r="B333"/>
  <c r="BD331"/>
  <c r="BF331" s="1"/>
  <c r="BA331"/>
  <c r="AX331"/>
  <c r="AZ331" s="1"/>
  <c r="BE331"/>
  <c r="BG331" s="1"/>
  <c r="BC332"/>
  <c r="AU332"/>
  <c r="Q332"/>
  <c r="I332"/>
  <c r="AP332"/>
  <c r="AN332"/>
  <c r="BB332"/>
  <c r="AV332"/>
  <c r="AO332"/>
  <c r="E332"/>
  <c r="F331"/>
  <c r="O330"/>
  <c r="Y330" s="1"/>
  <c r="W330"/>
  <c r="AW331"/>
  <c r="AY331" s="1"/>
  <c r="AT331"/>
  <c r="K331"/>
  <c r="T330"/>
  <c r="S331" s="1"/>
  <c r="H330"/>
  <c r="AA154" l="1"/>
  <c r="AG154" s="1"/>
  <c r="U154"/>
  <c r="Z154" s="1"/>
  <c r="AB154"/>
  <c r="AH154" s="1"/>
  <c r="AW332"/>
  <c r="AY332" s="1"/>
  <c r="K332"/>
  <c r="AT332"/>
  <c r="AR331"/>
  <c r="T331"/>
  <c r="S332" s="1"/>
  <c r="H331"/>
  <c r="BA332"/>
  <c r="BD332"/>
  <c r="BF332" s="1"/>
  <c r="O331"/>
  <c r="Y331" s="1"/>
  <c r="W331"/>
  <c r="AX332"/>
  <c r="AZ332" s="1"/>
  <c r="R332"/>
  <c r="F332"/>
  <c r="BE332"/>
  <c r="BG332" s="1"/>
  <c r="C335"/>
  <c r="AS334"/>
  <c r="B334"/>
  <c r="D334"/>
  <c r="A334"/>
  <c r="I333"/>
  <c r="AV333"/>
  <c r="AU333"/>
  <c r="AP333"/>
  <c r="AO333"/>
  <c r="BB333"/>
  <c r="BC333"/>
  <c r="Q333"/>
  <c r="AN333"/>
  <c r="E333"/>
  <c r="P155" l="1"/>
  <c r="U155" s="1"/>
  <c r="AF154"/>
  <c r="AR332"/>
  <c r="O332"/>
  <c r="Y332" s="1"/>
  <c r="W332"/>
  <c r="BE333"/>
  <c r="BG333" s="1"/>
  <c r="AW333"/>
  <c r="AY333" s="1"/>
  <c r="K333"/>
  <c r="AT333"/>
  <c r="Q334"/>
  <c r="AU334"/>
  <c r="AV334"/>
  <c r="AO334"/>
  <c r="BC334"/>
  <c r="AP334"/>
  <c r="BB334"/>
  <c r="I334"/>
  <c r="AN334"/>
  <c r="E334"/>
  <c r="R334" s="1"/>
  <c r="D335"/>
  <c r="B335"/>
  <c r="C336"/>
  <c r="A335"/>
  <c r="AS335"/>
  <c r="T332"/>
  <c r="S333" s="1"/>
  <c r="H332"/>
  <c r="R333"/>
  <c r="BA333"/>
  <c r="BF333"/>
  <c r="BD333"/>
  <c r="AX333"/>
  <c r="AZ333" s="1"/>
  <c r="F333"/>
  <c r="AB155" l="1"/>
  <c r="AH155" s="1"/>
  <c r="Z155"/>
  <c r="AF155" s="1"/>
  <c r="AA155"/>
  <c r="AG155" s="1"/>
  <c r="F334"/>
  <c r="T334" s="1"/>
  <c r="H334"/>
  <c r="AR333"/>
  <c r="AP335"/>
  <c r="BC335"/>
  <c r="Q335"/>
  <c r="AV335"/>
  <c r="AN335"/>
  <c r="AU335"/>
  <c r="BB335"/>
  <c r="I335"/>
  <c r="AO335"/>
  <c r="E335"/>
  <c r="T333"/>
  <c r="S334" s="1"/>
  <c r="H333"/>
  <c r="S335"/>
  <c r="BE334"/>
  <c r="BG334" s="1"/>
  <c r="O333"/>
  <c r="Y333" s="1"/>
  <c r="W333"/>
  <c r="C337"/>
  <c r="D336"/>
  <c r="B336"/>
  <c r="A336"/>
  <c r="R335"/>
  <c r="AS336"/>
  <c r="K334"/>
  <c r="AT334"/>
  <c r="AW334"/>
  <c r="AY334" s="1"/>
  <c r="BD334"/>
  <c r="BF334" s="1"/>
  <c r="BA334"/>
  <c r="AX334"/>
  <c r="AZ334" s="1"/>
  <c r="P156" l="1"/>
  <c r="U156" s="1"/>
  <c r="F335"/>
  <c r="T335" s="1"/>
  <c r="S336" s="1"/>
  <c r="AR334"/>
  <c r="AV336"/>
  <c r="AP336"/>
  <c r="AU336"/>
  <c r="BB336"/>
  <c r="I336"/>
  <c r="AO336"/>
  <c r="Q336"/>
  <c r="AN336"/>
  <c r="BC336"/>
  <c r="E336"/>
  <c r="R336" s="1"/>
  <c r="O334"/>
  <c r="Y334" s="1"/>
  <c r="W334"/>
  <c r="AT335"/>
  <c r="AW335"/>
  <c r="AY335" s="1"/>
  <c r="K335"/>
  <c r="BE335"/>
  <c r="BG335" s="1"/>
  <c r="BD335"/>
  <c r="BF335" s="1"/>
  <c r="BA335"/>
  <c r="B337"/>
  <c r="D337"/>
  <c r="AS337"/>
  <c r="A337"/>
  <c r="C338"/>
  <c r="AX335"/>
  <c r="AZ335" s="1"/>
  <c r="AB156" l="1"/>
  <c r="AH156" s="1"/>
  <c r="Z156"/>
  <c r="AA156"/>
  <c r="H335"/>
  <c r="F336"/>
  <c r="T336" s="1"/>
  <c r="S337" s="1"/>
  <c r="AR335"/>
  <c r="BD336"/>
  <c r="BF336" s="1"/>
  <c r="BA336"/>
  <c r="BE336"/>
  <c r="BG336" s="1"/>
  <c r="O335"/>
  <c r="Y335" s="1"/>
  <c r="W335"/>
  <c r="BC337"/>
  <c r="Q337"/>
  <c r="AN337"/>
  <c r="BB337"/>
  <c r="AV337"/>
  <c r="AU337"/>
  <c r="AO337"/>
  <c r="AP337"/>
  <c r="I337"/>
  <c r="E337"/>
  <c r="R337" s="1"/>
  <c r="AX336"/>
  <c r="AZ336" s="1"/>
  <c r="B338"/>
  <c r="C339"/>
  <c r="A338"/>
  <c r="AS338"/>
  <c r="D338"/>
  <c r="AW336"/>
  <c r="AY336" s="1"/>
  <c r="K336"/>
  <c r="AT336"/>
  <c r="AG156" l="1"/>
  <c r="AF156"/>
  <c r="P157"/>
  <c r="H336"/>
  <c r="BA337"/>
  <c r="BD337"/>
  <c r="BF337" s="1"/>
  <c r="O336"/>
  <c r="Y336" s="1"/>
  <c r="W336"/>
  <c r="B339"/>
  <c r="C340"/>
  <c r="A339"/>
  <c r="AS339" s="1"/>
  <c r="D339"/>
  <c r="AX337"/>
  <c r="AZ337" s="1"/>
  <c r="BE337"/>
  <c r="BG337" s="1"/>
  <c r="F337"/>
  <c r="AR336"/>
  <c r="AP338"/>
  <c r="BC338"/>
  <c r="I338"/>
  <c r="AU338"/>
  <c r="AV338"/>
  <c r="AN338"/>
  <c r="BB338"/>
  <c r="AO338"/>
  <c r="Q338"/>
  <c r="E338"/>
  <c r="K337"/>
  <c r="AT337"/>
  <c r="AW337"/>
  <c r="AY337" s="1"/>
  <c r="AR337" s="1"/>
  <c r="U157" l="1"/>
  <c r="AB157"/>
  <c r="O337"/>
  <c r="Y337" s="1"/>
  <c r="W337"/>
  <c r="BE338"/>
  <c r="BG338" s="1"/>
  <c r="D340"/>
  <c r="B340"/>
  <c r="AS340"/>
  <c r="A340"/>
  <c r="C341"/>
  <c r="BD338"/>
  <c r="BF338" s="1"/>
  <c r="BA338"/>
  <c r="T337"/>
  <c r="S338" s="1"/>
  <c r="H337"/>
  <c r="F338"/>
  <c r="R338"/>
  <c r="AY338"/>
  <c r="AW338"/>
  <c r="AT338"/>
  <c r="K338"/>
  <c r="AZ338"/>
  <c r="AX338"/>
  <c r="BC339"/>
  <c r="AO339"/>
  <c r="AU339"/>
  <c r="AP339"/>
  <c r="AN339"/>
  <c r="AV339"/>
  <c r="Q339"/>
  <c r="I339"/>
  <c r="BB339"/>
  <c r="E339"/>
  <c r="AA157" l="1"/>
  <c r="Z157"/>
  <c r="AH157"/>
  <c r="F339"/>
  <c r="T339" s="1"/>
  <c r="O338"/>
  <c r="Y338" s="1"/>
  <c r="W338"/>
  <c r="AX339"/>
  <c r="AZ339" s="1"/>
  <c r="AW339"/>
  <c r="AY339" s="1"/>
  <c r="K339"/>
  <c r="AT339"/>
  <c r="T338"/>
  <c r="S339" s="1"/>
  <c r="H338"/>
  <c r="AU340"/>
  <c r="BC340"/>
  <c r="AN340"/>
  <c r="AV340"/>
  <c r="AP340"/>
  <c r="BB340"/>
  <c r="I340"/>
  <c r="Q340"/>
  <c r="AO340"/>
  <c r="E340"/>
  <c r="R340" s="1"/>
  <c r="H339"/>
  <c r="AR338"/>
  <c r="BA339"/>
  <c r="BD339"/>
  <c r="BF339" s="1"/>
  <c r="BE339"/>
  <c r="BG339" s="1"/>
  <c r="S340"/>
  <c r="D341"/>
  <c r="C342"/>
  <c r="AS341"/>
  <c r="B341"/>
  <c r="F340" s="1"/>
  <c r="A341"/>
  <c r="G328"/>
  <c r="G329" s="1"/>
  <c r="G330" s="1"/>
  <c r="G331" s="1"/>
  <c r="G332" s="1"/>
  <c r="G333" s="1"/>
  <c r="G334" s="1"/>
  <c r="G335" s="1"/>
  <c r="G336" s="1"/>
  <c r="G337" s="1"/>
  <c r="G338" s="1"/>
  <c r="G339" s="1"/>
  <c r="R339"/>
  <c r="AG157" l="1"/>
  <c r="AF157"/>
  <c r="P158"/>
  <c r="AR339"/>
  <c r="T340"/>
  <c r="S341" s="1"/>
  <c r="H340"/>
  <c r="BD340"/>
  <c r="BF340" s="1"/>
  <c r="BA340"/>
  <c r="BG340"/>
  <c r="BE340"/>
  <c r="BB341"/>
  <c r="AU341"/>
  <c r="BC341"/>
  <c r="AO341"/>
  <c r="AV341"/>
  <c r="AP341"/>
  <c r="Q341"/>
  <c r="I341"/>
  <c r="AN341"/>
  <c r="E341"/>
  <c r="R341" s="1"/>
  <c r="AX340"/>
  <c r="AZ340" s="1"/>
  <c r="D342"/>
  <c r="B342"/>
  <c r="AS342"/>
  <c r="C343"/>
  <c r="A342"/>
  <c r="AW340"/>
  <c r="AY340" s="1"/>
  <c r="AT340"/>
  <c r="K340"/>
  <c r="O339"/>
  <c r="Y339" s="1"/>
  <c r="W339"/>
  <c r="V339"/>
  <c r="U158" l="1"/>
  <c r="AB158" s="1"/>
  <c r="F341"/>
  <c r="T341" s="1"/>
  <c r="S342" s="1"/>
  <c r="AR340"/>
  <c r="O340"/>
  <c r="W340"/>
  <c r="AX341"/>
  <c r="AZ341" s="1"/>
  <c r="BD341"/>
  <c r="BF341" s="1"/>
  <c r="BA341"/>
  <c r="BE341"/>
  <c r="BG341" s="1"/>
  <c r="A343"/>
  <c r="B343"/>
  <c r="D343"/>
  <c r="AS343"/>
  <c r="C344"/>
  <c r="AW341"/>
  <c r="AY341" s="1"/>
  <c r="K341"/>
  <c r="AT341"/>
  <c r="AP342"/>
  <c r="AV342"/>
  <c r="I342"/>
  <c r="Q342"/>
  <c r="BC342"/>
  <c r="BB342"/>
  <c r="AO342"/>
  <c r="AN342"/>
  <c r="AU342"/>
  <c r="E342"/>
  <c r="R342" s="1"/>
  <c r="F342"/>
  <c r="T342" s="1"/>
  <c r="AA158" l="1"/>
  <c r="Z158"/>
  <c r="AH158"/>
  <c r="N159"/>
  <c r="H341"/>
  <c r="S343"/>
  <c r="H342"/>
  <c r="Y340"/>
  <c r="AW342"/>
  <c r="AY342" s="1"/>
  <c r="AT342"/>
  <c r="K342"/>
  <c r="BE342"/>
  <c r="BG342" s="1"/>
  <c r="C345"/>
  <c r="D344"/>
  <c r="A344"/>
  <c r="AS344"/>
  <c r="B344"/>
  <c r="BB343"/>
  <c r="AU343"/>
  <c r="AV343"/>
  <c r="AO343"/>
  <c r="AN343"/>
  <c r="I343"/>
  <c r="BC343"/>
  <c r="Q343"/>
  <c r="AP343"/>
  <c r="E343"/>
  <c r="BD342"/>
  <c r="BF342" s="1"/>
  <c r="BA342"/>
  <c r="AX342"/>
  <c r="AZ342" s="1"/>
  <c r="O341"/>
  <c r="W341"/>
  <c r="AR341"/>
  <c r="AG158" l="1"/>
  <c r="M159"/>
  <c r="L159"/>
  <c r="AF158"/>
  <c r="P159"/>
  <c r="K343"/>
  <c r="AT343"/>
  <c r="AW343"/>
  <c r="AY343" s="1"/>
  <c r="R343"/>
  <c r="AR342"/>
  <c r="BE343"/>
  <c r="BG343" s="1"/>
  <c r="AX343"/>
  <c r="AZ343" s="1"/>
  <c r="Y341"/>
  <c r="AU344"/>
  <c r="Q344"/>
  <c r="I344"/>
  <c r="AP344"/>
  <c r="BC344"/>
  <c r="BB344"/>
  <c r="AN344"/>
  <c r="AO344"/>
  <c r="AV344"/>
  <c r="E344"/>
  <c r="F343"/>
  <c r="BD343"/>
  <c r="BF343" s="1"/>
  <c r="BA343"/>
  <c r="C346"/>
  <c r="B345"/>
  <c r="AS345"/>
  <c r="D345"/>
  <c r="R344"/>
  <c r="A345"/>
  <c r="O342"/>
  <c r="W342"/>
  <c r="X159" l="1"/>
  <c r="AB159"/>
  <c r="U159"/>
  <c r="AR343"/>
  <c r="BB345"/>
  <c r="AU345"/>
  <c r="Q345"/>
  <c r="AV345"/>
  <c r="I345"/>
  <c r="AO345"/>
  <c r="BC345"/>
  <c r="AN345"/>
  <c r="AP345"/>
  <c r="E345"/>
  <c r="Y342"/>
  <c r="F344"/>
  <c r="AX344"/>
  <c r="AZ344" s="1"/>
  <c r="BE344"/>
  <c r="BG344" s="1"/>
  <c r="AW344"/>
  <c r="AY344" s="1"/>
  <c r="AT344"/>
  <c r="K344"/>
  <c r="R345"/>
  <c r="D346"/>
  <c r="B346"/>
  <c r="C347"/>
  <c r="AS346"/>
  <c r="A346"/>
  <c r="T343"/>
  <c r="S344" s="1"/>
  <c r="H343"/>
  <c r="BD344"/>
  <c r="BF344" s="1"/>
  <c r="BA344"/>
  <c r="O343"/>
  <c r="W343"/>
  <c r="AH159" l="1"/>
  <c r="AA159"/>
  <c r="Z159"/>
  <c r="AR344"/>
  <c r="T344"/>
  <c r="S345" s="1"/>
  <c r="H344"/>
  <c r="BD345"/>
  <c r="BF345" s="1"/>
  <c r="BA345"/>
  <c r="BC346"/>
  <c r="I346"/>
  <c r="AV346"/>
  <c r="AN346"/>
  <c r="Q346"/>
  <c r="AP346"/>
  <c r="BB346"/>
  <c r="AU346"/>
  <c r="AO346"/>
  <c r="E346"/>
  <c r="AW345"/>
  <c r="AY345" s="1"/>
  <c r="K345"/>
  <c r="AT345"/>
  <c r="BE345"/>
  <c r="BG345" s="1"/>
  <c r="F345"/>
  <c r="AS347"/>
  <c r="C348"/>
  <c r="B347"/>
  <c r="R346"/>
  <c r="A347"/>
  <c r="D347"/>
  <c r="O344"/>
  <c r="W344"/>
  <c r="AX345"/>
  <c r="AZ345" s="1"/>
  <c r="Y343"/>
  <c r="AF159" l="1"/>
  <c r="P160"/>
  <c r="AG159"/>
  <c r="F346"/>
  <c r="T346" s="1"/>
  <c r="Y344"/>
  <c r="AR345"/>
  <c r="BB347"/>
  <c r="AV347"/>
  <c r="AP347"/>
  <c r="Q347"/>
  <c r="BC347"/>
  <c r="AU347"/>
  <c r="AO347"/>
  <c r="AN347"/>
  <c r="I347"/>
  <c r="E347"/>
  <c r="O345"/>
  <c r="W345"/>
  <c r="BD346"/>
  <c r="BF346" s="1"/>
  <c r="BA346"/>
  <c r="AX346"/>
  <c r="AZ346" s="1"/>
  <c r="S347"/>
  <c r="C349"/>
  <c r="AS348"/>
  <c r="B348"/>
  <c r="D348"/>
  <c r="A348"/>
  <c r="R347"/>
  <c r="AW346"/>
  <c r="AY346" s="1"/>
  <c r="AR346" s="1"/>
  <c r="AT346"/>
  <c r="K346"/>
  <c r="T345"/>
  <c r="S346" s="1"/>
  <c r="H345"/>
  <c r="BE346"/>
  <c r="BG346" s="1"/>
  <c r="Y345" l="1"/>
  <c r="U160"/>
  <c r="AB160" s="1"/>
  <c r="H346"/>
  <c r="BE347"/>
  <c r="BG347" s="1"/>
  <c r="BD347"/>
  <c r="BF347" s="1"/>
  <c r="BA347"/>
  <c r="K347"/>
  <c r="AT347"/>
  <c r="AW347"/>
  <c r="AY347" s="1"/>
  <c r="AX347"/>
  <c r="AZ347" s="1"/>
  <c r="F347"/>
  <c r="O346"/>
  <c r="Y346" s="1"/>
  <c r="W346"/>
  <c r="BC348"/>
  <c r="BB348"/>
  <c r="I348"/>
  <c r="Q348"/>
  <c r="AU348"/>
  <c r="AO348"/>
  <c r="AP348"/>
  <c r="AN348"/>
  <c r="AV348"/>
  <c r="E348"/>
  <c r="R348" s="1"/>
  <c r="AS349"/>
  <c r="C350"/>
  <c r="A349"/>
  <c r="D349"/>
  <c r="B349"/>
  <c r="Z160" l="1"/>
  <c r="AA160"/>
  <c r="AH160"/>
  <c r="AR347"/>
  <c r="AT348"/>
  <c r="K348"/>
  <c r="AW348"/>
  <c r="AY348" s="1"/>
  <c r="B350"/>
  <c r="C351"/>
  <c r="AS350"/>
  <c r="D350"/>
  <c r="A350"/>
  <c r="AX348"/>
  <c r="AZ348" s="1"/>
  <c r="BG348"/>
  <c r="BE348"/>
  <c r="BC349"/>
  <c r="AP349"/>
  <c r="AU349"/>
  <c r="AO349"/>
  <c r="Q349"/>
  <c r="AN349"/>
  <c r="I349"/>
  <c r="BB349"/>
  <c r="AV349"/>
  <c r="E349"/>
  <c r="BD348"/>
  <c r="BF348" s="1"/>
  <c r="BA348"/>
  <c r="T347"/>
  <c r="S348" s="1"/>
  <c r="H347"/>
  <c r="F348"/>
  <c r="O347"/>
  <c r="Y347" s="1"/>
  <c r="W347"/>
  <c r="P161" l="1"/>
  <c r="AF160"/>
  <c r="AG160"/>
  <c r="AR348"/>
  <c r="BE349"/>
  <c r="BG349" s="1"/>
  <c r="O348"/>
  <c r="Y348" s="1"/>
  <c r="W348"/>
  <c r="AX349"/>
  <c r="AZ349" s="1"/>
  <c r="AW349"/>
  <c r="AY349" s="1"/>
  <c r="K349"/>
  <c r="AT349"/>
  <c r="R349"/>
  <c r="F349"/>
  <c r="T348"/>
  <c r="S349" s="1"/>
  <c r="H348"/>
  <c r="BA349"/>
  <c r="BD349"/>
  <c r="BF349" s="1"/>
  <c r="AN350"/>
  <c r="AV350"/>
  <c r="I350"/>
  <c r="AU350"/>
  <c r="Q350"/>
  <c r="BC350"/>
  <c r="AO350"/>
  <c r="BB350"/>
  <c r="AP350"/>
  <c r="E350"/>
  <c r="C352"/>
  <c r="D351"/>
  <c r="A351"/>
  <c r="B351"/>
  <c r="AB161" l="1"/>
  <c r="U161"/>
  <c r="F350"/>
  <c r="H350" s="1"/>
  <c r="AO351"/>
  <c r="Q351"/>
  <c r="BB351"/>
  <c r="BC351"/>
  <c r="AV351"/>
  <c r="I351"/>
  <c r="AU351"/>
  <c r="AP351"/>
  <c r="AN351"/>
  <c r="E351"/>
  <c r="B352"/>
  <c r="C353"/>
  <c r="AS352"/>
  <c r="A352"/>
  <c r="D352"/>
  <c r="T349"/>
  <c r="S350" s="1"/>
  <c r="H349"/>
  <c r="R350"/>
  <c r="AR349"/>
  <c r="BA350"/>
  <c r="BD350"/>
  <c r="BF350" s="1"/>
  <c r="AT350"/>
  <c r="K350"/>
  <c r="AW350"/>
  <c r="AY350" s="1"/>
  <c r="AS351"/>
  <c r="BE350"/>
  <c r="BG350" s="1"/>
  <c r="AX350"/>
  <c r="AZ350" s="1"/>
  <c r="O349"/>
  <c r="Y349" s="1"/>
  <c r="W349"/>
  <c r="T350" l="1"/>
  <c r="S351" s="1"/>
  <c r="AH161"/>
  <c r="Z161"/>
  <c r="AA161"/>
  <c r="F351"/>
  <c r="T351" s="1"/>
  <c r="AR350"/>
  <c r="O350"/>
  <c r="Y350" s="1"/>
  <c r="W350"/>
  <c r="I352"/>
  <c r="AO352"/>
  <c r="AV352"/>
  <c r="Q352"/>
  <c r="AN352"/>
  <c r="AP352"/>
  <c r="BB352"/>
  <c r="AU352"/>
  <c r="BC352"/>
  <c r="E352"/>
  <c r="R352" s="1"/>
  <c r="G340"/>
  <c r="G341" s="1"/>
  <c r="G342" s="1"/>
  <c r="G343" s="1"/>
  <c r="G344" s="1"/>
  <c r="G345" s="1"/>
  <c r="G346" s="1"/>
  <c r="G347" s="1"/>
  <c r="G348" s="1"/>
  <c r="G349" s="1"/>
  <c r="G350" s="1"/>
  <c r="G351" s="1"/>
  <c r="AT351"/>
  <c r="K351"/>
  <c r="AW351"/>
  <c r="AY351" s="1"/>
  <c r="BD351"/>
  <c r="BF351" s="1"/>
  <c r="BA351"/>
  <c r="H351"/>
  <c r="R351"/>
  <c r="D353"/>
  <c r="B353"/>
  <c r="AS353"/>
  <c r="A353"/>
  <c r="C354"/>
  <c r="BE351"/>
  <c r="BG351" s="1"/>
  <c r="S352"/>
  <c r="AX351"/>
  <c r="AZ351" s="1"/>
  <c r="AG161" l="1"/>
  <c r="P162"/>
  <c r="AF161"/>
  <c r="AR351"/>
  <c r="K352"/>
  <c r="AT352"/>
  <c r="AW352"/>
  <c r="AY352" s="1"/>
  <c r="BE352"/>
  <c r="BG352" s="1"/>
  <c r="A354"/>
  <c r="B354"/>
  <c r="AS354"/>
  <c r="C355"/>
  <c r="D354"/>
  <c r="I353"/>
  <c r="Q353"/>
  <c r="AP353"/>
  <c r="BC353"/>
  <c r="AU353"/>
  <c r="AV353"/>
  <c r="AO353"/>
  <c r="BB353"/>
  <c r="AN353"/>
  <c r="E353"/>
  <c r="R353" s="1"/>
  <c r="O351"/>
  <c r="Y351" s="1"/>
  <c r="W351"/>
  <c r="V351"/>
  <c r="BD352"/>
  <c r="BA352"/>
  <c r="BF352"/>
  <c r="AX352"/>
  <c r="AZ352" s="1"/>
  <c r="F352"/>
  <c r="AB162" l="1"/>
  <c r="U162"/>
  <c r="AX353"/>
  <c r="AZ353" s="1"/>
  <c r="F353"/>
  <c r="AR352"/>
  <c r="BE353"/>
  <c r="BG353" s="1"/>
  <c r="O352"/>
  <c r="W352"/>
  <c r="T352"/>
  <c r="S353" s="1"/>
  <c r="H352"/>
  <c r="BA353"/>
  <c r="BD353"/>
  <c r="BF353" s="1"/>
  <c r="AT353"/>
  <c r="AW353"/>
  <c r="AY353" s="1"/>
  <c r="K353"/>
  <c r="AS355"/>
  <c r="C356"/>
  <c r="B355"/>
  <c r="D355"/>
  <c r="A355"/>
  <c r="AP354"/>
  <c r="Q354"/>
  <c r="AV354"/>
  <c r="BB354"/>
  <c r="BC354"/>
  <c r="AN354"/>
  <c r="I354"/>
  <c r="AU354"/>
  <c r="AO354"/>
  <c r="E354"/>
  <c r="R354" s="1"/>
  <c r="AH162" l="1"/>
  <c r="AA162"/>
  <c r="Z162"/>
  <c r="AR353"/>
  <c r="Y352"/>
  <c r="O353"/>
  <c r="W353"/>
  <c r="AX354"/>
  <c r="AZ354" s="1"/>
  <c r="T353"/>
  <c r="S354" s="1"/>
  <c r="H353"/>
  <c r="BE354"/>
  <c r="BG354" s="1"/>
  <c r="AW354"/>
  <c r="AY354" s="1"/>
  <c r="AR354" s="1"/>
  <c r="AT354"/>
  <c r="K354"/>
  <c r="BA354"/>
  <c r="BD354"/>
  <c r="BF354" s="1"/>
  <c r="BB355"/>
  <c r="AV355"/>
  <c r="Q355"/>
  <c r="I355"/>
  <c r="AN355"/>
  <c r="BC355"/>
  <c r="AU355"/>
  <c r="AO355"/>
  <c r="AP355"/>
  <c r="E355"/>
  <c r="B356"/>
  <c r="C357"/>
  <c r="R355"/>
  <c r="D356"/>
  <c r="F355" s="1"/>
  <c r="A356"/>
  <c r="AS356"/>
  <c r="F354"/>
  <c r="AF162" l="1"/>
  <c r="P163"/>
  <c r="AG162"/>
  <c r="T355"/>
  <c r="H355"/>
  <c r="Y353"/>
  <c r="AS357"/>
  <c r="B357"/>
  <c r="D357"/>
  <c r="A357"/>
  <c r="C358"/>
  <c r="O354"/>
  <c r="W354"/>
  <c r="T354"/>
  <c r="S355" s="1"/>
  <c r="H354"/>
  <c r="BA355"/>
  <c r="BD355"/>
  <c r="BF355" s="1"/>
  <c r="BE355"/>
  <c r="BG355" s="1"/>
  <c r="Y354"/>
  <c r="AX355"/>
  <c r="AZ355" s="1"/>
  <c r="AO356"/>
  <c r="Q356"/>
  <c r="AU356"/>
  <c r="AP356"/>
  <c r="AN356"/>
  <c r="AV356"/>
  <c r="I356"/>
  <c r="BC356"/>
  <c r="BB356"/>
  <c r="E356"/>
  <c r="R356" s="1"/>
  <c r="AT355"/>
  <c r="AW355"/>
  <c r="AY355" s="1"/>
  <c r="AR355" s="1"/>
  <c r="K355"/>
  <c r="S356"/>
  <c r="F356" l="1"/>
  <c r="T356" s="1"/>
  <c r="S357" s="1"/>
  <c r="AB163"/>
  <c r="U163"/>
  <c r="AW356"/>
  <c r="AY356" s="1"/>
  <c r="K356"/>
  <c r="AT356"/>
  <c r="A358"/>
  <c r="C359"/>
  <c r="D358"/>
  <c r="AS358"/>
  <c r="B358"/>
  <c r="O355"/>
  <c r="Y355" s="1"/>
  <c r="W355"/>
  <c r="BE356"/>
  <c r="BG356" s="1"/>
  <c r="BA356"/>
  <c r="BD356"/>
  <c r="BF356" s="1"/>
  <c r="AZ356"/>
  <c r="AX356"/>
  <c r="Q357"/>
  <c r="AN357"/>
  <c r="AP357"/>
  <c r="AV357"/>
  <c r="I357"/>
  <c r="BC357"/>
  <c r="BB357"/>
  <c r="AO357"/>
  <c r="AU357"/>
  <c r="E357"/>
  <c r="R357" s="1"/>
  <c r="AH163" l="1"/>
  <c r="Z163"/>
  <c r="AA163"/>
  <c r="H356"/>
  <c r="AR356"/>
  <c r="BE357"/>
  <c r="BG357" s="1"/>
  <c r="AN358"/>
  <c r="AV358"/>
  <c r="I358"/>
  <c r="AO358"/>
  <c r="BC358"/>
  <c r="BB358"/>
  <c r="AU358"/>
  <c r="AP358"/>
  <c r="Q358"/>
  <c r="E358"/>
  <c r="R358" s="1"/>
  <c r="O356"/>
  <c r="Y356" s="1"/>
  <c r="W356"/>
  <c r="AX357"/>
  <c r="AZ357" s="1"/>
  <c r="C360"/>
  <c r="B359"/>
  <c r="AS359"/>
  <c r="D359"/>
  <c r="A359"/>
  <c r="F357"/>
  <c r="BD357"/>
  <c r="BF357" s="1"/>
  <c r="BA357"/>
  <c r="K357"/>
  <c r="AW357"/>
  <c r="AY357" s="1"/>
  <c r="AT357"/>
  <c r="AG163" l="1"/>
  <c r="AF163"/>
  <c r="P164"/>
  <c r="AR357"/>
  <c r="F358"/>
  <c r="T358" s="1"/>
  <c r="S359" s="1"/>
  <c r="A360"/>
  <c r="D360"/>
  <c r="F359" s="1"/>
  <c r="T359" s="1"/>
  <c r="C361"/>
  <c r="AS360"/>
  <c r="B360"/>
  <c r="AO359"/>
  <c r="BC359"/>
  <c r="AU359"/>
  <c r="AV359"/>
  <c r="AN359"/>
  <c r="AP359"/>
  <c r="Q359"/>
  <c r="I359"/>
  <c r="BB359"/>
  <c r="E359"/>
  <c r="BE358"/>
  <c r="BG358" s="1"/>
  <c r="O357"/>
  <c r="Y357" s="1"/>
  <c r="W357"/>
  <c r="T357"/>
  <c r="S358" s="1"/>
  <c r="H357"/>
  <c r="BD358"/>
  <c r="BF358" s="1"/>
  <c r="BA358"/>
  <c r="AX358"/>
  <c r="AZ358" s="1"/>
  <c r="AW358"/>
  <c r="AY358" s="1"/>
  <c r="K358"/>
  <c r="AT358"/>
  <c r="U164" l="1"/>
  <c r="AB164" s="1"/>
  <c r="H358"/>
  <c r="S360"/>
  <c r="AR358"/>
  <c r="AW359"/>
  <c r="AY359" s="1"/>
  <c r="K359"/>
  <c r="AT359"/>
  <c r="AP360"/>
  <c r="AN360"/>
  <c r="BC360"/>
  <c r="I360"/>
  <c r="AU360"/>
  <c r="AO360"/>
  <c r="BB360"/>
  <c r="Q360"/>
  <c r="AV360"/>
  <c r="E360"/>
  <c r="R360" s="1"/>
  <c r="AX359"/>
  <c r="AZ359" s="1"/>
  <c r="H359"/>
  <c r="BE359"/>
  <c r="BG359" s="1"/>
  <c r="O358"/>
  <c r="Y358" s="1"/>
  <c r="W358"/>
  <c r="BD359"/>
  <c r="BF359" s="1"/>
  <c r="BA359"/>
  <c r="C362"/>
  <c r="A361"/>
  <c r="B361"/>
  <c r="AS361"/>
  <c r="D361"/>
  <c r="R359"/>
  <c r="AA164" l="1"/>
  <c r="Z164"/>
  <c r="AH164"/>
  <c r="F360"/>
  <c r="T360" s="1"/>
  <c r="S361" s="1"/>
  <c r="D362"/>
  <c r="A362"/>
  <c r="C363"/>
  <c r="B362"/>
  <c r="AS362"/>
  <c r="AR359"/>
  <c r="BC361"/>
  <c r="AN361"/>
  <c r="AU361"/>
  <c r="Q361"/>
  <c r="AV361"/>
  <c r="I361"/>
  <c r="AO361"/>
  <c r="BB361"/>
  <c r="AP361"/>
  <c r="E361"/>
  <c r="R361" s="1"/>
  <c r="AX360"/>
  <c r="AZ360" s="1"/>
  <c r="AT360"/>
  <c r="AW360"/>
  <c r="AY360" s="1"/>
  <c r="K360"/>
  <c r="O359"/>
  <c r="Y359" s="1"/>
  <c r="W359"/>
  <c r="BD360"/>
  <c r="BF360" s="1"/>
  <c r="BA360"/>
  <c r="BE360"/>
  <c r="BG360" s="1"/>
  <c r="AG164" l="1"/>
  <c r="P165"/>
  <c r="AF164"/>
  <c r="H360"/>
  <c r="F361"/>
  <c r="T361" s="1"/>
  <c r="S362" s="1"/>
  <c r="O360"/>
  <c r="Y360" s="1"/>
  <c r="W360"/>
  <c r="A363"/>
  <c r="C364"/>
  <c r="D363"/>
  <c r="B363"/>
  <c r="AS363"/>
  <c r="K361"/>
  <c r="AW361"/>
  <c r="AY361" s="1"/>
  <c r="AT361"/>
  <c r="Q362"/>
  <c r="AP362"/>
  <c r="BB362"/>
  <c r="AO362"/>
  <c r="AN362"/>
  <c r="I362"/>
  <c r="AV362"/>
  <c r="AU362"/>
  <c r="BC362"/>
  <c r="E362"/>
  <c r="R362" s="1"/>
  <c r="BE361"/>
  <c r="BG361" s="1"/>
  <c r="BD361"/>
  <c r="BF361" s="1"/>
  <c r="BA361"/>
  <c r="AX361"/>
  <c r="AZ361" s="1"/>
  <c r="AR360"/>
  <c r="H361" l="1"/>
  <c r="F362"/>
  <c r="T362" s="1"/>
  <c r="S363" s="1"/>
  <c r="AB165"/>
  <c r="U165"/>
  <c r="AX362"/>
  <c r="AZ362" s="1"/>
  <c r="BD362"/>
  <c r="BF362" s="1"/>
  <c r="BA362"/>
  <c r="I363"/>
  <c r="AU363"/>
  <c r="AO363"/>
  <c r="AV363"/>
  <c r="Q363"/>
  <c r="AP363"/>
  <c r="AN363"/>
  <c r="BB363"/>
  <c r="BC363"/>
  <c r="E363"/>
  <c r="R363" s="1"/>
  <c r="AT362"/>
  <c r="AW362"/>
  <c r="AY362" s="1"/>
  <c r="K362"/>
  <c r="AS364"/>
  <c r="C365"/>
  <c r="D364"/>
  <c r="A364"/>
  <c r="B364"/>
  <c r="BE362"/>
  <c r="BG362" s="1"/>
  <c r="O361"/>
  <c r="Y361" s="1"/>
  <c r="W361"/>
  <c r="AR361"/>
  <c r="H362" l="1"/>
  <c r="AH165"/>
  <c r="AA165"/>
  <c r="Z165"/>
  <c r="G352"/>
  <c r="G353" s="1"/>
  <c r="G354" s="1"/>
  <c r="G355" s="1"/>
  <c r="G356" s="1"/>
  <c r="G357" s="1"/>
  <c r="G358" s="1"/>
  <c r="G359" s="1"/>
  <c r="G360" s="1"/>
  <c r="G361" s="1"/>
  <c r="G362" s="1"/>
  <c r="G363" s="1"/>
  <c r="O362"/>
  <c r="Y362" s="1"/>
  <c r="W362"/>
  <c r="AW363"/>
  <c r="AY363" s="1"/>
  <c r="K363"/>
  <c r="AT363"/>
  <c r="F363"/>
  <c r="AR362"/>
  <c r="AS365"/>
  <c r="B365"/>
  <c r="C366"/>
  <c r="A365"/>
  <c r="D365"/>
  <c r="BD363"/>
  <c r="BF363" s="1"/>
  <c r="BA363"/>
  <c r="AX363"/>
  <c r="AZ363" s="1"/>
  <c r="BB364"/>
  <c r="I364"/>
  <c r="AO364"/>
  <c r="BC364"/>
  <c r="AU364"/>
  <c r="AN364"/>
  <c r="AV364"/>
  <c r="Q364"/>
  <c r="AP364"/>
  <c r="E364"/>
  <c r="R364" s="1"/>
  <c r="BE363"/>
  <c r="BG363" s="1"/>
  <c r="P166" l="1"/>
  <c r="AF165"/>
  <c r="AG165"/>
  <c r="F364"/>
  <c r="H364" s="1"/>
  <c r="AR363"/>
  <c r="AX364"/>
  <c r="AZ364" s="1"/>
  <c r="BC365"/>
  <c r="AN365"/>
  <c r="I365"/>
  <c r="Q365"/>
  <c r="BB365"/>
  <c r="AP365"/>
  <c r="AO365"/>
  <c r="AU365"/>
  <c r="AV365"/>
  <c r="E365"/>
  <c r="R365" s="1"/>
  <c r="T363"/>
  <c r="H363"/>
  <c r="BE364"/>
  <c r="BG364" s="1"/>
  <c r="BA364"/>
  <c r="BD364"/>
  <c r="BF364" s="1"/>
  <c r="O363"/>
  <c r="Y363" s="1"/>
  <c r="W363"/>
  <c r="V363"/>
  <c r="AW364"/>
  <c r="AY364" s="1"/>
  <c r="K364"/>
  <c r="AT364"/>
  <c r="D366"/>
  <c r="A366"/>
  <c r="C367"/>
  <c r="AS366"/>
  <c r="B366"/>
  <c r="T364" l="1"/>
  <c r="S365" s="1"/>
  <c r="AB166"/>
  <c r="U166"/>
  <c r="BE365"/>
  <c r="BG365" s="1"/>
  <c r="BA365"/>
  <c r="BD365"/>
  <c r="BF365" s="1"/>
  <c r="AP366"/>
  <c r="AO366"/>
  <c r="AU366"/>
  <c r="BC366"/>
  <c r="AV366"/>
  <c r="AN366"/>
  <c r="BB366"/>
  <c r="I366"/>
  <c r="Q366"/>
  <c r="E366"/>
  <c r="R366" s="1"/>
  <c r="S364"/>
  <c r="AX365"/>
  <c r="AZ365" s="1"/>
  <c r="O364"/>
  <c r="W364"/>
  <c r="AS367"/>
  <c r="B367"/>
  <c r="C368"/>
  <c r="D367"/>
  <c r="A367"/>
  <c r="K365"/>
  <c r="AW365"/>
  <c r="AY365" s="1"/>
  <c r="AT365"/>
  <c r="AR364"/>
  <c r="F365"/>
  <c r="AH166" l="1"/>
  <c r="Z166"/>
  <c r="AA166"/>
  <c r="O365"/>
  <c r="W365"/>
  <c r="A368"/>
  <c r="C369"/>
  <c r="D368"/>
  <c r="B368"/>
  <c r="F367" s="1"/>
  <c r="T367" s="1"/>
  <c r="AS368"/>
  <c r="BA366"/>
  <c r="BD366"/>
  <c r="BF366" s="1"/>
  <c r="K366"/>
  <c r="AW366"/>
  <c r="AY366" s="1"/>
  <c r="AT366"/>
  <c r="BB367"/>
  <c r="AO367"/>
  <c r="AV367"/>
  <c r="AP367"/>
  <c r="BC367"/>
  <c r="I367"/>
  <c r="AN367"/>
  <c r="AU367"/>
  <c r="Q367"/>
  <c r="E367"/>
  <c r="BE366"/>
  <c r="BG366" s="1"/>
  <c r="AR365"/>
  <c r="T365"/>
  <c r="S366" s="1"/>
  <c r="H365"/>
  <c r="AX366"/>
  <c r="AZ366" s="1"/>
  <c r="F366"/>
  <c r="Y364"/>
  <c r="Y365" s="1"/>
  <c r="AG166" l="1"/>
  <c r="AF166"/>
  <c r="P167"/>
  <c r="AR366"/>
  <c r="AX367"/>
  <c r="AZ367" s="1"/>
  <c r="O366"/>
  <c r="W366"/>
  <c r="I368"/>
  <c r="AO368"/>
  <c r="BB368"/>
  <c r="AU368"/>
  <c r="AP368"/>
  <c r="AN368"/>
  <c r="Q368"/>
  <c r="AV368"/>
  <c r="BC368"/>
  <c r="E368"/>
  <c r="K367"/>
  <c r="AW367"/>
  <c r="AY367" s="1"/>
  <c r="AT367"/>
  <c r="A369"/>
  <c r="B369"/>
  <c r="C370"/>
  <c r="D369"/>
  <c r="AS369"/>
  <c r="S368"/>
  <c r="H367"/>
  <c r="BE367"/>
  <c r="BG367" s="1"/>
  <c r="BA367"/>
  <c r="BD367"/>
  <c r="BF367" s="1"/>
  <c r="T366"/>
  <c r="S367" s="1"/>
  <c r="H366"/>
  <c r="Y366"/>
  <c r="R367"/>
  <c r="U167" l="1"/>
  <c r="AB167"/>
  <c r="AS370"/>
  <c r="C371"/>
  <c r="A370"/>
  <c r="D370"/>
  <c r="B370"/>
  <c r="AU369"/>
  <c r="BC369"/>
  <c r="AO369"/>
  <c r="AV369"/>
  <c r="I369"/>
  <c r="AN369"/>
  <c r="BB369"/>
  <c r="AP369"/>
  <c r="Q369"/>
  <c r="E369"/>
  <c r="R369" s="1"/>
  <c r="O367"/>
  <c r="Y367" s="1"/>
  <c r="W367"/>
  <c r="BD368"/>
  <c r="BF368" s="1"/>
  <c r="BA368"/>
  <c r="F369"/>
  <c r="T369" s="1"/>
  <c r="AX368"/>
  <c r="AZ368" s="1"/>
  <c r="AW368"/>
  <c r="AY368" s="1"/>
  <c r="K368"/>
  <c r="AT368"/>
  <c r="F368"/>
  <c r="AR367"/>
  <c r="BE368"/>
  <c r="BG368" s="1"/>
  <c r="R368"/>
  <c r="AA167" l="1"/>
  <c r="Z167"/>
  <c r="AH167"/>
  <c r="AR368"/>
  <c r="AW369"/>
  <c r="AY369" s="1"/>
  <c r="AT369"/>
  <c r="K369"/>
  <c r="T368"/>
  <c r="S369" s="1"/>
  <c r="H368"/>
  <c r="BE369"/>
  <c r="BG369" s="1"/>
  <c r="BB370"/>
  <c r="I370"/>
  <c r="BC370"/>
  <c r="Q370"/>
  <c r="AV370"/>
  <c r="AN370"/>
  <c r="AP370"/>
  <c r="AU370"/>
  <c r="AO370"/>
  <c r="E370"/>
  <c r="BA369"/>
  <c r="BD369"/>
  <c r="BF369" s="1"/>
  <c r="S370"/>
  <c r="O368"/>
  <c r="Y368" s="1"/>
  <c r="W368"/>
  <c r="AX369"/>
  <c r="AZ369"/>
  <c r="C372"/>
  <c r="B371"/>
  <c r="AS371"/>
  <c r="A371"/>
  <c r="D371"/>
  <c r="H369"/>
  <c r="AG167" l="1"/>
  <c r="AA168"/>
  <c r="AG168" s="1"/>
  <c r="P168"/>
  <c r="U168" s="1"/>
  <c r="AB168" s="1"/>
  <c r="AF167"/>
  <c r="Z168"/>
  <c r="AR369"/>
  <c r="AO371"/>
  <c r="AU371"/>
  <c r="I371"/>
  <c r="BC371"/>
  <c r="AP371"/>
  <c r="AV371"/>
  <c r="Q371"/>
  <c r="AN371"/>
  <c r="BB371"/>
  <c r="E371"/>
  <c r="R371" s="1"/>
  <c r="C373"/>
  <c r="B372"/>
  <c r="AS372"/>
  <c r="A372"/>
  <c r="D372"/>
  <c r="AX370"/>
  <c r="AZ370" s="1"/>
  <c r="BF370"/>
  <c r="BD370"/>
  <c r="BA370"/>
  <c r="F370"/>
  <c r="BE370"/>
  <c r="BG370" s="1"/>
  <c r="R370"/>
  <c r="K370"/>
  <c r="AW370"/>
  <c r="AY370" s="1"/>
  <c r="AR370" s="1"/>
  <c r="AT370"/>
  <c r="O369"/>
  <c r="Y369" s="1"/>
  <c r="W369"/>
  <c r="AF168" l="1"/>
  <c r="P169"/>
  <c r="U169" s="1"/>
  <c r="Z169" s="1"/>
  <c r="AH168"/>
  <c r="T370"/>
  <c r="S371" s="1"/>
  <c r="H370"/>
  <c r="AX371"/>
  <c r="AZ371" s="1"/>
  <c r="AW371"/>
  <c r="AT371"/>
  <c r="K371"/>
  <c r="AY371"/>
  <c r="O370"/>
  <c r="Y370" s="1"/>
  <c r="W370"/>
  <c r="Q372"/>
  <c r="AP372"/>
  <c r="AN372"/>
  <c r="AO372"/>
  <c r="I372"/>
  <c r="AU372"/>
  <c r="AV372"/>
  <c r="BB372"/>
  <c r="BC372"/>
  <c r="E372"/>
  <c r="C374"/>
  <c r="D373"/>
  <c r="AS373"/>
  <c r="B373"/>
  <c r="A373"/>
  <c r="BG371"/>
  <c r="BE371"/>
  <c r="BD371"/>
  <c r="BF371" s="1"/>
  <c r="BA371"/>
  <c r="F371"/>
  <c r="AF169" l="1"/>
  <c r="AA169"/>
  <c r="AG169" s="1"/>
  <c r="F372"/>
  <c r="T372" s="1"/>
  <c r="S373" s="1"/>
  <c r="AB169"/>
  <c r="AH169" s="1"/>
  <c r="BE372"/>
  <c r="BG372" s="1"/>
  <c r="AW372"/>
  <c r="AY372" s="1"/>
  <c r="AT372"/>
  <c r="K372"/>
  <c r="O371"/>
  <c r="Y371" s="1"/>
  <c r="W371"/>
  <c r="T371"/>
  <c r="S372" s="1"/>
  <c r="H371"/>
  <c r="AX372"/>
  <c r="AZ372" s="1"/>
  <c r="R372"/>
  <c r="AR371"/>
  <c r="AO373"/>
  <c r="I373"/>
  <c r="AP373"/>
  <c r="Q373"/>
  <c r="BC373"/>
  <c r="AU373"/>
  <c r="AN373"/>
  <c r="BB373"/>
  <c r="AV373"/>
  <c r="E373"/>
  <c r="R373" s="1"/>
  <c r="A374"/>
  <c r="AS374"/>
  <c r="C375"/>
  <c r="B374"/>
  <c r="D374"/>
  <c r="BA372"/>
  <c r="BD372"/>
  <c r="BF372" s="1"/>
  <c r="H372" l="1"/>
  <c r="P170"/>
  <c r="A375"/>
  <c r="AS375" s="1"/>
  <c r="B375"/>
  <c r="D375"/>
  <c r="C376"/>
  <c r="AX373"/>
  <c r="AZ373" s="1"/>
  <c r="AW373"/>
  <c r="AY373" s="1"/>
  <c r="K373"/>
  <c r="AT373"/>
  <c r="AN374"/>
  <c r="Q374"/>
  <c r="BC374"/>
  <c r="AV374"/>
  <c r="BB374"/>
  <c r="I374"/>
  <c r="AO374"/>
  <c r="AU374"/>
  <c r="AP374"/>
  <c r="E374"/>
  <c r="R374" s="1"/>
  <c r="AR372"/>
  <c r="F373"/>
  <c r="BG373"/>
  <c r="BE373"/>
  <c r="BD373"/>
  <c r="BF373" s="1"/>
  <c r="BA373"/>
  <c r="O372"/>
  <c r="Y372" s="1"/>
  <c r="W372"/>
  <c r="U170" l="1"/>
  <c r="AB170" s="1"/>
  <c r="F374"/>
  <c r="T374" s="1"/>
  <c r="S375" s="1"/>
  <c r="AR373"/>
  <c r="BD374"/>
  <c r="BF374" s="1"/>
  <c r="BA374"/>
  <c r="BE374"/>
  <c r="BG374" s="1"/>
  <c r="T373"/>
  <c r="S374" s="1"/>
  <c r="H373"/>
  <c r="AW374"/>
  <c r="AY374" s="1"/>
  <c r="K374"/>
  <c r="AT374"/>
  <c r="AX374"/>
  <c r="AZ374" s="1"/>
  <c r="C377"/>
  <c r="AS376"/>
  <c r="A376"/>
  <c r="B376"/>
  <c r="D376"/>
  <c r="AO375"/>
  <c r="BC375"/>
  <c r="AV375"/>
  <c r="AP375"/>
  <c r="BB375"/>
  <c r="I375"/>
  <c r="Q375"/>
  <c r="AU375"/>
  <c r="AN375"/>
  <c r="E375"/>
  <c r="R375" s="1"/>
  <c r="O373"/>
  <c r="Y373" s="1"/>
  <c r="W373"/>
  <c r="AA170" l="1"/>
  <c r="AH170"/>
  <c r="N171"/>
  <c r="Z170"/>
  <c r="H374"/>
  <c r="F375"/>
  <c r="T375" s="1"/>
  <c r="AR374"/>
  <c r="O374"/>
  <c r="Y374" s="1"/>
  <c r="W374"/>
  <c r="AW375"/>
  <c r="AY375" s="1"/>
  <c r="K375"/>
  <c r="AT375"/>
  <c r="AS377"/>
  <c r="A377"/>
  <c r="B377"/>
  <c r="C378"/>
  <c r="D377"/>
  <c r="F376" s="1"/>
  <c r="S376"/>
  <c r="AX375"/>
  <c r="AZ375" s="1"/>
  <c r="G364"/>
  <c r="G365" s="1"/>
  <c r="G366" s="1"/>
  <c r="G367" s="1"/>
  <c r="G368" s="1"/>
  <c r="G369" s="1"/>
  <c r="G370" s="1"/>
  <c r="G371" s="1"/>
  <c r="G372" s="1"/>
  <c r="G373" s="1"/>
  <c r="G374" s="1"/>
  <c r="G375" s="1"/>
  <c r="BD375"/>
  <c r="BF375" s="1"/>
  <c r="BA375"/>
  <c r="BE375"/>
  <c r="BG375" s="1"/>
  <c r="Q376"/>
  <c r="AU376"/>
  <c r="AP376"/>
  <c r="AO376"/>
  <c r="BC376"/>
  <c r="AN376"/>
  <c r="AV376"/>
  <c r="BB376"/>
  <c r="I376"/>
  <c r="E376"/>
  <c r="R376" s="1"/>
  <c r="AF170" l="1"/>
  <c r="L171"/>
  <c r="P171"/>
  <c r="M171"/>
  <c r="AG170"/>
  <c r="H375"/>
  <c r="T376"/>
  <c r="S377" s="1"/>
  <c r="H376"/>
  <c r="C379"/>
  <c r="D378"/>
  <c r="B378"/>
  <c r="AS378"/>
  <c r="A378"/>
  <c r="O375"/>
  <c r="Y375" s="1"/>
  <c r="W375"/>
  <c r="V375"/>
  <c r="BD376"/>
  <c r="BF376" s="1"/>
  <c r="BA376"/>
  <c r="I377"/>
  <c r="AO377"/>
  <c r="BC377"/>
  <c r="BB377"/>
  <c r="AV377"/>
  <c r="AN377"/>
  <c r="AU377"/>
  <c r="AP377"/>
  <c r="Q377"/>
  <c r="E377"/>
  <c r="R377" s="1"/>
  <c r="AW376"/>
  <c r="AY376" s="1"/>
  <c r="AT376"/>
  <c r="K376"/>
  <c r="AX376"/>
  <c r="AZ376" s="1"/>
  <c r="BE376"/>
  <c r="BG376" s="1"/>
  <c r="AR375"/>
  <c r="F377" l="1"/>
  <c r="T377" s="1"/>
  <c r="S378" s="1"/>
  <c r="AB171"/>
  <c r="X171"/>
  <c r="U171"/>
  <c r="AR376"/>
  <c r="O376"/>
  <c r="Y376" s="1"/>
  <c r="W376"/>
  <c r="AX377"/>
  <c r="AZ377" s="1"/>
  <c r="AU378"/>
  <c r="BC378"/>
  <c r="AN378"/>
  <c r="AP378"/>
  <c r="Q378"/>
  <c r="BB378"/>
  <c r="AV378"/>
  <c r="I378"/>
  <c r="AO378"/>
  <c r="E378"/>
  <c r="R378" s="1"/>
  <c r="AW377"/>
  <c r="AY377" s="1"/>
  <c r="AR377" s="1"/>
  <c r="AT377"/>
  <c r="K377"/>
  <c r="BE377"/>
  <c r="BG377" s="1"/>
  <c r="BF377"/>
  <c r="BD377"/>
  <c r="BA377"/>
  <c r="AS379"/>
  <c r="B379"/>
  <c r="C380"/>
  <c r="A379"/>
  <c r="D379"/>
  <c r="H377"/>
  <c r="AH171" l="1"/>
  <c r="Z171"/>
  <c r="AA171"/>
  <c r="F378"/>
  <c r="T378" s="1"/>
  <c r="S379" s="1"/>
  <c r="BA378"/>
  <c r="BD378"/>
  <c r="BF378" s="1"/>
  <c r="AX378"/>
  <c r="AZ378" s="1"/>
  <c r="BB379"/>
  <c r="AU379"/>
  <c r="I379"/>
  <c r="AP379"/>
  <c r="AV379"/>
  <c r="BC379"/>
  <c r="Q379"/>
  <c r="AO379"/>
  <c r="AN379"/>
  <c r="E379"/>
  <c r="O377"/>
  <c r="Y377" s="1"/>
  <c r="W377"/>
  <c r="BG378"/>
  <c r="BE378"/>
  <c r="B380"/>
  <c r="R379"/>
  <c r="AS380"/>
  <c r="C381"/>
  <c r="D380"/>
  <c r="A380"/>
  <c r="K378"/>
  <c r="AW378"/>
  <c r="AY378" s="1"/>
  <c r="AT378"/>
  <c r="P172" l="1"/>
  <c r="AF171"/>
  <c r="AG171"/>
  <c r="H378"/>
  <c r="AR378"/>
  <c r="AX379"/>
  <c r="AZ379" s="1"/>
  <c r="BD379"/>
  <c r="BF379" s="1"/>
  <c r="BA379"/>
  <c r="F379"/>
  <c r="O378"/>
  <c r="Y378" s="1"/>
  <c r="W378"/>
  <c r="AO380"/>
  <c r="BC380"/>
  <c r="AU380"/>
  <c r="BB380"/>
  <c r="AN380"/>
  <c r="AV380"/>
  <c r="Q380"/>
  <c r="AP380"/>
  <c r="I380"/>
  <c r="E380"/>
  <c r="BE379"/>
  <c r="BG379" s="1"/>
  <c r="AT379"/>
  <c r="K379"/>
  <c r="AW379"/>
  <c r="AY379" s="1"/>
  <c r="AS381"/>
  <c r="B381"/>
  <c r="C382"/>
  <c r="A381"/>
  <c r="D381"/>
  <c r="AB172" l="1"/>
  <c r="U172"/>
  <c r="Z172" s="1"/>
  <c r="AF172" s="1"/>
  <c r="F380"/>
  <c r="H380" s="1"/>
  <c r="C383"/>
  <c r="B382"/>
  <c r="AS382"/>
  <c r="A382"/>
  <c r="D382"/>
  <c r="BD380"/>
  <c r="BF380" s="1"/>
  <c r="BA380"/>
  <c r="T379"/>
  <c r="S380" s="1"/>
  <c r="H379"/>
  <c r="O379"/>
  <c r="Y379" s="1"/>
  <c r="W379"/>
  <c r="AP381"/>
  <c r="BC381"/>
  <c r="Q381"/>
  <c r="I381"/>
  <c r="AV381"/>
  <c r="AU381"/>
  <c r="AN381"/>
  <c r="AO381"/>
  <c r="BB381"/>
  <c r="E381"/>
  <c r="AX380"/>
  <c r="AZ380" s="1"/>
  <c r="BE380"/>
  <c r="BG380" s="1"/>
  <c r="AR379"/>
  <c r="AT380"/>
  <c r="K380"/>
  <c r="AW380"/>
  <c r="AY380" s="1"/>
  <c r="R380"/>
  <c r="AA172" l="1"/>
  <c r="AG172" s="1"/>
  <c r="AH172"/>
  <c r="F381"/>
  <c r="T381" s="1"/>
  <c r="AR380"/>
  <c r="T380"/>
  <c r="S381" s="1"/>
  <c r="AT381"/>
  <c r="AW381"/>
  <c r="AY381" s="1"/>
  <c r="K381"/>
  <c r="BE381"/>
  <c r="BG381" s="1"/>
  <c r="AS383"/>
  <c r="D383"/>
  <c r="C384"/>
  <c r="B383"/>
  <c r="A383"/>
  <c r="BA381"/>
  <c r="BD381"/>
  <c r="BF381" s="1"/>
  <c r="AX381"/>
  <c r="AZ381" s="1"/>
  <c r="BB382"/>
  <c r="AU382"/>
  <c r="AO382"/>
  <c r="AN382"/>
  <c r="I382"/>
  <c r="Q382"/>
  <c r="AP382"/>
  <c r="AV382"/>
  <c r="BC382"/>
  <c r="E382"/>
  <c r="R381"/>
  <c r="O380"/>
  <c r="Y380" s="1"/>
  <c r="W380"/>
  <c r="H381" l="1"/>
  <c r="P173"/>
  <c r="U173" s="1"/>
  <c r="Z173" s="1"/>
  <c r="AF173" s="1"/>
  <c r="S382"/>
  <c r="AB173"/>
  <c r="AA173"/>
  <c r="AR381"/>
  <c r="AW382"/>
  <c r="AY382" s="1"/>
  <c r="AT382"/>
  <c r="K382"/>
  <c r="BC383"/>
  <c r="Q383"/>
  <c r="AU383"/>
  <c r="AN383"/>
  <c r="AV383"/>
  <c r="AO383"/>
  <c r="I383"/>
  <c r="AP383"/>
  <c r="BB383"/>
  <c r="E383"/>
  <c r="R383" s="1"/>
  <c r="O381"/>
  <c r="Y381" s="1"/>
  <c r="W381"/>
  <c r="R382"/>
  <c r="AX382"/>
  <c r="AZ382" s="1"/>
  <c r="BE382"/>
  <c r="BG382" s="1"/>
  <c r="BD382"/>
  <c r="BF382" s="1"/>
  <c r="BA382"/>
  <c r="D384"/>
  <c r="A384"/>
  <c r="C385"/>
  <c r="AS384"/>
  <c r="B384"/>
  <c r="F382"/>
  <c r="AG173" l="1"/>
  <c r="P174"/>
  <c r="AH173"/>
  <c r="F383"/>
  <c r="T383" s="1"/>
  <c r="AR382"/>
  <c r="T382"/>
  <c r="S383" s="1"/>
  <c r="H382"/>
  <c r="BD383"/>
  <c r="BF383" s="1"/>
  <c r="BA383"/>
  <c r="AX383"/>
  <c r="AZ383" s="1"/>
  <c r="H383"/>
  <c r="AW383"/>
  <c r="AY383" s="1"/>
  <c r="AT383"/>
  <c r="K383"/>
  <c r="O382"/>
  <c r="Y382" s="1"/>
  <c r="W382"/>
  <c r="BE383"/>
  <c r="BG383" s="1"/>
  <c r="AV384"/>
  <c r="AP384"/>
  <c r="AN384"/>
  <c r="AU384"/>
  <c r="AO384"/>
  <c r="Q384"/>
  <c r="BB384"/>
  <c r="I384"/>
  <c r="BC384"/>
  <c r="E384"/>
  <c r="D385"/>
  <c r="B385"/>
  <c r="A385"/>
  <c r="AS385"/>
  <c r="C386"/>
  <c r="U174" l="1"/>
  <c r="Z174" s="1"/>
  <c r="AR383"/>
  <c r="B386"/>
  <c r="A386"/>
  <c r="D386"/>
  <c r="C387"/>
  <c r="AS386"/>
  <c r="BA384"/>
  <c r="BD384"/>
  <c r="BF384" s="1"/>
  <c r="AW384"/>
  <c r="AY384" s="1"/>
  <c r="K384"/>
  <c r="AT384"/>
  <c r="BB385"/>
  <c r="AU385"/>
  <c r="AN385"/>
  <c r="Q385"/>
  <c r="AP385"/>
  <c r="I385"/>
  <c r="BC385"/>
  <c r="AV385"/>
  <c r="AO385"/>
  <c r="E385"/>
  <c r="BG384"/>
  <c r="BE384"/>
  <c r="AX384"/>
  <c r="AZ384" s="1"/>
  <c r="O383"/>
  <c r="Y383" s="1"/>
  <c r="W383"/>
  <c r="R384"/>
  <c r="F384"/>
  <c r="S384"/>
  <c r="AF174" l="1"/>
  <c r="AA174"/>
  <c r="AB174"/>
  <c r="AR384"/>
  <c r="K385"/>
  <c r="AT385"/>
  <c r="AW385"/>
  <c r="AY385" s="1"/>
  <c r="BE385"/>
  <c r="BG385" s="1"/>
  <c r="O384"/>
  <c r="Y384" s="1"/>
  <c r="W384"/>
  <c r="I386"/>
  <c r="Q386"/>
  <c r="AV386"/>
  <c r="AP386"/>
  <c r="AO386"/>
  <c r="AU386"/>
  <c r="BB386"/>
  <c r="BC386"/>
  <c r="AN386"/>
  <c r="E386"/>
  <c r="T384"/>
  <c r="S385" s="1"/>
  <c r="H384"/>
  <c r="AX385"/>
  <c r="AZ385" s="1"/>
  <c r="BD385"/>
  <c r="BF385" s="1"/>
  <c r="BA385"/>
  <c r="R386"/>
  <c r="C388"/>
  <c r="D387"/>
  <c r="A387"/>
  <c r="B387"/>
  <c r="F385"/>
  <c r="R385"/>
  <c r="P175" l="1"/>
  <c r="U175" s="1"/>
  <c r="AB175" s="1"/>
  <c r="AH174"/>
  <c r="AG174"/>
  <c r="AU387"/>
  <c r="AP387"/>
  <c r="AN387"/>
  <c r="BB387"/>
  <c r="BC387"/>
  <c r="AV387"/>
  <c r="Q387"/>
  <c r="I387"/>
  <c r="AO387"/>
  <c r="E387"/>
  <c r="K386"/>
  <c r="AW386"/>
  <c r="AY386" s="1"/>
  <c r="AT386"/>
  <c r="O385"/>
  <c r="Y385" s="1"/>
  <c r="W385"/>
  <c r="AS387"/>
  <c r="BA386"/>
  <c r="BD386"/>
  <c r="BF386" s="1"/>
  <c r="AX386"/>
  <c r="AZ386" s="1"/>
  <c r="T385"/>
  <c r="S386" s="1"/>
  <c r="H385"/>
  <c r="C389"/>
  <c r="B388"/>
  <c r="AS388"/>
  <c r="A388"/>
  <c r="D388"/>
  <c r="BE386"/>
  <c r="BG386" s="1"/>
  <c r="F386"/>
  <c r="AR385"/>
  <c r="AA175" l="1"/>
  <c r="AG175" s="1"/>
  <c r="Z175"/>
  <c r="AF175" s="1"/>
  <c r="AH175"/>
  <c r="AR386"/>
  <c r="AX387"/>
  <c r="AZ387" s="1"/>
  <c r="G376"/>
  <c r="G377" s="1"/>
  <c r="G378" s="1"/>
  <c r="G379" s="1"/>
  <c r="G380" s="1"/>
  <c r="G381" s="1"/>
  <c r="G382" s="1"/>
  <c r="G383" s="1"/>
  <c r="G384" s="1"/>
  <c r="G385" s="1"/>
  <c r="G386" s="1"/>
  <c r="G387" s="1"/>
  <c r="O386"/>
  <c r="Y386" s="1"/>
  <c r="W386"/>
  <c r="BA387"/>
  <c r="BD387"/>
  <c r="BF387" s="1"/>
  <c r="R387"/>
  <c r="AU388"/>
  <c r="Q388"/>
  <c r="AN388"/>
  <c r="AV388"/>
  <c r="AP388"/>
  <c r="BB388"/>
  <c r="AO388"/>
  <c r="I388"/>
  <c r="BC388"/>
  <c r="E388"/>
  <c r="R388" s="1"/>
  <c r="A389"/>
  <c r="AS389"/>
  <c r="C390"/>
  <c r="D389"/>
  <c r="B389"/>
  <c r="T386"/>
  <c r="S387" s="1"/>
  <c r="H386"/>
  <c r="BE387"/>
  <c r="BG387" s="1"/>
  <c r="AT387"/>
  <c r="AW387"/>
  <c r="AY387" s="1"/>
  <c r="K387"/>
  <c r="F387"/>
  <c r="P176" l="1"/>
  <c r="U176" s="1"/>
  <c r="AR387"/>
  <c r="O387"/>
  <c r="Y387" s="1"/>
  <c r="W387"/>
  <c r="V387"/>
  <c r="AV389"/>
  <c r="BC389"/>
  <c r="I389"/>
  <c r="AU389"/>
  <c r="AO389"/>
  <c r="AN389"/>
  <c r="Q389"/>
  <c r="BB389"/>
  <c r="AP389"/>
  <c r="E389"/>
  <c r="AX388"/>
  <c r="AZ388" s="1"/>
  <c r="T387"/>
  <c r="H387"/>
  <c r="AS390"/>
  <c r="D390"/>
  <c r="A390"/>
  <c r="B390"/>
  <c r="R389"/>
  <c r="C391"/>
  <c r="BD388"/>
  <c r="BF388" s="1"/>
  <c r="BA388"/>
  <c r="F388"/>
  <c r="BE388"/>
  <c r="BG388" s="1"/>
  <c r="AW388"/>
  <c r="AY388" s="1"/>
  <c r="K388"/>
  <c r="AT388"/>
  <c r="AA176" l="1"/>
  <c r="AG176" s="1"/>
  <c r="AB176"/>
  <c r="Z176"/>
  <c r="AR388"/>
  <c r="AS391"/>
  <c r="B391"/>
  <c r="D391"/>
  <c r="A391"/>
  <c r="C392"/>
  <c r="O388"/>
  <c r="W388"/>
  <c r="I390"/>
  <c r="AU390"/>
  <c r="AO390"/>
  <c r="BB390"/>
  <c r="AV390"/>
  <c r="AN390"/>
  <c r="BC390"/>
  <c r="AP390"/>
  <c r="Q390"/>
  <c r="E390"/>
  <c r="R390" s="1"/>
  <c r="S388"/>
  <c r="AW389"/>
  <c r="AY389" s="1"/>
  <c r="K389"/>
  <c r="AT389"/>
  <c r="H390"/>
  <c r="F390"/>
  <c r="T390" s="1"/>
  <c r="AX389"/>
  <c r="AZ389" s="1"/>
  <c r="BD389"/>
  <c r="BF389" s="1"/>
  <c r="BA389"/>
  <c r="T388"/>
  <c r="S389" s="1"/>
  <c r="H388"/>
  <c r="BE389"/>
  <c r="BG389" s="1"/>
  <c r="Y388"/>
  <c r="F389"/>
  <c r="AH176" l="1"/>
  <c r="AF176"/>
  <c r="P177"/>
  <c r="AR389"/>
  <c r="Q391"/>
  <c r="I391"/>
  <c r="AP391"/>
  <c r="AU391"/>
  <c r="BB391"/>
  <c r="BC391"/>
  <c r="AN391"/>
  <c r="AV391"/>
  <c r="AO391"/>
  <c r="E391"/>
  <c r="R391" s="1"/>
  <c r="O389"/>
  <c r="Y389" s="1"/>
  <c r="W389"/>
  <c r="BD390"/>
  <c r="BF390" s="1"/>
  <c r="BA390"/>
  <c r="C393"/>
  <c r="A392"/>
  <c r="D392"/>
  <c r="B392"/>
  <c r="AS392"/>
  <c r="AX390"/>
  <c r="AZ390" s="1"/>
  <c r="S391"/>
  <c r="T389"/>
  <c r="S390" s="1"/>
  <c r="H389"/>
  <c r="BE390"/>
  <c r="BG390" s="1"/>
  <c r="K390"/>
  <c r="AT390"/>
  <c r="AW390"/>
  <c r="AY390" s="1"/>
  <c r="AA177" l="1"/>
  <c r="U177"/>
  <c r="AR390"/>
  <c r="O390"/>
  <c r="Y390" s="1"/>
  <c r="W390"/>
  <c r="AS393"/>
  <c r="B393"/>
  <c r="A393"/>
  <c r="D393"/>
  <c r="F392" s="1"/>
  <c r="T392" s="1"/>
  <c r="C394"/>
  <c r="BA391"/>
  <c r="BD391"/>
  <c r="BF391" s="1"/>
  <c r="AP392"/>
  <c r="AO392"/>
  <c r="AU392"/>
  <c r="AV392"/>
  <c r="BB392"/>
  <c r="I392"/>
  <c r="AN392"/>
  <c r="BC392"/>
  <c r="Q392"/>
  <c r="E392"/>
  <c r="BE391"/>
  <c r="BG391" s="1"/>
  <c r="AX391"/>
  <c r="AZ391" s="1"/>
  <c r="AT391"/>
  <c r="AW391"/>
  <c r="AY391" s="1"/>
  <c r="K391"/>
  <c r="F391"/>
  <c r="AG177" l="1"/>
  <c r="Z177"/>
  <c r="AB177"/>
  <c r="AR391"/>
  <c r="H392"/>
  <c r="O391"/>
  <c r="Y391" s="1"/>
  <c r="W391"/>
  <c r="AU393"/>
  <c r="I393"/>
  <c r="BC393"/>
  <c r="Q393"/>
  <c r="AO393"/>
  <c r="AP393"/>
  <c r="BB393"/>
  <c r="AN393"/>
  <c r="AV393"/>
  <c r="E393"/>
  <c r="R393" s="1"/>
  <c r="AT392"/>
  <c r="AY392"/>
  <c r="AW392"/>
  <c r="K392"/>
  <c r="BE392"/>
  <c r="BG392" s="1"/>
  <c r="AX392"/>
  <c r="AZ392" s="1"/>
  <c r="B394"/>
  <c r="AS394"/>
  <c r="D394"/>
  <c r="C395"/>
  <c r="A394"/>
  <c r="S393"/>
  <c r="T391"/>
  <c r="S392" s="1"/>
  <c r="H391"/>
  <c r="BA392"/>
  <c r="BF392"/>
  <c r="BD392"/>
  <c r="R392"/>
  <c r="AF177" l="1"/>
  <c r="P178"/>
  <c r="AH177"/>
  <c r="AX393"/>
  <c r="AZ393" s="1"/>
  <c r="AW393"/>
  <c r="AY393" s="1"/>
  <c r="AT393"/>
  <c r="K393"/>
  <c r="AR392"/>
  <c r="B395"/>
  <c r="D395"/>
  <c r="A395"/>
  <c r="C396"/>
  <c r="AS395"/>
  <c r="O392"/>
  <c r="Y392" s="1"/>
  <c r="W392"/>
  <c r="Q394"/>
  <c r="AP394"/>
  <c r="AO394"/>
  <c r="BB394"/>
  <c r="AV394"/>
  <c r="I394"/>
  <c r="AU394"/>
  <c r="BC394"/>
  <c r="AN394"/>
  <c r="E394"/>
  <c r="BD393"/>
  <c r="BF393" s="1"/>
  <c r="BA393"/>
  <c r="BE393"/>
  <c r="BG393" s="1"/>
  <c r="F393"/>
  <c r="AA178" l="1"/>
  <c r="U178"/>
  <c r="F394"/>
  <c r="H394" s="1"/>
  <c r="BE394"/>
  <c r="BG394" s="1"/>
  <c r="A396"/>
  <c r="AS396"/>
  <c r="B396"/>
  <c r="C397"/>
  <c r="D396"/>
  <c r="AW394"/>
  <c r="AY394" s="1"/>
  <c r="K394"/>
  <c r="AT394"/>
  <c r="T393"/>
  <c r="S394" s="1"/>
  <c r="H393"/>
  <c r="BD394"/>
  <c r="BF394" s="1"/>
  <c r="BA394"/>
  <c r="BC395"/>
  <c r="AN395"/>
  <c r="I395"/>
  <c r="AO395"/>
  <c r="AP395"/>
  <c r="AV395"/>
  <c r="AU395"/>
  <c r="BB395"/>
  <c r="Q395"/>
  <c r="E395"/>
  <c r="AX394"/>
  <c r="AZ394" s="1"/>
  <c r="AR393"/>
  <c r="O393"/>
  <c r="Y393" s="1"/>
  <c r="W393"/>
  <c r="R394"/>
  <c r="F395" l="1"/>
  <c r="T395" s="1"/>
  <c r="AG178"/>
  <c r="Z178"/>
  <c r="AB178"/>
  <c r="T394"/>
  <c r="S395" s="1"/>
  <c r="AR394"/>
  <c r="BE395"/>
  <c r="BG395" s="1"/>
  <c r="D397"/>
  <c r="A397"/>
  <c r="C398"/>
  <c r="B397"/>
  <c r="AS397"/>
  <c r="AP396"/>
  <c r="Q396"/>
  <c r="AU396"/>
  <c r="AN396"/>
  <c r="AO396"/>
  <c r="BB396"/>
  <c r="I396"/>
  <c r="AV396"/>
  <c r="BC396"/>
  <c r="E396"/>
  <c r="AX395"/>
  <c r="AZ395" s="1"/>
  <c r="O394"/>
  <c r="Y394" s="1"/>
  <c r="W394"/>
  <c r="AT395"/>
  <c r="AW395"/>
  <c r="AY395" s="1"/>
  <c r="K395"/>
  <c r="BD395"/>
  <c r="BF395" s="1"/>
  <c r="BA395"/>
  <c r="R395"/>
  <c r="H395" l="1"/>
  <c r="P179"/>
  <c r="AA179" s="1"/>
  <c r="AF178"/>
  <c r="Z179"/>
  <c r="AH178"/>
  <c r="AB179"/>
  <c r="U179"/>
  <c r="F396"/>
  <c r="T396" s="1"/>
  <c r="S397" s="1"/>
  <c r="S396"/>
  <c r="AR395"/>
  <c r="BD396"/>
  <c r="BF396" s="1"/>
  <c r="BA396"/>
  <c r="A398"/>
  <c r="D398"/>
  <c r="AS398"/>
  <c r="C399"/>
  <c r="B398"/>
  <c r="K396"/>
  <c r="AT396"/>
  <c r="AW396"/>
  <c r="AY396" s="1"/>
  <c r="F397"/>
  <c r="T397" s="1"/>
  <c r="S398" s="1"/>
  <c r="AX396"/>
  <c r="AZ396" s="1"/>
  <c r="AU397"/>
  <c r="BC397"/>
  <c r="AN397"/>
  <c r="AV397"/>
  <c r="BB397"/>
  <c r="AP397"/>
  <c r="AO397"/>
  <c r="I397"/>
  <c r="Q397"/>
  <c r="E397"/>
  <c r="O395"/>
  <c r="Y395" s="1"/>
  <c r="W395"/>
  <c r="BE396"/>
  <c r="BG396" s="1"/>
  <c r="R396"/>
  <c r="AH179" l="1"/>
  <c r="AG179"/>
  <c r="P180"/>
  <c r="AF179"/>
  <c r="H396"/>
  <c r="H397"/>
  <c r="AW397"/>
  <c r="AY397" s="1"/>
  <c r="AT397"/>
  <c r="K397"/>
  <c r="B399"/>
  <c r="D399"/>
  <c r="C400"/>
  <c r="A399"/>
  <c r="AN398"/>
  <c r="AP398"/>
  <c r="AU398"/>
  <c r="BB398"/>
  <c r="AV398"/>
  <c r="AO398"/>
  <c r="BC398"/>
  <c r="I398"/>
  <c r="Q398"/>
  <c r="E398"/>
  <c r="R398" s="1"/>
  <c r="AR396"/>
  <c r="AZ397"/>
  <c r="AX397"/>
  <c r="BA397"/>
  <c r="BD397"/>
  <c r="BF397" s="1"/>
  <c r="BE397"/>
  <c r="BG397" s="1"/>
  <c r="O396"/>
  <c r="Y396" s="1"/>
  <c r="W396"/>
  <c r="R397"/>
  <c r="Z180" l="1"/>
  <c r="U180"/>
  <c r="AR397"/>
  <c r="AX398"/>
  <c r="AZ398" s="1"/>
  <c r="O397"/>
  <c r="Y397" s="1"/>
  <c r="W397"/>
  <c r="A400"/>
  <c r="D400"/>
  <c r="AS400"/>
  <c r="C401"/>
  <c r="B400"/>
  <c r="BD398"/>
  <c r="BF398" s="1"/>
  <c r="BA398"/>
  <c r="AN399"/>
  <c r="BC399"/>
  <c r="AO399"/>
  <c r="AU399"/>
  <c r="BB399"/>
  <c r="I399"/>
  <c r="AP399"/>
  <c r="Q399"/>
  <c r="AV399"/>
  <c r="E399"/>
  <c r="BE398"/>
  <c r="BG398" s="1"/>
  <c r="AW398"/>
  <c r="AY398" s="1"/>
  <c r="AR398" s="1"/>
  <c r="K398"/>
  <c r="AT398"/>
  <c r="F398"/>
  <c r="AS399"/>
  <c r="AF180" l="1"/>
  <c r="AB180"/>
  <c r="AA180"/>
  <c r="G388"/>
  <c r="G389" s="1"/>
  <c r="G390" s="1"/>
  <c r="G391" s="1"/>
  <c r="G392" s="1"/>
  <c r="G393" s="1"/>
  <c r="G394" s="1"/>
  <c r="G395" s="1"/>
  <c r="G396" s="1"/>
  <c r="G397" s="1"/>
  <c r="G398" s="1"/>
  <c r="G399" s="1"/>
  <c r="AW399"/>
  <c r="AY399" s="1"/>
  <c r="K399"/>
  <c r="AT399"/>
  <c r="T398"/>
  <c r="S399" s="1"/>
  <c r="H398"/>
  <c r="BD399"/>
  <c r="BF399" s="1"/>
  <c r="BA399"/>
  <c r="D401"/>
  <c r="B401"/>
  <c r="AS401"/>
  <c r="A401"/>
  <c r="C402"/>
  <c r="AX399"/>
  <c r="AZ399" s="1"/>
  <c r="O398"/>
  <c r="Y398" s="1"/>
  <c r="W398"/>
  <c r="BE399"/>
  <c r="BG399" s="1"/>
  <c r="I400"/>
  <c r="AN400"/>
  <c r="AO400"/>
  <c r="BB400"/>
  <c r="AV400"/>
  <c r="AU400"/>
  <c r="AP400"/>
  <c r="BC400"/>
  <c r="Q400"/>
  <c r="E400"/>
  <c r="R400" s="1"/>
  <c r="F399"/>
  <c r="R399"/>
  <c r="AG180" l="1"/>
  <c r="P181"/>
  <c r="AH180"/>
  <c r="AR399"/>
  <c r="F400"/>
  <c r="O399"/>
  <c r="Y399" s="1"/>
  <c r="W399"/>
  <c r="V399"/>
  <c r="T399"/>
  <c r="H399"/>
  <c r="K400"/>
  <c r="AT400"/>
  <c r="AW400"/>
  <c r="AY400" s="1"/>
  <c r="BE400"/>
  <c r="BG400" s="1"/>
  <c r="BA400"/>
  <c r="BD400"/>
  <c r="BF400" s="1"/>
  <c r="Q401"/>
  <c r="AN401"/>
  <c r="AP401"/>
  <c r="AV401"/>
  <c r="AO401"/>
  <c r="BC401"/>
  <c r="AU401"/>
  <c r="I401"/>
  <c r="BB401"/>
  <c r="E401"/>
  <c r="R401" s="1"/>
  <c r="AX400"/>
  <c r="AZ400" s="1"/>
  <c r="A402"/>
  <c r="B402"/>
  <c r="D402"/>
  <c r="AS402"/>
  <c r="C403"/>
  <c r="U181" l="1"/>
  <c r="Z181" s="1"/>
  <c r="F401"/>
  <c r="H401" s="1"/>
  <c r="AR400"/>
  <c r="AX401"/>
  <c r="AZ401" s="1"/>
  <c r="T400"/>
  <c r="S401" s="1"/>
  <c r="H400"/>
  <c r="I402"/>
  <c r="BB402"/>
  <c r="AV402"/>
  <c r="AU402"/>
  <c r="AO402"/>
  <c r="Q402"/>
  <c r="AN402"/>
  <c r="AP402"/>
  <c r="BC402"/>
  <c r="E402"/>
  <c r="BF401"/>
  <c r="BD401"/>
  <c r="BA401"/>
  <c r="S400"/>
  <c r="K401"/>
  <c r="AW401"/>
  <c r="AY401" s="1"/>
  <c r="AT401"/>
  <c r="D403"/>
  <c r="AS403"/>
  <c r="A403"/>
  <c r="C404"/>
  <c r="R402"/>
  <c r="B403"/>
  <c r="BE401"/>
  <c r="BG401" s="1"/>
  <c r="O400"/>
  <c r="W400"/>
  <c r="AA181" l="1"/>
  <c r="AB181"/>
  <c r="AF181"/>
  <c r="T401"/>
  <c r="S402" s="1"/>
  <c r="O401"/>
  <c r="W401"/>
  <c r="BD402"/>
  <c r="BF402" s="1"/>
  <c r="BA402"/>
  <c r="AX402"/>
  <c r="AZ402" s="1"/>
  <c r="AU403"/>
  <c r="AN403"/>
  <c r="AP403"/>
  <c r="BC403"/>
  <c r="AV403"/>
  <c r="I403"/>
  <c r="BB403"/>
  <c r="AO403"/>
  <c r="Q403"/>
  <c r="E403"/>
  <c r="R403" s="1"/>
  <c r="AW402"/>
  <c r="AY402" s="1"/>
  <c r="K402"/>
  <c r="AT402"/>
  <c r="AR401"/>
  <c r="F402"/>
  <c r="D404"/>
  <c r="B404"/>
  <c r="AS404"/>
  <c r="C405"/>
  <c r="A404"/>
  <c r="BE402"/>
  <c r="BG402" s="1"/>
  <c r="Y400"/>
  <c r="AG181" l="1"/>
  <c r="AH181"/>
  <c r="P182"/>
  <c r="U182" s="1"/>
  <c r="Y401"/>
  <c r="AR402"/>
  <c r="F403"/>
  <c r="H403" s="1"/>
  <c r="B405"/>
  <c r="D405"/>
  <c r="A405"/>
  <c r="C406"/>
  <c r="AS405"/>
  <c r="AO404"/>
  <c r="BC404"/>
  <c r="AU404"/>
  <c r="AN404"/>
  <c r="I404"/>
  <c r="AP404"/>
  <c r="BB404"/>
  <c r="Q404"/>
  <c r="AV404"/>
  <c r="E404"/>
  <c r="R404" s="1"/>
  <c r="O402"/>
  <c r="Y402" s="1"/>
  <c r="W402"/>
  <c r="AX403"/>
  <c r="AZ403" s="1"/>
  <c r="AW403"/>
  <c r="AY403" s="1"/>
  <c r="AT403"/>
  <c r="K403"/>
  <c r="BD403"/>
  <c r="BF403" s="1"/>
  <c r="BA403"/>
  <c r="BE403"/>
  <c r="BG403" s="1"/>
  <c r="F404"/>
  <c r="T404" s="1"/>
  <c r="T402"/>
  <c r="S403" s="1"/>
  <c r="H402"/>
  <c r="AB182" l="1"/>
  <c r="AA182"/>
  <c r="Z182"/>
  <c r="T403"/>
  <c r="S404" s="1"/>
  <c r="S405"/>
  <c r="AX404"/>
  <c r="AZ404" s="1"/>
  <c r="BD404"/>
  <c r="BF404" s="1"/>
  <c r="BA404"/>
  <c r="AT404"/>
  <c r="AW404"/>
  <c r="AY404" s="1"/>
  <c r="K404"/>
  <c r="B406"/>
  <c r="A406"/>
  <c r="C407"/>
  <c r="D406"/>
  <c r="AS406"/>
  <c r="O403"/>
  <c r="Y403" s="1"/>
  <c r="W403"/>
  <c r="BE404"/>
  <c r="BG404" s="1"/>
  <c r="BB405"/>
  <c r="AV405"/>
  <c r="BC405"/>
  <c r="AU405"/>
  <c r="I405"/>
  <c r="AN405"/>
  <c r="AO405"/>
  <c r="Q405"/>
  <c r="AP405"/>
  <c r="E405"/>
  <c r="R405" s="1"/>
  <c r="AR403"/>
  <c r="H404"/>
  <c r="AH182" l="1"/>
  <c r="N183"/>
  <c r="AG182"/>
  <c r="M183"/>
  <c r="AF182"/>
  <c r="P183"/>
  <c r="X183" s="1"/>
  <c r="L183"/>
  <c r="AW405"/>
  <c r="AY405" s="1"/>
  <c r="AT405"/>
  <c r="K405"/>
  <c r="BD405"/>
  <c r="BF405" s="1"/>
  <c r="BA405"/>
  <c r="AX405"/>
  <c r="AZ405" s="1"/>
  <c r="AP406"/>
  <c r="BC406"/>
  <c r="BB406"/>
  <c r="AV406"/>
  <c r="I406"/>
  <c r="Q406"/>
  <c r="AO406"/>
  <c r="AU406"/>
  <c r="AN406"/>
  <c r="E406"/>
  <c r="R406" s="1"/>
  <c r="AR404"/>
  <c r="O404"/>
  <c r="Y404" s="1"/>
  <c r="W404"/>
  <c r="BE405"/>
  <c r="BG405" s="1"/>
  <c r="C408"/>
  <c r="A407"/>
  <c r="D407"/>
  <c r="B407"/>
  <c r="AS407"/>
  <c r="F405"/>
  <c r="U183" l="1"/>
  <c r="AR405"/>
  <c r="BE406"/>
  <c r="BG406" s="1"/>
  <c r="BC407"/>
  <c r="AN407"/>
  <c r="Q407"/>
  <c r="AO407"/>
  <c r="AV407"/>
  <c r="AP407"/>
  <c r="BB407"/>
  <c r="AU407"/>
  <c r="I407"/>
  <c r="E407"/>
  <c r="R407" s="1"/>
  <c r="BD406"/>
  <c r="BF406" s="1"/>
  <c r="BA406"/>
  <c r="T405"/>
  <c r="S406" s="1"/>
  <c r="H405"/>
  <c r="K406"/>
  <c r="AW406"/>
  <c r="AY406" s="1"/>
  <c r="AT406"/>
  <c r="AX406"/>
  <c r="AZ406" s="1"/>
  <c r="F406"/>
  <c r="C409"/>
  <c r="B408"/>
  <c r="A408"/>
  <c r="D408"/>
  <c r="AS408"/>
  <c r="O405"/>
  <c r="Y405" s="1"/>
  <c r="W405"/>
  <c r="AB183" l="1"/>
  <c r="AA183"/>
  <c r="Z183"/>
  <c r="AR406"/>
  <c r="AX407"/>
  <c r="AZ407" s="1"/>
  <c r="BE407"/>
  <c r="BG407" s="1"/>
  <c r="AU408"/>
  <c r="AN408"/>
  <c r="AO408"/>
  <c r="AV408"/>
  <c r="Q408"/>
  <c r="BC408"/>
  <c r="AP408"/>
  <c r="BB408"/>
  <c r="I408"/>
  <c r="E408"/>
  <c r="R408" s="1"/>
  <c r="O406"/>
  <c r="Y406" s="1"/>
  <c r="W406"/>
  <c r="T406"/>
  <c r="S407" s="1"/>
  <c r="H406"/>
  <c r="D409"/>
  <c r="A409"/>
  <c r="AS409"/>
  <c r="B409"/>
  <c r="C410"/>
  <c r="BD407"/>
  <c r="BF407" s="1"/>
  <c r="BA407"/>
  <c r="F407"/>
  <c r="K407"/>
  <c r="AT407"/>
  <c r="AW407"/>
  <c r="AY407" s="1"/>
  <c r="AH183" l="1"/>
  <c r="AG183"/>
  <c r="AF183"/>
  <c r="P184"/>
  <c r="AR407"/>
  <c r="O407"/>
  <c r="Y407" s="1"/>
  <c r="W407"/>
  <c r="BA408"/>
  <c r="BD408"/>
  <c r="BF408" s="1"/>
  <c r="AX408"/>
  <c r="AZ408" s="1"/>
  <c r="K408"/>
  <c r="AT408"/>
  <c r="AW408"/>
  <c r="AY408" s="1"/>
  <c r="T407"/>
  <c r="S408" s="1"/>
  <c r="H407"/>
  <c r="B410"/>
  <c r="A410"/>
  <c r="AS410"/>
  <c r="D410"/>
  <c r="C411"/>
  <c r="AO409"/>
  <c r="AU409"/>
  <c r="AN409"/>
  <c r="AV409"/>
  <c r="I409"/>
  <c r="AP409"/>
  <c r="BC409"/>
  <c r="BB409"/>
  <c r="Q409"/>
  <c r="E409"/>
  <c r="BE408"/>
  <c r="BG408" s="1"/>
  <c r="F408"/>
  <c r="Z184" l="1"/>
  <c r="U184"/>
  <c r="AR408"/>
  <c r="BE409"/>
  <c r="BG409" s="1"/>
  <c r="T408"/>
  <c r="S409" s="1"/>
  <c r="H408"/>
  <c r="AT409"/>
  <c r="AW409"/>
  <c r="AY409" s="1"/>
  <c r="K409"/>
  <c r="R409"/>
  <c r="BD409"/>
  <c r="BF409" s="1"/>
  <c r="BA409"/>
  <c r="AX409"/>
  <c r="AZ409" s="1"/>
  <c r="A411"/>
  <c r="B411"/>
  <c r="D411"/>
  <c r="C412"/>
  <c r="AS411"/>
  <c r="I410"/>
  <c r="AO410"/>
  <c r="AU410"/>
  <c r="AN410"/>
  <c r="BB410"/>
  <c r="BC410"/>
  <c r="Q410"/>
  <c r="AV410"/>
  <c r="AP410"/>
  <c r="E410"/>
  <c r="R410" s="1"/>
  <c r="O408"/>
  <c r="Y408" s="1"/>
  <c r="W408"/>
  <c r="F409"/>
  <c r="AF184" l="1"/>
  <c r="AB184"/>
  <c r="AA184"/>
  <c r="AR409"/>
  <c r="F410"/>
  <c r="H410" s="1"/>
  <c r="T409"/>
  <c r="S410" s="1"/>
  <c r="H409"/>
  <c r="BE410"/>
  <c r="BG410" s="1"/>
  <c r="K410"/>
  <c r="AW410"/>
  <c r="AY410" s="1"/>
  <c r="AT410"/>
  <c r="C413"/>
  <c r="AS412"/>
  <c r="B412"/>
  <c r="A412"/>
  <c r="D412"/>
  <c r="AX410"/>
  <c r="AZ410" s="1"/>
  <c r="AO411"/>
  <c r="AU411"/>
  <c r="AV411"/>
  <c r="AP411"/>
  <c r="AN411"/>
  <c r="BC411"/>
  <c r="Q411"/>
  <c r="I411"/>
  <c r="BB411"/>
  <c r="E411"/>
  <c r="R411" s="1"/>
  <c r="O409"/>
  <c r="Y409" s="1"/>
  <c r="W409"/>
  <c r="BD410"/>
  <c r="BF410" s="1"/>
  <c r="BA410"/>
  <c r="AH184" l="1"/>
  <c r="AG184"/>
  <c r="P185"/>
  <c r="U185" s="1"/>
  <c r="AA185" s="1"/>
  <c r="T410"/>
  <c r="S411" s="1"/>
  <c r="AR410"/>
  <c r="G400"/>
  <c r="G401" s="1"/>
  <c r="G402" s="1"/>
  <c r="G403" s="1"/>
  <c r="G404" s="1"/>
  <c r="G405" s="1"/>
  <c r="G406" s="1"/>
  <c r="G407" s="1"/>
  <c r="G408" s="1"/>
  <c r="G409" s="1"/>
  <c r="G410" s="1"/>
  <c r="G411" s="1"/>
  <c r="BA411"/>
  <c r="BD411"/>
  <c r="BF411" s="1"/>
  <c r="AX411"/>
  <c r="AZ411" s="1"/>
  <c r="BE411"/>
  <c r="BG411" s="1"/>
  <c r="AW411"/>
  <c r="AY411" s="1"/>
  <c r="K411"/>
  <c r="AT411"/>
  <c r="BB412"/>
  <c r="I412"/>
  <c r="AU412"/>
  <c r="BC412"/>
  <c r="AP412"/>
  <c r="AO412"/>
  <c r="Q412"/>
  <c r="AV412"/>
  <c r="AN412"/>
  <c r="E412"/>
  <c r="D413"/>
  <c r="C414"/>
  <c r="B413"/>
  <c r="A413"/>
  <c r="AS413"/>
  <c r="O410"/>
  <c r="Y410" s="1"/>
  <c r="W410"/>
  <c r="F411"/>
  <c r="AG185" l="1"/>
  <c r="Z185"/>
  <c r="AB185"/>
  <c r="F412"/>
  <c r="H412" s="1"/>
  <c r="AR411"/>
  <c r="BD412"/>
  <c r="BF412" s="1"/>
  <c r="BA412"/>
  <c r="O411"/>
  <c r="Y411" s="1"/>
  <c r="W411"/>
  <c r="V411"/>
  <c r="T411"/>
  <c r="H411"/>
  <c r="AW412"/>
  <c r="AY412" s="1"/>
  <c r="K412"/>
  <c r="AT412"/>
  <c r="B414"/>
  <c r="A414"/>
  <c r="C415"/>
  <c r="D414"/>
  <c r="AS414"/>
  <c r="AP413"/>
  <c r="BB413"/>
  <c r="I413"/>
  <c r="Q413"/>
  <c r="AV413"/>
  <c r="AO413"/>
  <c r="AN413"/>
  <c r="AU413"/>
  <c r="BC413"/>
  <c r="E413"/>
  <c r="AX412"/>
  <c r="AZ412" s="1"/>
  <c r="BE412"/>
  <c r="BG412" s="1"/>
  <c r="R412"/>
  <c r="AH185" l="1"/>
  <c r="AF185"/>
  <c r="P186"/>
  <c r="T412"/>
  <c r="S413" s="1"/>
  <c r="O412"/>
  <c r="Y412" s="1"/>
  <c r="W412"/>
  <c r="S412"/>
  <c r="F413"/>
  <c r="BD413"/>
  <c r="BF413" s="1"/>
  <c r="BA413"/>
  <c r="A415"/>
  <c r="C416"/>
  <c r="D415"/>
  <c r="AS415"/>
  <c r="B415"/>
  <c r="AW413"/>
  <c r="AY413" s="1"/>
  <c r="K413"/>
  <c r="AT413"/>
  <c r="R413"/>
  <c r="AR412"/>
  <c r="BE413"/>
  <c r="BG413" s="1"/>
  <c r="AX413"/>
  <c r="AZ413" s="1"/>
  <c r="Q414"/>
  <c r="AU414"/>
  <c r="AV414"/>
  <c r="BC414"/>
  <c r="AN414"/>
  <c r="AO414"/>
  <c r="BB414"/>
  <c r="AP414"/>
  <c r="I414"/>
  <c r="E414"/>
  <c r="R414" s="1"/>
  <c r="AA186" l="1"/>
  <c r="U186"/>
  <c r="AR413"/>
  <c r="BE414"/>
  <c r="BG414" s="1"/>
  <c r="T413"/>
  <c r="S414" s="1"/>
  <c r="H413"/>
  <c r="AW414"/>
  <c r="AY414" s="1"/>
  <c r="AT414"/>
  <c r="K414"/>
  <c r="BA414"/>
  <c r="BD414"/>
  <c r="BF414" s="1"/>
  <c r="AX414"/>
  <c r="AZ414" s="1"/>
  <c r="A416"/>
  <c r="AS416"/>
  <c r="D416"/>
  <c r="B416"/>
  <c r="C417"/>
  <c r="F414"/>
  <c r="O413"/>
  <c r="Y413" s="1"/>
  <c r="W413"/>
  <c r="AU415"/>
  <c r="Q415"/>
  <c r="AP415"/>
  <c r="AO415"/>
  <c r="AV415"/>
  <c r="BB415"/>
  <c r="I415"/>
  <c r="BC415"/>
  <c r="AN415"/>
  <c r="E415"/>
  <c r="R415" s="1"/>
  <c r="AG186" l="1"/>
  <c r="AB186"/>
  <c r="Z186"/>
  <c r="T414"/>
  <c r="S415" s="1"/>
  <c r="H414"/>
  <c r="AW415"/>
  <c r="AY415" s="1"/>
  <c r="AT415"/>
  <c r="K415"/>
  <c r="BD415"/>
  <c r="BF415" s="1"/>
  <c r="BA415"/>
  <c r="Q416"/>
  <c r="AP416"/>
  <c r="AU416"/>
  <c r="BC416"/>
  <c r="AO416"/>
  <c r="I416"/>
  <c r="AN416"/>
  <c r="AV416"/>
  <c r="BB416"/>
  <c r="E416"/>
  <c r="AR414"/>
  <c r="F415"/>
  <c r="C418"/>
  <c r="D417"/>
  <c r="B417"/>
  <c r="A417"/>
  <c r="AS417"/>
  <c r="R416"/>
  <c r="O414"/>
  <c r="Y414" s="1"/>
  <c r="W414"/>
  <c r="BE415"/>
  <c r="BG415" s="1"/>
  <c r="AX415"/>
  <c r="AZ415" s="1"/>
  <c r="P187" l="1"/>
  <c r="U187" s="1"/>
  <c r="AB187" s="1"/>
  <c r="AF186"/>
  <c r="AH186"/>
  <c r="AW416"/>
  <c r="AY416" s="1"/>
  <c r="AT416"/>
  <c r="K416"/>
  <c r="A418"/>
  <c r="B418"/>
  <c r="AS418"/>
  <c r="C419"/>
  <c r="D418"/>
  <c r="AX416"/>
  <c r="AZ416" s="1"/>
  <c r="BE416"/>
  <c r="BG416" s="1"/>
  <c r="F416"/>
  <c r="AR415"/>
  <c r="O415"/>
  <c r="Y415" s="1"/>
  <c r="W415"/>
  <c r="BC417"/>
  <c r="AO417"/>
  <c r="BB417"/>
  <c r="I417"/>
  <c r="AV417"/>
  <c r="Q417"/>
  <c r="AN417"/>
  <c r="AU417"/>
  <c r="AP417"/>
  <c r="E417"/>
  <c r="T415"/>
  <c r="S416" s="1"/>
  <c r="H415"/>
  <c r="BD416"/>
  <c r="BF416" s="1"/>
  <c r="BA416"/>
  <c r="AH187" l="1"/>
  <c r="AA187"/>
  <c r="Z187"/>
  <c r="AR416"/>
  <c r="AW417"/>
  <c r="AY417" s="1"/>
  <c r="AT417"/>
  <c r="K417"/>
  <c r="AX417"/>
  <c r="AZ417" s="1"/>
  <c r="BE417"/>
  <c r="BG417" s="1"/>
  <c r="C420"/>
  <c r="B419"/>
  <c r="D419"/>
  <c r="A419"/>
  <c r="AS419"/>
  <c r="BC418"/>
  <c r="AN418"/>
  <c r="AU418"/>
  <c r="BB418"/>
  <c r="I418"/>
  <c r="Q418"/>
  <c r="AO418"/>
  <c r="AV418"/>
  <c r="AP418"/>
  <c r="E418"/>
  <c r="F417"/>
  <c r="BA417"/>
  <c r="BD417"/>
  <c r="BF417" s="1"/>
  <c r="T416"/>
  <c r="S417" s="1"/>
  <c r="H416"/>
  <c r="O416"/>
  <c r="Y416" s="1"/>
  <c r="W416"/>
  <c r="R417"/>
  <c r="F418" l="1"/>
  <c r="T418" s="1"/>
  <c r="AF187"/>
  <c r="P188"/>
  <c r="AG187"/>
  <c r="AR417"/>
  <c r="AX418"/>
  <c r="AZ418" s="1"/>
  <c r="BA418"/>
  <c r="BD418"/>
  <c r="BF418" s="1"/>
  <c r="AS420"/>
  <c r="A420"/>
  <c r="C421"/>
  <c r="D420"/>
  <c r="B420"/>
  <c r="S419"/>
  <c r="T417"/>
  <c r="S418" s="1"/>
  <c r="H417"/>
  <c r="BE418"/>
  <c r="BG418" s="1"/>
  <c r="O417"/>
  <c r="Y417" s="1"/>
  <c r="W417"/>
  <c r="AW418"/>
  <c r="AY418" s="1"/>
  <c r="AT418"/>
  <c r="K418"/>
  <c r="AO419"/>
  <c r="BB419"/>
  <c r="AV419"/>
  <c r="I419"/>
  <c r="BC419"/>
  <c r="AN419"/>
  <c r="AU419"/>
  <c r="Q419"/>
  <c r="AP419"/>
  <c r="E419"/>
  <c r="H418"/>
  <c r="R418"/>
  <c r="U188" l="1"/>
  <c r="AB188" s="1"/>
  <c r="F419"/>
  <c r="T419" s="1"/>
  <c r="S420" s="1"/>
  <c r="AR418"/>
  <c r="Q420"/>
  <c r="AO420"/>
  <c r="AP420"/>
  <c r="BC420"/>
  <c r="AV420"/>
  <c r="AU420"/>
  <c r="I420"/>
  <c r="AN420"/>
  <c r="BB420"/>
  <c r="E420"/>
  <c r="BE419"/>
  <c r="BG419" s="1"/>
  <c r="B421"/>
  <c r="AS421"/>
  <c r="R420"/>
  <c r="D421"/>
  <c r="C422"/>
  <c r="A421"/>
  <c r="BA419"/>
  <c r="BD419"/>
  <c r="BF419" s="1"/>
  <c r="AW419"/>
  <c r="AY419" s="1"/>
  <c r="K419"/>
  <c r="AT419"/>
  <c r="AX419"/>
  <c r="AZ419" s="1"/>
  <c r="O418"/>
  <c r="Y418" s="1"/>
  <c r="W418"/>
  <c r="R419"/>
  <c r="F420" l="1"/>
  <c r="T420" s="1"/>
  <c r="Z188"/>
  <c r="AA188"/>
  <c r="AH188"/>
  <c r="H419"/>
  <c r="S421"/>
  <c r="A422"/>
  <c r="D422"/>
  <c r="B422"/>
  <c r="C423"/>
  <c r="AS422"/>
  <c r="BE420"/>
  <c r="BG420" s="1"/>
  <c r="AR419"/>
  <c r="AV421"/>
  <c r="Q421"/>
  <c r="AP421"/>
  <c r="AN421"/>
  <c r="I421"/>
  <c r="BB421"/>
  <c r="BC421"/>
  <c r="AU421"/>
  <c r="AO421"/>
  <c r="E421"/>
  <c r="BD420"/>
  <c r="BF420" s="1"/>
  <c r="BA420"/>
  <c r="AX420"/>
  <c r="AZ420" s="1"/>
  <c r="O419"/>
  <c r="Y419" s="1"/>
  <c r="W419"/>
  <c r="AW420"/>
  <c r="AY420" s="1"/>
  <c r="K420"/>
  <c r="AT420"/>
  <c r="H420" l="1"/>
  <c r="P189"/>
  <c r="AF188"/>
  <c r="AG188"/>
  <c r="F421"/>
  <c r="T421" s="1"/>
  <c r="S422" s="1"/>
  <c r="AR420"/>
  <c r="A423"/>
  <c r="C424"/>
  <c r="B423"/>
  <c r="D423"/>
  <c r="BA421"/>
  <c r="BD421"/>
  <c r="BF421" s="1"/>
  <c r="O420"/>
  <c r="Y420" s="1"/>
  <c r="W420"/>
  <c r="BE421"/>
  <c r="BG421" s="1"/>
  <c r="AN422"/>
  <c r="AP422"/>
  <c r="AU422"/>
  <c r="BC422"/>
  <c r="BB422"/>
  <c r="AO422"/>
  <c r="AV422"/>
  <c r="I422"/>
  <c r="Q422"/>
  <c r="E422"/>
  <c r="R421"/>
  <c r="AT421"/>
  <c r="AW421"/>
  <c r="AY421" s="1"/>
  <c r="K421"/>
  <c r="AX421"/>
  <c r="AZ421" s="1"/>
  <c r="H421" l="1"/>
  <c r="U189"/>
  <c r="Z189" s="1"/>
  <c r="F422"/>
  <c r="T422" s="1"/>
  <c r="S423" s="1"/>
  <c r="AR421"/>
  <c r="AX422"/>
  <c r="AZ422" s="1"/>
  <c r="AT422"/>
  <c r="AW422"/>
  <c r="AY422" s="1"/>
  <c r="K422"/>
  <c r="BC423"/>
  <c r="I423"/>
  <c r="AV423"/>
  <c r="Q423"/>
  <c r="AU423"/>
  <c r="AP423"/>
  <c r="AO423"/>
  <c r="BB423"/>
  <c r="AN423"/>
  <c r="E423"/>
  <c r="R423" s="1"/>
  <c r="O421"/>
  <c r="Y421" s="1"/>
  <c r="W421"/>
  <c r="BE422"/>
  <c r="BG422" s="1"/>
  <c r="AS423"/>
  <c r="R422"/>
  <c r="BD422"/>
  <c r="BF422" s="1"/>
  <c r="BA422"/>
  <c r="B424"/>
  <c r="A424"/>
  <c r="C425"/>
  <c r="AS424"/>
  <c r="D424"/>
  <c r="AF189" l="1"/>
  <c r="AB189"/>
  <c r="AA189"/>
  <c r="H422"/>
  <c r="AR422"/>
  <c r="AP424"/>
  <c r="AV424"/>
  <c r="AU424"/>
  <c r="Q424"/>
  <c r="AN424"/>
  <c r="AO424"/>
  <c r="BB424"/>
  <c r="BC424"/>
  <c r="I424"/>
  <c r="E424"/>
  <c r="AS425"/>
  <c r="D425"/>
  <c r="A425"/>
  <c r="R424"/>
  <c r="B425"/>
  <c r="C426"/>
  <c r="AW423"/>
  <c r="AY423" s="1"/>
  <c r="AT423"/>
  <c r="K423"/>
  <c r="BE423"/>
  <c r="BG423" s="1"/>
  <c r="G412"/>
  <c r="G413" s="1"/>
  <c r="G414" s="1"/>
  <c r="G415" s="1"/>
  <c r="G416" s="1"/>
  <c r="G417" s="1"/>
  <c r="G418" s="1"/>
  <c r="G419" s="1"/>
  <c r="G420" s="1"/>
  <c r="G421" s="1"/>
  <c r="G422" s="1"/>
  <c r="G423" s="1"/>
  <c r="AX423"/>
  <c r="AZ423" s="1"/>
  <c r="BD423"/>
  <c r="BF423" s="1"/>
  <c r="BA423"/>
  <c r="O422"/>
  <c r="Y422" s="1"/>
  <c r="W422"/>
  <c r="F423"/>
  <c r="F424" l="1"/>
  <c r="T424" s="1"/>
  <c r="AH189"/>
  <c r="AG189"/>
  <c r="P190"/>
  <c r="AR423"/>
  <c r="T423"/>
  <c r="H423"/>
  <c r="C427"/>
  <c r="D426"/>
  <c r="B426"/>
  <c r="A426"/>
  <c r="AS426"/>
  <c r="BE424"/>
  <c r="BG424" s="1"/>
  <c r="AP425"/>
  <c r="BC425"/>
  <c r="Q425"/>
  <c r="I425"/>
  <c r="AV425"/>
  <c r="AU425"/>
  <c r="AN425"/>
  <c r="AO425"/>
  <c r="BB425"/>
  <c r="E425"/>
  <c r="S425"/>
  <c r="AX424"/>
  <c r="AZ424" s="1"/>
  <c r="O423"/>
  <c r="Y423" s="1"/>
  <c r="W423"/>
  <c r="V423"/>
  <c r="BA424"/>
  <c r="BD424"/>
  <c r="BF424" s="1"/>
  <c r="AW424"/>
  <c r="AY424" s="1"/>
  <c r="AT424"/>
  <c r="K424"/>
  <c r="H424" l="1"/>
  <c r="AB190"/>
  <c r="U190"/>
  <c r="AA190" s="1"/>
  <c r="Z190"/>
  <c r="F425"/>
  <c r="T425" s="1"/>
  <c r="S426" s="1"/>
  <c r="AR424"/>
  <c r="O424"/>
  <c r="Y424" s="1"/>
  <c r="W424"/>
  <c r="BD425"/>
  <c r="BF425" s="1"/>
  <c r="BA425"/>
  <c r="AX425"/>
  <c r="AZ425" s="1"/>
  <c r="S424"/>
  <c r="AW425"/>
  <c r="K425"/>
  <c r="AT425"/>
  <c r="AY425"/>
  <c r="BE425"/>
  <c r="BG425" s="1"/>
  <c r="AO426"/>
  <c r="AP426"/>
  <c r="BC426"/>
  <c r="BB426"/>
  <c r="Q426"/>
  <c r="AU426"/>
  <c r="I426"/>
  <c r="AN426"/>
  <c r="AV426"/>
  <c r="E426"/>
  <c r="R426" s="1"/>
  <c r="A427"/>
  <c r="D427"/>
  <c r="C428"/>
  <c r="AS427"/>
  <c r="B427"/>
  <c r="R425"/>
  <c r="H425" l="1"/>
  <c r="AH190"/>
  <c r="AG190"/>
  <c r="AF190"/>
  <c r="P191"/>
  <c r="F426"/>
  <c r="T426" s="1"/>
  <c r="S427" s="1"/>
  <c r="AR425"/>
  <c r="AS428"/>
  <c r="A428"/>
  <c r="D428"/>
  <c r="F427" s="1"/>
  <c r="T427" s="1"/>
  <c r="S428" s="1"/>
  <c r="C429"/>
  <c r="B428"/>
  <c r="AX426"/>
  <c r="AZ426" s="1"/>
  <c r="AP427"/>
  <c r="BB427"/>
  <c r="AU427"/>
  <c r="I427"/>
  <c r="AV427"/>
  <c r="AO427"/>
  <c r="AN427"/>
  <c r="BC427"/>
  <c r="Q427"/>
  <c r="E427"/>
  <c r="R427" s="1"/>
  <c r="BE426"/>
  <c r="BG426" s="1"/>
  <c r="AW426"/>
  <c r="AY426" s="1"/>
  <c r="K426"/>
  <c r="AT426"/>
  <c r="BA426"/>
  <c r="BD426"/>
  <c r="BF426" s="1"/>
  <c r="O425"/>
  <c r="Y425" s="1"/>
  <c r="W425"/>
  <c r="H426"/>
  <c r="AB191" l="1"/>
  <c r="U191"/>
  <c r="BE427"/>
  <c r="BG427" s="1"/>
  <c r="BD427"/>
  <c r="BF427" s="1"/>
  <c r="BA427"/>
  <c r="AT427"/>
  <c r="K427"/>
  <c r="AW427"/>
  <c r="AY427" s="1"/>
  <c r="A429"/>
  <c r="D429"/>
  <c r="B429"/>
  <c r="AS429"/>
  <c r="C430"/>
  <c r="O426"/>
  <c r="Y426" s="1"/>
  <c r="W426"/>
  <c r="AX427"/>
  <c r="AZ427" s="1"/>
  <c r="AO428"/>
  <c r="BB428"/>
  <c r="AV428"/>
  <c r="AU428"/>
  <c r="Q428"/>
  <c r="BC428"/>
  <c r="I428"/>
  <c r="AP428"/>
  <c r="AN428"/>
  <c r="E428"/>
  <c r="AR426"/>
  <c r="H427"/>
  <c r="AA191" l="1"/>
  <c r="Z191"/>
  <c r="AH191"/>
  <c r="O427"/>
  <c r="W427"/>
  <c r="AX428"/>
  <c r="AZ428" s="1"/>
  <c r="AR427"/>
  <c r="BE428"/>
  <c r="BG428" s="1"/>
  <c r="AW428"/>
  <c r="AY428" s="1"/>
  <c r="AT428"/>
  <c r="K428"/>
  <c r="Y427"/>
  <c r="R428"/>
  <c r="F428"/>
  <c r="BD428"/>
  <c r="BF428" s="1"/>
  <c r="BA428"/>
  <c r="C431"/>
  <c r="B430"/>
  <c r="D430"/>
  <c r="AS430"/>
  <c r="A430"/>
  <c r="BB429"/>
  <c r="AN429"/>
  <c r="AP429"/>
  <c r="AU429"/>
  <c r="I429"/>
  <c r="AV429"/>
  <c r="Q429"/>
  <c r="BC429"/>
  <c r="AO429"/>
  <c r="E429"/>
  <c r="R429" s="1"/>
  <c r="AG191" l="1"/>
  <c r="P192"/>
  <c r="AF191"/>
  <c r="AR428"/>
  <c r="BE429"/>
  <c r="BG429" s="1"/>
  <c r="O428"/>
  <c r="W428"/>
  <c r="K429"/>
  <c r="AW429"/>
  <c r="AY429" s="1"/>
  <c r="AT429"/>
  <c r="Q430"/>
  <c r="AU430"/>
  <c r="BB430"/>
  <c r="BC430"/>
  <c r="AP430"/>
  <c r="AV430"/>
  <c r="AN430"/>
  <c r="I430"/>
  <c r="AO430"/>
  <c r="E430"/>
  <c r="T428"/>
  <c r="S429" s="1"/>
  <c r="H428"/>
  <c r="BD429"/>
  <c r="BF429" s="1"/>
  <c r="BA429"/>
  <c r="C432"/>
  <c r="AS431"/>
  <c r="A431"/>
  <c r="R430"/>
  <c r="D431"/>
  <c r="B431"/>
  <c r="AX429"/>
  <c r="AZ429" s="1"/>
  <c r="Y428"/>
  <c r="F429"/>
  <c r="AB192" l="1"/>
  <c r="U192"/>
  <c r="F430"/>
  <c r="T430" s="1"/>
  <c r="BE430"/>
  <c r="BG430" s="1"/>
  <c r="O429"/>
  <c r="Y429" s="1"/>
  <c r="W429"/>
  <c r="C433"/>
  <c r="D432"/>
  <c r="A432"/>
  <c r="AS432"/>
  <c r="B432"/>
  <c r="AX430"/>
  <c r="AZ430" s="1"/>
  <c r="AT430"/>
  <c r="AY430"/>
  <c r="AW430"/>
  <c r="K430"/>
  <c r="AR429"/>
  <c r="AP431"/>
  <c r="AO431"/>
  <c r="AN431"/>
  <c r="I431"/>
  <c r="Q431"/>
  <c r="AV431"/>
  <c r="BB431"/>
  <c r="BC431"/>
  <c r="AU431"/>
  <c r="E431"/>
  <c r="R431" s="1"/>
  <c r="T429"/>
  <c r="S430" s="1"/>
  <c r="H429"/>
  <c r="BA430"/>
  <c r="BD430"/>
  <c r="BF430" s="1"/>
  <c r="H430"/>
  <c r="AH192" l="1"/>
  <c r="Z192"/>
  <c r="AA192"/>
  <c r="F431"/>
  <c r="H431" s="1"/>
  <c r="AR430"/>
  <c r="BE431"/>
  <c r="BG431" s="1"/>
  <c r="BD431"/>
  <c r="BF431" s="1"/>
  <c r="BA431"/>
  <c r="D433"/>
  <c r="AS433"/>
  <c r="B433"/>
  <c r="C434"/>
  <c r="A433"/>
  <c r="AT431"/>
  <c r="AW431"/>
  <c r="AY431" s="1"/>
  <c r="K431"/>
  <c r="O430"/>
  <c r="Y430" s="1"/>
  <c r="W430"/>
  <c r="AX431"/>
  <c r="AZ431" s="1"/>
  <c r="I432"/>
  <c r="AP432"/>
  <c r="Q432"/>
  <c r="AN432"/>
  <c r="BB432"/>
  <c r="AO432"/>
  <c r="AV432"/>
  <c r="BC432"/>
  <c r="AU432"/>
  <c r="E432"/>
  <c r="R432" s="1"/>
  <c r="S431"/>
  <c r="AG192" l="1"/>
  <c r="AF192"/>
  <c r="P193"/>
  <c r="T431"/>
  <c r="S432" s="1"/>
  <c r="F432"/>
  <c r="T432" s="1"/>
  <c r="S433" s="1"/>
  <c r="BE432"/>
  <c r="BG432" s="1"/>
  <c r="AR431"/>
  <c r="K432"/>
  <c r="AW432"/>
  <c r="AY432" s="1"/>
  <c r="AT432"/>
  <c r="BD432"/>
  <c r="BF432" s="1"/>
  <c r="BA432"/>
  <c r="AS434"/>
  <c r="D434"/>
  <c r="C435"/>
  <c r="B434"/>
  <c r="A434"/>
  <c r="AX432"/>
  <c r="AZ432" s="1"/>
  <c r="O431"/>
  <c r="Y431" s="1"/>
  <c r="W431"/>
  <c r="AV433"/>
  <c r="I433"/>
  <c r="AU433"/>
  <c r="BB433"/>
  <c r="AN433"/>
  <c r="Q433"/>
  <c r="BC433"/>
  <c r="AO433"/>
  <c r="AP433"/>
  <c r="E433"/>
  <c r="U193" l="1"/>
  <c r="AB193" s="1"/>
  <c r="H432"/>
  <c r="O432"/>
  <c r="Y432" s="1"/>
  <c r="W432"/>
  <c r="BE433"/>
  <c r="BG433" s="1"/>
  <c r="AT433"/>
  <c r="K433"/>
  <c r="AW433"/>
  <c r="AY433" s="1"/>
  <c r="AR432"/>
  <c r="AP434"/>
  <c r="AV434"/>
  <c r="I434"/>
  <c r="AN434"/>
  <c r="BB434"/>
  <c r="AU434"/>
  <c r="AO434"/>
  <c r="Q434"/>
  <c r="BC434"/>
  <c r="E434"/>
  <c r="R434" s="1"/>
  <c r="BA433"/>
  <c r="BD433"/>
  <c r="BF433" s="1"/>
  <c r="C436"/>
  <c r="A435"/>
  <c r="B435"/>
  <c r="D435"/>
  <c r="AX433"/>
  <c r="AZ433" s="1"/>
  <c r="R433"/>
  <c r="F433"/>
  <c r="Z193" l="1"/>
  <c r="AA193"/>
  <c r="AH193"/>
  <c r="AR433"/>
  <c r="Q435"/>
  <c r="AU435"/>
  <c r="BC435"/>
  <c r="AP435"/>
  <c r="AO435"/>
  <c r="AV435"/>
  <c r="AN435"/>
  <c r="I435"/>
  <c r="BB435"/>
  <c r="E435"/>
  <c r="R435" s="1"/>
  <c r="AS436"/>
  <c r="C437"/>
  <c r="D436"/>
  <c r="A436"/>
  <c r="B436"/>
  <c r="AX434"/>
  <c r="AZ434" s="1"/>
  <c r="AW434"/>
  <c r="AY434" s="1"/>
  <c r="K434"/>
  <c r="AT434"/>
  <c r="T433"/>
  <c r="S434" s="1"/>
  <c r="H433"/>
  <c r="O433"/>
  <c r="Y433" s="1"/>
  <c r="W433"/>
  <c r="BE434"/>
  <c r="BG434" s="1"/>
  <c r="BD434"/>
  <c r="BF434" s="1"/>
  <c r="BA434"/>
  <c r="F434"/>
  <c r="AS435"/>
  <c r="P194" l="1"/>
  <c r="AF193"/>
  <c r="AG193"/>
  <c r="AR434"/>
  <c r="O434"/>
  <c r="Y434" s="1"/>
  <c r="W434"/>
  <c r="AS437"/>
  <c r="A437"/>
  <c r="B437"/>
  <c r="F436" s="1"/>
  <c r="T436" s="1"/>
  <c r="C438"/>
  <c r="D437"/>
  <c r="BB436"/>
  <c r="BC436"/>
  <c r="AP436"/>
  <c r="AN436"/>
  <c r="AO436"/>
  <c r="AV436"/>
  <c r="I436"/>
  <c r="Q436"/>
  <c r="AU436"/>
  <c r="E436"/>
  <c r="AX435"/>
  <c r="AZ435" s="1"/>
  <c r="AT435"/>
  <c r="AW435"/>
  <c r="AY435" s="1"/>
  <c r="K435"/>
  <c r="F435"/>
  <c r="T434"/>
  <c r="S435" s="1"/>
  <c r="H434"/>
  <c r="BD435"/>
  <c r="BF435" s="1"/>
  <c r="BA435"/>
  <c r="G424"/>
  <c r="G425" s="1"/>
  <c r="G426" s="1"/>
  <c r="G427" s="1"/>
  <c r="G428" s="1"/>
  <c r="G429" s="1"/>
  <c r="G430" s="1"/>
  <c r="G431" s="1"/>
  <c r="G432" s="1"/>
  <c r="G433" s="1"/>
  <c r="G434" s="1"/>
  <c r="G435" s="1"/>
  <c r="BE435"/>
  <c r="BG435" s="1"/>
  <c r="U194" l="1"/>
  <c r="AB194" s="1"/>
  <c r="H436"/>
  <c r="AR435"/>
  <c r="BC437"/>
  <c r="AP437"/>
  <c r="AV437"/>
  <c r="Q437"/>
  <c r="AO437"/>
  <c r="BB437"/>
  <c r="I437"/>
  <c r="AU437"/>
  <c r="AN437"/>
  <c r="E437"/>
  <c r="R437" s="1"/>
  <c r="T435"/>
  <c r="H435"/>
  <c r="AW436"/>
  <c r="AY436" s="1"/>
  <c r="K436"/>
  <c r="AT436"/>
  <c r="BA436"/>
  <c r="BD436"/>
  <c r="BF436" s="1"/>
  <c r="AZ436"/>
  <c r="AX436"/>
  <c r="BE436"/>
  <c r="BG436" s="1"/>
  <c r="R436"/>
  <c r="O435"/>
  <c r="Y435" s="1"/>
  <c r="W435"/>
  <c r="V435"/>
  <c r="AS438"/>
  <c r="A438"/>
  <c r="D438"/>
  <c r="B438"/>
  <c r="C439"/>
  <c r="S437"/>
  <c r="AA194" l="1"/>
  <c r="Z194"/>
  <c r="N195"/>
  <c r="AH194"/>
  <c r="F437"/>
  <c r="H437" s="1"/>
  <c r="AR436"/>
  <c r="AS439"/>
  <c r="D439"/>
  <c r="B439"/>
  <c r="A439"/>
  <c r="C440"/>
  <c r="Q438"/>
  <c r="AV438"/>
  <c r="BB438"/>
  <c r="AP438"/>
  <c r="AN438"/>
  <c r="AU438"/>
  <c r="BC438"/>
  <c r="I438"/>
  <c r="AO438"/>
  <c r="E438"/>
  <c r="R438" s="1"/>
  <c r="AW437"/>
  <c r="AY437" s="1"/>
  <c r="K437"/>
  <c r="AT437"/>
  <c r="BE437"/>
  <c r="BG437" s="1"/>
  <c r="BD437"/>
  <c r="BF437" s="1"/>
  <c r="BA437"/>
  <c r="O436"/>
  <c r="W436"/>
  <c r="S436"/>
  <c r="AX437"/>
  <c r="AZ437" s="1"/>
  <c r="AG194" l="1"/>
  <c r="M195"/>
  <c r="L195"/>
  <c r="AF194"/>
  <c r="P195"/>
  <c r="T437"/>
  <c r="S438" s="1"/>
  <c r="F438"/>
  <c r="H438" s="1"/>
  <c r="AS440"/>
  <c r="A440"/>
  <c r="D440"/>
  <c r="C441"/>
  <c r="B440"/>
  <c r="AR437"/>
  <c r="AW438"/>
  <c r="AY438" s="1"/>
  <c r="AT438"/>
  <c r="K438"/>
  <c r="AX438"/>
  <c r="AZ438" s="1"/>
  <c r="Y436"/>
  <c r="O437"/>
  <c r="W437"/>
  <c r="BE438"/>
  <c r="BG438" s="1"/>
  <c r="BD438"/>
  <c r="BF438" s="1"/>
  <c r="BA438"/>
  <c r="AO439"/>
  <c r="AV439"/>
  <c r="AP439"/>
  <c r="I439"/>
  <c r="AU439"/>
  <c r="Q439"/>
  <c r="BC439"/>
  <c r="AN439"/>
  <c r="BB439"/>
  <c r="E439"/>
  <c r="X195" l="1"/>
  <c r="AB195"/>
  <c r="U195"/>
  <c r="F439"/>
  <c r="T439" s="1"/>
  <c r="AR438"/>
  <c r="T438"/>
  <c r="S439" s="1"/>
  <c r="S440"/>
  <c r="AX439"/>
  <c r="AZ439" s="1"/>
  <c r="BE439"/>
  <c r="BG439" s="1"/>
  <c r="AS441"/>
  <c r="C442"/>
  <c r="A441"/>
  <c r="B441"/>
  <c r="D441"/>
  <c r="Y437"/>
  <c r="BD439"/>
  <c r="BF439" s="1"/>
  <c r="BA439"/>
  <c r="K439"/>
  <c r="AT439"/>
  <c r="AW439"/>
  <c r="AY439" s="1"/>
  <c r="AR439" s="1"/>
  <c r="O438"/>
  <c r="W438"/>
  <c r="AP440"/>
  <c r="AO440"/>
  <c r="AN440"/>
  <c r="AV440"/>
  <c r="AU440"/>
  <c r="Q440"/>
  <c r="BC440"/>
  <c r="I440"/>
  <c r="BB440"/>
  <c r="E440"/>
  <c r="R439"/>
  <c r="AH195" l="1"/>
  <c r="Z195"/>
  <c r="AA195"/>
  <c r="H439"/>
  <c r="A442"/>
  <c r="AS442"/>
  <c r="C443"/>
  <c r="B442"/>
  <c r="D442"/>
  <c r="F441" s="1"/>
  <c r="T441" s="1"/>
  <c r="O439"/>
  <c r="W439"/>
  <c r="Y438"/>
  <c r="R440"/>
  <c r="BE440"/>
  <c r="BG440" s="1"/>
  <c r="AX440"/>
  <c r="AZ440" s="1"/>
  <c r="AV441"/>
  <c r="BB441"/>
  <c r="AO441"/>
  <c r="AN441"/>
  <c r="I441"/>
  <c r="AP441"/>
  <c r="BC441"/>
  <c r="Q441"/>
  <c r="AU441"/>
  <c r="E441"/>
  <c r="R441" s="1"/>
  <c r="F440"/>
  <c r="BA440"/>
  <c r="BD440"/>
  <c r="BF440" s="1"/>
  <c r="AW440"/>
  <c r="AY440" s="1"/>
  <c r="AT440"/>
  <c r="K440"/>
  <c r="P196" l="1"/>
  <c r="AF195"/>
  <c r="AG195"/>
  <c r="Y439"/>
  <c r="H441"/>
  <c r="O440"/>
  <c r="W440"/>
  <c r="K441"/>
  <c r="AT441"/>
  <c r="AW441"/>
  <c r="AY441" s="1"/>
  <c r="AX441"/>
  <c r="AZ441" s="1"/>
  <c r="BD441"/>
  <c r="BF441" s="1"/>
  <c r="BA441"/>
  <c r="AS443"/>
  <c r="C444"/>
  <c r="A443"/>
  <c r="B443"/>
  <c r="D443"/>
  <c r="AR440"/>
  <c r="T440"/>
  <c r="S441" s="1"/>
  <c r="H440"/>
  <c r="BE441"/>
  <c r="BG441" s="1"/>
  <c r="BC442"/>
  <c r="Q442"/>
  <c r="AV442"/>
  <c r="AP442"/>
  <c r="AO442"/>
  <c r="I442"/>
  <c r="BB442"/>
  <c r="AU442"/>
  <c r="AN442"/>
  <c r="E442"/>
  <c r="R442" s="1"/>
  <c r="S442"/>
  <c r="U196" l="1"/>
  <c r="AB196" s="1"/>
  <c r="Y440"/>
  <c r="F442"/>
  <c r="H442" s="1"/>
  <c r="AS444"/>
  <c r="D444"/>
  <c r="A444"/>
  <c r="B444"/>
  <c r="C445"/>
  <c r="O441"/>
  <c r="W441"/>
  <c r="BD442"/>
  <c r="BF442" s="1"/>
  <c r="BA442"/>
  <c r="BE442"/>
  <c r="BG442" s="1"/>
  <c r="I443"/>
  <c r="AN443"/>
  <c r="AU443"/>
  <c r="BC443"/>
  <c r="BB443"/>
  <c r="AO443"/>
  <c r="AP443"/>
  <c r="Q443"/>
  <c r="AV443"/>
  <c r="E443"/>
  <c r="AX442"/>
  <c r="AZ442" s="1"/>
  <c r="AW442"/>
  <c r="AY442" s="1"/>
  <c r="AT442"/>
  <c r="K442"/>
  <c r="AR441"/>
  <c r="AA196" l="1"/>
  <c r="Z196"/>
  <c r="AH196"/>
  <c r="Y441"/>
  <c r="F443"/>
  <c r="T443" s="1"/>
  <c r="S444" s="1"/>
  <c r="T442"/>
  <c r="S443" s="1"/>
  <c r="AR442"/>
  <c r="BD443"/>
  <c r="BF443" s="1"/>
  <c r="BA443"/>
  <c r="AX443"/>
  <c r="AZ443" s="1"/>
  <c r="A445"/>
  <c r="C446"/>
  <c r="AS445"/>
  <c r="B445"/>
  <c r="D445"/>
  <c r="O442"/>
  <c r="Y442" s="1"/>
  <c r="W442"/>
  <c r="AT443"/>
  <c r="K443"/>
  <c r="AW443"/>
  <c r="AY443" s="1"/>
  <c r="AU444"/>
  <c r="AO444"/>
  <c r="AN444"/>
  <c r="Q444"/>
  <c r="BC444"/>
  <c r="AV444"/>
  <c r="AP444"/>
  <c r="I444"/>
  <c r="BB444"/>
  <c r="E444"/>
  <c r="BE443"/>
  <c r="BG443" s="1"/>
  <c r="R443"/>
  <c r="H443" l="1"/>
  <c r="AG196"/>
  <c r="AF196"/>
  <c r="P197"/>
  <c r="U197" s="1"/>
  <c r="AB197" s="1"/>
  <c r="Z197"/>
  <c r="AR443"/>
  <c r="F444"/>
  <c r="H444" s="1"/>
  <c r="BD444"/>
  <c r="BF444" s="1"/>
  <c r="BA444"/>
  <c r="BE444"/>
  <c r="BG444" s="1"/>
  <c r="AW444"/>
  <c r="AY444" s="1"/>
  <c r="AT444"/>
  <c r="K444"/>
  <c r="D446"/>
  <c r="A446"/>
  <c r="C447"/>
  <c r="B446"/>
  <c r="AS446"/>
  <c r="AX444"/>
  <c r="AZ444" s="1"/>
  <c r="O443"/>
  <c r="Y443" s="1"/>
  <c r="W443"/>
  <c r="R444"/>
  <c r="AU445"/>
  <c r="Q445"/>
  <c r="I445"/>
  <c r="AN445"/>
  <c r="AV445"/>
  <c r="AO445"/>
  <c r="AP445"/>
  <c r="BC445"/>
  <c r="BB445"/>
  <c r="E445"/>
  <c r="AH197" l="1"/>
  <c r="AF197"/>
  <c r="AA197"/>
  <c r="T444"/>
  <c r="S445" s="1"/>
  <c r="F445"/>
  <c r="T445" s="1"/>
  <c r="S446" s="1"/>
  <c r="AR444"/>
  <c r="BD445"/>
  <c r="BF445" s="1"/>
  <c r="BA445"/>
  <c r="AX445"/>
  <c r="AZ445" s="1"/>
  <c r="AW445"/>
  <c r="AY445" s="1"/>
  <c r="AT445"/>
  <c r="K445"/>
  <c r="H445"/>
  <c r="R445"/>
  <c r="BE445"/>
  <c r="BG445" s="1"/>
  <c r="AP446"/>
  <c r="AN446"/>
  <c r="AV446"/>
  <c r="Q446"/>
  <c r="BC446"/>
  <c r="AU446"/>
  <c r="BB446"/>
  <c r="I446"/>
  <c r="AO446"/>
  <c r="E446"/>
  <c r="D447"/>
  <c r="B447"/>
  <c r="A447"/>
  <c r="AS447" s="1"/>
  <c r="C448"/>
  <c r="O444"/>
  <c r="Y444" s="1"/>
  <c r="W444"/>
  <c r="AG197" l="1"/>
  <c r="P198"/>
  <c r="AR445"/>
  <c r="D448"/>
  <c r="AS448"/>
  <c r="A448"/>
  <c r="B448"/>
  <c r="C449"/>
  <c r="BE446"/>
  <c r="BG446" s="1"/>
  <c r="AW446"/>
  <c r="AY446" s="1"/>
  <c r="AT446"/>
  <c r="K446"/>
  <c r="F446"/>
  <c r="Q447"/>
  <c r="AO447"/>
  <c r="AN447"/>
  <c r="BC447"/>
  <c r="AU447"/>
  <c r="AV447"/>
  <c r="I447"/>
  <c r="AP447"/>
  <c r="BB447"/>
  <c r="E447"/>
  <c r="BD446"/>
  <c r="BF446" s="1"/>
  <c r="BA446"/>
  <c r="AX446"/>
  <c r="AZ446" s="1"/>
  <c r="R446"/>
  <c r="O445"/>
  <c r="Y445" s="1"/>
  <c r="W445"/>
  <c r="U198" l="1"/>
  <c r="AA198" s="1"/>
  <c r="AR446"/>
  <c r="G436"/>
  <c r="G437" s="1"/>
  <c r="G438" s="1"/>
  <c r="G439" s="1"/>
  <c r="G440" s="1"/>
  <c r="G441" s="1"/>
  <c r="G442" s="1"/>
  <c r="G443" s="1"/>
  <c r="G444" s="1"/>
  <c r="G445" s="1"/>
  <c r="G446" s="1"/>
  <c r="G447" s="1"/>
  <c r="BE447"/>
  <c r="BG447" s="1"/>
  <c r="T446"/>
  <c r="S447" s="1"/>
  <c r="H446"/>
  <c r="O446"/>
  <c r="Y446" s="1"/>
  <c r="W446"/>
  <c r="A449"/>
  <c r="B449"/>
  <c r="C450"/>
  <c r="D449"/>
  <c r="AS449"/>
  <c r="F447"/>
  <c r="BD447"/>
  <c r="BF447" s="1"/>
  <c r="BA447"/>
  <c r="AW447"/>
  <c r="AY447" s="1"/>
  <c r="AT447"/>
  <c r="K447"/>
  <c r="AU448"/>
  <c r="BB448"/>
  <c r="AP448"/>
  <c r="AN448"/>
  <c r="Q448"/>
  <c r="AO448"/>
  <c r="BC448"/>
  <c r="AV448"/>
  <c r="I448"/>
  <c r="E448"/>
  <c r="AX447"/>
  <c r="AZ447" s="1"/>
  <c r="R447"/>
  <c r="Z198" l="1"/>
  <c r="AF198" s="1"/>
  <c r="AB198"/>
  <c r="AG198"/>
  <c r="AR447"/>
  <c r="BA448"/>
  <c r="BD448"/>
  <c r="BF448" s="1"/>
  <c r="BE448"/>
  <c r="BG448" s="1"/>
  <c r="AX448"/>
  <c r="AZ448" s="1"/>
  <c r="AW448"/>
  <c r="AY448" s="1"/>
  <c r="AT448"/>
  <c r="K448"/>
  <c r="T447"/>
  <c r="H447"/>
  <c r="D450"/>
  <c r="AS450"/>
  <c r="B450"/>
  <c r="A450"/>
  <c r="C451"/>
  <c r="O447"/>
  <c r="Y447" s="1"/>
  <c r="W447"/>
  <c r="V447"/>
  <c r="AV449"/>
  <c r="AN449"/>
  <c r="BC449"/>
  <c r="I449"/>
  <c r="BB449"/>
  <c r="AP449"/>
  <c r="AU449"/>
  <c r="Q449"/>
  <c r="AO449"/>
  <c r="E449"/>
  <c r="R448"/>
  <c r="F448"/>
  <c r="F449"/>
  <c r="T449" s="1"/>
  <c r="P199" l="1"/>
  <c r="U199" s="1"/>
  <c r="Z199" s="1"/>
  <c r="AH198"/>
  <c r="AR448"/>
  <c r="T448"/>
  <c r="S449" s="1"/>
  <c r="H448"/>
  <c r="S448"/>
  <c r="S450"/>
  <c r="AW449"/>
  <c r="AY449" s="1"/>
  <c r="K449"/>
  <c r="AT449"/>
  <c r="BD449"/>
  <c r="BF449" s="1"/>
  <c r="BA449"/>
  <c r="AX449"/>
  <c r="AZ449" s="1"/>
  <c r="H449"/>
  <c r="BG449"/>
  <c r="BE449"/>
  <c r="BC450"/>
  <c r="AP450"/>
  <c r="AN450"/>
  <c r="AV450"/>
  <c r="AO450"/>
  <c r="AU450"/>
  <c r="I450"/>
  <c r="BB450"/>
  <c r="Q450"/>
  <c r="E450"/>
  <c r="R450" s="1"/>
  <c r="R449"/>
  <c r="AS451"/>
  <c r="C452"/>
  <c r="A451"/>
  <c r="D451"/>
  <c r="B451"/>
  <c r="O448"/>
  <c r="W448"/>
  <c r="AR449" l="1"/>
  <c r="AF199"/>
  <c r="AA199"/>
  <c r="AG199" s="1"/>
  <c r="AB199"/>
  <c r="AH199" s="1"/>
  <c r="AP451"/>
  <c r="AN451"/>
  <c r="AU451"/>
  <c r="I451"/>
  <c r="AO451"/>
  <c r="Q451"/>
  <c r="BB451"/>
  <c r="BC451"/>
  <c r="AV451"/>
  <c r="E451"/>
  <c r="R451" s="1"/>
  <c r="BA450"/>
  <c r="BD450"/>
  <c r="BF450" s="1"/>
  <c r="BE450"/>
  <c r="BG450" s="1"/>
  <c r="O449"/>
  <c r="W449"/>
  <c r="D452"/>
  <c r="C453"/>
  <c r="A452"/>
  <c r="AS452"/>
  <c r="B452"/>
  <c r="AW450"/>
  <c r="AY450" s="1"/>
  <c r="AT450"/>
  <c r="K450"/>
  <c r="Y448"/>
  <c r="AX450"/>
  <c r="AZ450" s="1"/>
  <c r="F450"/>
  <c r="P200" l="1"/>
  <c r="U200" s="1"/>
  <c r="AB200" s="1"/>
  <c r="AH200" s="1"/>
  <c r="Y449"/>
  <c r="T450"/>
  <c r="S451" s="1"/>
  <c r="H450"/>
  <c r="AX451"/>
  <c r="AZ451" s="1"/>
  <c r="C454"/>
  <c r="A453"/>
  <c r="D453"/>
  <c r="AS453"/>
  <c r="B453"/>
  <c r="BD451"/>
  <c r="BF451" s="1"/>
  <c r="BA451"/>
  <c r="AW451"/>
  <c r="AY451" s="1"/>
  <c r="AT451"/>
  <c r="K451"/>
  <c r="AR450"/>
  <c r="F451"/>
  <c r="O450"/>
  <c r="Y450" s="1"/>
  <c r="W450"/>
  <c r="AP452"/>
  <c r="I452"/>
  <c r="BC452"/>
  <c r="Q452"/>
  <c r="AU452"/>
  <c r="AN452"/>
  <c r="AO452"/>
  <c r="AV452"/>
  <c r="BB452"/>
  <c r="E452"/>
  <c r="R452" s="1"/>
  <c r="BE451"/>
  <c r="BG451" s="1"/>
  <c r="Z200" l="1"/>
  <c r="AA200"/>
  <c r="AG200" s="1"/>
  <c r="AR451"/>
  <c r="F452"/>
  <c r="BE452"/>
  <c r="BG452" s="1"/>
  <c r="O451"/>
  <c r="Y451" s="1"/>
  <c r="W451"/>
  <c r="A454"/>
  <c r="AS454"/>
  <c r="B454"/>
  <c r="D454"/>
  <c r="F453" s="1"/>
  <c r="T453" s="1"/>
  <c r="C455"/>
  <c r="AX452"/>
  <c r="AZ452" s="1"/>
  <c r="BD452"/>
  <c r="BF452" s="1"/>
  <c r="BA452"/>
  <c r="AW452"/>
  <c r="AY452" s="1"/>
  <c r="K452"/>
  <c r="AT452"/>
  <c r="T451"/>
  <c r="S452" s="1"/>
  <c r="H451"/>
  <c r="I453"/>
  <c r="BC453"/>
  <c r="Q453"/>
  <c r="AP453"/>
  <c r="AV453"/>
  <c r="AU453"/>
  <c r="BB453"/>
  <c r="AO453"/>
  <c r="AN453"/>
  <c r="E453"/>
  <c r="R453" s="1"/>
  <c r="P201" l="1"/>
  <c r="AF200"/>
  <c r="K453"/>
  <c r="AW453"/>
  <c r="AY453" s="1"/>
  <c r="AT453"/>
  <c r="BA453"/>
  <c r="BD453"/>
  <c r="BF453" s="1"/>
  <c r="BE453"/>
  <c r="BG453" s="1"/>
  <c r="AX453"/>
  <c r="AZ453" s="1"/>
  <c r="AU454"/>
  <c r="BB454"/>
  <c r="AP454"/>
  <c r="AV454"/>
  <c r="AN454"/>
  <c r="Q454"/>
  <c r="I454"/>
  <c r="AO454"/>
  <c r="BC454"/>
  <c r="E454"/>
  <c r="H453"/>
  <c r="AR452"/>
  <c r="C456"/>
  <c r="D455"/>
  <c r="B455"/>
  <c r="AS455"/>
  <c r="A455"/>
  <c r="O452"/>
  <c r="Y452" s="1"/>
  <c r="W452"/>
  <c r="T452"/>
  <c r="S453" s="1"/>
  <c r="H452"/>
  <c r="S454"/>
  <c r="AB201" l="1"/>
  <c r="AH201" s="1"/>
  <c r="U201"/>
  <c r="AR453"/>
  <c r="BD454"/>
  <c r="BF454" s="1"/>
  <c r="BA454"/>
  <c r="O453"/>
  <c r="Y453" s="1"/>
  <c r="W453"/>
  <c r="R454"/>
  <c r="AO455"/>
  <c r="AU455"/>
  <c r="BC455"/>
  <c r="Q455"/>
  <c r="AP455"/>
  <c r="BB455"/>
  <c r="AV455"/>
  <c r="AN455"/>
  <c r="I455"/>
  <c r="E455"/>
  <c r="A456"/>
  <c r="D456"/>
  <c r="C457"/>
  <c r="AS456"/>
  <c r="B456"/>
  <c r="AX454"/>
  <c r="AZ454" s="1"/>
  <c r="F454"/>
  <c r="BE454"/>
  <c r="BG454" s="1"/>
  <c r="AW454"/>
  <c r="AY454" s="1"/>
  <c r="AT454"/>
  <c r="K454"/>
  <c r="Z201" l="1"/>
  <c r="AA201"/>
  <c r="AG201" s="1"/>
  <c r="AR454"/>
  <c r="O454"/>
  <c r="Y454" s="1"/>
  <c r="W454"/>
  <c r="B457"/>
  <c r="AS457"/>
  <c r="C458"/>
  <c r="D457"/>
  <c r="A457"/>
  <c r="BD455"/>
  <c r="BF455" s="1"/>
  <c r="BA455"/>
  <c r="AY455"/>
  <c r="AW455"/>
  <c r="AT455"/>
  <c r="K455"/>
  <c r="F455"/>
  <c r="T454"/>
  <c r="S455" s="1"/>
  <c r="H454"/>
  <c r="AN456"/>
  <c r="BB456"/>
  <c r="AO456"/>
  <c r="AP456"/>
  <c r="BC456"/>
  <c r="AU456"/>
  <c r="I456"/>
  <c r="Q456"/>
  <c r="AV456"/>
  <c r="E456"/>
  <c r="AZ455"/>
  <c r="AX455"/>
  <c r="BE455"/>
  <c r="BG455" s="1"/>
  <c r="R455"/>
  <c r="AF201" l="1"/>
  <c r="P202"/>
  <c r="BE456"/>
  <c r="BG456" s="1"/>
  <c r="O455"/>
  <c r="Y455" s="1"/>
  <c r="W455"/>
  <c r="Q457"/>
  <c r="AO457"/>
  <c r="I457"/>
  <c r="AN457"/>
  <c r="BC457"/>
  <c r="AP457"/>
  <c r="BB457"/>
  <c r="AV457"/>
  <c r="AU457"/>
  <c r="E457"/>
  <c r="R457" s="1"/>
  <c r="AX456"/>
  <c r="AZ456" s="1"/>
  <c r="K456"/>
  <c r="AW456"/>
  <c r="AY456" s="1"/>
  <c r="AT456"/>
  <c r="T455"/>
  <c r="S456" s="1"/>
  <c r="H455"/>
  <c r="AR455"/>
  <c r="R456"/>
  <c r="D458"/>
  <c r="B458"/>
  <c r="AS458"/>
  <c r="A458"/>
  <c r="C459"/>
  <c r="BA456"/>
  <c r="BD456"/>
  <c r="BF456" s="1"/>
  <c r="F456"/>
  <c r="U202" l="1"/>
  <c r="AB202"/>
  <c r="AH202" s="1"/>
  <c r="AR456"/>
  <c r="T456"/>
  <c r="S457" s="1"/>
  <c r="H456"/>
  <c r="AX457"/>
  <c r="AZ457" s="1"/>
  <c r="AP458"/>
  <c r="AU458"/>
  <c r="I458"/>
  <c r="AN458"/>
  <c r="BC458"/>
  <c r="AV458"/>
  <c r="AO458"/>
  <c r="BB458"/>
  <c r="Q458"/>
  <c r="E458"/>
  <c r="AW457"/>
  <c r="AY457" s="1"/>
  <c r="AR457" s="1"/>
  <c r="AT457"/>
  <c r="K457"/>
  <c r="BG457"/>
  <c r="BE457"/>
  <c r="O456"/>
  <c r="Y456" s="1"/>
  <c r="W456"/>
  <c r="B459"/>
  <c r="D459"/>
  <c r="C460"/>
  <c r="A459"/>
  <c r="AS459" s="1"/>
  <c r="F458"/>
  <c r="T458" s="1"/>
  <c r="BA457"/>
  <c r="BD457"/>
  <c r="BF457" s="1"/>
  <c r="F457"/>
  <c r="Z202" l="1"/>
  <c r="AA202"/>
  <c r="AG202" s="1"/>
  <c r="AS460"/>
  <c r="A460"/>
  <c r="B460"/>
  <c r="C461"/>
  <c r="D460"/>
  <c r="BE458"/>
  <c r="BG458" s="1"/>
  <c r="AX458"/>
  <c r="AZ458" s="1"/>
  <c r="AW458"/>
  <c r="AY458" s="1"/>
  <c r="K458"/>
  <c r="AT458"/>
  <c r="S459"/>
  <c r="H458"/>
  <c r="O457"/>
  <c r="Y457" s="1"/>
  <c r="W457"/>
  <c r="T457"/>
  <c r="S458" s="1"/>
  <c r="H457"/>
  <c r="Q459"/>
  <c r="AO459"/>
  <c r="BB459"/>
  <c r="AN459"/>
  <c r="AP459"/>
  <c r="AV459"/>
  <c r="AU459"/>
  <c r="I459"/>
  <c r="BC459"/>
  <c r="E459"/>
  <c r="R459" s="1"/>
  <c r="F459"/>
  <c r="T459" s="1"/>
  <c r="BD458"/>
  <c r="BF458" s="1"/>
  <c r="BA458"/>
  <c r="R458"/>
  <c r="P203" l="1"/>
  <c r="AF202"/>
  <c r="AR458"/>
  <c r="S460"/>
  <c r="AT459"/>
  <c r="AW459"/>
  <c r="AY459" s="1"/>
  <c r="K459"/>
  <c r="BD459"/>
  <c r="BF459" s="1"/>
  <c r="BA459"/>
  <c r="AV460"/>
  <c r="AP460"/>
  <c r="AO460"/>
  <c r="BB460"/>
  <c r="AU460"/>
  <c r="I460"/>
  <c r="AN460"/>
  <c r="BC460"/>
  <c r="Q460"/>
  <c r="E460"/>
  <c r="H459"/>
  <c r="BE459"/>
  <c r="BG459" s="1"/>
  <c r="O458"/>
  <c r="Y458" s="1"/>
  <c r="W458"/>
  <c r="G448"/>
  <c r="G449" s="1"/>
  <c r="G450" s="1"/>
  <c r="G451" s="1"/>
  <c r="G452" s="1"/>
  <c r="G453" s="1"/>
  <c r="G454" s="1"/>
  <c r="G455" s="1"/>
  <c r="G456" s="1"/>
  <c r="G457" s="1"/>
  <c r="G458" s="1"/>
  <c r="G459" s="1"/>
  <c r="AX459"/>
  <c r="AZ459" s="1"/>
  <c r="B461"/>
  <c r="A461"/>
  <c r="C462"/>
  <c r="D461"/>
  <c r="AS461"/>
  <c r="R460"/>
  <c r="U203" l="1"/>
  <c r="AB203"/>
  <c r="AH203" s="1"/>
  <c r="F460"/>
  <c r="H460" s="1"/>
  <c r="AR459"/>
  <c r="BA460"/>
  <c r="BD460"/>
  <c r="BF460" s="1"/>
  <c r="BC461"/>
  <c r="AP461"/>
  <c r="AO461"/>
  <c r="BB461"/>
  <c r="I461"/>
  <c r="Q461"/>
  <c r="AV461"/>
  <c r="AU461"/>
  <c r="AN461"/>
  <c r="E461"/>
  <c r="AW460"/>
  <c r="AY460" s="1"/>
  <c r="K460"/>
  <c r="AT460"/>
  <c r="AX460"/>
  <c r="AZ460" s="1"/>
  <c r="O459"/>
  <c r="Y459" s="1"/>
  <c r="W459"/>
  <c r="V459"/>
  <c r="A462"/>
  <c r="D462"/>
  <c r="R461"/>
  <c r="B462"/>
  <c r="AS462"/>
  <c r="C463"/>
  <c r="BE460"/>
  <c r="BG460" s="1"/>
  <c r="Z203" l="1"/>
  <c r="AA203"/>
  <c r="AG203" s="1"/>
  <c r="T460"/>
  <c r="S461" s="1"/>
  <c r="F461"/>
  <c r="T461" s="1"/>
  <c r="S462" s="1"/>
  <c r="AR460"/>
  <c r="Q462"/>
  <c r="BB462"/>
  <c r="AU462"/>
  <c r="BC462"/>
  <c r="AP462"/>
  <c r="AO462"/>
  <c r="AN462"/>
  <c r="AV462"/>
  <c r="I462"/>
  <c r="E462"/>
  <c r="R462" s="1"/>
  <c r="BE461"/>
  <c r="BG461" s="1"/>
  <c r="B463"/>
  <c r="AS463"/>
  <c r="A463"/>
  <c r="D463"/>
  <c r="C464"/>
  <c r="AX461"/>
  <c r="AZ461" s="1"/>
  <c r="O460"/>
  <c r="Y460" s="1"/>
  <c r="W460"/>
  <c r="AW461"/>
  <c r="AY461" s="1"/>
  <c r="K461"/>
  <c r="AT461"/>
  <c r="BD461"/>
  <c r="BF461" s="1"/>
  <c r="BA461"/>
  <c r="H461"/>
  <c r="P204" l="1"/>
  <c r="U204" s="1"/>
  <c r="AB204" s="1"/>
  <c r="AF203"/>
  <c r="Z204"/>
  <c r="AA204"/>
  <c r="AH204"/>
  <c r="F462"/>
  <c r="T462" s="1"/>
  <c r="S463" s="1"/>
  <c r="BC463"/>
  <c r="AU463"/>
  <c r="AV463"/>
  <c r="BB463"/>
  <c r="AO463"/>
  <c r="Q463"/>
  <c r="I463"/>
  <c r="AP463"/>
  <c r="AN463"/>
  <c r="E463"/>
  <c r="H462"/>
  <c r="O461"/>
  <c r="Y461" s="1"/>
  <c r="W461"/>
  <c r="AX462"/>
  <c r="AZ462" s="1"/>
  <c r="BE462"/>
  <c r="BG462" s="1"/>
  <c r="BD462"/>
  <c r="BF462" s="1"/>
  <c r="BA462"/>
  <c r="C465"/>
  <c r="AS464"/>
  <c r="R463"/>
  <c r="D464"/>
  <c r="A464"/>
  <c r="B464"/>
  <c r="AW462"/>
  <c r="AY462" s="1"/>
  <c r="K462"/>
  <c r="AT462"/>
  <c r="AR461"/>
  <c r="AF204" l="1"/>
  <c r="P205"/>
  <c r="AG204"/>
  <c r="F463"/>
  <c r="T463" s="1"/>
  <c r="S464" s="1"/>
  <c r="O462"/>
  <c r="Y462" s="1"/>
  <c r="W462"/>
  <c r="AW463"/>
  <c r="AY463" s="1"/>
  <c r="AT463"/>
  <c r="K463"/>
  <c r="BE463"/>
  <c r="BG463" s="1"/>
  <c r="I464"/>
  <c r="AV464"/>
  <c r="AO464"/>
  <c r="BB464"/>
  <c r="AP464"/>
  <c r="AU464"/>
  <c r="BC464"/>
  <c r="AN464"/>
  <c r="Q464"/>
  <c r="E464"/>
  <c r="A465"/>
  <c r="B465"/>
  <c r="C466"/>
  <c r="AS465"/>
  <c r="D465"/>
  <c r="AX463"/>
  <c r="AZ463" s="1"/>
  <c r="AR462"/>
  <c r="BA463"/>
  <c r="BD463"/>
  <c r="BF463" s="1"/>
  <c r="U205" l="1"/>
  <c r="AB205" s="1"/>
  <c r="H463"/>
  <c r="F464"/>
  <c r="H464" s="1"/>
  <c r="B466"/>
  <c r="D466"/>
  <c r="AS466"/>
  <c r="C467"/>
  <c r="A466"/>
  <c r="AW464"/>
  <c r="AY464" s="1"/>
  <c r="AT464"/>
  <c r="K464"/>
  <c r="AR463"/>
  <c r="AX464"/>
  <c r="AZ464" s="1"/>
  <c r="BB465"/>
  <c r="BC465"/>
  <c r="AO465"/>
  <c r="Q465"/>
  <c r="AU465"/>
  <c r="I465"/>
  <c r="AN465"/>
  <c r="AP465"/>
  <c r="AV465"/>
  <c r="E465"/>
  <c r="BE464"/>
  <c r="BG464" s="1"/>
  <c r="R464"/>
  <c r="BA464"/>
  <c r="BD464"/>
  <c r="BF464" s="1"/>
  <c r="O463"/>
  <c r="Y463" s="1"/>
  <c r="W463"/>
  <c r="AA205" l="1"/>
  <c r="Z205"/>
  <c r="AH205"/>
  <c r="F465"/>
  <c r="T465" s="1"/>
  <c r="T464"/>
  <c r="S465" s="1"/>
  <c r="S466"/>
  <c r="AR464"/>
  <c r="BE465"/>
  <c r="BG465" s="1"/>
  <c r="B467"/>
  <c r="A467"/>
  <c r="AS467"/>
  <c r="D467"/>
  <c r="C468"/>
  <c r="H465"/>
  <c r="R465"/>
  <c r="AX465"/>
  <c r="AZ465" s="1"/>
  <c r="AW465"/>
  <c r="AY465" s="1"/>
  <c r="K465"/>
  <c r="AT465"/>
  <c r="BA465"/>
  <c r="BD465"/>
  <c r="BF465" s="1"/>
  <c r="O464"/>
  <c r="Y464" s="1"/>
  <c r="W464"/>
  <c r="AP466"/>
  <c r="BC466"/>
  <c r="AV466"/>
  <c r="BB466"/>
  <c r="Q466"/>
  <c r="AU466"/>
  <c r="AO466"/>
  <c r="AN466"/>
  <c r="I466"/>
  <c r="E466"/>
  <c r="R466" s="1"/>
  <c r="AG205" l="1"/>
  <c r="AF205"/>
  <c r="P206"/>
  <c r="F466"/>
  <c r="T466" s="1"/>
  <c r="S467" s="1"/>
  <c r="AR465"/>
  <c r="AX466"/>
  <c r="AZ466" s="1"/>
  <c r="O465"/>
  <c r="W465"/>
  <c r="BA466"/>
  <c r="BD466"/>
  <c r="BF466" s="1"/>
  <c r="AV467"/>
  <c r="AP467"/>
  <c r="BB467"/>
  <c r="Q467"/>
  <c r="AN467"/>
  <c r="BC467"/>
  <c r="AU467"/>
  <c r="I467"/>
  <c r="AO467"/>
  <c r="E467"/>
  <c r="R467" s="1"/>
  <c r="AW466"/>
  <c r="AY466" s="1"/>
  <c r="AT466"/>
  <c r="K466"/>
  <c r="BE466"/>
  <c r="BG466" s="1"/>
  <c r="D468"/>
  <c r="AS468"/>
  <c r="A468"/>
  <c r="B468"/>
  <c r="C469"/>
  <c r="Y465"/>
  <c r="U206" l="1"/>
  <c r="AB206" s="1"/>
  <c r="H466"/>
  <c r="F467"/>
  <c r="T467" s="1"/>
  <c r="S468" s="1"/>
  <c r="AR466"/>
  <c r="C470"/>
  <c r="D469"/>
  <c r="A469"/>
  <c r="AS469"/>
  <c r="B469"/>
  <c r="AX467"/>
  <c r="AZ467" s="1"/>
  <c r="Q468"/>
  <c r="AP468"/>
  <c r="AU468"/>
  <c r="AO468"/>
  <c r="I468"/>
  <c r="AV468"/>
  <c r="AN468"/>
  <c r="BC468"/>
  <c r="BB468"/>
  <c r="E468"/>
  <c r="R468" s="1"/>
  <c r="BE467"/>
  <c r="BG467" s="1"/>
  <c r="F468"/>
  <c r="T468" s="1"/>
  <c r="S469" s="1"/>
  <c r="AW467"/>
  <c r="K467"/>
  <c r="AT467"/>
  <c r="AY467"/>
  <c r="BD467"/>
  <c r="BF467" s="1"/>
  <c r="BA467"/>
  <c r="O466"/>
  <c r="Y466" s="1"/>
  <c r="W466"/>
  <c r="AA206" l="1"/>
  <c r="Z206"/>
  <c r="AH206"/>
  <c r="N207"/>
  <c r="H467"/>
  <c r="BD468"/>
  <c r="BF468" s="1"/>
  <c r="BA468"/>
  <c r="AX468"/>
  <c r="AZ468" s="1"/>
  <c r="D470"/>
  <c r="C471"/>
  <c r="AS470"/>
  <c r="A470"/>
  <c r="B470"/>
  <c r="F469" s="1"/>
  <c r="T469" s="1"/>
  <c r="S470" s="1"/>
  <c r="H468"/>
  <c r="AT468"/>
  <c r="AW468"/>
  <c r="AY468" s="1"/>
  <c r="AR468" s="1"/>
  <c r="K468"/>
  <c r="BE468"/>
  <c r="BG468" s="1"/>
  <c r="AR467"/>
  <c r="O467"/>
  <c r="Y467" s="1"/>
  <c r="W467"/>
  <c r="AO469"/>
  <c r="AV469"/>
  <c r="AU469"/>
  <c r="AP469"/>
  <c r="BB469"/>
  <c r="I469"/>
  <c r="AN469"/>
  <c r="BC469"/>
  <c r="Q469"/>
  <c r="E469"/>
  <c r="AG206" l="1"/>
  <c r="M207"/>
  <c r="AF206"/>
  <c r="L207"/>
  <c r="P207"/>
  <c r="K469"/>
  <c r="AT469"/>
  <c r="AW469"/>
  <c r="AY469" s="1"/>
  <c r="BD469"/>
  <c r="BF469" s="1"/>
  <c r="BA469"/>
  <c r="AX469"/>
  <c r="AZ469" s="1"/>
  <c r="A471"/>
  <c r="B471"/>
  <c r="C472"/>
  <c r="D471"/>
  <c r="O468"/>
  <c r="Y468" s="1"/>
  <c r="W468"/>
  <c r="BE469"/>
  <c r="BG469" s="1"/>
  <c r="AP470"/>
  <c r="AV470"/>
  <c r="AO470"/>
  <c r="BB470"/>
  <c r="I470"/>
  <c r="AU470"/>
  <c r="BC470"/>
  <c r="Q470"/>
  <c r="AN470"/>
  <c r="E470"/>
  <c r="H469"/>
  <c r="R469"/>
  <c r="X207" l="1"/>
  <c r="AB207"/>
  <c r="U207"/>
  <c r="Z207" s="1"/>
  <c r="AA207"/>
  <c r="AR469"/>
  <c r="AX470"/>
  <c r="AZ470" s="1"/>
  <c r="C473"/>
  <c r="B472"/>
  <c r="AS472"/>
  <c r="A472"/>
  <c r="D472"/>
  <c r="I471"/>
  <c r="BB471"/>
  <c r="AP471"/>
  <c r="AN471"/>
  <c r="AO471"/>
  <c r="AU471"/>
  <c r="Q471"/>
  <c r="AV471"/>
  <c r="BC471"/>
  <c r="E471"/>
  <c r="O469"/>
  <c r="Y469" s="1"/>
  <c r="W469"/>
  <c r="BE470"/>
  <c r="BG470" s="1"/>
  <c r="R470"/>
  <c r="F470"/>
  <c r="AW470"/>
  <c r="AY470" s="1"/>
  <c r="AR470" s="1"/>
  <c r="K470"/>
  <c r="AT470"/>
  <c r="BA470"/>
  <c r="BD470"/>
  <c r="BF470" s="1"/>
  <c r="AS471"/>
  <c r="AH207" l="1"/>
  <c r="AF207"/>
  <c r="P208"/>
  <c r="U208" s="1"/>
  <c r="AB208" s="1"/>
  <c r="Z208"/>
  <c r="AG207"/>
  <c r="AA208"/>
  <c r="AG208" s="1"/>
  <c r="F471"/>
  <c r="T471" s="1"/>
  <c r="AX471"/>
  <c r="AZ471" s="1"/>
  <c r="B473"/>
  <c r="D473"/>
  <c r="AS473"/>
  <c r="C474"/>
  <c r="A473"/>
  <c r="BE471"/>
  <c r="BG471" s="1"/>
  <c r="G460"/>
  <c r="G461" s="1"/>
  <c r="G462" s="1"/>
  <c r="G463" s="1"/>
  <c r="G464" s="1"/>
  <c r="G465" s="1"/>
  <c r="G466" s="1"/>
  <c r="G467" s="1"/>
  <c r="G468" s="1"/>
  <c r="G469" s="1"/>
  <c r="G470" s="1"/>
  <c r="G471" s="1"/>
  <c r="O470"/>
  <c r="Y470" s="1"/>
  <c r="W470"/>
  <c r="K471"/>
  <c r="AT471"/>
  <c r="AW471"/>
  <c r="AY471" s="1"/>
  <c r="BA471"/>
  <c r="BD471"/>
  <c r="BF471" s="1"/>
  <c r="S472"/>
  <c r="T470"/>
  <c r="S471" s="1"/>
  <c r="H470"/>
  <c r="AV472"/>
  <c r="BB472"/>
  <c r="AU472"/>
  <c r="I472"/>
  <c r="AP472"/>
  <c r="BC472"/>
  <c r="AN472"/>
  <c r="Q472"/>
  <c r="AO472"/>
  <c r="E472"/>
  <c r="R471"/>
  <c r="F472" l="1"/>
  <c r="T472" s="1"/>
  <c r="S473" s="1"/>
  <c r="AH208"/>
  <c r="AF208"/>
  <c r="P209"/>
  <c r="H471"/>
  <c r="BA472"/>
  <c r="BD472"/>
  <c r="BF472" s="1"/>
  <c r="B474"/>
  <c r="C475"/>
  <c r="A474"/>
  <c r="AS474"/>
  <c r="D474"/>
  <c r="Q473"/>
  <c r="AO473"/>
  <c r="BC473"/>
  <c r="AN473"/>
  <c r="AV473"/>
  <c r="AU473"/>
  <c r="I473"/>
  <c r="AP473"/>
  <c r="BB473"/>
  <c r="E473"/>
  <c r="R472"/>
  <c r="AR471"/>
  <c r="H472"/>
  <c r="BE472"/>
  <c r="BG472" s="1"/>
  <c r="AW472"/>
  <c r="AY472" s="1"/>
  <c r="AT472"/>
  <c r="K472"/>
  <c r="AX472"/>
  <c r="AZ472" s="1"/>
  <c r="O471"/>
  <c r="Y471" s="1"/>
  <c r="W471"/>
  <c r="V471"/>
  <c r="U209" l="1"/>
  <c r="AA209" s="1"/>
  <c r="F473"/>
  <c r="H473" s="1"/>
  <c r="AR472"/>
  <c r="B475"/>
  <c r="D475"/>
  <c r="C476"/>
  <c r="A475"/>
  <c r="AS475"/>
  <c r="O472"/>
  <c r="W472"/>
  <c r="BD473"/>
  <c r="BF473" s="1"/>
  <c r="BA473"/>
  <c r="AX473"/>
  <c r="AZ473" s="1"/>
  <c r="Q474"/>
  <c r="AV474"/>
  <c r="AP474"/>
  <c r="I474"/>
  <c r="BC474"/>
  <c r="AO474"/>
  <c r="BB474"/>
  <c r="AU474"/>
  <c r="AN474"/>
  <c r="E474"/>
  <c r="AT473"/>
  <c r="AW473"/>
  <c r="AY473" s="1"/>
  <c r="AR473" s="1"/>
  <c r="K473"/>
  <c r="BE473"/>
  <c r="BG473" s="1"/>
  <c r="R473"/>
  <c r="AB209" l="1"/>
  <c r="Z209"/>
  <c r="AG209"/>
  <c r="T473"/>
  <c r="S474" s="1"/>
  <c r="F474"/>
  <c r="T474" s="1"/>
  <c r="O473"/>
  <c r="W473"/>
  <c r="BD474"/>
  <c r="BF474" s="1"/>
  <c r="BA474"/>
  <c r="AT474"/>
  <c r="K474"/>
  <c r="AW474"/>
  <c r="AY474" s="1"/>
  <c r="C477"/>
  <c r="D476"/>
  <c r="AS476"/>
  <c r="B476"/>
  <c r="A476"/>
  <c r="Y472"/>
  <c r="Y473" s="1"/>
  <c r="BE474"/>
  <c r="BG474" s="1"/>
  <c r="I475"/>
  <c r="BC475"/>
  <c r="AO475"/>
  <c r="AU475"/>
  <c r="AN475"/>
  <c r="AV475"/>
  <c r="BB475"/>
  <c r="Q475"/>
  <c r="AP475"/>
  <c r="E475"/>
  <c r="AX474"/>
  <c r="AZ474" s="1"/>
  <c r="R474"/>
  <c r="H474" l="1"/>
  <c r="AH209"/>
  <c r="AF209"/>
  <c r="P210"/>
  <c r="F475"/>
  <c r="T475" s="1"/>
  <c r="S476" s="1"/>
  <c r="S475"/>
  <c r="AR474"/>
  <c r="AX475"/>
  <c r="AZ475" s="1"/>
  <c r="BE475"/>
  <c r="BG475" s="1"/>
  <c r="BD475"/>
  <c r="BF475" s="1"/>
  <c r="BA475"/>
  <c r="AW475"/>
  <c r="AY475" s="1"/>
  <c r="AT475"/>
  <c r="K475"/>
  <c r="C478"/>
  <c r="A477"/>
  <c r="D477"/>
  <c r="B477"/>
  <c r="AS477"/>
  <c r="AO476"/>
  <c r="AN476"/>
  <c r="AU476"/>
  <c r="Q476"/>
  <c r="BC476"/>
  <c r="I476"/>
  <c r="AV476"/>
  <c r="BB476"/>
  <c r="AP476"/>
  <c r="E476"/>
  <c r="R476" s="1"/>
  <c r="O474"/>
  <c r="Y474" s="1"/>
  <c r="W474"/>
  <c r="R475"/>
  <c r="H475" l="1"/>
  <c r="AA210"/>
  <c r="U210"/>
  <c r="Z210" s="1"/>
  <c r="AB210"/>
  <c r="F476"/>
  <c r="T476" s="1"/>
  <c r="S477" s="1"/>
  <c r="BD476"/>
  <c r="BF476" s="1"/>
  <c r="BA476"/>
  <c r="AO477"/>
  <c r="I477"/>
  <c r="AN477"/>
  <c r="AP477"/>
  <c r="AU477"/>
  <c r="Q477"/>
  <c r="BC477"/>
  <c r="BB477"/>
  <c r="AV477"/>
  <c r="E477"/>
  <c r="R477" s="1"/>
  <c r="O475"/>
  <c r="Y475" s="1"/>
  <c r="W475"/>
  <c r="BE476"/>
  <c r="BG476" s="1"/>
  <c r="AR475"/>
  <c r="AX476"/>
  <c r="AZ476" s="1"/>
  <c r="AW476"/>
  <c r="AY476" s="1"/>
  <c r="K476"/>
  <c r="AT476"/>
  <c r="D478"/>
  <c r="AS478"/>
  <c r="B478"/>
  <c r="C479"/>
  <c r="A478"/>
  <c r="AG210" l="1"/>
  <c r="AF210"/>
  <c r="P211"/>
  <c r="AH210"/>
  <c r="U211"/>
  <c r="Z211" s="1"/>
  <c r="H476"/>
  <c r="AR476"/>
  <c r="O476"/>
  <c r="Y476" s="1"/>
  <c r="W476"/>
  <c r="AP478"/>
  <c r="AV478"/>
  <c r="I478"/>
  <c r="AO478"/>
  <c r="BC478"/>
  <c r="BB478"/>
  <c r="AN478"/>
  <c r="Q478"/>
  <c r="AU478"/>
  <c r="E478"/>
  <c r="R478" s="1"/>
  <c r="BE477"/>
  <c r="BG477" s="1"/>
  <c r="B479"/>
  <c r="C480"/>
  <c r="AS479"/>
  <c r="A479"/>
  <c r="D479"/>
  <c r="BD477"/>
  <c r="BF477" s="1"/>
  <c r="BA477"/>
  <c r="AX477"/>
  <c r="AZ477" s="1"/>
  <c r="AW477"/>
  <c r="AY477" s="1"/>
  <c r="K477"/>
  <c r="AT477"/>
  <c r="F477"/>
  <c r="AA211" l="1"/>
  <c r="AG211" s="1"/>
  <c r="AB211"/>
  <c r="AH211" s="1"/>
  <c r="F478"/>
  <c r="T478" s="1"/>
  <c r="AF211"/>
  <c r="AR477"/>
  <c r="AT478"/>
  <c r="AW478"/>
  <c r="AY478" s="1"/>
  <c r="K478"/>
  <c r="BE478"/>
  <c r="BG478" s="1"/>
  <c r="S479"/>
  <c r="O477"/>
  <c r="Y477" s="1"/>
  <c r="W477"/>
  <c r="AS480"/>
  <c r="A480"/>
  <c r="B480"/>
  <c r="D480"/>
  <c r="C481"/>
  <c r="BA478"/>
  <c r="BD478"/>
  <c r="BF478" s="1"/>
  <c r="AX478"/>
  <c r="AZ478" s="1"/>
  <c r="T477"/>
  <c r="S478" s="1"/>
  <c r="H477"/>
  <c r="AP479"/>
  <c r="I479"/>
  <c r="AO479"/>
  <c r="AV479"/>
  <c r="AN479"/>
  <c r="BC479"/>
  <c r="AU479"/>
  <c r="Q479"/>
  <c r="BB479"/>
  <c r="E479"/>
  <c r="H478" l="1"/>
  <c r="P212"/>
  <c r="U212" s="1"/>
  <c r="AA212" s="1"/>
  <c r="AG212" s="1"/>
  <c r="Z212"/>
  <c r="AB212"/>
  <c r="AR478"/>
  <c r="BE479"/>
  <c r="BG479" s="1"/>
  <c r="F479"/>
  <c r="AT479"/>
  <c r="AW479"/>
  <c r="AY479" s="1"/>
  <c r="K479"/>
  <c r="AX479"/>
  <c r="AZ479" s="1"/>
  <c r="A481"/>
  <c r="AS481"/>
  <c r="D481"/>
  <c r="C482"/>
  <c r="B481"/>
  <c r="O478"/>
  <c r="Y478" s="1"/>
  <c r="W478"/>
  <c r="R479"/>
  <c r="BD479"/>
  <c r="BF479" s="1"/>
  <c r="BA479"/>
  <c r="AU480"/>
  <c r="BC480"/>
  <c r="Q480"/>
  <c r="AV480"/>
  <c r="AO480"/>
  <c r="I480"/>
  <c r="BB480"/>
  <c r="AN480"/>
  <c r="AP480"/>
  <c r="E480"/>
  <c r="AF212" l="1"/>
  <c r="P213"/>
  <c r="U213" s="1"/>
  <c r="AH212"/>
  <c r="AR479"/>
  <c r="O479"/>
  <c r="Y479" s="1"/>
  <c r="W479"/>
  <c r="T479"/>
  <c r="S480" s="1"/>
  <c r="H479"/>
  <c r="BD480"/>
  <c r="BF480" s="1"/>
  <c r="BA480"/>
  <c r="C483"/>
  <c r="B482"/>
  <c r="AS482"/>
  <c r="D482"/>
  <c r="A482"/>
  <c r="I481"/>
  <c r="AP481"/>
  <c r="Q481"/>
  <c r="AU481"/>
  <c r="BB481"/>
  <c r="BC481"/>
  <c r="AV481"/>
  <c r="AO481"/>
  <c r="AN481"/>
  <c r="E481"/>
  <c r="AX480"/>
  <c r="AZ480" s="1"/>
  <c r="AW480"/>
  <c r="AY480" s="1"/>
  <c r="AT480"/>
  <c r="K480"/>
  <c r="BE480"/>
  <c r="BG480" s="1"/>
  <c r="R480"/>
  <c r="F480"/>
  <c r="AA213" l="1"/>
  <c r="AB213"/>
  <c r="Z213"/>
  <c r="F481"/>
  <c r="T481" s="1"/>
  <c r="O480"/>
  <c r="W480"/>
  <c r="AW481"/>
  <c r="AY481" s="1"/>
  <c r="AT481"/>
  <c r="K481"/>
  <c r="AV482"/>
  <c r="AO482"/>
  <c r="BB482"/>
  <c r="AP482"/>
  <c r="BC482"/>
  <c r="AU482"/>
  <c r="I482"/>
  <c r="AN482"/>
  <c r="Q482"/>
  <c r="E482"/>
  <c r="R482" s="1"/>
  <c r="AR480"/>
  <c r="Y480"/>
  <c r="BD481"/>
  <c r="BF481" s="1"/>
  <c r="BA481"/>
  <c r="T480"/>
  <c r="S481" s="1"/>
  <c r="H480"/>
  <c r="BE481"/>
  <c r="BG481" s="1"/>
  <c r="AX481"/>
  <c r="AZ481" s="1"/>
  <c r="C484"/>
  <c r="D483"/>
  <c r="B483"/>
  <c r="A483"/>
  <c r="AS483" s="1"/>
  <c r="S482"/>
  <c r="H481"/>
  <c r="R481"/>
  <c r="AG213" l="1"/>
  <c r="AH213"/>
  <c r="P214"/>
  <c r="U214" s="1"/>
  <c r="AF213"/>
  <c r="F482"/>
  <c r="H482" s="1"/>
  <c r="AR481"/>
  <c r="BE482"/>
  <c r="BG482" s="1"/>
  <c r="AX482"/>
  <c r="AZ482" s="1"/>
  <c r="AP483"/>
  <c r="AN483"/>
  <c r="BC483"/>
  <c r="I483"/>
  <c r="BB483"/>
  <c r="AO483"/>
  <c r="AU483"/>
  <c r="AV483"/>
  <c r="Q483"/>
  <c r="E483"/>
  <c r="R483" s="1"/>
  <c r="AW482"/>
  <c r="AY482" s="1"/>
  <c r="K482"/>
  <c r="AT482"/>
  <c r="B484"/>
  <c r="C485"/>
  <c r="A484"/>
  <c r="D484"/>
  <c r="AS484"/>
  <c r="BD482"/>
  <c r="BF482" s="1"/>
  <c r="BA482"/>
  <c r="O481"/>
  <c r="Y481" s="1"/>
  <c r="W481"/>
  <c r="AA214" l="1"/>
  <c r="Z214"/>
  <c r="AB214"/>
  <c r="AR482"/>
  <c r="T482"/>
  <c r="S483" s="1"/>
  <c r="O482"/>
  <c r="Y482" s="1"/>
  <c r="W482"/>
  <c r="BD483"/>
  <c r="BF483" s="1"/>
  <c r="BA483"/>
  <c r="AN484"/>
  <c r="Q484"/>
  <c r="BB484"/>
  <c r="AU484"/>
  <c r="I484"/>
  <c r="AP484"/>
  <c r="BC484"/>
  <c r="AV484"/>
  <c r="AO484"/>
  <c r="E484"/>
  <c r="AW483"/>
  <c r="AY483" s="1"/>
  <c r="AT483"/>
  <c r="K483"/>
  <c r="BE483"/>
  <c r="BG483" s="1"/>
  <c r="AS485"/>
  <c r="C486"/>
  <c r="A485"/>
  <c r="D485"/>
  <c r="B485"/>
  <c r="G472"/>
  <c r="G473" s="1"/>
  <c r="G474" s="1"/>
  <c r="G475" s="1"/>
  <c r="G476" s="1"/>
  <c r="G477" s="1"/>
  <c r="G478" s="1"/>
  <c r="G479" s="1"/>
  <c r="G480" s="1"/>
  <c r="G481" s="1"/>
  <c r="G482" s="1"/>
  <c r="G483" s="1"/>
  <c r="AZ483"/>
  <c r="AX483"/>
  <c r="F483"/>
  <c r="AG214" l="1"/>
  <c r="P215"/>
  <c r="AF214"/>
  <c r="AH214"/>
  <c r="F484"/>
  <c r="H484" s="1"/>
  <c r="AR483"/>
  <c r="O483"/>
  <c r="Y483" s="1"/>
  <c r="W483"/>
  <c r="V483"/>
  <c r="T483"/>
  <c r="H483"/>
  <c r="C487"/>
  <c r="D486"/>
  <c r="A486"/>
  <c r="AS486"/>
  <c r="B486"/>
  <c r="BE484"/>
  <c r="BG484" s="1"/>
  <c r="BA484"/>
  <c r="BD484"/>
  <c r="BF484" s="1"/>
  <c r="BB485"/>
  <c r="Q485"/>
  <c r="AU485"/>
  <c r="AO485"/>
  <c r="I485"/>
  <c r="AP485"/>
  <c r="AN485"/>
  <c r="AV485"/>
  <c r="BC485"/>
  <c r="E485"/>
  <c r="R485" s="1"/>
  <c r="AX484"/>
  <c r="AZ484" s="1"/>
  <c r="AW484"/>
  <c r="AY484" s="1"/>
  <c r="K484"/>
  <c r="AT484"/>
  <c r="R484"/>
  <c r="F485" l="1"/>
  <c r="T485" s="1"/>
  <c r="S486" s="1"/>
  <c r="U215"/>
  <c r="T484"/>
  <c r="S485" s="1"/>
  <c r="AR484"/>
  <c r="AP486"/>
  <c r="Q486"/>
  <c r="AN486"/>
  <c r="BC486"/>
  <c r="BB486"/>
  <c r="I486"/>
  <c r="AV486"/>
  <c r="AU486"/>
  <c r="AO486"/>
  <c r="E486"/>
  <c r="R486" s="1"/>
  <c r="AX485"/>
  <c r="AZ485" s="1"/>
  <c r="BE485"/>
  <c r="BG485" s="1"/>
  <c r="BD485"/>
  <c r="BF485" s="1"/>
  <c r="BA485"/>
  <c r="S484"/>
  <c r="H485"/>
  <c r="O484"/>
  <c r="W484"/>
  <c r="AW485"/>
  <c r="AY485" s="1"/>
  <c r="K485"/>
  <c r="AT485"/>
  <c r="B487"/>
  <c r="AS487"/>
  <c r="D487"/>
  <c r="C488"/>
  <c r="A487"/>
  <c r="Z215" l="1"/>
  <c r="AB215"/>
  <c r="AA215"/>
  <c r="AR485"/>
  <c r="AX486"/>
  <c r="AZ486" s="1"/>
  <c r="A488"/>
  <c r="AS488"/>
  <c r="D488"/>
  <c r="C489"/>
  <c r="B488"/>
  <c r="AW486"/>
  <c r="AY486" s="1"/>
  <c r="AT486"/>
  <c r="K486"/>
  <c r="BE486"/>
  <c r="BG486" s="1"/>
  <c r="F486"/>
  <c r="Y484"/>
  <c r="O485"/>
  <c r="W485"/>
  <c r="AP487"/>
  <c r="AV487"/>
  <c r="BC487"/>
  <c r="BB487"/>
  <c r="AN487"/>
  <c r="AO487"/>
  <c r="AU487"/>
  <c r="I487"/>
  <c r="Q487"/>
  <c r="E487"/>
  <c r="BA486"/>
  <c r="BD486"/>
  <c r="BF486" s="1"/>
  <c r="AF215" l="1"/>
  <c r="P216"/>
  <c r="U216" s="1"/>
  <c r="AH215"/>
  <c r="AG215"/>
  <c r="Y485"/>
  <c r="F487"/>
  <c r="T487" s="1"/>
  <c r="AT487"/>
  <c r="AW487"/>
  <c r="AY487" s="1"/>
  <c r="K487"/>
  <c r="BE487"/>
  <c r="BG487" s="1"/>
  <c r="O486"/>
  <c r="W486"/>
  <c r="T486"/>
  <c r="S487" s="1"/>
  <c r="H486"/>
  <c r="AR486"/>
  <c r="AS489"/>
  <c r="B489"/>
  <c r="A489"/>
  <c r="D489"/>
  <c r="C490"/>
  <c r="BB488"/>
  <c r="AN488"/>
  <c r="BC488"/>
  <c r="Q488"/>
  <c r="AO488"/>
  <c r="AU488"/>
  <c r="AP488"/>
  <c r="AV488"/>
  <c r="I488"/>
  <c r="E488"/>
  <c r="BD487"/>
  <c r="BF487" s="1"/>
  <c r="BA487"/>
  <c r="AX487"/>
  <c r="AZ487" s="1"/>
  <c r="R487"/>
  <c r="AB216" l="1"/>
  <c r="AH216" s="1"/>
  <c r="AA216"/>
  <c r="AG216" s="1"/>
  <c r="Z216"/>
  <c r="Y486"/>
  <c r="S488"/>
  <c r="F488"/>
  <c r="T488" s="1"/>
  <c r="S489" s="1"/>
  <c r="H487"/>
  <c r="AR487"/>
  <c r="BD488"/>
  <c r="BF488" s="1"/>
  <c r="BA488"/>
  <c r="AN489"/>
  <c r="AU489"/>
  <c r="I489"/>
  <c r="BB489"/>
  <c r="BC489"/>
  <c r="Q489"/>
  <c r="AV489"/>
  <c r="AO489"/>
  <c r="AP489"/>
  <c r="E489"/>
  <c r="O487"/>
  <c r="Y487" s="1"/>
  <c r="W487"/>
  <c r="AW488"/>
  <c r="AY488" s="1"/>
  <c r="K488"/>
  <c r="AT488"/>
  <c r="BE488"/>
  <c r="BG488" s="1"/>
  <c r="AX488"/>
  <c r="AZ488" s="1"/>
  <c r="A490"/>
  <c r="B490"/>
  <c r="R489"/>
  <c r="C491"/>
  <c r="AS490"/>
  <c r="D490"/>
  <c r="R488"/>
  <c r="P217" l="1"/>
  <c r="AF216"/>
  <c r="H488"/>
  <c r="BE489"/>
  <c r="BG489" s="1"/>
  <c r="O488"/>
  <c r="Y488" s="1"/>
  <c r="W488"/>
  <c r="AW489"/>
  <c r="AY489" s="1"/>
  <c r="AT489"/>
  <c r="K489"/>
  <c r="C492"/>
  <c r="B491"/>
  <c r="AS491"/>
  <c r="A491"/>
  <c r="D491"/>
  <c r="AX489"/>
  <c r="AZ489" s="1"/>
  <c r="F489"/>
  <c r="Q490"/>
  <c r="BB490"/>
  <c r="AP490"/>
  <c r="AO490"/>
  <c r="I490"/>
  <c r="AU490"/>
  <c r="AV490"/>
  <c r="AN490"/>
  <c r="BC490"/>
  <c r="E490"/>
  <c r="BD489"/>
  <c r="BF489" s="1"/>
  <c r="BA489"/>
  <c r="AR488"/>
  <c r="U217" l="1"/>
  <c r="Z217" s="1"/>
  <c r="AR489"/>
  <c r="AX490"/>
  <c r="AZ490" s="1"/>
  <c r="BE490"/>
  <c r="BG490" s="1"/>
  <c r="F490"/>
  <c r="AW490"/>
  <c r="AY490" s="1"/>
  <c r="AT490"/>
  <c r="K490"/>
  <c r="BD490"/>
  <c r="BF490" s="1"/>
  <c r="BA490"/>
  <c r="AP491"/>
  <c r="AO491"/>
  <c r="BB491"/>
  <c r="BC491"/>
  <c r="AN491"/>
  <c r="AV491"/>
  <c r="AU491"/>
  <c r="I491"/>
  <c r="Q491"/>
  <c r="E491"/>
  <c r="R491" s="1"/>
  <c r="O489"/>
  <c r="Y489" s="1"/>
  <c r="W489"/>
  <c r="C493"/>
  <c r="AS492"/>
  <c r="A492"/>
  <c r="B492"/>
  <c r="D492"/>
  <c r="R490"/>
  <c r="T489"/>
  <c r="S490" s="1"/>
  <c r="H489"/>
  <c r="AB217" l="1"/>
  <c r="AH217" s="1"/>
  <c r="AA217"/>
  <c r="P218" s="1"/>
  <c r="AF217"/>
  <c r="AG217"/>
  <c r="AX491"/>
  <c r="AZ491" s="1"/>
  <c r="T490"/>
  <c r="S491" s="1"/>
  <c r="H490"/>
  <c r="AR490"/>
  <c r="AW491"/>
  <c r="AY491" s="1"/>
  <c r="AR491" s="1"/>
  <c r="AT491"/>
  <c r="K491"/>
  <c r="BD491"/>
  <c r="BF491" s="1"/>
  <c r="BA491"/>
  <c r="C494"/>
  <c r="AS493"/>
  <c r="D493"/>
  <c r="B493"/>
  <c r="F492" s="1"/>
  <c r="A493"/>
  <c r="Q492"/>
  <c r="BB492"/>
  <c r="AU492"/>
  <c r="I492"/>
  <c r="AN492"/>
  <c r="AV492"/>
  <c r="BC492"/>
  <c r="AO492"/>
  <c r="AP492"/>
  <c r="E492"/>
  <c r="R492" s="1"/>
  <c r="BE491"/>
  <c r="BG491" s="1"/>
  <c r="O490"/>
  <c r="Y490" s="1"/>
  <c r="W490"/>
  <c r="F491"/>
  <c r="U218" l="1"/>
  <c r="T492"/>
  <c r="S493" s="1"/>
  <c r="H492"/>
  <c r="T491"/>
  <c r="S492" s="1"/>
  <c r="H491"/>
  <c r="Q493"/>
  <c r="I493"/>
  <c r="BC493"/>
  <c r="AN493"/>
  <c r="AU493"/>
  <c r="AO493"/>
  <c r="BB493"/>
  <c r="AV493"/>
  <c r="AP493"/>
  <c r="E493"/>
  <c r="R493" s="1"/>
  <c r="AX492"/>
  <c r="AZ492" s="1"/>
  <c r="BD492"/>
  <c r="BF492" s="1"/>
  <c r="BA492"/>
  <c r="BE492"/>
  <c r="BG492" s="1"/>
  <c r="AT492"/>
  <c r="AW492"/>
  <c r="AY492" s="1"/>
  <c r="K492"/>
  <c r="AS494"/>
  <c r="C495"/>
  <c r="B494"/>
  <c r="A494"/>
  <c r="D494"/>
  <c r="O491"/>
  <c r="Y491" s="1"/>
  <c r="W491"/>
  <c r="Z218" l="1"/>
  <c r="AA218"/>
  <c r="AB218"/>
  <c r="Q494"/>
  <c r="AN494"/>
  <c r="AU494"/>
  <c r="BC494"/>
  <c r="BB494"/>
  <c r="AO494"/>
  <c r="AP494"/>
  <c r="AV494"/>
  <c r="I494"/>
  <c r="E494"/>
  <c r="R494" s="1"/>
  <c r="BD493"/>
  <c r="BF493" s="1"/>
  <c r="BA493"/>
  <c r="O492"/>
  <c r="Y492" s="1"/>
  <c r="W492"/>
  <c r="K493"/>
  <c r="AT493"/>
  <c r="AW493"/>
  <c r="AY493" s="1"/>
  <c r="AR492"/>
  <c r="F493"/>
  <c r="AX493"/>
  <c r="AZ493" s="1"/>
  <c r="BE493"/>
  <c r="BG493" s="1"/>
  <c r="D495"/>
  <c r="A495"/>
  <c r="AS495" s="1"/>
  <c r="C496"/>
  <c r="B495"/>
  <c r="AF218" l="1"/>
  <c r="L219"/>
  <c r="P219"/>
  <c r="X219" s="1"/>
  <c r="AG218"/>
  <c r="M219"/>
  <c r="AA219"/>
  <c r="U219"/>
  <c r="Z219" s="1"/>
  <c r="AH218"/>
  <c r="N219"/>
  <c r="AB219"/>
  <c r="AR493"/>
  <c r="AX494"/>
  <c r="AZ494" s="1"/>
  <c r="BE494"/>
  <c r="BG494" s="1"/>
  <c r="O493"/>
  <c r="Y493" s="1"/>
  <c r="W493"/>
  <c r="BD494"/>
  <c r="BF494" s="1"/>
  <c r="BA494"/>
  <c r="AP495"/>
  <c r="AV495"/>
  <c r="AO495"/>
  <c r="BB495"/>
  <c r="AU495"/>
  <c r="AN495"/>
  <c r="BC495"/>
  <c r="Q495"/>
  <c r="I495"/>
  <c r="E495"/>
  <c r="R495" s="1"/>
  <c r="T493"/>
  <c r="S494" s="1"/>
  <c r="H493"/>
  <c r="AS496"/>
  <c r="B496"/>
  <c r="D496"/>
  <c r="C497"/>
  <c r="A496"/>
  <c r="AW494"/>
  <c r="AY494" s="1"/>
  <c r="AT494"/>
  <c r="K494"/>
  <c r="F494"/>
  <c r="P220" l="1"/>
  <c r="U220" s="1"/>
  <c r="AA220" s="1"/>
  <c r="AG219"/>
  <c r="AH219"/>
  <c r="AF219"/>
  <c r="BA495"/>
  <c r="BD495"/>
  <c r="BF495" s="1"/>
  <c r="O494"/>
  <c r="Y494" s="1"/>
  <c r="W494"/>
  <c r="G484"/>
  <c r="G485" s="1"/>
  <c r="G486" s="1"/>
  <c r="G487" s="1"/>
  <c r="G488" s="1"/>
  <c r="G489" s="1"/>
  <c r="G490" s="1"/>
  <c r="G491" s="1"/>
  <c r="G492" s="1"/>
  <c r="G493" s="1"/>
  <c r="G494" s="1"/>
  <c r="G495" s="1"/>
  <c r="AW495"/>
  <c r="AY495" s="1"/>
  <c r="AT495"/>
  <c r="K495"/>
  <c r="AR494"/>
  <c r="F495"/>
  <c r="D497"/>
  <c r="C498"/>
  <c r="A497"/>
  <c r="AS497"/>
  <c r="B497"/>
  <c r="I496"/>
  <c r="Q496"/>
  <c r="AN496"/>
  <c r="BC496"/>
  <c r="AU496"/>
  <c r="AO496"/>
  <c r="AV496"/>
  <c r="BB496"/>
  <c r="AP496"/>
  <c r="E496"/>
  <c r="T494"/>
  <c r="S495" s="1"/>
  <c r="H494"/>
  <c r="AX495"/>
  <c r="AZ495" s="1"/>
  <c r="BE495"/>
  <c r="BG495" s="1"/>
  <c r="Z220" l="1"/>
  <c r="AF220" s="1"/>
  <c r="AB220"/>
  <c r="AH220" s="1"/>
  <c r="AG220"/>
  <c r="AR495"/>
  <c r="AX496"/>
  <c r="AZ496" s="1"/>
  <c r="BD496"/>
  <c r="BF496" s="1"/>
  <c r="BA496"/>
  <c r="BE496"/>
  <c r="BG496" s="1"/>
  <c r="B498"/>
  <c r="A498"/>
  <c r="AS498"/>
  <c r="D498"/>
  <c r="C499"/>
  <c r="T495"/>
  <c r="H495"/>
  <c r="Q497"/>
  <c r="I497"/>
  <c r="AV497"/>
  <c r="BB497"/>
  <c r="BC497"/>
  <c r="AO497"/>
  <c r="AN497"/>
  <c r="AU497"/>
  <c r="AP497"/>
  <c r="E497"/>
  <c r="AW496"/>
  <c r="AY496" s="1"/>
  <c r="AR496" s="1"/>
  <c r="K496"/>
  <c r="AT496"/>
  <c r="O495"/>
  <c r="Y495" s="1"/>
  <c r="W495"/>
  <c r="V495"/>
  <c r="R496"/>
  <c r="F496"/>
  <c r="P221" l="1"/>
  <c r="U221" s="1"/>
  <c r="AA221" s="1"/>
  <c r="AG221" s="1"/>
  <c r="F497"/>
  <c r="T497" s="1"/>
  <c r="S498" s="1"/>
  <c r="AW497"/>
  <c r="AY497" s="1"/>
  <c r="AT497"/>
  <c r="K497"/>
  <c r="BD497"/>
  <c r="BF497" s="1"/>
  <c r="BA497"/>
  <c r="B499"/>
  <c r="A499"/>
  <c r="D499"/>
  <c r="AS499"/>
  <c r="C500"/>
  <c r="AV498"/>
  <c r="BB498"/>
  <c r="BC498"/>
  <c r="AU498"/>
  <c r="I498"/>
  <c r="AP498"/>
  <c r="Q498"/>
  <c r="AO498"/>
  <c r="AN498"/>
  <c r="E498"/>
  <c r="R498" s="1"/>
  <c r="O496"/>
  <c r="Y496" s="1"/>
  <c r="W496"/>
  <c r="S496"/>
  <c r="BE497"/>
  <c r="BG497" s="1"/>
  <c r="R497"/>
  <c r="T496"/>
  <c r="S497" s="1"/>
  <c r="H496"/>
  <c r="AX497"/>
  <c r="AZ497" s="1"/>
  <c r="AB221" l="1"/>
  <c r="AH221" s="1"/>
  <c r="Z221"/>
  <c r="AF221" s="1"/>
  <c r="F498"/>
  <c r="T498" s="1"/>
  <c r="H497"/>
  <c r="S499"/>
  <c r="AR497"/>
  <c r="BD498"/>
  <c r="BF498" s="1"/>
  <c r="BA498"/>
  <c r="BE498"/>
  <c r="BG498" s="1"/>
  <c r="O497"/>
  <c r="Y497" s="1"/>
  <c r="W497"/>
  <c r="AT498"/>
  <c r="AW498"/>
  <c r="AY498" s="1"/>
  <c r="K498"/>
  <c r="D500"/>
  <c r="C501"/>
  <c r="B500"/>
  <c r="AS500"/>
  <c r="A500"/>
  <c r="AU499"/>
  <c r="BB499"/>
  <c r="AV499"/>
  <c r="AN499"/>
  <c r="AP499"/>
  <c r="AO499"/>
  <c r="BC499"/>
  <c r="I499"/>
  <c r="Q499"/>
  <c r="E499"/>
  <c r="AX498"/>
  <c r="AZ498" s="1"/>
  <c r="P222" l="1"/>
  <c r="U222" s="1"/>
  <c r="H498"/>
  <c r="F499"/>
  <c r="T499" s="1"/>
  <c r="S500" s="1"/>
  <c r="AR498"/>
  <c r="O498"/>
  <c r="Y498" s="1"/>
  <c r="W498"/>
  <c r="BD499"/>
  <c r="BF499" s="1"/>
  <c r="BA499"/>
  <c r="BE499"/>
  <c r="BG499" s="1"/>
  <c r="AX499"/>
  <c r="AZ499" s="1"/>
  <c r="BC500"/>
  <c r="BB500"/>
  <c r="AP500"/>
  <c r="AU500"/>
  <c r="I500"/>
  <c r="AO500"/>
  <c r="AV500"/>
  <c r="Q500"/>
  <c r="AN500"/>
  <c r="E500"/>
  <c r="R500" s="1"/>
  <c r="A501"/>
  <c r="C502"/>
  <c r="B501"/>
  <c r="AS501"/>
  <c r="D501"/>
  <c r="AT499"/>
  <c r="AW499"/>
  <c r="AY499" s="1"/>
  <c r="K499"/>
  <c r="R499"/>
  <c r="AA222" l="1"/>
  <c r="AG222" s="1"/>
  <c r="AB222"/>
  <c r="AH222" s="1"/>
  <c r="Z222"/>
  <c r="AF222"/>
  <c r="H499"/>
  <c r="AR499"/>
  <c r="BB501"/>
  <c r="AV501"/>
  <c r="AU501"/>
  <c r="AN501"/>
  <c r="I501"/>
  <c r="BC501"/>
  <c r="AP501"/>
  <c r="AO501"/>
  <c r="Q501"/>
  <c r="E501"/>
  <c r="AX500"/>
  <c r="AZ500" s="1"/>
  <c r="B502"/>
  <c r="A502"/>
  <c r="R501"/>
  <c r="D502"/>
  <c r="AS502"/>
  <c r="C503"/>
  <c r="AT500"/>
  <c r="AW500"/>
  <c r="AY500" s="1"/>
  <c r="K500"/>
  <c r="BE500"/>
  <c r="BG500" s="1"/>
  <c r="O499"/>
  <c r="Y499" s="1"/>
  <c r="W499"/>
  <c r="BD500"/>
  <c r="BF500" s="1"/>
  <c r="BA500"/>
  <c r="F500"/>
  <c r="P223" l="1"/>
  <c r="U223" s="1"/>
  <c r="Z223" s="1"/>
  <c r="AF223" s="1"/>
  <c r="F501"/>
  <c r="T501" s="1"/>
  <c r="AA223"/>
  <c r="T500"/>
  <c r="S501" s="1"/>
  <c r="H500"/>
  <c r="BD501"/>
  <c r="BF501" s="1"/>
  <c r="BA501"/>
  <c r="S502"/>
  <c r="H501"/>
  <c r="O500"/>
  <c r="Y500" s="1"/>
  <c r="W500"/>
  <c r="AS503"/>
  <c r="D503"/>
  <c r="A503"/>
  <c r="B503"/>
  <c r="C504"/>
  <c r="AU502"/>
  <c r="BB502"/>
  <c r="AP502"/>
  <c r="AN502"/>
  <c r="I502"/>
  <c r="BC502"/>
  <c r="AV502"/>
  <c r="AO502"/>
  <c r="Q502"/>
  <c r="E502"/>
  <c r="R502" s="1"/>
  <c r="BE501"/>
  <c r="BG501" s="1"/>
  <c r="AX501"/>
  <c r="AZ501" s="1"/>
  <c r="AW501"/>
  <c r="AT501"/>
  <c r="K501"/>
  <c r="AY501"/>
  <c r="AR500"/>
  <c r="AB223" l="1"/>
  <c r="AH223" s="1"/>
  <c r="AG223"/>
  <c r="D504"/>
  <c r="B504"/>
  <c r="A504"/>
  <c r="C505"/>
  <c r="AS504"/>
  <c r="BE502"/>
  <c r="BG502" s="1"/>
  <c r="BD502"/>
  <c r="BF502" s="1"/>
  <c r="BA502"/>
  <c r="AN503"/>
  <c r="Q503"/>
  <c r="AV503"/>
  <c r="BB503"/>
  <c r="AO503"/>
  <c r="AU503"/>
  <c r="AP503"/>
  <c r="BC503"/>
  <c r="I503"/>
  <c r="E503"/>
  <c r="O501"/>
  <c r="Y501" s="1"/>
  <c r="W501"/>
  <c r="K502"/>
  <c r="AW502"/>
  <c r="AY502" s="1"/>
  <c r="AT502"/>
  <c r="AZ502"/>
  <c r="AX502"/>
  <c r="AR501"/>
  <c r="F502"/>
  <c r="P224" l="1"/>
  <c r="F503"/>
  <c r="T503" s="1"/>
  <c r="AR502"/>
  <c r="BE503"/>
  <c r="BG503" s="1"/>
  <c r="BD503"/>
  <c r="BF503" s="1"/>
  <c r="BA503"/>
  <c r="S504"/>
  <c r="I504"/>
  <c r="AN504"/>
  <c r="Q504"/>
  <c r="BC504"/>
  <c r="BB504"/>
  <c r="AU504"/>
  <c r="AV504"/>
  <c r="AO504"/>
  <c r="AP504"/>
  <c r="E504"/>
  <c r="R504" s="1"/>
  <c r="O502"/>
  <c r="Y502" s="1"/>
  <c r="W502"/>
  <c r="AT503"/>
  <c r="AW503"/>
  <c r="AY503" s="1"/>
  <c r="K503"/>
  <c r="B505"/>
  <c r="AS505"/>
  <c r="A505"/>
  <c r="D505"/>
  <c r="C506"/>
  <c r="T502"/>
  <c r="S503" s="1"/>
  <c r="H502"/>
  <c r="AX503"/>
  <c r="AZ503" s="1"/>
  <c r="R503"/>
  <c r="AA224" l="1"/>
  <c r="AG224" s="1"/>
  <c r="Z224"/>
  <c r="U224"/>
  <c r="AB224" s="1"/>
  <c r="H503"/>
  <c r="AF224"/>
  <c r="AH224"/>
  <c r="F504"/>
  <c r="T504" s="1"/>
  <c r="S505" s="1"/>
  <c r="O503"/>
  <c r="Y503" s="1"/>
  <c r="W503"/>
  <c r="BE504"/>
  <c r="BG504" s="1"/>
  <c r="AS506"/>
  <c r="A506"/>
  <c r="C507"/>
  <c r="B506"/>
  <c r="D506"/>
  <c r="AW504"/>
  <c r="AY504" s="1"/>
  <c r="K504"/>
  <c r="AT504"/>
  <c r="AP505"/>
  <c r="AN505"/>
  <c r="I505"/>
  <c r="BB505"/>
  <c r="AV505"/>
  <c r="Q505"/>
  <c r="AU505"/>
  <c r="BC505"/>
  <c r="AO505"/>
  <c r="E505"/>
  <c r="R505" s="1"/>
  <c r="AX504"/>
  <c r="AZ504" s="1"/>
  <c r="AR503"/>
  <c r="BD504"/>
  <c r="BF504" s="1"/>
  <c r="BA504"/>
  <c r="P225" l="1"/>
  <c r="U225" s="1"/>
  <c r="F505"/>
  <c r="T505" s="1"/>
  <c r="S506" s="1"/>
  <c r="H504"/>
  <c r="BE505"/>
  <c r="BG505" s="1"/>
  <c r="AN506"/>
  <c r="BB506"/>
  <c r="BC506"/>
  <c r="AV506"/>
  <c r="Q506"/>
  <c r="I506"/>
  <c r="AU506"/>
  <c r="AO506"/>
  <c r="AP506"/>
  <c r="E506"/>
  <c r="R506" s="1"/>
  <c r="AT505"/>
  <c r="AW505"/>
  <c r="AY505" s="1"/>
  <c r="K505"/>
  <c r="AR504"/>
  <c r="AX505"/>
  <c r="AZ505" s="1"/>
  <c r="C508"/>
  <c r="A507"/>
  <c r="AS507" s="1"/>
  <c r="B507"/>
  <c r="D507"/>
  <c r="BA505"/>
  <c r="BD505"/>
  <c r="BF505" s="1"/>
  <c r="O504"/>
  <c r="Y504" s="1"/>
  <c r="W504"/>
  <c r="AA225" l="1"/>
  <c r="AG225" s="1"/>
  <c r="Z225"/>
  <c r="AB225"/>
  <c r="AH225" s="1"/>
  <c r="H505"/>
  <c r="AR505"/>
  <c r="AX506"/>
  <c r="AZ506" s="1"/>
  <c r="BB507"/>
  <c r="BC507"/>
  <c r="AO507"/>
  <c r="AU507"/>
  <c r="AN507"/>
  <c r="AP507"/>
  <c r="AV507"/>
  <c r="Q507"/>
  <c r="I507"/>
  <c r="E507"/>
  <c r="R507" s="1"/>
  <c r="BA506"/>
  <c r="BD506"/>
  <c r="BF506" s="1"/>
  <c r="A508"/>
  <c r="D508"/>
  <c r="AS508"/>
  <c r="C509"/>
  <c r="B508"/>
  <c r="O505"/>
  <c r="Y505" s="1"/>
  <c r="W505"/>
  <c r="AW506"/>
  <c r="AY506" s="1"/>
  <c r="AT506"/>
  <c r="K506"/>
  <c r="BE506"/>
  <c r="BG506" s="1"/>
  <c r="F506"/>
  <c r="P226" l="1"/>
  <c r="U226" s="1"/>
  <c r="AF225"/>
  <c r="F507"/>
  <c r="T507" s="1"/>
  <c r="AR506"/>
  <c r="H507"/>
  <c r="O506"/>
  <c r="Y506" s="1"/>
  <c r="W506"/>
  <c r="BD507"/>
  <c r="BF507" s="1"/>
  <c r="BA507"/>
  <c r="D509"/>
  <c r="C510"/>
  <c r="A509"/>
  <c r="AS509"/>
  <c r="B509"/>
  <c r="F508" s="1"/>
  <c r="T508" s="1"/>
  <c r="Q508"/>
  <c r="AU508"/>
  <c r="I508"/>
  <c r="AV508"/>
  <c r="AN508"/>
  <c r="AP508"/>
  <c r="AO508"/>
  <c r="BB508"/>
  <c r="BC508"/>
  <c r="E508"/>
  <c r="G496"/>
  <c r="G497" s="1"/>
  <c r="G498" s="1"/>
  <c r="G499" s="1"/>
  <c r="G500" s="1"/>
  <c r="G501" s="1"/>
  <c r="G502" s="1"/>
  <c r="G503" s="1"/>
  <c r="G504" s="1"/>
  <c r="G505" s="1"/>
  <c r="G506" s="1"/>
  <c r="G507" s="1"/>
  <c r="BE507"/>
  <c r="BG507" s="1"/>
  <c r="AX507"/>
  <c r="AZ507" s="1"/>
  <c r="T506"/>
  <c r="S507" s="1"/>
  <c r="H506"/>
  <c r="AW507"/>
  <c r="AY507" s="1"/>
  <c r="AT507"/>
  <c r="K507"/>
  <c r="AB226" l="1"/>
  <c r="AH226" s="1"/>
  <c r="Z226"/>
  <c r="AA226"/>
  <c r="AG226" s="1"/>
  <c r="AF226"/>
  <c r="H508"/>
  <c r="S508"/>
  <c r="S509"/>
  <c r="AR507"/>
  <c r="BA508"/>
  <c r="BD508"/>
  <c r="BF508" s="1"/>
  <c r="AZ508"/>
  <c r="AX508"/>
  <c r="O507"/>
  <c r="Y507" s="1"/>
  <c r="W507"/>
  <c r="V507"/>
  <c r="BE508"/>
  <c r="BG508" s="1"/>
  <c r="D510"/>
  <c r="C511"/>
  <c r="A510"/>
  <c r="AS510"/>
  <c r="B510"/>
  <c r="AW508"/>
  <c r="AY508" s="1"/>
  <c r="AR508" s="1"/>
  <c r="K508"/>
  <c r="AT508"/>
  <c r="I509"/>
  <c r="AU509"/>
  <c r="AO509"/>
  <c r="AN509"/>
  <c r="AP509"/>
  <c r="BC509"/>
  <c r="Q509"/>
  <c r="BB509"/>
  <c r="AV509"/>
  <c r="E509"/>
  <c r="R508"/>
  <c r="P227" l="1"/>
  <c r="U227"/>
  <c r="AA227" s="1"/>
  <c r="BD509"/>
  <c r="BF509" s="1"/>
  <c r="BA509"/>
  <c r="BE509"/>
  <c r="BG509" s="1"/>
  <c r="AW509"/>
  <c r="AY509" s="1"/>
  <c r="AT509"/>
  <c r="K509"/>
  <c r="BB510"/>
  <c r="Q510"/>
  <c r="I510"/>
  <c r="AO510"/>
  <c r="AU510"/>
  <c r="AP510"/>
  <c r="AN510"/>
  <c r="AV510"/>
  <c r="BC510"/>
  <c r="E510"/>
  <c r="O508"/>
  <c r="W508"/>
  <c r="R509"/>
  <c r="F509"/>
  <c r="AX509"/>
  <c r="AZ509" s="1"/>
  <c r="D511"/>
  <c r="B511"/>
  <c r="R510"/>
  <c r="AS511"/>
  <c r="C512"/>
  <c r="A511"/>
  <c r="AG227" l="1"/>
  <c r="AB227"/>
  <c r="Z227"/>
  <c r="F510"/>
  <c r="T510" s="1"/>
  <c r="S511" s="1"/>
  <c r="AR509"/>
  <c r="AX510"/>
  <c r="AZ510" s="1"/>
  <c r="T509"/>
  <c r="S510" s="1"/>
  <c r="H509"/>
  <c r="BE510"/>
  <c r="BG510" s="1"/>
  <c r="AW510"/>
  <c r="AY510" s="1"/>
  <c r="AT510"/>
  <c r="K510"/>
  <c r="BA510"/>
  <c r="BD510"/>
  <c r="BF510" s="1"/>
  <c r="Y508"/>
  <c r="AS512"/>
  <c r="B512"/>
  <c r="C513"/>
  <c r="D512"/>
  <c r="A512"/>
  <c r="AN511"/>
  <c r="BB511"/>
  <c r="AV511"/>
  <c r="I511"/>
  <c r="AU511"/>
  <c r="Q511"/>
  <c r="AO511"/>
  <c r="AP511"/>
  <c r="BC511"/>
  <c r="E511"/>
  <c r="O509"/>
  <c r="W509"/>
  <c r="AH227" l="1"/>
  <c r="AF227"/>
  <c r="P228"/>
  <c r="U228" s="1"/>
  <c r="Z228" s="1"/>
  <c r="H510"/>
  <c r="AR510"/>
  <c r="Y509"/>
  <c r="BD511"/>
  <c r="BF511" s="1"/>
  <c r="BA511"/>
  <c r="AU512"/>
  <c r="Q512"/>
  <c r="BC512"/>
  <c r="BB512"/>
  <c r="AO512"/>
  <c r="I512"/>
  <c r="AP512"/>
  <c r="AV512"/>
  <c r="AN512"/>
  <c r="E512"/>
  <c r="O510"/>
  <c r="Y510" s="1"/>
  <c r="W510"/>
  <c r="R511"/>
  <c r="AX511"/>
  <c r="AZ511" s="1"/>
  <c r="BE511"/>
  <c r="BG511" s="1"/>
  <c r="AW511"/>
  <c r="AY511" s="1"/>
  <c r="K511"/>
  <c r="AT511"/>
  <c r="D513"/>
  <c r="R512"/>
  <c r="C514"/>
  <c r="A513"/>
  <c r="AS513"/>
  <c r="B513"/>
  <c r="F511"/>
  <c r="AF228" l="1"/>
  <c r="AA228"/>
  <c r="AB228"/>
  <c r="F512"/>
  <c r="H512" s="1"/>
  <c r="AR511"/>
  <c r="T511"/>
  <c r="S512" s="1"/>
  <c r="H511"/>
  <c r="D514"/>
  <c r="AS514"/>
  <c r="B514"/>
  <c r="F513" s="1"/>
  <c r="T513" s="1"/>
  <c r="C515"/>
  <c r="A514"/>
  <c r="BE512"/>
  <c r="BG512" s="1"/>
  <c r="O511"/>
  <c r="Y511" s="1"/>
  <c r="W511"/>
  <c r="BC513"/>
  <c r="Q513"/>
  <c r="AO513"/>
  <c r="AP513"/>
  <c r="AV513"/>
  <c r="BB513"/>
  <c r="AU513"/>
  <c r="AN513"/>
  <c r="I513"/>
  <c r="E513"/>
  <c r="AX512"/>
  <c r="AZ512" s="1"/>
  <c r="BD512"/>
  <c r="BF512" s="1"/>
  <c r="BA512"/>
  <c r="AW512"/>
  <c r="AY512" s="1"/>
  <c r="AT512"/>
  <c r="K512"/>
  <c r="AG228" l="1"/>
  <c r="T512"/>
  <c r="S513" s="1"/>
  <c r="P229"/>
  <c r="AH228"/>
  <c r="S514"/>
  <c r="O512"/>
  <c r="Y512" s="1"/>
  <c r="W512"/>
  <c r="K513"/>
  <c r="AW513"/>
  <c r="AY513" s="1"/>
  <c r="AT513"/>
  <c r="R513"/>
  <c r="BA513"/>
  <c r="BD513"/>
  <c r="BF513" s="1"/>
  <c r="AN514"/>
  <c r="AP514"/>
  <c r="AU514"/>
  <c r="AO514"/>
  <c r="AV514"/>
  <c r="BB514"/>
  <c r="Q514"/>
  <c r="I514"/>
  <c r="BC514"/>
  <c r="E514"/>
  <c r="R514" s="1"/>
  <c r="AX513"/>
  <c r="AZ513" s="1"/>
  <c r="BE513"/>
  <c r="BG513" s="1"/>
  <c r="D515"/>
  <c r="B515"/>
  <c r="AS515"/>
  <c r="A515"/>
  <c r="C516"/>
  <c r="AR512"/>
  <c r="H513"/>
  <c r="U229" l="1"/>
  <c r="AR513"/>
  <c r="AS516"/>
  <c r="B516"/>
  <c r="D516"/>
  <c r="C517"/>
  <c r="A516"/>
  <c r="AX514"/>
  <c r="AZ514" s="1"/>
  <c r="AU515"/>
  <c r="AN515"/>
  <c r="AO515"/>
  <c r="BB515"/>
  <c r="AP515"/>
  <c r="AV515"/>
  <c r="I515"/>
  <c r="Q515"/>
  <c r="BC515"/>
  <c r="E515"/>
  <c r="AW514"/>
  <c r="AY514" s="1"/>
  <c r="K514"/>
  <c r="AT514"/>
  <c r="F514"/>
  <c r="BE514"/>
  <c r="BG514" s="1"/>
  <c r="BA514"/>
  <c r="BF514"/>
  <c r="BD514"/>
  <c r="O513"/>
  <c r="Y513" s="1"/>
  <c r="W513"/>
  <c r="Z229" l="1"/>
  <c r="AA229"/>
  <c r="AB229"/>
  <c r="F515"/>
  <c r="T515" s="1"/>
  <c r="AR514"/>
  <c r="AX515"/>
  <c r="AZ515" s="1"/>
  <c r="T514"/>
  <c r="S515" s="1"/>
  <c r="H514"/>
  <c r="A517"/>
  <c r="B517"/>
  <c r="C518"/>
  <c r="D517"/>
  <c r="AS517"/>
  <c r="BD515"/>
  <c r="BF515" s="1"/>
  <c r="BA515"/>
  <c r="R515"/>
  <c r="O514"/>
  <c r="Y514" s="1"/>
  <c r="W514"/>
  <c r="BE515"/>
  <c r="BG515" s="1"/>
  <c r="AW515"/>
  <c r="AY515" s="1"/>
  <c r="AT515"/>
  <c r="K515"/>
  <c r="BB516"/>
  <c r="AP516"/>
  <c r="AU516"/>
  <c r="Q516"/>
  <c r="AO516"/>
  <c r="AN516"/>
  <c r="I516"/>
  <c r="BC516"/>
  <c r="AV516"/>
  <c r="E516"/>
  <c r="R516" s="1"/>
  <c r="S516"/>
  <c r="F516" l="1"/>
  <c r="T516" s="1"/>
  <c r="S517" s="1"/>
  <c r="AF229"/>
  <c r="P230"/>
  <c r="AG229"/>
  <c r="AH229"/>
  <c r="U230"/>
  <c r="Z230" s="1"/>
  <c r="H515"/>
  <c r="BE516"/>
  <c r="BG516" s="1"/>
  <c r="D518"/>
  <c r="A518"/>
  <c r="AS518"/>
  <c r="B518"/>
  <c r="C519"/>
  <c r="BA516"/>
  <c r="BD516"/>
  <c r="BF516" s="1"/>
  <c r="Q517"/>
  <c r="BC517"/>
  <c r="BB517"/>
  <c r="AP517"/>
  <c r="I517"/>
  <c r="AU517"/>
  <c r="AV517"/>
  <c r="AN517"/>
  <c r="AO517"/>
  <c r="E517"/>
  <c r="R517" s="1"/>
  <c r="AR515"/>
  <c r="AX516"/>
  <c r="AZ516" s="1"/>
  <c r="AW516"/>
  <c r="AY516" s="1"/>
  <c r="AT516"/>
  <c r="K516"/>
  <c r="O515"/>
  <c r="Y515" s="1"/>
  <c r="W515"/>
  <c r="F517" l="1"/>
  <c r="T517" s="1"/>
  <c r="S518" s="1"/>
  <c r="H516"/>
  <c r="AB230"/>
  <c r="N231" s="1"/>
  <c r="L231"/>
  <c r="AF230"/>
  <c r="AA230"/>
  <c r="P231" s="1"/>
  <c r="AH230"/>
  <c r="AR516"/>
  <c r="D519"/>
  <c r="A519"/>
  <c r="AS519" s="1"/>
  <c r="B519"/>
  <c r="C520"/>
  <c r="BB518"/>
  <c r="AP518"/>
  <c r="AV518"/>
  <c r="AN518"/>
  <c r="AO518"/>
  <c r="AU518"/>
  <c r="BC518"/>
  <c r="Q518"/>
  <c r="I518"/>
  <c r="E518"/>
  <c r="R518" s="1"/>
  <c r="O516"/>
  <c r="Y516" s="1"/>
  <c r="W516"/>
  <c r="H517"/>
  <c r="K517"/>
  <c r="AW517"/>
  <c r="AY517" s="1"/>
  <c r="AT517"/>
  <c r="BE517"/>
  <c r="BG517" s="1"/>
  <c r="AZ517"/>
  <c r="AX517"/>
  <c r="BD517"/>
  <c r="BF517" s="1"/>
  <c r="BA517"/>
  <c r="U231" l="1"/>
  <c r="AA231" s="1"/>
  <c r="AG231" s="1"/>
  <c r="X231"/>
  <c r="M231"/>
  <c r="AG230"/>
  <c r="F518"/>
  <c r="T518" s="1"/>
  <c r="S519" s="1"/>
  <c r="AR517"/>
  <c r="AU519"/>
  <c r="AP519"/>
  <c r="AO519"/>
  <c r="I519"/>
  <c r="AN519"/>
  <c r="AV519"/>
  <c r="BC519"/>
  <c r="BB519"/>
  <c r="Q519"/>
  <c r="E519"/>
  <c r="R519" s="1"/>
  <c r="H518"/>
  <c r="BA518"/>
  <c r="BD518"/>
  <c r="BF518" s="1"/>
  <c r="AW518"/>
  <c r="AY518" s="1"/>
  <c r="K518"/>
  <c r="AT518"/>
  <c r="O517"/>
  <c r="Y517" s="1"/>
  <c r="W517"/>
  <c r="BE518"/>
  <c r="BG518" s="1"/>
  <c r="AX518"/>
  <c r="AZ518" s="1"/>
  <c r="AS520"/>
  <c r="D520"/>
  <c r="C521"/>
  <c r="B520"/>
  <c r="A520"/>
  <c r="AB231" l="1"/>
  <c r="AH231" s="1"/>
  <c r="Z231"/>
  <c r="AF231" s="1"/>
  <c r="BA519"/>
  <c r="BD519"/>
  <c r="BF519" s="1"/>
  <c r="G508"/>
  <c r="G509" s="1"/>
  <c r="G510" s="1"/>
  <c r="G511" s="1"/>
  <c r="G512" s="1"/>
  <c r="G513" s="1"/>
  <c r="G514" s="1"/>
  <c r="G515" s="1"/>
  <c r="G516" s="1"/>
  <c r="G517" s="1"/>
  <c r="G518" s="1"/>
  <c r="G519" s="1"/>
  <c r="Q520"/>
  <c r="AV520"/>
  <c r="AU520"/>
  <c r="BC520"/>
  <c r="I520"/>
  <c r="AP520"/>
  <c r="AO520"/>
  <c r="AN520"/>
  <c r="BB520"/>
  <c r="E520"/>
  <c r="C522"/>
  <c r="D521"/>
  <c r="B521"/>
  <c r="R520"/>
  <c r="A521"/>
  <c r="AS521"/>
  <c r="AW519"/>
  <c r="AY519" s="1"/>
  <c r="K519"/>
  <c r="AT519"/>
  <c r="AR518"/>
  <c r="AX519"/>
  <c r="AZ519" s="1"/>
  <c r="F519"/>
  <c r="O518"/>
  <c r="Y518" s="1"/>
  <c r="W518"/>
  <c r="BE519"/>
  <c r="BG519" s="1"/>
  <c r="P232" l="1"/>
  <c r="U232" s="1"/>
  <c r="AR519"/>
  <c r="F520"/>
  <c r="T520" s="1"/>
  <c r="O519"/>
  <c r="Y519" s="1"/>
  <c r="W519"/>
  <c r="V519"/>
  <c r="AO521"/>
  <c r="Q521"/>
  <c r="AV521"/>
  <c r="BB521"/>
  <c r="BC521"/>
  <c r="AU521"/>
  <c r="AP521"/>
  <c r="I521"/>
  <c r="AN521"/>
  <c r="E521"/>
  <c r="R521" s="1"/>
  <c r="C523"/>
  <c r="D522"/>
  <c r="AS522"/>
  <c r="A522"/>
  <c r="B522"/>
  <c r="BD520"/>
  <c r="BF520" s="1"/>
  <c r="BA520"/>
  <c r="AX520"/>
  <c r="AZ520" s="1"/>
  <c r="T519"/>
  <c r="H519"/>
  <c r="AT520"/>
  <c r="K520"/>
  <c r="AW520"/>
  <c r="AY520" s="1"/>
  <c r="BE520"/>
  <c r="BG520" s="1"/>
  <c r="Z232" l="1"/>
  <c r="AF232" s="1"/>
  <c r="S521"/>
  <c r="AB232"/>
  <c r="AH232" s="1"/>
  <c r="AA232"/>
  <c r="AG232"/>
  <c r="F521"/>
  <c r="T521" s="1"/>
  <c r="S522" s="1"/>
  <c r="H520"/>
  <c r="AO522"/>
  <c r="AV522"/>
  <c r="BB522"/>
  <c r="Q522"/>
  <c r="AU522"/>
  <c r="AP522"/>
  <c r="AN522"/>
  <c r="I522"/>
  <c r="BC522"/>
  <c r="E522"/>
  <c r="R522" s="1"/>
  <c r="B523"/>
  <c r="A523"/>
  <c r="AS523"/>
  <c r="D523"/>
  <c r="C524"/>
  <c r="AX521"/>
  <c r="AZ521" s="1"/>
  <c r="S520"/>
  <c r="AT521"/>
  <c r="AW521"/>
  <c r="AY521" s="1"/>
  <c r="K521"/>
  <c r="O520"/>
  <c r="Y520" s="1"/>
  <c r="W520"/>
  <c r="BA521"/>
  <c r="BD521"/>
  <c r="BF521" s="1"/>
  <c r="AR520"/>
  <c r="BE521"/>
  <c r="BG521" s="1"/>
  <c r="P233" l="1"/>
  <c r="U233" s="1"/>
  <c r="Z233" s="1"/>
  <c r="P234" s="1"/>
  <c r="U234" s="1"/>
  <c r="H521"/>
  <c r="AB233"/>
  <c r="AH233" s="1"/>
  <c r="AA233"/>
  <c r="AG233" s="1"/>
  <c r="AF233"/>
  <c r="AR521"/>
  <c r="F522"/>
  <c r="T522" s="1"/>
  <c r="S523" s="1"/>
  <c r="BE522"/>
  <c r="BG522" s="1"/>
  <c r="AW522"/>
  <c r="AY522" s="1"/>
  <c r="K522"/>
  <c r="AT522"/>
  <c r="AX522"/>
  <c r="AZ522" s="1"/>
  <c r="O521"/>
  <c r="Y521" s="1"/>
  <c r="W521"/>
  <c r="BD522"/>
  <c r="BF522" s="1"/>
  <c r="BA522"/>
  <c r="D524"/>
  <c r="C525"/>
  <c r="B524"/>
  <c r="AS524"/>
  <c r="A524"/>
  <c r="AV523"/>
  <c r="BB523"/>
  <c r="I523"/>
  <c r="AO523"/>
  <c r="AU523"/>
  <c r="BC523"/>
  <c r="AN523"/>
  <c r="AP523"/>
  <c r="Q523"/>
  <c r="E523"/>
  <c r="R523" s="1"/>
  <c r="Z234" l="1"/>
  <c r="AF234" s="1"/>
  <c r="AB234"/>
  <c r="AH234" s="1"/>
  <c r="AA234"/>
  <c r="H522"/>
  <c r="AR522"/>
  <c r="K523"/>
  <c r="AW523"/>
  <c r="AY523" s="1"/>
  <c r="AT523"/>
  <c r="BE523"/>
  <c r="BG523" s="1"/>
  <c r="BD523"/>
  <c r="BF523" s="1"/>
  <c r="BA523"/>
  <c r="O522"/>
  <c r="Y522" s="1"/>
  <c r="W522"/>
  <c r="F523"/>
  <c r="AP524"/>
  <c r="AU524"/>
  <c r="AO524"/>
  <c r="I524"/>
  <c r="BB524"/>
  <c r="BC524"/>
  <c r="AN524"/>
  <c r="Q524"/>
  <c r="AV524"/>
  <c r="E524"/>
  <c r="R524" s="1"/>
  <c r="D525"/>
  <c r="B525"/>
  <c r="C526"/>
  <c r="AS525"/>
  <c r="A525"/>
  <c r="AX523"/>
  <c r="AZ523" s="1"/>
  <c r="AG234" l="1"/>
  <c r="P235"/>
  <c r="AR523"/>
  <c r="C527"/>
  <c r="D526"/>
  <c r="F525" s="1"/>
  <c r="T525" s="1"/>
  <c r="A526"/>
  <c r="B526"/>
  <c r="AS526"/>
  <c r="AX524"/>
  <c r="AZ524" s="1"/>
  <c r="BA524"/>
  <c r="BD524"/>
  <c r="BF524" s="1"/>
  <c r="T523"/>
  <c r="S524" s="1"/>
  <c r="H523"/>
  <c r="BE524"/>
  <c r="BG524" s="1"/>
  <c r="K524"/>
  <c r="AW524"/>
  <c r="AY524" s="1"/>
  <c r="AT524"/>
  <c r="O523"/>
  <c r="Y523" s="1"/>
  <c r="W523"/>
  <c r="BB525"/>
  <c r="AN525"/>
  <c r="AP525"/>
  <c r="Q525"/>
  <c r="AU525"/>
  <c r="BC525"/>
  <c r="I525"/>
  <c r="AO525"/>
  <c r="AV525"/>
  <c r="E525"/>
  <c r="R525" s="1"/>
  <c r="F524"/>
  <c r="Z235" l="1"/>
  <c r="U235"/>
  <c r="AA235" s="1"/>
  <c r="AB235"/>
  <c r="T524"/>
  <c r="S525" s="1"/>
  <c r="H524"/>
  <c r="AX525"/>
  <c r="AZ525" s="1"/>
  <c r="AW525"/>
  <c r="AY525" s="1"/>
  <c r="K525"/>
  <c r="AT525"/>
  <c r="BD525"/>
  <c r="BF525" s="1"/>
  <c r="BA525"/>
  <c r="S526"/>
  <c r="BE525"/>
  <c r="BG525" s="1"/>
  <c r="O524"/>
  <c r="Y524" s="1"/>
  <c r="W524"/>
  <c r="BB526"/>
  <c r="AN526"/>
  <c r="AP526"/>
  <c r="AU526"/>
  <c r="I526"/>
  <c r="AV526"/>
  <c r="AO526"/>
  <c r="BC526"/>
  <c r="Q526"/>
  <c r="E526"/>
  <c r="R526" s="1"/>
  <c r="AS527"/>
  <c r="C528"/>
  <c r="B527"/>
  <c r="A527"/>
  <c r="D527"/>
  <c r="AR524"/>
  <c r="H525"/>
  <c r="P236" l="1"/>
  <c r="AF235"/>
  <c r="AG235"/>
  <c r="AH235"/>
  <c r="U236"/>
  <c r="AB236" s="1"/>
  <c r="AR525"/>
  <c r="F526"/>
  <c r="BD526"/>
  <c r="BF526" s="1"/>
  <c r="BA526"/>
  <c r="AS528"/>
  <c r="A528"/>
  <c r="B528"/>
  <c r="C529"/>
  <c r="D528"/>
  <c r="AX526"/>
  <c r="AZ526" s="1"/>
  <c r="AN527"/>
  <c r="I527"/>
  <c r="AP527"/>
  <c r="AU527"/>
  <c r="BC527"/>
  <c r="AO527"/>
  <c r="AV527"/>
  <c r="Q527"/>
  <c r="BB527"/>
  <c r="E527"/>
  <c r="BE526"/>
  <c r="BG526" s="1"/>
  <c r="AT526"/>
  <c r="K526"/>
  <c r="AW526"/>
  <c r="AY526" s="1"/>
  <c r="O525"/>
  <c r="Y525" s="1"/>
  <c r="W525"/>
  <c r="AH236" l="1"/>
  <c r="AA236"/>
  <c r="Z236"/>
  <c r="F527"/>
  <c r="H527" s="1"/>
  <c r="AR526"/>
  <c r="AW527"/>
  <c r="AY527" s="1"/>
  <c r="K527"/>
  <c r="AT527"/>
  <c r="BD527"/>
  <c r="BF527" s="1"/>
  <c r="BA527"/>
  <c r="BE527"/>
  <c r="BG527" s="1"/>
  <c r="C530"/>
  <c r="D529"/>
  <c r="AS529"/>
  <c r="B529"/>
  <c r="A529"/>
  <c r="O526"/>
  <c r="Y526" s="1"/>
  <c r="W526"/>
  <c r="T526"/>
  <c r="S527" s="1"/>
  <c r="H526"/>
  <c r="R527"/>
  <c r="AX527"/>
  <c r="AZ527" s="1"/>
  <c r="AO528"/>
  <c r="AP528"/>
  <c r="AU528"/>
  <c r="Q528"/>
  <c r="BB528"/>
  <c r="I528"/>
  <c r="AV528"/>
  <c r="AN528"/>
  <c r="BC528"/>
  <c r="E528"/>
  <c r="AF236" l="1"/>
  <c r="P237"/>
  <c r="AG236"/>
  <c r="F528"/>
  <c r="T528" s="1"/>
  <c r="S529" s="1"/>
  <c r="T527"/>
  <c r="S528" s="1"/>
  <c r="AR527"/>
  <c r="O527"/>
  <c r="Y527" s="1"/>
  <c r="W527"/>
  <c r="BE528"/>
  <c r="BG528" s="1"/>
  <c r="BD528"/>
  <c r="BF528" s="1"/>
  <c r="BA528"/>
  <c r="H528"/>
  <c r="A530"/>
  <c r="B530"/>
  <c r="C531"/>
  <c r="AS530"/>
  <c r="D530"/>
  <c r="R528"/>
  <c r="AX528"/>
  <c r="AZ528" s="1"/>
  <c r="K528"/>
  <c r="AW528"/>
  <c r="AY528" s="1"/>
  <c r="AT528"/>
  <c r="BB529"/>
  <c r="Q529"/>
  <c r="AP529"/>
  <c r="BC529"/>
  <c r="AV529"/>
  <c r="AO529"/>
  <c r="I529"/>
  <c r="AU529"/>
  <c r="AN529"/>
  <c r="E529"/>
  <c r="R529" s="1"/>
  <c r="AB237" l="1"/>
  <c r="U237"/>
  <c r="AO530"/>
  <c r="AP530"/>
  <c r="AU530"/>
  <c r="AN530"/>
  <c r="Q530"/>
  <c r="BB530"/>
  <c r="BC530"/>
  <c r="I530"/>
  <c r="AV530"/>
  <c r="E530"/>
  <c r="R530" s="1"/>
  <c r="AX529"/>
  <c r="AZ529" s="1"/>
  <c r="AW529"/>
  <c r="AY529" s="1"/>
  <c r="AT529"/>
  <c r="K529"/>
  <c r="BE529"/>
  <c r="BG529" s="1"/>
  <c r="AR528"/>
  <c r="F529"/>
  <c r="BD529"/>
  <c r="BF529" s="1"/>
  <c r="BA529"/>
  <c r="O528"/>
  <c r="Y528" s="1"/>
  <c r="W528"/>
  <c r="A531"/>
  <c r="AS531" s="1"/>
  <c r="C532"/>
  <c r="D531"/>
  <c r="B531"/>
  <c r="AH237" l="1"/>
  <c r="Z237"/>
  <c r="AA237"/>
  <c r="AR529"/>
  <c r="BA530"/>
  <c r="BD530"/>
  <c r="BF530" s="1"/>
  <c r="T529"/>
  <c r="S530" s="1"/>
  <c r="H529"/>
  <c r="BE530"/>
  <c r="BG530" s="1"/>
  <c r="K530"/>
  <c r="AT530"/>
  <c r="AW530"/>
  <c r="AY530" s="1"/>
  <c r="O529"/>
  <c r="Y529" s="1"/>
  <c r="W529"/>
  <c r="F530"/>
  <c r="B532"/>
  <c r="A532"/>
  <c r="C533"/>
  <c r="D532"/>
  <c r="AS532"/>
  <c r="AU531"/>
  <c r="AN531"/>
  <c r="Q531"/>
  <c r="BC531"/>
  <c r="I531"/>
  <c r="AV531"/>
  <c r="AP531"/>
  <c r="AO531"/>
  <c r="BB531"/>
  <c r="E531"/>
  <c r="AX530"/>
  <c r="AZ530" s="1"/>
  <c r="AG237" l="1"/>
  <c r="P238"/>
  <c r="AF237"/>
  <c r="F531"/>
  <c r="T531" s="1"/>
  <c r="AR530"/>
  <c r="O530"/>
  <c r="Y530" s="1"/>
  <c r="W530"/>
  <c r="BD531"/>
  <c r="BF531" s="1"/>
  <c r="BA531"/>
  <c r="AW531"/>
  <c r="AY531" s="1"/>
  <c r="AT531"/>
  <c r="K531"/>
  <c r="G520"/>
  <c r="G521" s="1"/>
  <c r="G522" s="1"/>
  <c r="G523" s="1"/>
  <c r="G524" s="1"/>
  <c r="G525" s="1"/>
  <c r="G526" s="1"/>
  <c r="G527" s="1"/>
  <c r="G528" s="1"/>
  <c r="G529" s="1"/>
  <c r="G530" s="1"/>
  <c r="G531" s="1"/>
  <c r="S532"/>
  <c r="T530"/>
  <c r="S531" s="1"/>
  <c r="H530"/>
  <c r="AX531"/>
  <c r="AZ531" s="1"/>
  <c r="AO532"/>
  <c r="BB532"/>
  <c r="BC532"/>
  <c r="Q532"/>
  <c r="I532"/>
  <c r="AV532"/>
  <c r="AU532"/>
  <c r="AP532"/>
  <c r="AN532"/>
  <c r="E532"/>
  <c r="R531"/>
  <c r="BE531"/>
  <c r="BG531" s="1"/>
  <c r="R532"/>
  <c r="AS533"/>
  <c r="D533"/>
  <c r="C534"/>
  <c r="B533"/>
  <c r="A533"/>
  <c r="F532" l="1"/>
  <c r="H532" s="1"/>
  <c r="AB238"/>
  <c r="U238"/>
  <c r="H531"/>
  <c r="AR531"/>
  <c r="O531"/>
  <c r="Y531" s="1"/>
  <c r="W531"/>
  <c r="V531"/>
  <c r="BD532"/>
  <c r="BF532" s="1"/>
  <c r="BA532"/>
  <c r="AP533"/>
  <c r="AO533"/>
  <c r="BC533"/>
  <c r="I533"/>
  <c r="AU533"/>
  <c r="Q533"/>
  <c r="AN533"/>
  <c r="BB533"/>
  <c r="AV533"/>
  <c r="E533"/>
  <c r="R533" s="1"/>
  <c r="AW532"/>
  <c r="AY532" s="1"/>
  <c r="K532"/>
  <c r="AT532"/>
  <c r="BE532"/>
  <c r="BG532" s="1"/>
  <c r="B534"/>
  <c r="C535"/>
  <c r="A534"/>
  <c r="AS534"/>
  <c r="D534"/>
  <c r="AX532"/>
  <c r="AZ532" s="1"/>
  <c r="T532" l="1"/>
  <c r="S533" s="1"/>
  <c r="AH238"/>
  <c r="AA238"/>
  <c r="Z238"/>
  <c r="AR532"/>
  <c r="I534"/>
  <c r="AV534"/>
  <c r="BB534"/>
  <c r="AU534"/>
  <c r="AP534"/>
  <c r="BC534"/>
  <c r="AO534"/>
  <c r="Q534"/>
  <c r="AN534"/>
  <c r="E534"/>
  <c r="BE533"/>
  <c r="BG533" s="1"/>
  <c r="O532"/>
  <c r="Y532" s="1"/>
  <c r="W532"/>
  <c r="AX533"/>
  <c r="AZ533" s="1"/>
  <c r="AT533"/>
  <c r="AW533"/>
  <c r="AY533" s="1"/>
  <c r="K533"/>
  <c r="F533"/>
  <c r="BA533"/>
  <c r="BD533"/>
  <c r="BF533" s="1"/>
  <c r="AS535"/>
  <c r="A535"/>
  <c r="B535"/>
  <c r="D535"/>
  <c r="C536"/>
  <c r="R534"/>
  <c r="P239" l="1"/>
  <c r="AF238"/>
  <c r="AG238"/>
  <c r="O533"/>
  <c r="Y533" s="1"/>
  <c r="W533"/>
  <c r="T533"/>
  <c r="S534" s="1"/>
  <c r="H533"/>
  <c r="AT534"/>
  <c r="K534"/>
  <c r="AY534"/>
  <c r="AW534"/>
  <c r="F534"/>
  <c r="AR533"/>
  <c r="AS536"/>
  <c r="B536"/>
  <c r="C537"/>
  <c r="D536"/>
  <c r="A536"/>
  <c r="BE534"/>
  <c r="BG534" s="1"/>
  <c r="AX534"/>
  <c r="AZ534" s="1"/>
  <c r="AP535"/>
  <c r="AV535"/>
  <c r="AN535"/>
  <c r="AO535"/>
  <c r="BC535"/>
  <c r="Q535"/>
  <c r="AU535"/>
  <c r="I535"/>
  <c r="BB535"/>
  <c r="E535"/>
  <c r="BD534"/>
  <c r="BF534" s="1"/>
  <c r="BA534"/>
  <c r="AB239" l="1"/>
  <c r="U239"/>
  <c r="AW535"/>
  <c r="AY535" s="1"/>
  <c r="AT535"/>
  <c r="K535"/>
  <c r="I536"/>
  <c r="AP536"/>
  <c r="AO536"/>
  <c r="AU536"/>
  <c r="BC536"/>
  <c r="BB536"/>
  <c r="AV536"/>
  <c r="AN536"/>
  <c r="Q536"/>
  <c r="E536"/>
  <c r="R536" s="1"/>
  <c r="BD535"/>
  <c r="BF535" s="1"/>
  <c r="BA535"/>
  <c r="BE535"/>
  <c r="BG535" s="1"/>
  <c r="AS537"/>
  <c r="B537"/>
  <c r="A537"/>
  <c r="D537"/>
  <c r="C538"/>
  <c r="AX535"/>
  <c r="AZ535" s="1"/>
  <c r="T534"/>
  <c r="S535" s="1"/>
  <c r="H534"/>
  <c r="O534"/>
  <c r="Y534" s="1"/>
  <c r="W534"/>
  <c r="AR534"/>
  <c r="R535"/>
  <c r="F535"/>
  <c r="AH239" l="1"/>
  <c r="Z239"/>
  <c r="AA239"/>
  <c r="AR535"/>
  <c r="Q537"/>
  <c r="AU537"/>
  <c r="AO537"/>
  <c r="AN537"/>
  <c r="AP537"/>
  <c r="BB537"/>
  <c r="BC537"/>
  <c r="AV537"/>
  <c r="I537"/>
  <c r="E537"/>
  <c r="R537" s="1"/>
  <c r="T535"/>
  <c r="S536" s="1"/>
  <c r="H535"/>
  <c r="B538"/>
  <c r="C539"/>
  <c r="A538"/>
  <c r="AS538"/>
  <c r="D538"/>
  <c r="F537" s="1"/>
  <c r="T537" s="1"/>
  <c r="AX536"/>
  <c r="AZ536" s="1"/>
  <c r="F536"/>
  <c r="AT536"/>
  <c r="AW536"/>
  <c r="AY536" s="1"/>
  <c r="K536"/>
  <c r="O535"/>
  <c r="Y535" s="1"/>
  <c r="W535"/>
  <c r="BE536"/>
  <c r="BG536" s="1"/>
  <c r="BD536"/>
  <c r="BF536" s="1"/>
  <c r="BA536"/>
  <c r="AF239" l="1"/>
  <c r="P240"/>
  <c r="AG239"/>
  <c r="AR536"/>
  <c r="AN538"/>
  <c r="BC538"/>
  <c r="AV538"/>
  <c r="AP538"/>
  <c r="Q538"/>
  <c r="AU538"/>
  <c r="BB538"/>
  <c r="I538"/>
  <c r="AO538"/>
  <c r="E538"/>
  <c r="R538" s="1"/>
  <c r="AX537"/>
  <c r="AZ537" s="1"/>
  <c r="H537"/>
  <c r="O536"/>
  <c r="Y536" s="1"/>
  <c r="W536"/>
  <c r="T536"/>
  <c r="S537" s="1"/>
  <c r="H536"/>
  <c r="A539"/>
  <c r="C540"/>
  <c r="B539"/>
  <c r="AS539"/>
  <c r="D539"/>
  <c r="BA537"/>
  <c r="BD537"/>
  <c r="BF537" s="1"/>
  <c r="AT537"/>
  <c r="K537"/>
  <c r="AW537"/>
  <c r="AY537" s="1"/>
  <c r="BE537"/>
  <c r="BG537" s="1"/>
  <c r="F538" l="1"/>
  <c r="T538" s="1"/>
  <c r="S539" s="1"/>
  <c r="S538"/>
  <c r="U240"/>
  <c r="AB240"/>
  <c r="AR537"/>
  <c r="AW538"/>
  <c r="AY538" s="1"/>
  <c r="K538"/>
  <c r="AT538"/>
  <c r="BE538"/>
  <c r="BG538" s="1"/>
  <c r="AN539"/>
  <c r="AO539"/>
  <c r="AV539"/>
  <c r="Q539"/>
  <c r="BC539"/>
  <c r="BB539"/>
  <c r="AP539"/>
  <c r="I539"/>
  <c r="AU539"/>
  <c r="E539"/>
  <c r="R539" s="1"/>
  <c r="O537"/>
  <c r="Y537" s="1"/>
  <c r="W537"/>
  <c r="D540"/>
  <c r="C541"/>
  <c r="AS540"/>
  <c r="B540"/>
  <c r="A540"/>
  <c r="BA538"/>
  <c r="BD538"/>
  <c r="BF538" s="1"/>
  <c r="AX538"/>
  <c r="AZ538" s="1"/>
  <c r="H538"/>
  <c r="F539" l="1"/>
  <c r="T539" s="1"/>
  <c r="S540" s="1"/>
  <c r="Z240"/>
  <c r="AA240"/>
  <c r="AH240"/>
  <c r="AR538"/>
  <c r="K539"/>
  <c r="AW539"/>
  <c r="AY539" s="1"/>
  <c r="AT539"/>
  <c r="BB540"/>
  <c r="AV540"/>
  <c r="AP540"/>
  <c r="BC540"/>
  <c r="Q540"/>
  <c r="AN540"/>
  <c r="AU540"/>
  <c r="AO540"/>
  <c r="I540"/>
  <c r="E540"/>
  <c r="AX539"/>
  <c r="AZ539" s="1"/>
  <c r="D541"/>
  <c r="B541"/>
  <c r="A541"/>
  <c r="C542"/>
  <c r="AS541"/>
  <c r="BE539"/>
  <c r="BG539" s="1"/>
  <c r="O538"/>
  <c r="Y538" s="1"/>
  <c r="W538"/>
  <c r="BD539"/>
  <c r="BF539" s="1"/>
  <c r="BA539"/>
  <c r="H539" l="1"/>
  <c r="AF240"/>
  <c r="Z241"/>
  <c r="P241"/>
  <c r="U241" s="1"/>
  <c r="AB241" s="1"/>
  <c r="AG240"/>
  <c r="AA241"/>
  <c r="AG241" s="1"/>
  <c r="AR539"/>
  <c r="F540"/>
  <c r="H540" s="1"/>
  <c r="AV541"/>
  <c r="AU541"/>
  <c r="AN541"/>
  <c r="Q541"/>
  <c r="AP541"/>
  <c r="I541"/>
  <c r="AO541"/>
  <c r="BC541"/>
  <c r="BB541"/>
  <c r="E541"/>
  <c r="R541" s="1"/>
  <c r="BD540"/>
  <c r="BF540" s="1"/>
  <c r="BA540"/>
  <c r="O539"/>
  <c r="Y539" s="1"/>
  <c r="W539"/>
  <c r="AS542"/>
  <c r="C543"/>
  <c r="D542"/>
  <c r="A542"/>
  <c r="B542"/>
  <c r="AX540"/>
  <c r="AZ540" s="1"/>
  <c r="AT540"/>
  <c r="AW540"/>
  <c r="AY540" s="1"/>
  <c r="K540"/>
  <c r="R540"/>
  <c r="BE540"/>
  <c r="BG540" s="1"/>
  <c r="Z242" l="1"/>
  <c r="P242"/>
  <c r="AF241"/>
  <c r="AA242"/>
  <c r="AH241"/>
  <c r="U242"/>
  <c r="AB242"/>
  <c r="T540"/>
  <c r="S541" s="1"/>
  <c r="AR540"/>
  <c r="O540"/>
  <c r="Y540" s="1"/>
  <c r="W540"/>
  <c r="Q542"/>
  <c r="I542"/>
  <c r="AO542"/>
  <c r="AP542"/>
  <c r="BB542"/>
  <c r="AU542"/>
  <c r="BC542"/>
  <c r="AV542"/>
  <c r="AN542"/>
  <c r="E542"/>
  <c r="R542" s="1"/>
  <c r="AT541"/>
  <c r="AW541"/>
  <c r="AY541" s="1"/>
  <c r="K541"/>
  <c r="BE541"/>
  <c r="BG541" s="1"/>
  <c r="A543"/>
  <c r="B543"/>
  <c r="D543"/>
  <c r="C544"/>
  <c r="AS543"/>
  <c r="BA541"/>
  <c r="BD541"/>
  <c r="BF541" s="1"/>
  <c r="AX541"/>
  <c r="AZ541" s="1"/>
  <c r="F541"/>
  <c r="AG242" l="1"/>
  <c r="M243"/>
  <c r="AF242"/>
  <c r="P243"/>
  <c r="X243" s="1"/>
  <c r="L243"/>
  <c r="AH242"/>
  <c r="N243"/>
  <c r="AR541"/>
  <c r="O541"/>
  <c r="Y541" s="1"/>
  <c r="W541"/>
  <c r="BD542"/>
  <c r="BF542" s="1"/>
  <c r="BA542"/>
  <c r="AV543"/>
  <c r="AO543"/>
  <c r="AN543"/>
  <c r="BB543"/>
  <c r="I543"/>
  <c r="AU543"/>
  <c r="BC543"/>
  <c r="Q543"/>
  <c r="AP543"/>
  <c r="E543"/>
  <c r="R543" s="1"/>
  <c r="AW542"/>
  <c r="AY542" s="1"/>
  <c r="K542"/>
  <c r="AT542"/>
  <c r="BE542"/>
  <c r="BG542" s="1"/>
  <c r="F542"/>
  <c r="T541"/>
  <c r="S542" s="1"/>
  <c r="H541"/>
  <c r="AS544"/>
  <c r="A544"/>
  <c r="B544"/>
  <c r="C545"/>
  <c r="D544"/>
  <c r="AX542"/>
  <c r="AZ542" s="1"/>
  <c r="U243" l="1"/>
  <c r="AA243" s="1"/>
  <c r="AG243" s="1"/>
  <c r="AR542"/>
  <c r="O542"/>
  <c r="Y542" s="1"/>
  <c r="W542"/>
  <c r="AT543"/>
  <c r="K543"/>
  <c r="AW543"/>
  <c r="AY543" s="1"/>
  <c r="AU544"/>
  <c r="AV544"/>
  <c r="Q544"/>
  <c r="I544"/>
  <c r="BB544"/>
  <c r="AN544"/>
  <c r="AP544"/>
  <c r="BC544"/>
  <c r="AO544"/>
  <c r="E544"/>
  <c r="R544" s="1"/>
  <c r="G532"/>
  <c r="G533" s="1"/>
  <c r="G534" s="1"/>
  <c r="G535" s="1"/>
  <c r="G536" s="1"/>
  <c r="G537" s="1"/>
  <c r="G538" s="1"/>
  <c r="G539" s="1"/>
  <c r="G540" s="1"/>
  <c r="G541" s="1"/>
  <c r="G542" s="1"/>
  <c r="G543" s="1"/>
  <c r="F543"/>
  <c r="BE543"/>
  <c r="BG543" s="1"/>
  <c r="B545"/>
  <c r="AS545"/>
  <c r="D545"/>
  <c r="A545"/>
  <c r="C546"/>
  <c r="BD543"/>
  <c r="BA543"/>
  <c r="BF543"/>
  <c r="T542"/>
  <c r="S543" s="1"/>
  <c r="H542"/>
  <c r="AX543"/>
  <c r="AZ543" s="1"/>
  <c r="AB243" l="1"/>
  <c r="AH243" s="1"/>
  <c r="Z243"/>
  <c r="AR543"/>
  <c r="AX544"/>
  <c r="AZ544" s="1"/>
  <c r="O543"/>
  <c r="Y543" s="1"/>
  <c r="W543"/>
  <c r="V543"/>
  <c r="Q545"/>
  <c r="BB545"/>
  <c r="AP545"/>
  <c r="I545"/>
  <c r="AU545"/>
  <c r="AN545"/>
  <c r="AV545"/>
  <c r="AO545"/>
  <c r="BC545"/>
  <c r="E545"/>
  <c r="R545" s="1"/>
  <c r="C547"/>
  <c r="A546"/>
  <c r="B546"/>
  <c r="D546"/>
  <c r="AS546"/>
  <c r="T543"/>
  <c r="H543"/>
  <c r="F544"/>
  <c r="BE544"/>
  <c r="BG544" s="1"/>
  <c r="BA544"/>
  <c r="BD544"/>
  <c r="BF544" s="1"/>
  <c r="AW544"/>
  <c r="AY544" s="1"/>
  <c r="AT544"/>
  <c r="K544"/>
  <c r="P244" l="1"/>
  <c r="AF243"/>
  <c r="F545"/>
  <c r="BE545"/>
  <c r="BG545" s="1"/>
  <c r="AW545"/>
  <c r="AY545" s="1"/>
  <c r="AT545"/>
  <c r="K545"/>
  <c r="AR544"/>
  <c r="O544"/>
  <c r="W544"/>
  <c r="T544"/>
  <c r="S545" s="1"/>
  <c r="H544"/>
  <c r="A547"/>
  <c r="C548"/>
  <c r="B547"/>
  <c r="F546" s="1"/>
  <c r="AS547"/>
  <c r="D547"/>
  <c r="BC546"/>
  <c r="AU546"/>
  <c r="I546"/>
  <c r="AV546"/>
  <c r="AN546"/>
  <c r="AP546"/>
  <c r="AO546"/>
  <c r="BB546"/>
  <c r="Q546"/>
  <c r="E546"/>
  <c r="R546" s="1"/>
  <c r="BA545"/>
  <c r="BD545"/>
  <c r="BF545" s="1"/>
  <c r="S544"/>
  <c r="AX545"/>
  <c r="AZ545" s="1"/>
  <c r="U244" l="1"/>
  <c r="AB244" s="1"/>
  <c r="T546"/>
  <c r="S547" s="1"/>
  <c r="H546"/>
  <c r="O545"/>
  <c r="W545"/>
  <c r="AU547"/>
  <c r="AV547"/>
  <c r="AN547"/>
  <c r="AP547"/>
  <c r="BC547"/>
  <c r="BB547"/>
  <c r="I547"/>
  <c r="AO547"/>
  <c r="Q547"/>
  <c r="E547"/>
  <c r="R547" s="1"/>
  <c r="BD546"/>
  <c r="BF546" s="1"/>
  <c r="BA546"/>
  <c r="AX546"/>
  <c r="AZ546" s="1"/>
  <c r="AS548"/>
  <c r="A548"/>
  <c r="D548"/>
  <c r="B548"/>
  <c r="C549"/>
  <c r="T545"/>
  <c r="S546" s="1"/>
  <c r="H545"/>
  <c r="AR545"/>
  <c r="Y544"/>
  <c r="Y545" s="1"/>
  <c r="BE546"/>
  <c r="BG546" s="1"/>
  <c r="AW546"/>
  <c r="K546"/>
  <c r="AT546"/>
  <c r="AY546"/>
  <c r="AH244" l="1"/>
  <c r="AA244"/>
  <c r="Z244"/>
  <c r="C550"/>
  <c r="D549"/>
  <c r="B549"/>
  <c r="AS549"/>
  <c r="A549"/>
  <c r="AR546"/>
  <c r="O546"/>
  <c r="W546"/>
  <c r="I548"/>
  <c r="AV548"/>
  <c r="BC548"/>
  <c r="AU548"/>
  <c r="AP548"/>
  <c r="BB548"/>
  <c r="AO548"/>
  <c r="Q548"/>
  <c r="AN548"/>
  <c r="E548"/>
  <c r="BE547"/>
  <c r="BG547" s="1"/>
  <c r="AW547"/>
  <c r="AY547" s="1"/>
  <c r="AT547"/>
  <c r="K547"/>
  <c r="F547"/>
  <c r="Y546"/>
  <c r="BA547"/>
  <c r="BD547"/>
  <c r="BF547" s="1"/>
  <c r="AX547"/>
  <c r="AZ547" s="1"/>
  <c r="AG244" l="1"/>
  <c r="AA245"/>
  <c r="AG245" s="1"/>
  <c r="P245"/>
  <c r="U245" s="1"/>
  <c r="AB245" s="1"/>
  <c r="AF244"/>
  <c r="Z245"/>
  <c r="AR547"/>
  <c r="K548"/>
  <c r="AT548"/>
  <c r="AW548"/>
  <c r="AY548" s="1"/>
  <c r="T547"/>
  <c r="S548" s="1"/>
  <c r="H547"/>
  <c r="I549"/>
  <c r="BB549"/>
  <c r="Q549"/>
  <c r="AV549"/>
  <c r="AU549"/>
  <c r="AP549"/>
  <c r="AN549"/>
  <c r="AO549"/>
  <c r="BC549"/>
  <c r="E549"/>
  <c r="R549" s="1"/>
  <c r="A550"/>
  <c r="B550"/>
  <c r="C551"/>
  <c r="D550"/>
  <c r="AS550"/>
  <c r="BD548"/>
  <c r="BF548" s="1"/>
  <c r="BA548"/>
  <c r="AX548"/>
  <c r="AZ548" s="1"/>
  <c r="R548"/>
  <c r="O547"/>
  <c r="Y547" s="1"/>
  <c r="W547"/>
  <c r="BE548"/>
  <c r="BG548" s="1"/>
  <c r="F548"/>
  <c r="AF245" l="1"/>
  <c r="P246"/>
  <c r="AH245"/>
  <c r="AR548"/>
  <c r="AV550"/>
  <c r="BB550"/>
  <c r="AN550"/>
  <c r="AO550"/>
  <c r="Q550"/>
  <c r="AP550"/>
  <c r="AU550"/>
  <c r="BC550"/>
  <c r="I550"/>
  <c r="E550"/>
  <c r="AX549"/>
  <c r="AZ549" s="1"/>
  <c r="O548"/>
  <c r="Y548" s="1"/>
  <c r="W548"/>
  <c r="BE549"/>
  <c r="BG549" s="1"/>
  <c r="AW549"/>
  <c r="AY549" s="1"/>
  <c r="AT549"/>
  <c r="K549"/>
  <c r="T548"/>
  <c r="S549" s="1"/>
  <c r="H548"/>
  <c r="AS551"/>
  <c r="B551"/>
  <c r="R550"/>
  <c r="A551"/>
  <c r="D551"/>
  <c r="C552"/>
  <c r="BD549"/>
  <c r="BF549" s="1"/>
  <c r="BA549"/>
  <c r="F549"/>
  <c r="U246" l="1"/>
  <c r="AA246" s="1"/>
  <c r="AR549"/>
  <c r="F550"/>
  <c r="H550" s="1"/>
  <c r="BE550"/>
  <c r="BG550" s="1"/>
  <c r="T549"/>
  <c r="S550" s="1"/>
  <c r="H549"/>
  <c r="B552"/>
  <c r="A552"/>
  <c r="C553"/>
  <c r="D552"/>
  <c r="AS552"/>
  <c r="BC551"/>
  <c r="Q551"/>
  <c r="AU551"/>
  <c r="AV551"/>
  <c r="I551"/>
  <c r="AO551"/>
  <c r="AN551"/>
  <c r="BB551"/>
  <c r="AP551"/>
  <c r="E551"/>
  <c r="AX550"/>
  <c r="AZ550" s="1"/>
  <c r="O549"/>
  <c r="Y549" s="1"/>
  <c r="W549"/>
  <c r="BD550"/>
  <c r="BF550" s="1"/>
  <c r="BA550"/>
  <c r="AT550"/>
  <c r="AW550"/>
  <c r="AY550" s="1"/>
  <c r="K550"/>
  <c r="AG246" l="1"/>
  <c r="Z246"/>
  <c r="AB246"/>
  <c r="T550"/>
  <c r="S551" s="1"/>
  <c r="F551"/>
  <c r="T551" s="1"/>
  <c r="AR550"/>
  <c r="AT551"/>
  <c r="K551"/>
  <c r="AW551"/>
  <c r="AY551" s="1"/>
  <c r="O550"/>
  <c r="Y550" s="1"/>
  <c r="W550"/>
  <c r="R551"/>
  <c r="BD551"/>
  <c r="BF551" s="1"/>
  <c r="BA551"/>
  <c r="AX551"/>
  <c r="AZ551" s="1"/>
  <c r="A553"/>
  <c r="C554"/>
  <c r="D553"/>
  <c r="B553"/>
  <c r="F552" s="1"/>
  <c r="T552" s="1"/>
  <c r="S553" s="1"/>
  <c r="AS553"/>
  <c r="H551"/>
  <c r="BB552"/>
  <c r="AP552"/>
  <c r="I552"/>
  <c r="AV552"/>
  <c r="BC552"/>
  <c r="AU552"/>
  <c r="Q552"/>
  <c r="AN552"/>
  <c r="AO552"/>
  <c r="E552"/>
  <c r="BE551"/>
  <c r="BG551" s="1"/>
  <c r="AF246" l="1"/>
  <c r="P247"/>
  <c r="U247" s="1"/>
  <c r="Z247" s="1"/>
  <c r="AH246"/>
  <c r="S552"/>
  <c r="BE552"/>
  <c r="BG552" s="1"/>
  <c r="BD552"/>
  <c r="BF552" s="1"/>
  <c r="BA552"/>
  <c r="I553"/>
  <c r="AO553"/>
  <c r="AN553"/>
  <c r="AU553"/>
  <c r="AP553"/>
  <c r="AV553"/>
  <c r="BC553"/>
  <c r="Q553"/>
  <c r="BB553"/>
  <c r="E553"/>
  <c r="R553" s="1"/>
  <c r="AW552"/>
  <c r="AY552" s="1"/>
  <c r="AT552"/>
  <c r="K552"/>
  <c r="O551"/>
  <c r="Y551" s="1"/>
  <c r="W551"/>
  <c r="H552"/>
  <c r="AR551"/>
  <c r="A554"/>
  <c r="AS554"/>
  <c r="B554"/>
  <c r="D554"/>
  <c r="C555"/>
  <c r="AX552"/>
  <c r="AZ552" s="1"/>
  <c r="R552"/>
  <c r="AF247" l="1"/>
  <c r="AB247"/>
  <c r="AA247"/>
  <c r="AG247" s="1"/>
  <c r="F553"/>
  <c r="H553" s="1"/>
  <c r="AR552"/>
  <c r="O552"/>
  <c r="Y552" s="1"/>
  <c r="W552"/>
  <c r="BD553"/>
  <c r="BF553" s="1"/>
  <c r="BA553"/>
  <c r="AX553"/>
  <c r="AZ553" s="1"/>
  <c r="BC554"/>
  <c r="I554"/>
  <c r="AP554"/>
  <c r="AV554"/>
  <c r="AO554"/>
  <c r="BB554"/>
  <c r="AN554"/>
  <c r="AU554"/>
  <c r="Q554"/>
  <c r="E554"/>
  <c r="R554" s="1"/>
  <c r="BE553"/>
  <c r="BG553" s="1"/>
  <c r="D555"/>
  <c r="B555"/>
  <c r="C556"/>
  <c r="A555"/>
  <c r="AS555" s="1"/>
  <c r="K553"/>
  <c r="AW553"/>
  <c r="AY553" s="1"/>
  <c r="AT553"/>
  <c r="P248" l="1"/>
  <c r="AH247"/>
  <c r="T553"/>
  <c r="S554" s="1"/>
  <c r="AR553"/>
  <c r="BE554"/>
  <c r="BG554" s="1"/>
  <c r="K554"/>
  <c r="AW554"/>
  <c r="AY554" s="1"/>
  <c r="AT554"/>
  <c r="AX554"/>
  <c r="AZ554" s="1"/>
  <c r="D556"/>
  <c r="C557"/>
  <c r="A556"/>
  <c r="B556"/>
  <c r="AS556"/>
  <c r="BD554"/>
  <c r="BF554" s="1"/>
  <c r="BA554"/>
  <c r="F554"/>
  <c r="O553"/>
  <c r="Y553" s="1"/>
  <c r="W553"/>
  <c r="Q555"/>
  <c r="AN555"/>
  <c r="BB555"/>
  <c r="BC555"/>
  <c r="AO555"/>
  <c r="AV555"/>
  <c r="AU555"/>
  <c r="AP555"/>
  <c r="I555"/>
  <c r="E555"/>
  <c r="Z248" l="1"/>
  <c r="U248"/>
  <c r="AA248" s="1"/>
  <c r="AB248"/>
  <c r="AH248" s="1"/>
  <c r="AR554"/>
  <c r="I556"/>
  <c r="BC556"/>
  <c r="AO556"/>
  <c r="BB556"/>
  <c r="Q556"/>
  <c r="AU556"/>
  <c r="AN556"/>
  <c r="AV556"/>
  <c r="AP556"/>
  <c r="E556"/>
  <c r="BD555"/>
  <c r="BF555" s="1"/>
  <c r="BA555"/>
  <c r="G544"/>
  <c r="G545" s="1"/>
  <c r="G546" s="1"/>
  <c r="G547" s="1"/>
  <c r="G548" s="1"/>
  <c r="G549" s="1"/>
  <c r="G550" s="1"/>
  <c r="G551" s="1"/>
  <c r="G552" s="1"/>
  <c r="G553" s="1"/>
  <c r="G554" s="1"/>
  <c r="G555" s="1"/>
  <c r="O554"/>
  <c r="Y554" s="1"/>
  <c r="W554"/>
  <c r="K555"/>
  <c r="AW555"/>
  <c r="AY555" s="1"/>
  <c r="AT555"/>
  <c r="AX555"/>
  <c r="AZ555" s="1"/>
  <c r="BE555"/>
  <c r="BG555" s="1"/>
  <c r="T554"/>
  <c r="S555" s="1"/>
  <c r="H554"/>
  <c r="AS557"/>
  <c r="B557"/>
  <c r="D557"/>
  <c r="C558"/>
  <c r="A557"/>
  <c r="R555"/>
  <c r="F555"/>
  <c r="AG248" l="1"/>
  <c r="AA249"/>
  <c r="AG249" s="1"/>
  <c r="AF248"/>
  <c r="P249"/>
  <c r="U249" s="1"/>
  <c r="AB249" s="1"/>
  <c r="AH249" s="1"/>
  <c r="Z249"/>
  <c r="F556"/>
  <c r="H556" s="1"/>
  <c r="K556"/>
  <c r="AT556"/>
  <c r="AW556"/>
  <c r="AY556" s="1"/>
  <c r="O555"/>
  <c r="Y555" s="1"/>
  <c r="W555"/>
  <c r="V555"/>
  <c r="BE556"/>
  <c r="BG556" s="1"/>
  <c r="T555"/>
  <c r="H555"/>
  <c r="AS558"/>
  <c r="C559"/>
  <c r="A558"/>
  <c r="D558"/>
  <c r="B558"/>
  <c r="AX556"/>
  <c r="AZ556" s="1"/>
  <c r="BA556"/>
  <c r="BD556"/>
  <c r="BF556" s="1"/>
  <c r="AR555"/>
  <c r="R556"/>
  <c r="AU557"/>
  <c r="BC557"/>
  <c r="BB557"/>
  <c r="AN557"/>
  <c r="AP557"/>
  <c r="AO557"/>
  <c r="AV557"/>
  <c r="I557"/>
  <c r="Q557"/>
  <c r="E557"/>
  <c r="AF249" l="1"/>
  <c r="P250"/>
  <c r="U250" s="1"/>
  <c r="AA250" s="1"/>
  <c r="AG250" s="1"/>
  <c r="Z250"/>
  <c r="AF250" s="1"/>
  <c r="AB250"/>
  <c r="T556"/>
  <c r="S557" s="1"/>
  <c r="F557"/>
  <c r="T557" s="1"/>
  <c r="S558" s="1"/>
  <c r="AR556"/>
  <c r="AW557"/>
  <c r="AY557" s="1"/>
  <c r="K557"/>
  <c r="AT557"/>
  <c r="BE557"/>
  <c r="BG557" s="1"/>
  <c r="AX557"/>
  <c r="AZ557" s="1"/>
  <c r="AU558"/>
  <c r="BB558"/>
  <c r="AP558"/>
  <c r="BC558"/>
  <c r="AV558"/>
  <c r="AO558"/>
  <c r="I558"/>
  <c r="AN558"/>
  <c r="Q558"/>
  <c r="E558"/>
  <c r="R558" s="1"/>
  <c r="O556"/>
  <c r="W556"/>
  <c r="R557"/>
  <c r="D559"/>
  <c r="AS559"/>
  <c r="B559"/>
  <c r="C560"/>
  <c r="A559"/>
  <c r="BD557"/>
  <c r="BF557" s="1"/>
  <c r="BA557"/>
  <c r="S556"/>
  <c r="H557"/>
  <c r="AH250" l="1"/>
  <c r="U251"/>
  <c r="AB251"/>
  <c r="P251"/>
  <c r="AX558"/>
  <c r="AZ558" s="1"/>
  <c r="AW558"/>
  <c r="AY558" s="1"/>
  <c r="AT558"/>
  <c r="K558"/>
  <c r="AR557"/>
  <c r="BA558"/>
  <c r="BD558"/>
  <c r="BF558" s="1"/>
  <c r="O557"/>
  <c r="W557"/>
  <c r="Y556"/>
  <c r="AS560"/>
  <c r="D560"/>
  <c r="C561"/>
  <c r="A560"/>
  <c r="B560"/>
  <c r="I559"/>
  <c r="AU559"/>
  <c r="BC559"/>
  <c r="AP559"/>
  <c r="Q559"/>
  <c r="AN559"/>
  <c r="AV559"/>
  <c r="BB559"/>
  <c r="AO559"/>
  <c r="E559"/>
  <c r="R559" s="1"/>
  <c r="BE558"/>
  <c r="BG558" s="1"/>
  <c r="F558"/>
  <c r="AH251" l="1"/>
  <c r="AA251"/>
  <c r="AG251" s="1"/>
  <c r="Z251"/>
  <c r="F559"/>
  <c r="H559" s="1"/>
  <c r="Y557"/>
  <c r="AR558"/>
  <c r="BA559"/>
  <c r="BD559"/>
  <c r="BF559" s="1"/>
  <c r="T558"/>
  <c r="S559" s="1"/>
  <c r="H558"/>
  <c r="AX559"/>
  <c r="AZ559" s="1"/>
  <c r="BE559"/>
  <c r="BG559" s="1"/>
  <c r="B561"/>
  <c r="D561"/>
  <c r="C562"/>
  <c r="AS561"/>
  <c r="A561"/>
  <c r="AN560"/>
  <c r="Q560"/>
  <c r="AO560"/>
  <c r="AV560"/>
  <c r="AP560"/>
  <c r="AU560"/>
  <c r="I560"/>
  <c r="BB560"/>
  <c r="BC560"/>
  <c r="E560"/>
  <c r="O558"/>
  <c r="W558"/>
  <c r="K559"/>
  <c r="AW559"/>
  <c r="AY559" s="1"/>
  <c r="AT559"/>
  <c r="P252" l="1"/>
  <c r="AF251"/>
  <c r="T559"/>
  <c r="S560" s="1"/>
  <c r="Y558"/>
  <c r="AR559"/>
  <c r="F560"/>
  <c r="H560" s="1"/>
  <c r="BD560"/>
  <c r="BF560" s="1"/>
  <c r="BA560"/>
  <c r="AX560"/>
  <c r="AZ560" s="1"/>
  <c r="AO561"/>
  <c r="BC561"/>
  <c r="AN561"/>
  <c r="I561"/>
  <c r="Q561"/>
  <c r="AP561"/>
  <c r="AU561"/>
  <c r="AV561"/>
  <c r="BB561"/>
  <c r="E561"/>
  <c r="R561" s="1"/>
  <c r="K560"/>
  <c r="AW560"/>
  <c r="AY560" s="1"/>
  <c r="AT560"/>
  <c r="R560"/>
  <c r="O559"/>
  <c r="Y559" s="1"/>
  <c r="W559"/>
  <c r="BE560"/>
  <c r="BG560" s="1"/>
  <c r="B562"/>
  <c r="AS562"/>
  <c r="C563"/>
  <c r="A562"/>
  <c r="D562"/>
  <c r="Z252" l="1"/>
  <c r="U252"/>
  <c r="AA252" s="1"/>
  <c r="AG252" s="1"/>
  <c r="T560"/>
  <c r="S561" s="1"/>
  <c r="BE561"/>
  <c r="BG561" s="1"/>
  <c r="BB562"/>
  <c r="AN562"/>
  <c r="AO562"/>
  <c r="AP562"/>
  <c r="AU562"/>
  <c r="BC562"/>
  <c r="I562"/>
  <c r="Q562"/>
  <c r="AV562"/>
  <c r="E562"/>
  <c r="R562" s="1"/>
  <c r="BA561"/>
  <c r="BD561"/>
  <c r="BF561" s="1"/>
  <c r="AR560"/>
  <c r="C564"/>
  <c r="A563"/>
  <c r="AS563"/>
  <c r="B563"/>
  <c r="D563"/>
  <c r="O560"/>
  <c r="Y560" s="1"/>
  <c r="W560"/>
  <c r="AW561"/>
  <c r="AY561" s="1"/>
  <c r="K561"/>
  <c r="AT561"/>
  <c r="AX561"/>
  <c r="AZ561" s="1"/>
  <c r="F561"/>
  <c r="AB252" l="1"/>
  <c r="AH252" s="1"/>
  <c r="AF252"/>
  <c r="F562"/>
  <c r="T562" s="1"/>
  <c r="S563" s="1"/>
  <c r="AR561"/>
  <c r="D564"/>
  <c r="A564"/>
  <c r="C565"/>
  <c r="AS564"/>
  <c r="B564"/>
  <c r="F563" s="1"/>
  <c r="T563" s="1"/>
  <c r="AX562"/>
  <c r="AZ562" s="1"/>
  <c r="AW562"/>
  <c r="AY562" s="1"/>
  <c r="AT562"/>
  <c r="K562"/>
  <c r="BA562"/>
  <c r="BD562"/>
  <c r="BF562" s="1"/>
  <c r="BB563"/>
  <c r="AV563"/>
  <c r="AP563"/>
  <c r="AN563"/>
  <c r="AU563"/>
  <c r="AO563"/>
  <c r="Q563"/>
  <c r="I563"/>
  <c r="BC563"/>
  <c r="E563"/>
  <c r="O561"/>
  <c r="Y561" s="1"/>
  <c r="W561"/>
  <c r="BE562"/>
  <c r="BG562" s="1"/>
  <c r="T561"/>
  <c r="S562" s="1"/>
  <c r="H561"/>
  <c r="P253" l="1"/>
  <c r="U253" s="1"/>
  <c r="H562"/>
  <c r="S564"/>
  <c r="AR562"/>
  <c r="O562"/>
  <c r="Y562" s="1"/>
  <c r="W562"/>
  <c r="D565"/>
  <c r="A565"/>
  <c r="B565"/>
  <c r="AS565"/>
  <c r="C566"/>
  <c r="AX563"/>
  <c r="AZ563" s="1"/>
  <c r="R563"/>
  <c r="BE563"/>
  <c r="BG563" s="1"/>
  <c r="AW563"/>
  <c r="AY563" s="1"/>
  <c r="K563"/>
  <c r="AT563"/>
  <c r="BD563"/>
  <c r="BF563" s="1"/>
  <c r="BA563"/>
  <c r="BB564"/>
  <c r="AO564"/>
  <c r="I564"/>
  <c r="AV564"/>
  <c r="AU564"/>
  <c r="BC564"/>
  <c r="Q564"/>
  <c r="AP564"/>
  <c r="AN564"/>
  <c r="E564"/>
  <c r="H563"/>
  <c r="AB253" l="1"/>
  <c r="AH253" s="1"/>
  <c r="Z253"/>
  <c r="AF253" s="1"/>
  <c r="AA253"/>
  <c r="AG253" s="1"/>
  <c r="F564"/>
  <c r="H564" s="1"/>
  <c r="BA564"/>
  <c r="BD564"/>
  <c r="BF564" s="1"/>
  <c r="O563"/>
  <c r="Y563" s="1"/>
  <c r="W563"/>
  <c r="A566"/>
  <c r="AS566"/>
  <c r="C567"/>
  <c r="B566"/>
  <c r="D566"/>
  <c r="AV565"/>
  <c r="BC565"/>
  <c r="AO565"/>
  <c r="AP565"/>
  <c r="AU565"/>
  <c r="AN565"/>
  <c r="BB565"/>
  <c r="Q565"/>
  <c r="I565"/>
  <c r="E565"/>
  <c r="AX564"/>
  <c r="AZ564" s="1"/>
  <c r="K564"/>
  <c r="AW564"/>
  <c r="AY564" s="1"/>
  <c r="AT564"/>
  <c r="BE564"/>
  <c r="BG564" s="1"/>
  <c r="AR563"/>
  <c r="R564"/>
  <c r="F565" l="1"/>
  <c r="T565" s="1"/>
  <c r="P254"/>
  <c r="U254" s="1"/>
  <c r="AA254" s="1"/>
  <c r="M255" s="1"/>
  <c r="T564"/>
  <c r="S565" s="1"/>
  <c r="AR564"/>
  <c r="S566"/>
  <c r="O564"/>
  <c r="Y564" s="1"/>
  <c r="W564"/>
  <c r="AT565"/>
  <c r="K565"/>
  <c r="AW565"/>
  <c r="AY565" s="1"/>
  <c r="AX565"/>
  <c r="AZ565" s="1"/>
  <c r="BE565"/>
  <c r="BG565" s="1"/>
  <c r="B567"/>
  <c r="A567"/>
  <c r="AS567" s="1"/>
  <c r="C568"/>
  <c r="D567"/>
  <c r="BD565"/>
  <c r="BF565" s="1"/>
  <c r="BA565"/>
  <c r="BC566"/>
  <c r="AO566"/>
  <c r="AV566"/>
  <c r="AU566"/>
  <c r="AP566"/>
  <c r="AN566"/>
  <c r="BB566"/>
  <c r="Q566"/>
  <c r="I566"/>
  <c r="E566"/>
  <c r="R565"/>
  <c r="H565" l="1"/>
  <c r="AG254"/>
  <c r="Z254"/>
  <c r="AB254"/>
  <c r="L255"/>
  <c r="AR565"/>
  <c r="O565"/>
  <c r="Y565" s="1"/>
  <c r="W565"/>
  <c r="R566"/>
  <c r="BD566"/>
  <c r="BF566" s="1"/>
  <c r="BA566"/>
  <c r="AX566"/>
  <c r="AZ566" s="1"/>
  <c r="AT566"/>
  <c r="AW566"/>
  <c r="AY566" s="1"/>
  <c r="K566"/>
  <c r="AO567"/>
  <c r="AU567"/>
  <c r="Q567"/>
  <c r="AP567"/>
  <c r="I567"/>
  <c r="BB567"/>
  <c r="AN567"/>
  <c r="AV567"/>
  <c r="BC567"/>
  <c r="E567"/>
  <c r="BE566"/>
  <c r="BG566" s="1"/>
  <c r="B568"/>
  <c r="A568"/>
  <c r="AS568"/>
  <c r="C569"/>
  <c r="D568"/>
  <c r="F566"/>
  <c r="AF254" l="1"/>
  <c r="P255"/>
  <c r="N255"/>
  <c r="AH254"/>
  <c r="U255"/>
  <c r="AB255" s="1"/>
  <c r="F567"/>
  <c r="T567" s="1"/>
  <c r="AR566"/>
  <c r="AP568"/>
  <c r="BB568"/>
  <c r="BC568"/>
  <c r="AO568"/>
  <c r="AU568"/>
  <c r="Q568"/>
  <c r="I568"/>
  <c r="AN568"/>
  <c r="AV568"/>
  <c r="E568"/>
  <c r="R568" s="1"/>
  <c r="AX567"/>
  <c r="AZ567" s="1"/>
  <c r="O566"/>
  <c r="Y566" s="1"/>
  <c r="W566"/>
  <c r="BD567"/>
  <c r="BF567" s="1"/>
  <c r="BA567"/>
  <c r="K567"/>
  <c r="AW567"/>
  <c r="AY567" s="1"/>
  <c r="AT567"/>
  <c r="T566"/>
  <c r="S567" s="1"/>
  <c r="H566"/>
  <c r="B569"/>
  <c r="AS569"/>
  <c r="D569"/>
  <c r="F568" s="1"/>
  <c r="T568" s="1"/>
  <c r="A569"/>
  <c r="C570"/>
  <c r="G556"/>
  <c r="G557" s="1"/>
  <c r="G558" s="1"/>
  <c r="G559" s="1"/>
  <c r="G560" s="1"/>
  <c r="G561" s="1"/>
  <c r="G562" s="1"/>
  <c r="G563" s="1"/>
  <c r="G564" s="1"/>
  <c r="G565" s="1"/>
  <c r="G566" s="1"/>
  <c r="G567" s="1"/>
  <c r="BE567"/>
  <c r="BG567" s="1"/>
  <c r="R567"/>
  <c r="X255" l="1"/>
  <c r="AA255"/>
  <c r="AG255" s="1"/>
  <c r="Z255"/>
  <c r="AH255"/>
  <c r="H567"/>
  <c r="S569"/>
  <c r="AR567"/>
  <c r="D570"/>
  <c r="B570"/>
  <c r="A570"/>
  <c r="C571"/>
  <c r="AS570"/>
  <c r="AU569"/>
  <c r="AN569"/>
  <c r="BC569"/>
  <c r="AO569"/>
  <c r="AV569"/>
  <c r="AP569"/>
  <c r="BB569"/>
  <c r="I569"/>
  <c r="Q569"/>
  <c r="E569"/>
  <c r="AX568"/>
  <c r="AZ568" s="1"/>
  <c r="AW568"/>
  <c r="AY568" s="1"/>
  <c r="K568"/>
  <c r="AT568"/>
  <c r="S568"/>
  <c r="H568"/>
  <c r="BD568"/>
  <c r="BF568" s="1"/>
  <c r="BA568"/>
  <c r="O567"/>
  <c r="Y567" s="1"/>
  <c r="W567"/>
  <c r="V567"/>
  <c r="BE568"/>
  <c r="BG568" s="1"/>
  <c r="P256" l="1"/>
  <c r="U256" s="1"/>
  <c r="AA256" s="1"/>
  <c r="AF255"/>
  <c r="F569"/>
  <c r="T569" s="1"/>
  <c r="S570" s="1"/>
  <c r="AR568"/>
  <c r="AO570"/>
  <c r="AV570"/>
  <c r="Q570"/>
  <c r="BB570"/>
  <c r="AU570"/>
  <c r="BC570"/>
  <c r="AN570"/>
  <c r="I570"/>
  <c r="AP570"/>
  <c r="E570"/>
  <c r="R570" s="1"/>
  <c r="BD569"/>
  <c r="BF569" s="1"/>
  <c r="BA569"/>
  <c r="BE569"/>
  <c r="BG569" s="1"/>
  <c r="B571"/>
  <c r="A571"/>
  <c r="C572"/>
  <c r="D571"/>
  <c r="AS571"/>
  <c r="H569"/>
  <c r="R569"/>
  <c r="O568"/>
  <c r="Y568" s="1"/>
  <c r="W568"/>
  <c r="AX569"/>
  <c r="AZ569" s="1"/>
  <c r="AW569"/>
  <c r="AY569" s="1"/>
  <c r="K569"/>
  <c r="AT569"/>
  <c r="AG256" l="1"/>
  <c r="Z256"/>
  <c r="AB256"/>
  <c r="F570"/>
  <c r="T570" s="1"/>
  <c r="S571" s="1"/>
  <c r="AR569"/>
  <c r="B572"/>
  <c r="AS572"/>
  <c r="C573"/>
  <c r="D572"/>
  <c r="A572"/>
  <c r="BD570"/>
  <c r="BF570" s="1"/>
  <c r="BA570"/>
  <c r="AW570"/>
  <c r="AY570" s="1"/>
  <c r="AT570"/>
  <c r="K570"/>
  <c r="O569"/>
  <c r="Y569" s="1"/>
  <c r="W569"/>
  <c r="AP571"/>
  <c r="Q571"/>
  <c r="AV571"/>
  <c r="AN571"/>
  <c r="I571"/>
  <c r="AU571"/>
  <c r="BB571"/>
  <c r="AO571"/>
  <c r="BC571"/>
  <c r="E571"/>
  <c r="BE570"/>
  <c r="BG570" s="1"/>
  <c r="AX570"/>
  <c r="AZ570" s="1"/>
  <c r="H570"/>
  <c r="AF256" l="1"/>
  <c r="P257"/>
  <c r="U257" s="1"/>
  <c r="AH256"/>
  <c r="O570"/>
  <c r="Y570" s="1"/>
  <c r="W570"/>
  <c r="AV572"/>
  <c r="AU572"/>
  <c r="I572"/>
  <c r="AO572"/>
  <c r="Q572"/>
  <c r="BB572"/>
  <c r="AN572"/>
  <c r="BC572"/>
  <c r="AP572"/>
  <c r="E572"/>
  <c r="R572" s="1"/>
  <c r="BA571"/>
  <c r="BD571"/>
  <c r="BF571" s="1"/>
  <c r="AX571"/>
  <c r="AZ571" s="1"/>
  <c r="AR570"/>
  <c r="R571"/>
  <c r="BE571"/>
  <c r="BG571" s="1"/>
  <c r="AW571"/>
  <c r="AY571" s="1"/>
  <c r="AT571"/>
  <c r="K571"/>
  <c r="D573"/>
  <c r="AS573"/>
  <c r="A573"/>
  <c r="C574"/>
  <c r="B573"/>
  <c r="F571"/>
  <c r="F572" l="1"/>
  <c r="Z257"/>
  <c r="AF257" s="1"/>
  <c r="AB257"/>
  <c r="AH257" s="1"/>
  <c r="AA257"/>
  <c r="AR571"/>
  <c r="T572"/>
  <c r="S573" s="1"/>
  <c r="H572"/>
  <c r="T571"/>
  <c r="S572" s="1"/>
  <c r="H571"/>
  <c r="BF572"/>
  <c r="BD572"/>
  <c r="BA572"/>
  <c r="O571"/>
  <c r="Y571" s="1"/>
  <c r="W571"/>
  <c r="AT572"/>
  <c r="K572"/>
  <c r="AW572"/>
  <c r="AY572" s="1"/>
  <c r="A574"/>
  <c r="AS574"/>
  <c r="C575"/>
  <c r="D574"/>
  <c r="B574"/>
  <c r="BE572"/>
  <c r="BG572" s="1"/>
  <c r="BB573"/>
  <c r="Q573"/>
  <c r="AV573"/>
  <c r="AN573"/>
  <c r="BC573"/>
  <c r="AP573"/>
  <c r="I573"/>
  <c r="AO573"/>
  <c r="AU573"/>
  <c r="E573"/>
  <c r="R573" s="1"/>
  <c r="AX572"/>
  <c r="AZ572" s="1"/>
  <c r="P258" l="1"/>
  <c r="U258" s="1"/>
  <c r="AG257"/>
  <c r="AV574"/>
  <c r="AN574"/>
  <c r="BB574"/>
  <c r="I574"/>
  <c r="AU574"/>
  <c r="Q574"/>
  <c r="AO574"/>
  <c r="BC574"/>
  <c r="AP574"/>
  <c r="E574"/>
  <c r="R574" s="1"/>
  <c r="AR572"/>
  <c r="AT573"/>
  <c r="K573"/>
  <c r="AW573"/>
  <c r="AY573" s="1"/>
  <c r="BD573"/>
  <c r="BF573" s="1"/>
  <c r="BA573"/>
  <c r="C576"/>
  <c r="AS575"/>
  <c r="B575"/>
  <c r="A575"/>
  <c r="D575"/>
  <c r="F573"/>
  <c r="BE573"/>
  <c r="BG573" s="1"/>
  <c r="AX573"/>
  <c r="AZ573" s="1"/>
  <c r="O572"/>
  <c r="Y572" s="1"/>
  <c r="W572"/>
  <c r="AB258" l="1"/>
  <c r="AH258" s="1"/>
  <c r="Z258"/>
  <c r="P259" s="1"/>
  <c r="U259" s="1"/>
  <c r="AA258"/>
  <c r="AG258" s="1"/>
  <c r="AF258"/>
  <c r="AR573"/>
  <c r="T573"/>
  <c r="S574" s="1"/>
  <c r="H573"/>
  <c r="O573"/>
  <c r="Y573" s="1"/>
  <c r="W573"/>
  <c r="BG574"/>
  <c r="BE574"/>
  <c r="F574"/>
  <c r="AN575"/>
  <c r="I575"/>
  <c r="BB575"/>
  <c r="Q575"/>
  <c r="AO575"/>
  <c r="AV575"/>
  <c r="AU575"/>
  <c r="AP575"/>
  <c r="BC575"/>
  <c r="E575"/>
  <c r="R575" s="1"/>
  <c r="A576"/>
  <c r="D576"/>
  <c r="AS576"/>
  <c r="C577"/>
  <c r="B576"/>
  <c r="AW574"/>
  <c r="AY574" s="1"/>
  <c r="K574"/>
  <c r="AT574"/>
  <c r="AX574"/>
  <c r="AZ574" s="1"/>
  <c r="BD574"/>
  <c r="BF574" s="1"/>
  <c r="BA574"/>
  <c r="Z259" l="1"/>
  <c r="AA259"/>
  <c r="AG259" s="1"/>
  <c r="AB259"/>
  <c r="AH259" s="1"/>
  <c r="O574"/>
  <c r="Y574" s="1"/>
  <c r="W574"/>
  <c r="B577"/>
  <c r="AS577"/>
  <c r="A577"/>
  <c r="D577"/>
  <c r="F576" s="1"/>
  <c r="T576" s="1"/>
  <c r="C578"/>
  <c r="AT575"/>
  <c r="AW575"/>
  <c r="AY575" s="1"/>
  <c r="K575"/>
  <c r="BA575"/>
  <c r="BD575"/>
  <c r="BF575" s="1"/>
  <c r="T574"/>
  <c r="S575" s="1"/>
  <c r="H574"/>
  <c r="AR574"/>
  <c r="AP576"/>
  <c r="AN576"/>
  <c r="I576"/>
  <c r="AO576"/>
  <c r="AU576"/>
  <c r="AV576"/>
  <c r="BC576"/>
  <c r="Q576"/>
  <c r="BB576"/>
  <c r="E576"/>
  <c r="BE575"/>
  <c r="BG575" s="1"/>
  <c r="F575"/>
  <c r="AX575"/>
  <c r="AZ575" s="1"/>
  <c r="P260" l="1"/>
  <c r="AF259"/>
  <c r="AR575"/>
  <c r="O575"/>
  <c r="W575"/>
  <c r="AS578"/>
  <c r="C579"/>
  <c r="D578"/>
  <c r="B578"/>
  <c r="A578"/>
  <c r="AX576"/>
  <c r="AZ576" s="1"/>
  <c r="Y575"/>
  <c r="H576"/>
  <c r="R576"/>
  <c r="AW576"/>
  <c r="AY576" s="1"/>
  <c r="AT576"/>
  <c r="K576"/>
  <c r="Q577"/>
  <c r="AU577"/>
  <c r="AN577"/>
  <c r="I577"/>
  <c r="BC577"/>
  <c r="AO577"/>
  <c r="AV577"/>
  <c r="AP577"/>
  <c r="BB577"/>
  <c r="E577"/>
  <c r="BD576"/>
  <c r="BF576" s="1"/>
  <c r="BA576"/>
  <c r="BE576"/>
  <c r="BG576" s="1"/>
  <c r="T575"/>
  <c r="S576" s="1"/>
  <c r="H575"/>
  <c r="AB260" l="1"/>
  <c r="AH260" s="1"/>
  <c r="U260"/>
  <c r="Z260" s="1"/>
  <c r="P261" s="1"/>
  <c r="AA260"/>
  <c r="AG260" s="1"/>
  <c r="AF260"/>
  <c r="F577"/>
  <c r="T577" s="1"/>
  <c r="S578" s="1"/>
  <c r="S577"/>
  <c r="BD577"/>
  <c r="BF577" s="1"/>
  <c r="BA577"/>
  <c r="BE577"/>
  <c r="BG577" s="1"/>
  <c r="Q578"/>
  <c r="BB578"/>
  <c r="AU578"/>
  <c r="AN578"/>
  <c r="I578"/>
  <c r="BC578"/>
  <c r="AP578"/>
  <c r="AV578"/>
  <c r="AO578"/>
  <c r="E578"/>
  <c r="AW577"/>
  <c r="AY577" s="1"/>
  <c r="K577"/>
  <c r="AT577"/>
  <c r="A579"/>
  <c r="AS579" s="1"/>
  <c r="D579"/>
  <c r="B579"/>
  <c r="C580"/>
  <c r="AR576"/>
  <c r="R577"/>
  <c r="AX577"/>
  <c r="AZ577" s="1"/>
  <c r="O576"/>
  <c r="Y576" s="1"/>
  <c r="W576"/>
  <c r="H577" l="1"/>
  <c r="U261"/>
  <c r="AB261"/>
  <c r="F578"/>
  <c r="H578" s="1"/>
  <c r="AR577"/>
  <c r="C581"/>
  <c r="A580"/>
  <c r="AS580"/>
  <c r="D580"/>
  <c r="B580"/>
  <c r="AW578"/>
  <c r="AY578" s="1"/>
  <c r="AT578"/>
  <c r="K578"/>
  <c r="O577"/>
  <c r="Y577" s="1"/>
  <c r="W577"/>
  <c r="BE578"/>
  <c r="BG578" s="1"/>
  <c r="BD578"/>
  <c r="BF578" s="1"/>
  <c r="BA578"/>
  <c r="AO579"/>
  <c r="BC579"/>
  <c r="I579"/>
  <c r="AP579"/>
  <c r="AV579"/>
  <c r="BB579"/>
  <c r="AU579"/>
  <c r="Q579"/>
  <c r="AN579"/>
  <c r="E579"/>
  <c r="R579" s="1"/>
  <c r="AX578"/>
  <c r="AZ578" s="1"/>
  <c r="R578"/>
  <c r="AA261" l="1"/>
  <c r="AG261" s="1"/>
  <c r="Z261"/>
  <c r="AH261"/>
  <c r="F579"/>
  <c r="T579" s="1"/>
  <c r="T578"/>
  <c r="S579" s="1"/>
  <c r="S580"/>
  <c r="AX579"/>
  <c r="AZ579" s="1"/>
  <c r="BD579"/>
  <c r="BF579" s="1"/>
  <c r="BA579"/>
  <c r="BE579"/>
  <c r="BG579" s="1"/>
  <c r="B581"/>
  <c r="A581"/>
  <c r="C582"/>
  <c r="D581"/>
  <c r="AS581"/>
  <c r="AW579"/>
  <c r="AY579" s="1"/>
  <c r="K579"/>
  <c r="AT579"/>
  <c r="O578"/>
  <c r="Y578" s="1"/>
  <c r="W578"/>
  <c r="G568"/>
  <c r="G569" s="1"/>
  <c r="G570" s="1"/>
  <c r="G571" s="1"/>
  <c r="G572" s="1"/>
  <c r="G573" s="1"/>
  <c r="G574" s="1"/>
  <c r="G575" s="1"/>
  <c r="G576" s="1"/>
  <c r="G577" s="1"/>
  <c r="G578" s="1"/>
  <c r="G579" s="1"/>
  <c r="Q580"/>
  <c r="AP580"/>
  <c r="AO580"/>
  <c r="I580"/>
  <c r="BC580"/>
  <c r="AN580"/>
  <c r="AU580"/>
  <c r="AV580"/>
  <c r="BB580"/>
  <c r="E580"/>
  <c r="H579"/>
  <c r="AR578"/>
  <c r="AF261" l="1"/>
  <c r="P262"/>
  <c r="F580"/>
  <c r="T580" s="1"/>
  <c r="S581" s="1"/>
  <c r="AR579"/>
  <c r="O579"/>
  <c r="Y579" s="1"/>
  <c r="W579"/>
  <c r="V579"/>
  <c r="B582"/>
  <c r="D582"/>
  <c r="AS582"/>
  <c r="A582"/>
  <c r="C583"/>
  <c r="I581"/>
  <c r="Q581"/>
  <c r="AU581"/>
  <c r="AN581"/>
  <c r="BC581"/>
  <c r="BB581"/>
  <c r="AV581"/>
  <c r="AP581"/>
  <c r="AO581"/>
  <c r="E581"/>
  <c r="R581" s="1"/>
  <c r="AX580"/>
  <c r="AZ580" s="1"/>
  <c r="K580"/>
  <c r="AT580"/>
  <c r="AW580"/>
  <c r="AY580" s="1"/>
  <c r="BD580"/>
  <c r="BF580" s="1"/>
  <c r="BA580"/>
  <c r="BE580"/>
  <c r="BG580" s="1"/>
  <c r="H580"/>
  <c r="R580"/>
  <c r="AA262" l="1"/>
  <c r="U262"/>
  <c r="F581"/>
  <c r="T581" s="1"/>
  <c r="S582" s="1"/>
  <c r="AR580"/>
  <c r="BB582"/>
  <c r="AN582"/>
  <c r="Q582"/>
  <c r="AO582"/>
  <c r="AU582"/>
  <c r="I582"/>
  <c r="AP582"/>
  <c r="AV582"/>
  <c r="BC582"/>
  <c r="E582"/>
  <c r="BE581"/>
  <c r="BG581" s="1"/>
  <c r="C584"/>
  <c r="B583"/>
  <c r="R582"/>
  <c r="D583"/>
  <c r="A583"/>
  <c r="AS583"/>
  <c r="H581"/>
  <c r="BA581"/>
  <c r="BD581"/>
  <c r="BF581" s="1"/>
  <c r="O580"/>
  <c r="W580"/>
  <c r="AX581"/>
  <c r="AZ581" s="1"/>
  <c r="AW581"/>
  <c r="AY581" s="1"/>
  <c r="K581"/>
  <c r="AT581"/>
  <c r="AG262" l="1"/>
  <c r="AB262"/>
  <c r="Z262"/>
  <c r="AR581"/>
  <c r="F582"/>
  <c r="O581"/>
  <c r="W581"/>
  <c r="AX582"/>
  <c r="AZ582" s="1"/>
  <c r="BB583"/>
  <c r="Q583"/>
  <c r="AN583"/>
  <c r="AO583"/>
  <c r="AU583"/>
  <c r="I583"/>
  <c r="BC583"/>
  <c r="AV583"/>
  <c r="AP583"/>
  <c r="E583"/>
  <c r="C585"/>
  <c r="B584"/>
  <c r="AS584"/>
  <c r="D584"/>
  <c r="R583"/>
  <c r="A584"/>
  <c r="BE582"/>
  <c r="BG582" s="1"/>
  <c r="AW582"/>
  <c r="AY582" s="1"/>
  <c r="AR582" s="1"/>
  <c r="K582"/>
  <c r="AT582"/>
  <c r="BD582"/>
  <c r="BF582" s="1"/>
  <c r="BA582"/>
  <c r="Y580"/>
  <c r="Y581" s="1"/>
  <c r="AH262" l="1"/>
  <c r="P263"/>
  <c r="AF262"/>
  <c r="AX583"/>
  <c r="AZ583" s="1"/>
  <c r="O582"/>
  <c r="Y582" s="1"/>
  <c r="W582"/>
  <c r="AP584"/>
  <c r="BB584"/>
  <c r="AN584"/>
  <c r="AU584"/>
  <c r="BC584"/>
  <c r="I584"/>
  <c r="Q584"/>
  <c r="AV584"/>
  <c r="AO584"/>
  <c r="E584"/>
  <c r="AS585"/>
  <c r="B585"/>
  <c r="C586"/>
  <c r="R584"/>
  <c r="D585"/>
  <c r="A585"/>
  <c r="BE583"/>
  <c r="BG583" s="1"/>
  <c r="F583"/>
  <c r="T582"/>
  <c r="S583" s="1"/>
  <c r="H582"/>
  <c r="AT583"/>
  <c r="AW583"/>
  <c r="AY583" s="1"/>
  <c r="AR583" s="1"/>
  <c r="K583"/>
  <c r="BA583"/>
  <c r="BD583"/>
  <c r="BF583" s="1"/>
  <c r="U263" l="1"/>
  <c r="AA263" s="1"/>
  <c r="O583"/>
  <c r="W583"/>
  <c r="T583"/>
  <c r="S584" s="1"/>
  <c r="H583"/>
  <c r="AP585"/>
  <c r="AV585"/>
  <c r="Q585"/>
  <c r="I585"/>
  <c r="BC585"/>
  <c r="AU585"/>
  <c r="BB585"/>
  <c r="AO585"/>
  <c r="AN585"/>
  <c r="E585"/>
  <c r="BD584"/>
  <c r="BF584" s="1"/>
  <c r="BA584"/>
  <c r="C587"/>
  <c r="B586"/>
  <c r="D586"/>
  <c r="AS586"/>
  <c r="A586"/>
  <c r="AX584"/>
  <c r="AZ584" s="1"/>
  <c r="K584"/>
  <c r="AW584"/>
  <c r="AY584" s="1"/>
  <c r="AT584"/>
  <c r="F584"/>
  <c r="BE584"/>
  <c r="BG584" s="1"/>
  <c r="Y583"/>
  <c r="AB263" l="1"/>
  <c r="Z263"/>
  <c r="AG263"/>
  <c r="F585"/>
  <c r="T585" s="1"/>
  <c r="AR584"/>
  <c r="AT585"/>
  <c r="K585"/>
  <c r="AW585"/>
  <c r="AY585" s="1"/>
  <c r="AX585"/>
  <c r="AZ585" s="1"/>
  <c r="O584"/>
  <c r="Y584" s="1"/>
  <c r="W584"/>
  <c r="AO586"/>
  <c r="Q586"/>
  <c r="AV586"/>
  <c r="BB586"/>
  <c r="I586"/>
  <c r="AU586"/>
  <c r="BC586"/>
  <c r="AN586"/>
  <c r="AP586"/>
  <c r="E586"/>
  <c r="R586" s="1"/>
  <c r="D587"/>
  <c r="AS587"/>
  <c r="A587"/>
  <c r="B587"/>
  <c r="C588"/>
  <c r="BD585"/>
  <c r="BF585" s="1"/>
  <c r="BA585"/>
  <c r="T584"/>
  <c r="S585" s="1"/>
  <c r="H584"/>
  <c r="BE585"/>
  <c r="BG585" s="1"/>
  <c r="R585"/>
  <c r="S586" l="1"/>
  <c r="AH263"/>
  <c r="AF263"/>
  <c r="P264"/>
  <c r="F586"/>
  <c r="T586" s="1"/>
  <c r="S587" s="1"/>
  <c r="H585"/>
  <c r="AR585"/>
  <c r="K586"/>
  <c r="AW586"/>
  <c r="AY586" s="1"/>
  <c r="AT586"/>
  <c r="D588"/>
  <c r="B588"/>
  <c r="A588"/>
  <c r="AS588"/>
  <c r="C589"/>
  <c r="BE586"/>
  <c r="BG586" s="1"/>
  <c r="AX586"/>
  <c r="AZ586" s="1"/>
  <c r="O585"/>
  <c r="Y585" s="1"/>
  <c r="W585"/>
  <c r="BD586"/>
  <c r="BF586" s="1"/>
  <c r="BA586"/>
  <c r="AP587"/>
  <c r="BB587"/>
  <c r="I587"/>
  <c r="AO587"/>
  <c r="AU587"/>
  <c r="AN587"/>
  <c r="Q587"/>
  <c r="BC587"/>
  <c r="AV587"/>
  <c r="E587"/>
  <c r="AA264" l="1"/>
  <c r="U264"/>
  <c r="H586"/>
  <c r="F587"/>
  <c r="H587" s="1"/>
  <c r="BD587"/>
  <c r="BF587" s="1"/>
  <c r="BA587"/>
  <c r="R587"/>
  <c r="O586"/>
  <c r="Y586" s="1"/>
  <c r="W586"/>
  <c r="BE587"/>
  <c r="BG587" s="1"/>
  <c r="AS589"/>
  <c r="B589"/>
  <c r="C590"/>
  <c r="A589"/>
  <c r="D589"/>
  <c r="AR586"/>
  <c r="AX587"/>
  <c r="AZ587" s="1"/>
  <c r="K587"/>
  <c r="AW587"/>
  <c r="AY587" s="1"/>
  <c r="AT587"/>
  <c r="AU588"/>
  <c r="BC588"/>
  <c r="AP588"/>
  <c r="AN588"/>
  <c r="BB588"/>
  <c r="AV588"/>
  <c r="Q588"/>
  <c r="I588"/>
  <c r="AO588"/>
  <c r="E588"/>
  <c r="R588" s="1"/>
  <c r="AG264" l="1"/>
  <c r="AB264"/>
  <c r="Z264"/>
  <c r="T587"/>
  <c r="S588" s="1"/>
  <c r="AR587"/>
  <c r="F588"/>
  <c r="H588" s="1"/>
  <c r="O587"/>
  <c r="Y587" s="1"/>
  <c r="W587"/>
  <c r="AX588"/>
  <c r="AZ588" s="1"/>
  <c r="BE588"/>
  <c r="BG588" s="1"/>
  <c r="A590"/>
  <c r="C591"/>
  <c r="B590"/>
  <c r="D590"/>
  <c r="AS590"/>
  <c r="BD588"/>
  <c r="BF588" s="1"/>
  <c r="BA588"/>
  <c r="AT588"/>
  <c r="K588"/>
  <c r="AW588"/>
  <c r="AY588" s="1"/>
  <c r="AV589"/>
  <c r="Q589"/>
  <c r="AP589"/>
  <c r="I589"/>
  <c r="AU589"/>
  <c r="AO589"/>
  <c r="BB589"/>
  <c r="BC589"/>
  <c r="AN589"/>
  <c r="E589"/>
  <c r="AH264" l="1"/>
  <c r="AF264"/>
  <c r="P265"/>
  <c r="T588"/>
  <c r="S589" s="1"/>
  <c r="AR588"/>
  <c r="BE589"/>
  <c r="BG589" s="1"/>
  <c r="I590"/>
  <c r="AP590"/>
  <c r="AU590"/>
  <c r="Q590"/>
  <c r="AN590"/>
  <c r="BB590"/>
  <c r="AO590"/>
  <c r="AV590"/>
  <c r="BC590"/>
  <c r="E590"/>
  <c r="R590" s="1"/>
  <c r="O588"/>
  <c r="Y588" s="1"/>
  <c r="W588"/>
  <c r="AW589"/>
  <c r="AY589" s="1"/>
  <c r="K589"/>
  <c r="AT589"/>
  <c r="AX589"/>
  <c r="AZ589" s="1"/>
  <c r="BD589"/>
  <c r="BF589" s="1"/>
  <c r="BA589"/>
  <c r="A591"/>
  <c r="B591"/>
  <c r="D591"/>
  <c r="C592"/>
  <c r="F589"/>
  <c r="R589"/>
  <c r="AA265" l="1"/>
  <c r="U265"/>
  <c r="AR589"/>
  <c r="F590"/>
  <c r="T590" s="1"/>
  <c r="T589"/>
  <c r="S590" s="1"/>
  <c r="H589"/>
  <c r="A592"/>
  <c r="D592"/>
  <c r="C593"/>
  <c r="B592"/>
  <c r="AS592"/>
  <c r="AN591"/>
  <c r="AO591"/>
  <c r="I591"/>
  <c r="AV591"/>
  <c r="Q591"/>
  <c r="AU591"/>
  <c r="BC591"/>
  <c r="BB591"/>
  <c r="AP591"/>
  <c r="E591"/>
  <c r="AW590"/>
  <c r="AY590" s="1"/>
  <c r="AT590"/>
  <c r="K590"/>
  <c r="H590"/>
  <c r="O589"/>
  <c r="Y589" s="1"/>
  <c r="W589"/>
  <c r="AX590"/>
  <c r="AZ590" s="1"/>
  <c r="AS591"/>
  <c r="BE590"/>
  <c r="BG590" s="1"/>
  <c r="BD590"/>
  <c r="BF590" s="1"/>
  <c r="BA590"/>
  <c r="S591"/>
  <c r="AG265" l="1"/>
  <c r="AB265"/>
  <c r="Z265"/>
  <c r="F591"/>
  <c r="T591" s="1"/>
  <c r="S592" s="1"/>
  <c r="O590"/>
  <c r="Y590" s="1"/>
  <c r="W590"/>
  <c r="BD591"/>
  <c r="BF591" s="1"/>
  <c r="BA591"/>
  <c r="AX591"/>
  <c r="AZ591" s="1"/>
  <c r="C594"/>
  <c r="B593"/>
  <c r="D593"/>
  <c r="AS593"/>
  <c r="A593"/>
  <c r="AT591"/>
  <c r="AW591"/>
  <c r="AY591" s="1"/>
  <c r="K591"/>
  <c r="G580"/>
  <c r="G581" s="1"/>
  <c r="G582" s="1"/>
  <c r="G583" s="1"/>
  <c r="G584" s="1"/>
  <c r="G585" s="1"/>
  <c r="G586" s="1"/>
  <c r="G587" s="1"/>
  <c r="G588" s="1"/>
  <c r="G589" s="1"/>
  <c r="G590" s="1"/>
  <c r="G591" s="1"/>
  <c r="AR590"/>
  <c r="BE591"/>
  <c r="BG591" s="1"/>
  <c r="AO592"/>
  <c r="BB592"/>
  <c r="AP592"/>
  <c r="Q592"/>
  <c r="I592"/>
  <c r="AV592"/>
  <c r="BC592"/>
  <c r="AN592"/>
  <c r="AU592"/>
  <c r="E592"/>
  <c r="R591"/>
  <c r="AH265" l="1"/>
  <c r="AF265"/>
  <c r="P266"/>
  <c r="F592"/>
  <c r="T592" s="1"/>
  <c r="H591"/>
  <c r="S593"/>
  <c r="AW592"/>
  <c r="AY592" s="1"/>
  <c r="K592"/>
  <c r="AT592"/>
  <c r="AX592"/>
  <c r="AZ592" s="1"/>
  <c r="BA592"/>
  <c r="BD592"/>
  <c r="BF592" s="1"/>
  <c r="BE592"/>
  <c r="BG592" s="1"/>
  <c r="H592"/>
  <c r="O591"/>
  <c r="Y591" s="1"/>
  <c r="W591"/>
  <c r="V591"/>
  <c r="B594"/>
  <c r="A594"/>
  <c r="C595"/>
  <c r="D594"/>
  <c r="AS594"/>
  <c r="BC593"/>
  <c r="AO593"/>
  <c r="BB593"/>
  <c r="Q593"/>
  <c r="AU593"/>
  <c r="AV593"/>
  <c r="AN593"/>
  <c r="AP593"/>
  <c r="I593"/>
  <c r="E593"/>
  <c r="AR591"/>
  <c r="R592"/>
  <c r="F593" l="1"/>
  <c r="T593" s="1"/>
  <c r="S594" s="1"/>
  <c r="AA266"/>
  <c r="U266"/>
  <c r="AR592"/>
  <c r="AV594"/>
  <c r="Q594"/>
  <c r="BC594"/>
  <c r="AU594"/>
  <c r="AP594"/>
  <c r="BB594"/>
  <c r="I594"/>
  <c r="AO594"/>
  <c r="AN594"/>
  <c r="E594"/>
  <c r="R594" s="1"/>
  <c r="AW593"/>
  <c r="AY593" s="1"/>
  <c r="K593"/>
  <c r="AT593"/>
  <c r="O592"/>
  <c r="Y592" s="1"/>
  <c r="W592"/>
  <c r="BE593"/>
  <c r="BG593" s="1"/>
  <c r="D595"/>
  <c r="B595"/>
  <c r="C596"/>
  <c r="A595"/>
  <c r="AS595"/>
  <c r="AX593"/>
  <c r="AZ593" s="1"/>
  <c r="R593"/>
  <c r="BA593"/>
  <c r="BD593"/>
  <c r="BF593" s="1"/>
  <c r="H593" l="1"/>
  <c r="AG266"/>
  <c r="M267"/>
  <c r="AB266"/>
  <c r="Z266"/>
  <c r="F594"/>
  <c r="T594" s="1"/>
  <c r="S595" s="1"/>
  <c r="BB595"/>
  <c r="Q595"/>
  <c r="AP595"/>
  <c r="AU595"/>
  <c r="AV595"/>
  <c r="AN595"/>
  <c r="I595"/>
  <c r="BC595"/>
  <c r="AO595"/>
  <c r="E595"/>
  <c r="R595" s="1"/>
  <c r="BD594"/>
  <c r="BF594" s="1"/>
  <c r="BA594"/>
  <c r="BE594"/>
  <c r="BG594" s="1"/>
  <c r="AR593"/>
  <c r="AT594"/>
  <c r="AW594"/>
  <c r="AY594" s="1"/>
  <c r="K594"/>
  <c r="D596"/>
  <c r="A596"/>
  <c r="C597"/>
  <c r="B596"/>
  <c r="AS596"/>
  <c r="O593"/>
  <c r="Y593" s="1"/>
  <c r="W593"/>
  <c r="AX594"/>
  <c r="AZ594" s="1"/>
  <c r="H594" l="1"/>
  <c r="L267"/>
  <c r="P267"/>
  <c r="AF266"/>
  <c r="Z267"/>
  <c r="N267"/>
  <c r="AH266"/>
  <c r="U267"/>
  <c r="AB267"/>
  <c r="AR594"/>
  <c r="O594"/>
  <c r="Y594" s="1"/>
  <c r="W594"/>
  <c r="AS597"/>
  <c r="D597"/>
  <c r="B597"/>
  <c r="C598"/>
  <c r="A597"/>
  <c r="BE595"/>
  <c r="BG595" s="1"/>
  <c r="K595"/>
  <c r="AT595"/>
  <c r="AW595"/>
  <c r="AY595" s="1"/>
  <c r="F595"/>
  <c r="BC596"/>
  <c r="AV596"/>
  <c r="AU596"/>
  <c r="AO596"/>
  <c r="I596"/>
  <c r="Q596"/>
  <c r="BB596"/>
  <c r="AN596"/>
  <c r="AP596"/>
  <c r="E596"/>
  <c r="AX595"/>
  <c r="AZ595" s="1"/>
  <c r="BD595"/>
  <c r="BF595" s="1"/>
  <c r="BA595"/>
  <c r="AH267" l="1"/>
  <c r="AF267"/>
  <c r="X267"/>
  <c r="AA267"/>
  <c r="P268" s="1"/>
  <c r="U268" s="1"/>
  <c r="F596"/>
  <c r="T596" s="1"/>
  <c r="AR595"/>
  <c r="O595"/>
  <c r="Y595" s="1"/>
  <c r="W595"/>
  <c r="BE596"/>
  <c r="BG596" s="1"/>
  <c r="C599"/>
  <c r="A598"/>
  <c r="D598"/>
  <c r="AS598"/>
  <c r="B598"/>
  <c r="BA596"/>
  <c r="BD596"/>
  <c r="BF596" s="1"/>
  <c r="AW596"/>
  <c r="AY596" s="1"/>
  <c r="K596"/>
  <c r="AT596"/>
  <c r="T595"/>
  <c r="S596" s="1"/>
  <c r="H595"/>
  <c r="AX596"/>
  <c r="AZ596" s="1"/>
  <c r="AN597"/>
  <c r="AO597"/>
  <c r="BC597"/>
  <c r="AV597"/>
  <c r="Q597"/>
  <c r="AP597"/>
  <c r="BB597"/>
  <c r="I597"/>
  <c r="AU597"/>
  <c r="E597"/>
  <c r="R596"/>
  <c r="H596" l="1"/>
  <c r="AB268"/>
  <c r="Z268"/>
  <c r="S597"/>
  <c r="AG267"/>
  <c r="AA268"/>
  <c r="AR596"/>
  <c r="F597"/>
  <c r="H597" s="1"/>
  <c r="BE597"/>
  <c r="BG597" s="1"/>
  <c r="O596"/>
  <c r="Y596" s="1"/>
  <c r="W596"/>
  <c r="AW597"/>
  <c r="AY597" s="1"/>
  <c r="K597"/>
  <c r="AT597"/>
  <c r="R597"/>
  <c r="B599"/>
  <c r="AS599"/>
  <c r="D599"/>
  <c r="C600"/>
  <c r="A599"/>
  <c r="BD597"/>
  <c r="BF597" s="1"/>
  <c r="BA597"/>
  <c r="AP598"/>
  <c r="AO598"/>
  <c r="BB598"/>
  <c r="AV598"/>
  <c r="Q598"/>
  <c r="AU598"/>
  <c r="AN598"/>
  <c r="I598"/>
  <c r="BC598"/>
  <c r="E598"/>
  <c r="R598" s="1"/>
  <c r="AX597"/>
  <c r="AZ597" s="1"/>
  <c r="AG268" l="1"/>
  <c r="AH268"/>
  <c r="P269"/>
  <c r="U269" s="1"/>
  <c r="AB269" s="1"/>
  <c r="AF268"/>
  <c r="T597"/>
  <c r="S598" s="1"/>
  <c r="F598"/>
  <c r="H598" s="1"/>
  <c r="O597"/>
  <c r="Y597" s="1"/>
  <c r="W597"/>
  <c r="A600"/>
  <c r="C601"/>
  <c r="AS600"/>
  <c r="D600"/>
  <c r="B600"/>
  <c r="AR597"/>
  <c r="BA598"/>
  <c r="BD598"/>
  <c r="BF598" s="1"/>
  <c r="AX598"/>
  <c r="AZ598" s="1"/>
  <c r="BE598"/>
  <c r="BG598" s="1"/>
  <c r="AW598"/>
  <c r="AY598" s="1"/>
  <c r="AT598"/>
  <c r="K598"/>
  <c r="AN599"/>
  <c r="AU599"/>
  <c r="BC599"/>
  <c r="AV599"/>
  <c r="Q599"/>
  <c r="I599"/>
  <c r="AP599"/>
  <c r="BB599"/>
  <c r="AO599"/>
  <c r="E599"/>
  <c r="F599" l="1"/>
  <c r="T599" s="1"/>
  <c r="AH269"/>
  <c r="AA269"/>
  <c r="AG269" s="1"/>
  <c r="Z269"/>
  <c r="S600"/>
  <c r="T598"/>
  <c r="S599" s="1"/>
  <c r="BD599"/>
  <c r="BF599" s="1"/>
  <c r="BA599"/>
  <c r="AX599"/>
  <c r="AZ599" s="1"/>
  <c r="AW599"/>
  <c r="AY599" s="1"/>
  <c r="K599"/>
  <c r="AT599"/>
  <c r="BE599"/>
  <c r="BG599" s="1"/>
  <c r="BB600"/>
  <c r="AU600"/>
  <c r="I600"/>
  <c r="AP600"/>
  <c r="BC600"/>
  <c r="Q600"/>
  <c r="AN600"/>
  <c r="AO600"/>
  <c r="AV600"/>
  <c r="E600"/>
  <c r="O598"/>
  <c r="Y598" s="1"/>
  <c r="W598"/>
  <c r="C602"/>
  <c r="D601"/>
  <c r="AS601"/>
  <c r="A601"/>
  <c r="B601"/>
  <c r="R599"/>
  <c r="AR598"/>
  <c r="H599" l="1"/>
  <c r="P270"/>
  <c r="AF269"/>
  <c r="AR599"/>
  <c r="B602"/>
  <c r="AS602"/>
  <c r="C603"/>
  <c r="A602"/>
  <c r="D602"/>
  <c r="AX600"/>
  <c r="AZ600" s="1"/>
  <c r="BE600"/>
  <c r="BG600" s="1"/>
  <c r="BA600"/>
  <c r="BD600"/>
  <c r="BF600" s="1"/>
  <c r="AT600"/>
  <c r="K600"/>
  <c r="AW600"/>
  <c r="AY600" s="1"/>
  <c r="O599"/>
  <c r="Y599" s="1"/>
  <c r="W599"/>
  <c r="AU601"/>
  <c r="AP601"/>
  <c r="AV601"/>
  <c r="I601"/>
  <c r="Q601"/>
  <c r="BB601"/>
  <c r="AN601"/>
  <c r="BC601"/>
  <c r="AO601"/>
  <c r="E601"/>
  <c r="R600"/>
  <c r="F600"/>
  <c r="Z270" l="1"/>
  <c r="U270"/>
  <c r="AB270"/>
  <c r="AH270" s="1"/>
  <c r="AA270"/>
  <c r="AR600"/>
  <c r="BD601"/>
  <c r="BF601" s="1"/>
  <c r="BA601"/>
  <c r="T600"/>
  <c r="S601" s="1"/>
  <c r="H600"/>
  <c r="BE601"/>
  <c r="BG601" s="1"/>
  <c r="AW601"/>
  <c r="AY601" s="1"/>
  <c r="AT601"/>
  <c r="K601"/>
  <c r="A603"/>
  <c r="B603"/>
  <c r="C604"/>
  <c r="D603"/>
  <c r="AS603"/>
  <c r="F601"/>
  <c r="O600"/>
  <c r="Y600" s="1"/>
  <c r="W600"/>
  <c r="R601"/>
  <c r="AX601"/>
  <c r="AZ601" s="1"/>
  <c r="Q602"/>
  <c r="AP602"/>
  <c r="BC602"/>
  <c r="AU602"/>
  <c r="I602"/>
  <c r="AV602"/>
  <c r="AN602"/>
  <c r="AO602"/>
  <c r="BB602"/>
  <c r="E602"/>
  <c r="R602" s="1"/>
  <c r="Z271" l="1"/>
  <c r="AF270"/>
  <c r="P271"/>
  <c r="U271" s="1"/>
  <c r="AB271" s="1"/>
  <c r="AH271" s="1"/>
  <c r="AA271"/>
  <c r="AG271" s="1"/>
  <c r="AG270"/>
  <c r="AR601"/>
  <c r="Q603"/>
  <c r="AP603"/>
  <c r="AU603"/>
  <c r="BB603"/>
  <c r="BC603"/>
  <c r="AV603"/>
  <c r="AN603"/>
  <c r="AO603"/>
  <c r="I603"/>
  <c r="E603"/>
  <c r="F602"/>
  <c r="BE602"/>
  <c r="BG602" s="1"/>
  <c r="AW602"/>
  <c r="AY602" s="1"/>
  <c r="K602"/>
  <c r="AT602"/>
  <c r="O601"/>
  <c r="Y601" s="1"/>
  <c r="W601"/>
  <c r="AX602"/>
  <c r="AZ602" s="1"/>
  <c r="T601"/>
  <c r="S602" s="1"/>
  <c r="H601"/>
  <c r="BD602"/>
  <c r="BF602" s="1"/>
  <c r="BA602"/>
  <c r="B604"/>
  <c r="C605"/>
  <c r="AS604"/>
  <c r="R603"/>
  <c r="D604"/>
  <c r="A604"/>
  <c r="P272" l="1"/>
  <c r="AF271"/>
  <c r="AR602"/>
  <c r="O602"/>
  <c r="Y602" s="1"/>
  <c r="W602"/>
  <c r="BE603"/>
  <c r="BG603" s="1"/>
  <c r="AX603"/>
  <c r="AZ603" s="1"/>
  <c r="Q604"/>
  <c r="BC604"/>
  <c r="AN604"/>
  <c r="AO604"/>
  <c r="AP604"/>
  <c r="BB604"/>
  <c r="I604"/>
  <c r="AV604"/>
  <c r="AU604"/>
  <c r="E604"/>
  <c r="AS605"/>
  <c r="D605"/>
  <c r="A605"/>
  <c r="B605"/>
  <c r="F604" s="1"/>
  <c r="T604" s="1"/>
  <c r="C606"/>
  <c r="AW603"/>
  <c r="AY603" s="1"/>
  <c r="AT603"/>
  <c r="K603"/>
  <c r="G592"/>
  <c r="G593" s="1"/>
  <c r="G594" s="1"/>
  <c r="G595" s="1"/>
  <c r="G596" s="1"/>
  <c r="G597" s="1"/>
  <c r="G598" s="1"/>
  <c r="G599" s="1"/>
  <c r="G600" s="1"/>
  <c r="G601" s="1"/>
  <c r="G602" s="1"/>
  <c r="G603" s="1"/>
  <c r="T602"/>
  <c r="S603" s="1"/>
  <c r="H602"/>
  <c r="BD603"/>
  <c r="BF603" s="1"/>
  <c r="BA603"/>
  <c r="F603"/>
  <c r="U272" l="1"/>
  <c r="Z272" s="1"/>
  <c r="AR603"/>
  <c r="AN605"/>
  <c r="AV605"/>
  <c r="I605"/>
  <c r="BC605"/>
  <c r="AO605"/>
  <c r="BB605"/>
  <c r="Q605"/>
  <c r="AU605"/>
  <c r="AP605"/>
  <c r="E605"/>
  <c r="R605" s="1"/>
  <c r="AW604"/>
  <c r="AY604" s="1"/>
  <c r="K604"/>
  <c r="AT604"/>
  <c r="S605"/>
  <c r="T603"/>
  <c r="H603"/>
  <c r="BD604"/>
  <c r="BF604" s="1"/>
  <c r="BA604"/>
  <c r="BE604"/>
  <c r="BG604" s="1"/>
  <c r="AS606"/>
  <c r="C607"/>
  <c r="D606"/>
  <c r="A606"/>
  <c r="B606"/>
  <c r="H604"/>
  <c r="O603"/>
  <c r="Y603" s="1"/>
  <c r="W603"/>
  <c r="V603"/>
  <c r="AX604"/>
  <c r="AZ604" s="1"/>
  <c r="R604"/>
  <c r="AA272" l="1"/>
  <c r="AG272" s="1"/>
  <c r="AB272"/>
  <c r="AH272" s="1"/>
  <c r="AF272"/>
  <c r="AR604"/>
  <c r="O604"/>
  <c r="Y604" s="1"/>
  <c r="W604"/>
  <c r="B607"/>
  <c r="A607"/>
  <c r="C608"/>
  <c r="AS607"/>
  <c r="D607"/>
  <c r="S604"/>
  <c r="BD605"/>
  <c r="BF605" s="1"/>
  <c r="BA605"/>
  <c r="AX605"/>
  <c r="AZ605" s="1"/>
  <c r="F605"/>
  <c r="BB606"/>
  <c r="AU606"/>
  <c r="AN606"/>
  <c r="AO606"/>
  <c r="AP606"/>
  <c r="BC606"/>
  <c r="AV606"/>
  <c r="I606"/>
  <c r="Q606"/>
  <c r="E606"/>
  <c r="K605"/>
  <c r="AT605"/>
  <c r="AW605"/>
  <c r="AY605" s="1"/>
  <c r="BE605"/>
  <c r="BG605" s="1"/>
  <c r="P273" l="1"/>
  <c r="U273" s="1"/>
  <c r="AA273" s="1"/>
  <c r="AG273" s="1"/>
  <c r="AR605"/>
  <c r="BE606"/>
  <c r="BG606" s="1"/>
  <c r="K606"/>
  <c r="AW606"/>
  <c r="AY606" s="1"/>
  <c r="AT606"/>
  <c r="BC607"/>
  <c r="Q607"/>
  <c r="AP607"/>
  <c r="AN607"/>
  <c r="AV607"/>
  <c r="I607"/>
  <c r="AU607"/>
  <c r="BB607"/>
  <c r="AO607"/>
  <c r="E607"/>
  <c r="R607" s="1"/>
  <c r="T605"/>
  <c r="S606" s="1"/>
  <c r="H605"/>
  <c r="R606"/>
  <c r="O605"/>
  <c r="Y605" s="1"/>
  <c r="W605"/>
  <c r="AX606"/>
  <c r="AZ606" s="1"/>
  <c r="BA606"/>
  <c r="BD606"/>
  <c r="BF606" s="1"/>
  <c r="B608"/>
  <c r="D608"/>
  <c r="A608"/>
  <c r="C609"/>
  <c r="AS608"/>
  <c r="F606"/>
  <c r="Z273" l="1"/>
  <c r="AB273"/>
  <c r="AR606"/>
  <c r="AT607"/>
  <c r="AW607"/>
  <c r="AY607" s="1"/>
  <c r="K607"/>
  <c r="A609"/>
  <c r="D609"/>
  <c r="AS609"/>
  <c r="B609"/>
  <c r="C610"/>
  <c r="BA607"/>
  <c r="BD607"/>
  <c r="BF607" s="1"/>
  <c r="O606"/>
  <c r="Y606" s="1"/>
  <c r="W606"/>
  <c r="T606"/>
  <c r="S607" s="1"/>
  <c r="H606"/>
  <c r="AO608"/>
  <c r="I608"/>
  <c r="BC608"/>
  <c r="AU608"/>
  <c r="BB608"/>
  <c r="AV608"/>
  <c r="Q608"/>
  <c r="AN608"/>
  <c r="AP608"/>
  <c r="E608"/>
  <c r="R608" s="1"/>
  <c r="AX607"/>
  <c r="AZ607" s="1"/>
  <c r="BE607"/>
  <c r="BG607" s="1"/>
  <c r="F607"/>
  <c r="AH273" l="1"/>
  <c r="AF273"/>
  <c r="P274"/>
  <c r="AR607"/>
  <c r="O607"/>
  <c r="Y607" s="1"/>
  <c r="W607"/>
  <c r="AX608"/>
  <c r="AZ608" s="1"/>
  <c r="BE608"/>
  <c r="BG608" s="1"/>
  <c r="AW608"/>
  <c r="AY608" s="1"/>
  <c r="AT608"/>
  <c r="K608"/>
  <c r="F608"/>
  <c r="T607"/>
  <c r="S608" s="1"/>
  <c r="H607"/>
  <c r="BD608"/>
  <c r="BF608" s="1"/>
  <c r="BA608"/>
  <c r="C611"/>
  <c r="D610"/>
  <c r="AS610"/>
  <c r="A610"/>
  <c r="B610"/>
  <c r="AV609"/>
  <c r="AP609"/>
  <c r="Q609"/>
  <c r="I609"/>
  <c r="AN609"/>
  <c r="BC609"/>
  <c r="BB609"/>
  <c r="AU609"/>
  <c r="AO609"/>
  <c r="E609"/>
  <c r="U274" l="1"/>
  <c r="AA274" s="1"/>
  <c r="AR608"/>
  <c r="K609"/>
  <c r="AT609"/>
  <c r="AW609"/>
  <c r="AY609" s="1"/>
  <c r="T608"/>
  <c r="S609" s="1"/>
  <c r="H608"/>
  <c r="O608"/>
  <c r="Y608" s="1"/>
  <c r="W608"/>
  <c r="AX609"/>
  <c r="AZ609" s="1"/>
  <c r="BE609"/>
  <c r="BG609" s="1"/>
  <c r="R609"/>
  <c r="BD609"/>
  <c r="BF609" s="1"/>
  <c r="BA609"/>
  <c r="BC610"/>
  <c r="AV610"/>
  <c r="AP610"/>
  <c r="AO610"/>
  <c r="I610"/>
  <c r="Q610"/>
  <c r="AN610"/>
  <c r="AU610"/>
  <c r="BB610"/>
  <c r="E610"/>
  <c r="R610" s="1"/>
  <c r="B611"/>
  <c r="A611"/>
  <c r="AS611"/>
  <c r="D611"/>
  <c r="C612"/>
  <c r="F609"/>
  <c r="AG274" l="1"/>
  <c r="Z274"/>
  <c r="AB274"/>
  <c r="AR609"/>
  <c r="T609"/>
  <c r="S610" s="1"/>
  <c r="H609"/>
  <c r="BD610"/>
  <c r="BF610" s="1"/>
  <c r="BA610"/>
  <c r="BE610"/>
  <c r="BG610" s="1"/>
  <c r="AX610"/>
  <c r="AZ610" s="1"/>
  <c r="O609"/>
  <c r="Y609" s="1"/>
  <c r="W609"/>
  <c r="AW610"/>
  <c r="AY610" s="1"/>
  <c r="AR610" s="1"/>
  <c r="K610"/>
  <c r="AT610"/>
  <c r="A612"/>
  <c r="C613"/>
  <c r="AS612"/>
  <c r="B612"/>
  <c r="D612"/>
  <c r="F610"/>
  <c r="AP611"/>
  <c r="BC611"/>
  <c r="AU611"/>
  <c r="Q611"/>
  <c r="AV611"/>
  <c r="AN611"/>
  <c r="BB611"/>
  <c r="AO611"/>
  <c r="I611"/>
  <c r="E611"/>
  <c r="AH274" l="1"/>
  <c r="P275"/>
  <c r="AF274"/>
  <c r="F611"/>
  <c r="T611" s="1"/>
  <c r="S612"/>
  <c r="BE611"/>
  <c r="BG611" s="1"/>
  <c r="O610"/>
  <c r="Y610" s="1"/>
  <c r="W610"/>
  <c r="BD611"/>
  <c r="BF611" s="1"/>
  <c r="BA611"/>
  <c r="AT611"/>
  <c r="AW611"/>
  <c r="AY611" s="1"/>
  <c r="K611"/>
  <c r="T610"/>
  <c r="S611" s="1"/>
  <c r="H610"/>
  <c r="AV612"/>
  <c r="BB612"/>
  <c r="AP612"/>
  <c r="BC612"/>
  <c r="I612"/>
  <c r="AN612"/>
  <c r="AO612"/>
  <c r="Q612"/>
  <c r="AU612"/>
  <c r="E612"/>
  <c r="R612" s="1"/>
  <c r="AZ611"/>
  <c r="AX611"/>
  <c r="A613"/>
  <c r="D613"/>
  <c r="B613"/>
  <c r="C614"/>
  <c r="AS613"/>
  <c r="R611"/>
  <c r="AA275" l="1"/>
  <c r="Z275"/>
  <c r="U275"/>
  <c r="AB275" s="1"/>
  <c r="H611"/>
  <c r="AR611"/>
  <c r="BE612"/>
  <c r="BG612" s="1"/>
  <c r="O611"/>
  <c r="Y611" s="1"/>
  <c r="W611"/>
  <c r="AW612"/>
  <c r="AY612" s="1"/>
  <c r="AT612"/>
  <c r="K612"/>
  <c r="AX612"/>
  <c r="AZ612" s="1"/>
  <c r="BA612"/>
  <c r="BD612"/>
  <c r="BF612" s="1"/>
  <c r="D614"/>
  <c r="A614"/>
  <c r="AS614"/>
  <c r="C615"/>
  <c r="B614"/>
  <c r="Q613"/>
  <c r="I613"/>
  <c r="AV613"/>
  <c r="BC613"/>
  <c r="BB613"/>
  <c r="AP613"/>
  <c r="AN613"/>
  <c r="AO613"/>
  <c r="AU613"/>
  <c r="E613"/>
  <c r="F612"/>
  <c r="AG275" l="1"/>
  <c r="AA276"/>
  <c r="AG276" s="1"/>
  <c r="AF275"/>
  <c r="P276"/>
  <c r="U276" s="1"/>
  <c r="Z276"/>
  <c r="AH275"/>
  <c r="AB276"/>
  <c r="AR612"/>
  <c r="BE613"/>
  <c r="BG613" s="1"/>
  <c r="BB614"/>
  <c r="I614"/>
  <c r="Q614"/>
  <c r="AV614"/>
  <c r="BC614"/>
  <c r="AN614"/>
  <c r="AU614"/>
  <c r="AP614"/>
  <c r="AO614"/>
  <c r="E614"/>
  <c r="R614" s="1"/>
  <c r="O612"/>
  <c r="Y612" s="1"/>
  <c r="W612"/>
  <c r="T612"/>
  <c r="S613" s="1"/>
  <c r="H612"/>
  <c r="K613"/>
  <c r="AT613"/>
  <c r="AY613"/>
  <c r="AW613"/>
  <c r="BD613"/>
  <c r="BF613" s="1"/>
  <c r="BA613"/>
  <c r="F613"/>
  <c r="R613"/>
  <c r="AX613"/>
  <c r="AZ613" s="1"/>
  <c r="D615"/>
  <c r="C616"/>
  <c r="B615"/>
  <c r="A615"/>
  <c r="P277" l="1"/>
  <c r="AF276"/>
  <c r="AH276"/>
  <c r="O613"/>
  <c r="Y613" s="1"/>
  <c r="W613"/>
  <c r="AX614"/>
  <c r="AZ614" s="1"/>
  <c r="F614"/>
  <c r="BE614"/>
  <c r="BG614" s="1"/>
  <c r="BD614"/>
  <c r="BF614" s="1"/>
  <c r="BA614"/>
  <c r="AO615"/>
  <c r="AP615"/>
  <c r="Q615"/>
  <c r="AU615"/>
  <c r="BC615"/>
  <c r="I615"/>
  <c r="BB615"/>
  <c r="AV615"/>
  <c r="AN615"/>
  <c r="E615"/>
  <c r="R615"/>
  <c r="AS616"/>
  <c r="C617"/>
  <c r="B616"/>
  <c r="D616"/>
  <c r="A616"/>
  <c r="T613"/>
  <c r="S614" s="1"/>
  <c r="H613"/>
  <c r="AT614"/>
  <c r="K614"/>
  <c r="AY614"/>
  <c r="AW614"/>
  <c r="AR613"/>
  <c r="AS615"/>
  <c r="AA277" l="1"/>
  <c r="AG277" s="1"/>
  <c r="Z277"/>
  <c r="U277"/>
  <c r="AB277" s="1"/>
  <c r="BE615"/>
  <c r="BG615" s="1"/>
  <c r="AR614"/>
  <c r="AS617"/>
  <c r="A617"/>
  <c r="D617"/>
  <c r="C618"/>
  <c r="B617"/>
  <c r="G604"/>
  <c r="G605" s="1"/>
  <c r="G606" s="1"/>
  <c r="G607" s="1"/>
  <c r="G608" s="1"/>
  <c r="G609" s="1"/>
  <c r="G610" s="1"/>
  <c r="G611" s="1"/>
  <c r="G612" s="1"/>
  <c r="G613" s="1"/>
  <c r="G614" s="1"/>
  <c r="G615" s="1"/>
  <c r="F615"/>
  <c r="BD615"/>
  <c r="BF615" s="1"/>
  <c r="BA615"/>
  <c r="O614"/>
  <c r="Y614" s="1"/>
  <c r="W614"/>
  <c r="I616"/>
  <c r="AP616"/>
  <c r="Q616"/>
  <c r="AU616"/>
  <c r="BC616"/>
  <c r="AN616"/>
  <c r="AV616"/>
  <c r="AO616"/>
  <c r="BB616"/>
  <c r="E616"/>
  <c r="R616" s="1"/>
  <c r="AX615"/>
  <c r="AZ615" s="1"/>
  <c r="AW615"/>
  <c r="AY615" s="1"/>
  <c r="AT615"/>
  <c r="K615"/>
  <c r="T614"/>
  <c r="S615" s="1"/>
  <c r="H614"/>
  <c r="P278" l="1"/>
  <c r="U278" s="1"/>
  <c r="Z278" s="1"/>
  <c r="AF277"/>
  <c r="AH277"/>
  <c r="F616"/>
  <c r="T616" s="1"/>
  <c r="S617" s="1"/>
  <c r="AR615"/>
  <c r="O615"/>
  <c r="Y615" s="1"/>
  <c r="W615"/>
  <c r="V615"/>
  <c r="AW616"/>
  <c r="AY616" s="1"/>
  <c r="K616"/>
  <c r="AT616"/>
  <c r="BA616"/>
  <c r="BD616"/>
  <c r="BF616" s="1"/>
  <c r="BE616"/>
  <c r="BG616" s="1"/>
  <c r="T615"/>
  <c r="H615"/>
  <c r="AN617"/>
  <c r="AO617"/>
  <c r="AP617"/>
  <c r="AV617"/>
  <c r="BC617"/>
  <c r="BB617"/>
  <c r="Q617"/>
  <c r="AU617"/>
  <c r="I617"/>
  <c r="E617"/>
  <c r="R617" s="1"/>
  <c r="AX616"/>
  <c r="AZ616" s="1"/>
  <c r="B618"/>
  <c r="D618"/>
  <c r="C619"/>
  <c r="AS618"/>
  <c r="A618"/>
  <c r="L279" l="1"/>
  <c r="AF278"/>
  <c r="AB278"/>
  <c r="AA278"/>
  <c r="H616"/>
  <c r="AR616"/>
  <c r="I618"/>
  <c r="AN618"/>
  <c r="AP618"/>
  <c r="BB618"/>
  <c r="Q618"/>
  <c r="AO618"/>
  <c r="AU618"/>
  <c r="AV618"/>
  <c r="BC618"/>
  <c r="E618"/>
  <c r="R618" s="1"/>
  <c r="K617"/>
  <c r="AT617"/>
  <c r="AW617"/>
  <c r="AY617" s="1"/>
  <c r="AX617"/>
  <c r="AZ617" s="1"/>
  <c r="BE617"/>
  <c r="BG617" s="1"/>
  <c r="A619"/>
  <c r="AS619"/>
  <c r="B619"/>
  <c r="D619"/>
  <c r="C620"/>
  <c r="BD617"/>
  <c r="BF617" s="1"/>
  <c r="BA617"/>
  <c r="F617"/>
  <c r="S616"/>
  <c r="O616"/>
  <c r="Y616" s="1"/>
  <c r="W616"/>
  <c r="U279" l="1"/>
  <c r="AA279" s="1"/>
  <c r="AG279" s="1"/>
  <c r="M279"/>
  <c r="AG278"/>
  <c r="P279"/>
  <c r="X279" s="1"/>
  <c r="AH278"/>
  <c r="N279"/>
  <c r="F618"/>
  <c r="H618" s="1"/>
  <c r="AR617"/>
  <c r="AX618"/>
  <c r="AZ618" s="1"/>
  <c r="BD618"/>
  <c r="BF618" s="1"/>
  <c r="BA618"/>
  <c r="T617"/>
  <c r="S618" s="1"/>
  <c r="H617"/>
  <c r="BE618"/>
  <c r="BG618" s="1"/>
  <c r="O617"/>
  <c r="Y617" s="1"/>
  <c r="W617"/>
  <c r="BC619"/>
  <c r="Q619"/>
  <c r="AV619"/>
  <c r="AU619"/>
  <c r="AN619"/>
  <c r="I619"/>
  <c r="AP619"/>
  <c r="BB619"/>
  <c r="AO619"/>
  <c r="E619"/>
  <c r="R619" s="1"/>
  <c r="C621"/>
  <c r="AS620"/>
  <c r="B620"/>
  <c r="A620"/>
  <c r="D620"/>
  <c r="AY618"/>
  <c r="AW618"/>
  <c r="AT618"/>
  <c r="K618"/>
  <c r="AB279" l="1"/>
  <c r="AH279" s="1"/>
  <c r="Z279"/>
  <c r="T618"/>
  <c r="S619" s="1"/>
  <c r="F619"/>
  <c r="T619" s="1"/>
  <c r="S620" s="1"/>
  <c r="O618"/>
  <c r="Y618" s="1"/>
  <c r="W618"/>
  <c r="BD619"/>
  <c r="BF619" s="1"/>
  <c r="BA619"/>
  <c r="BE619"/>
  <c r="BG619" s="1"/>
  <c r="AR618"/>
  <c r="AU620"/>
  <c r="AN620"/>
  <c r="AV620"/>
  <c r="I620"/>
  <c r="BB620"/>
  <c r="AP620"/>
  <c r="BC620"/>
  <c r="Q620"/>
  <c r="AO620"/>
  <c r="E620"/>
  <c r="B621"/>
  <c r="C622"/>
  <c r="AS621"/>
  <c r="R620"/>
  <c r="D621"/>
  <c r="A621"/>
  <c r="AX619"/>
  <c r="AZ619" s="1"/>
  <c r="AW619"/>
  <c r="AY619" s="1"/>
  <c r="K619"/>
  <c r="AT619"/>
  <c r="AF279" l="1"/>
  <c r="P280"/>
  <c r="H619"/>
  <c r="BE620"/>
  <c r="BG620" s="1"/>
  <c r="AX620"/>
  <c r="AZ620" s="1"/>
  <c r="AN621"/>
  <c r="AO621"/>
  <c r="BC621"/>
  <c r="BB621"/>
  <c r="AV621"/>
  <c r="I621"/>
  <c r="Q621"/>
  <c r="AP621"/>
  <c r="AU621"/>
  <c r="E621"/>
  <c r="R621" s="1"/>
  <c r="B622"/>
  <c r="AS622"/>
  <c r="A622"/>
  <c r="D622"/>
  <c r="C623"/>
  <c r="AR619"/>
  <c r="F620"/>
  <c r="O619"/>
  <c r="Y619" s="1"/>
  <c r="W619"/>
  <c r="BD620"/>
  <c r="BF620" s="1"/>
  <c r="BA620"/>
  <c r="AT620"/>
  <c r="AW620"/>
  <c r="AY620" s="1"/>
  <c r="K620"/>
  <c r="AB280" l="1"/>
  <c r="AH280" s="1"/>
  <c r="U280"/>
  <c r="AR620"/>
  <c r="F621"/>
  <c r="H621" s="1"/>
  <c r="O620"/>
  <c r="Y620" s="1"/>
  <c r="W620"/>
  <c r="AU622"/>
  <c r="AO622"/>
  <c r="I622"/>
  <c r="AV622"/>
  <c r="AP622"/>
  <c r="AN622"/>
  <c r="BC622"/>
  <c r="BB622"/>
  <c r="Q622"/>
  <c r="E622"/>
  <c r="R622" s="1"/>
  <c r="AW621"/>
  <c r="AY621" s="1"/>
  <c r="AT621"/>
  <c r="K621"/>
  <c r="AX621"/>
  <c r="AZ621" s="1"/>
  <c r="T620"/>
  <c r="S621" s="1"/>
  <c r="H620"/>
  <c r="BE621"/>
  <c r="BG621" s="1"/>
  <c r="A623"/>
  <c r="B623"/>
  <c r="AS623"/>
  <c r="C624"/>
  <c r="D623"/>
  <c r="BD621"/>
  <c r="BF621" s="1"/>
  <c r="BA621"/>
  <c r="AA280" l="1"/>
  <c r="Z280"/>
  <c r="AR621"/>
  <c r="T621"/>
  <c r="S622" s="1"/>
  <c r="K622"/>
  <c r="AT622"/>
  <c r="AW622"/>
  <c r="AY622" s="1"/>
  <c r="BA622"/>
  <c r="BD622"/>
  <c r="BF622" s="1"/>
  <c r="AX622"/>
  <c r="AZ622" s="1"/>
  <c r="C625"/>
  <c r="B624"/>
  <c r="A624"/>
  <c r="D624"/>
  <c r="AS624"/>
  <c r="I623"/>
  <c r="BB623"/>
  <c r="AN623"/>
  <c r="BC623"/>
  <c r="AP623"/>
  <c r="AV623"/>
  <c r="AO623"/>
  <c r="AU623"/>
  <c r="Q623"/>
  <c r="E623"/>
  <c r="R623" s="1"/>
  <c r="O621"/>
  <c r="Y621" s="1"/>
  <c r="W621"/>
  <c r="BE622"/>
  <c r="BG622" s="1"/>
  <c r="F622"/>
  <c r="AG280" l="1"/>
  <c r="P281"/>
  <c r="AF280"/>
  <c r="F623"/>
  <c r="T623" s="1"/>
  <c r="AR622"/>
  <c r="O622"/>
  <c r="Y622" s="1"/>
  <c r="W622"/>
  <c r="AX623"/>
  <c r="AZ623" s="1"/>
  <c r="BD623"/>
  <c r="BF623" s="1"/>
  <c r="BA623"/>
  <c r="AO624"/>
  <c r="BB624"/>
  <c r="AP624"/>
  <c r="BC624"/>
  <c r="AU624"/>
  <c r="AN624"/>
  <c r="I624"/>
  <c r="Q624"/>
  <c r="AV624"/>
  <c r="E624"/>
  <c r="R624" s="1"/>
  <c r="T622"/>
  <c r="S623" s="1"/>
  <c r="H622"/>
  <c r="B625"/>
  <c r="D625"/>
  <c r="A625"/>
  <c r="AS625"/>
  <c r="C626"/>
  <c r="H623"/>
  <c r="AW623"/>
  <c r="AY623" s="1"/>
  <c r="K623"/>
  <c r="AT623"/>
  <c r="BE623"/>
  <c r="BG623" s="1"/>
  <c r="S624"/>
  <c r="AB281" l="1"/>
  <c r="U281"/>
  <c r="AR623"/>
  <c r="AS626"/>
  <c r="D626"/>
  <c r="A626"/>
  <c r="C627"/>
  <c r="B626"/>
  <c r="BE624"/>
  <c r="BG624" s="1"/>
  <c r="O623"/>
  <c r="Y623" s="1"/>
  <c r="W623"/>
  <c r="AV625"/>
  <c r="AU625"/>
  <c r="I625"/>
  <c r="BC625"/>
  <c r="Q625"/>
  <c r="AN625"/>
  <c r="AO625"/>
  <c r="AP625"/>
  <c r="BB625"/>
  <c r="E625"/>
  <c r="R625" s="1"/>
  <c r="AX624"/>
  <c r="AZ624" s="1"/>
  <c r="AW624"/>
  <c r="AY624" s="1"/>
  <c r="AT624"/>
  <c r="K624"/>
  <c r="BA624"/>
  <c r="BD624"/>
  <c r="BF624" s="1"/>
  <c r="F624"/>
  <c r="Z281" l="1"/>
  <c r="AA281"/>
  <c r="AG281" s="1"/>
  <c r="AH281"/>
  <c r="AR624"/>
  <c r="BD625"/>
  <c r="BF625" s="1"/>
  <c r="BA625"/>
  <c r="AX625"/>
  <c r="AZ625" s="1"/>
  <c r="D627"/>
  <c r="B627"/>
  <c r="C628"/>
  <c r="A627"/>
  <c r="AS627" s="1"/>
  <c r="AT625"/>
  <c r="AW625"/>
  <c r="AY625" s="1"/>
  <c r="K625"/>
  <c r="T624"/>
  <c r="S625" s="1"/>
  <c r="H624"/>
  <c r="O624"/>
  <c r="Y624" s="1"/>
  <c r="W624"/>
  <c r="BE625"/>
  <c r="BG625" s="1"/>
  <c r="BC626"/>
  <c r="AV626"/>
  <c r="AO626"/>
  <c r="AU626"/>
  <c r="AP626"/>
  <c r="I626"/>
  <c r="AN626"/>
  <c r="Q626"/>
  <c r="BB626"/>
  <c r="E626"/>
  <c r="R626" s="1"/>
  <c r="F625"/>
  <c r="P282" l="1"/>
  <c r="AF281"/>
  <c r="AR625"/>
  <c r="F626"/>
  <c r="T626" s="1"/>
  <c r="BD626"/>
  <c r="BF626" s="1"/>
  <c r="BA626"/>
  <c r="BE626"/>
  <c r="BG626" s="1"/>
  <c r="T625"/>
  <c r="S626" s="1"/>
  <c r="H625"/>
  <c r="B628"/>
  <c r="AS628"/>
  <c r="A628"/>
  <c r="D628"/>
  <c r="C629"/>
  <c r="AW626"/>
  <c r="AY626" s="1"/>
  <c r="K626"/>
  <c r="AT626"/>
  <c r="AX626"/>
  <c r="AZ626" s="1"/>
  <c r="O625"/>
  <c r="Y625" s="1"/>
  <c r="W625"/>
  <c r="AN627"/>
  <c r="AO627"/>
  <c r="BB627"/>
  <c r="AU627"/>
  <c r="Q627"/>
  <c r="AP627"/>
  <c r="I627"/>
  <c r="AV627"/>
  <c r="BC627"/>
  <c r="E627"/>
  <c r="S627"/>
  <c r="H626"/>
  <c r="AB282" l="1"/>
  <c r="U282"/>
  <c r="AA282" s="1"/>
  <c r="AG282" s="1"/>
  <c r="Z282"/>
  <c r="AR626"/>
  <c r="BD627"/>
  <c r="BF627" s="1"/>
  <c r="BA627"/>
  <c r="O626"/>
  <c r="Y626" s="1"/>
  <c r="W626"/>
  <c r="C630"/>
  <c r="AS629"/>
  <c r="D629"/>
  <c r="A629"/>
  <c r="B629"/>
  <c r="G616"/>
  <c r="G617" s="1"/>
  <c r="G618" s="1"/>
  <c r="G619" s="1"/>
  <c r="G620" s="1"/>
  <c r="G621" s="1"/>
  <c r="G622" s="1"/>
  <c r="G623" s="1"/>
  <c r="G624" s="1"/>
  <c r="G625" s="1"/>
  <c r="G626" s="1"/>
  <c r="G627" s="1"/>
  <c r="AX627"/>
  <c r="AZ627" s="1"/>
  <c r="K627"/>
  <c r="AT627"/>
  <c r="AW627"/>
  <c r="AY627" s="1"/>
  <c r="F627"/>
  <c r="R627"/>
  <c r="BE627"/>
  <c r="BG627" s="1"/>
  <c r="AP628"/>
  <c r="AU628"/>
  <c r="Q628"/>
  <c r="AO628"/>
  <c r="AV628"/>
  <c r="BC628"/>
  <c r="AN628"/>
  <c r="I628"/>
  <c r="BB628"/>
  <c r="E628"/>
  <c r="R628" s="1"/>
  <c r="AH282" l="1"/>
  <c r="AB283"/>
  <c r="U283"/>
  <c r="AA283" s="1"/>
  <c r="AG283" s="1"/>
  <c r="P283"/>
  <c r="AF282"/>
  <c r="Z283"/>
  <c r="AR627"/>
  <c r="F628"/>
  <c r="T628" s="1"/>
  <c r="S629" s="1"/>
  <c r="O627"/>
  <c r="Y627" s="1"/>
  <c r="W627"/>
  <c r="V627"/>
  <c r="B630"/>
  <c r="F629" s="1"/>
  <c r="T629" s="1"/>
  <c r="D630"/>
  <c r="AS630"/>
  <c r="A630"/>
  <c r="C631"/>
  <c r="BE628"/>
  <c r="BG628" s="1"/>
  <c r="AW628"/>
  <c r="AY628" s="1"/>
  <c r="AT628"/>
  <c r="K628"/>
  <c r="AV629"/>
  <c r="AO629"/>
  <c r="Q629"/>
  <c r="BB629"/>
  <c r="AN629"/>
  <c r="I629"/>
  <c r="AP629"/>
  <c r="AU629"/>
  <c r="BC629"/>
  <c r="E629"/>
  <c r="R629" s="1"/>
  <c r="BD628"/>
  <c r="BF628" s="1"/>
  <c r="BA628"/>
  <c r="AX628"/>
  <c r="AZ628" s="1"/>
  <c r="T627"/>
  <c r="H627"/>
  <c r="P284" l="1"/>
  <c r="AF283"/>
  <c r="AH283"/>
  <c r="H628"/>
  <c r="AR628"/>
  <c r="BE629"/>
  <c r="BG629" s="1"/>
  <c r="AX629"/>
  <c r="AZ629" s="1"/>
  <c r="AP630"/>
  <c r="AO630"/>
  <c r="BC630"/>
  <c r="AU630"/>
  <c r="AN630"/>
  <c r="Q630"/>
  <c r="AV630"/>
  <c r="I630"/>
  <c r="BB630"/>
  <c r="E630"/>
  <c r="R630" s="1"/>
  <c r="A631"/>
  <c r="C632"/>
  <c r="B631"/>
  <c r="AS631"/>
  <c r="D631"/>
  <c r="S630"/>
  <c r="H629"/>
  <c r="S628"/>
  <c r="K629"/>
  <c r="AW629"/>
  <c r="AY629" s="1"/>
  <c r="AT629"/>
  <c r="BA629"/>
  <c r="BD629"/>
  <c r="BF629" s="1"/>
  <c r="O628"/>
  <c r="W628"/>
  <c r="AB284" l="1"/>
  <c r="AH284" s="1"/>
  <c r="AA284"/>
  <c r="AG284" s="1"/>
  <c r="U284"/>
  <c r="Z284" s="1"/>
  <c r="F630"/>
  <c r="T630" s="1"/>
  <c r="S631" s="1"/>
  <c r="O629"/>
  <c r="W629"/>
  <c r="AW630"/>
  <c r="AY630" s="1"/>
  <c r="K630"/>
  <c r="AT630"/>
  <c r="AR629"/>
  <c r="BD630"/>
  <c r="BF630" s="1"/>
  <c r="BA630"/>
  <c r="I631"/>
  <c r="AU631"/>
  <c r="BC631"/>
  <c r="BB631"/>
  <c r="AP631"/>
  <c r="AN631"/>
  <c r="Q631"/>
  <c r="AO631"/>
  <c r="AV631"/>
  <c r="E631"/>
  <c r="B632"/>
  <c r="D632"/>
  <c r="A632"/>
  <c r="R631"/>
  <c r="AS632"/>
  <c r="C633"/>
  <c r="AX630"/>
  <c r="AZ630" s="1"/>
  <c r="BE630"/>
  <c r="BG630" s="1"/>
  <c r="Y628"/>
  <c r="Y629" s="1"/>
  <c r="AF284" l="1"/>
  <c r="P285"/>
  <c r="U285" s="1"/>
  <c r="H630"/>
  <c r="AR630"/>
  <c r="AX631"/>
  <c r="AZ631" s="1"/>
  <c r="F631"/>
  <c r="O630"/>
  <c r="W630"/>
  <c r="A633"/>
  <c r="D633"/>
  <c r="B633"/>
  <c r="AS633"/>
  <c r="C634"/>
  <c r="AT631"/>
  <c r="K631"/>
  <c r="AY631"/>
  <c r="AW631"/>
  <c r="BD631"/>
  <c r="BF631" s="1"/>
  <c r="BA631"/>
  <c r="AN632"/>
  <c r="AO632"/>
  <c r="AP632"/>
  <c r="I632"/>
  <c r="AV632"/>
  <c r="BC632"/>
  <c r="BB632"/>
  <c r="Q632"/>
  <c r="AU632"/>
  <c r="E632"/>
  <c r="R632" s="1"/>
  <c r="BE631"/>
  <c r="BG631" s="1"/>
  <c r="Y630"/>
  <c r="AB285" l="1"/>
  <c r="AH285" s="1"/>
  <c r="Z285"/>
  <c r="AA285"/>
  <c r="F632"/>
  <c r="H632" s="1"/>
  <c r="P286"/>
  <c r="AF285"/>
  <c r="AG285"/>
  <c r="T632"/>
  <c r="S633" s="1"/>
  <c r="O631"/>
  <c r="W631"/>
  <c r="T631"/>
  <c r="S632" s="1"/>
  <c r="H631"/>
  <c r="BE632"/>
  <c r="BG632" s="1"/>
  <c r="BD632"/>
  <c r="BF632" s="1"/>
  <c r="BA632"/>
  <c r="I633"/>
  <c r="AP633"/>
  <c r="AO633"/>
  <c r="AN633"/>
  <c r="BC633"/>
  <c r="AV633"/>
  <c r="Q633"/>
  <c r="AU633"/>
  <c r="BB633"/>
  <c r="E633"/>
  <c r="R633" s="1"/>
  <c r="K632"/>
  <c r="AT632"/>
  <c r="AW632"/>
  <c r="AY632" s="1"/>
  <c r="AX632"/>
  <c r="AZ632" s="1"/>
  <c r="AS634"/>
  <c r="C635"/>
  <c r="D634"/>
  <c r="A634"/>
  <c r="B634"/>
  <c r="AR631"/>
  <c r="Y631"/>
  <c r="F633" l="1"/>
  <c r="T633" s="1"/>
  <c r="S634" s="1"/>
  <c r="U286"/>
  <c r="AB286" s="1"/>
  <c r="AR632"/>
  <c r="AS635"/>
  <c r="D635"/>
  <c r="C636"/>
  <c r="A635"/>
  <c r="B635"/>
  <c r="O632"/>
  <c r="Y632" s="1"/>
  <c r="W632"/>
  <c r="AW633"/>
  <c r="AY633" s="1"/>
  <c r="AT633"/>
  <c r="K633"/>
  <c r="I634"/>
  <c r="AO634"/>
  <c r="AV634"/>
  <c r="BB634"/>
  <c r="AU634"/>
  <c r="AN634"/>
  <c r="Q634"/>
  <c r="BC634"/>
  <c r="AP634"/>
  <c r="E634"/>
  <c r="R634" s="1"/>
  <c r="BA633"/>
  <c r="BD633"/>
  <c r="BF633" s="1"/>
  <c r="BE633"/>
  <c r="BG633" s="1"/>
  <c r="AX633"/>
  <c r="AZ633" s="1"/>
  <c r="H633" l="1"/>
  <c r="AH286"/>
  <c r="Z286"/>
  <c r="AA286"/>
  <c r="F634"/>
  <c r="T634" s="1"/>
  <c r="S635" s="1"/>
  <c r="BE634"/>
  <c r="BG634" s="1"/>
  <c r="BD634"/>
  <c r="BF634" s="1"/>
  <c r="BA634"/>
  <c r="AO635"/>
  <c r="AP635"/>
  <c r="AU635"/>
  <c r="BB635"/>
  <c r="BC635"/>
  <c r="Q635"/>
  <c r="I635"/>
  <c r="AV635"/>
  <c r="AN635"/>
  <c r="E635"/>
  <c r="R635" s="1"/>
  <c r="AR633"/>
  <c r="AW634"/>
  <c r="AY634" s="1"/>
  <c r="K634"/>
  <c r="AT634"/>
  <c r="AX634"/>
  <c r="AZ634" s="1"/>
  <c r="O633"/>
  <c r="Y633" s="1"/>
  <c r="W633"/>
  <c r="A636"/>
  <c r="B636"/>
  <c r="C637"/>
  <c r="AS636"/>
  <c r="D636"/>
  <c r="AG286" l="1"/>
  <c r="AF286"/>
  <c r="P287"/>
  <c r="H634"/>
  <c r="AX635"/>
  <c r="AZ635" s="1"/>
  <c r="BD635"/>
  <c r="BF635" s="1"/>
  <c r="BA635"/>
  <c r="BE635"/>
  <c r="BG635" s="1"/>
  <c r="AR634"/>
  <c r="O634"/>
  <c r="W634"/>
  <c r="C638"/>
  <c r="D637"/>
  <c r="A637"/>
  <c r="AS637"/>
  <c r="B637"/>
  <c r="AU636"/>
  <c r="I636"/>
  <c r="AP636"/>
  <c r="BB636"/>
  <c r="AN636"/>
  <c r="AO636"/>
  <c r="AV636"/>
  <c r="BC636"/>
  <c r="Q636"/>
  <c r="E636"/>
  <c r="AT635"/>
  <c r="AW635"/>
  <c r="AY635" s="1"/>
  <c r="K635"/>
  <c r="Y634"/>
  <c r="F635"/>
  <c r="U287" l="1"/>
  <c r="Z287" s="1"/>
  <c r="AR635"/>
  <c r="O635"/>
  <c r="W635"/>
  <c r="BC637"/>
  <c r="AP637"/>
  <c r="AV637"/>
  <c r="AU637"/>
  <c r="BB637"/>
  <c r="AN637"/>
  <c r="AO637"/>
  <c r="I637"/>
  <c r="Q637"/>
  <c r="E637"/>
  <c r="Y635"/>
  <c r="D638"/>
  <c r="AS638"/>
  <c r="R637"/>
  <c r="A638"/>
  <c r="C639"/>
  <c r="B638"/>
  <c r="T635"/>
  <c r="S636" s="1"/>
  <c r="H635"/>
  <c r="BE636"/>
  <c r="BG636" s="1"/>
  <c r="BD636"/>
  <c r="BF636" s="1"/>
  <c r="BA636"/>
  <c r="AX636"/>
  <c r="AZ636" s="1"/>
  <c r="K636"/>
  <c r="AW636"/>
  <c r="AY636" s="1"/>
  <c r="AT636"/>
  <c r="R636"/>
  <c r="F636"/>
  <c r="AB287" l="1"/>
  <c r="AA287"/>
  <c r="AF287"/>
  <c r="F637"/>
  <c r="T637" s="1"/>
  <c r="AR636"/>
  <c r="BA637"/>
  <c r="BD637"/>
  <c r="BF637" s="1"/>
  <c r="C640"/>
  <c r="D639"/>
  <c r="B639"/>
  <c r="A639"/>
  <c r="AT637"/>
  <c r="AW637"/>
  <c r="AY637" s="1"/>
  <c r="K637"/>
  <c r="S638"/>
  <c r="BE637"/>
  <c r="BG637" s="1"/>
  <c r="O636"/>
  <c r="W636"/>
  <c r="T636"/>
  <c r="S637" s="1"/>
  <c r="H636"/>
  <c r="AU638"/>
  <c r="BC638"/>
  <c r="I638"/>
  <c r="AP638"/>
  <c r="Q638"/>
  <c r="AN638"/>
  <c r="AV638"/>
  <c r="BB638"/>
  <c r="AO638"/>
  <c r="E638"/>
  <c r="AX637"/>
  <c r="AZ637" s="1"/>
  <c r="H637"/>
  <c r="Y636"/>
  <c r="AH287" l="1"/>
  <c r="AG287"/>
  <c r="P288"/>
  <c r="U288" s="1"/>
  <c r="AX638"/>
  <c r="AZ638" s="1"/>
  <c r="BE638"/>
  <c r="BG638" s="1"/>
  <c r="AR637"/>
  <c r="F638"/>
  <c r="Q639"/>
  <c r="BB639"/>
  <c r="AO639"/>
  <c r="BC639"/>
  <c r="AP639"/>
  <c r="I639"/>
  <c r="AN639"/>
  <c r="AU639"/>
  <c r="AV639"/>
  <c r="E639"/>
  <c r="C641"/>
  <c r="A640"/>
  <c r="AS640"/>
  <c r="D640"/>
  <c r="B640"/>
  <c r="O637"/>
  <c r="Y637" s="1"/>
  <c r="W637"/>
  <c r="AS639"/>
  <c r="R638"/>
  <c r="BD638"/>
  <c r="BF638" s="1"/>
  <c r="BA638"/>
  <c r="AW638"/>
  <c r="AY638" s="1"/>
  <c r="AR638" s="1"/>
  <c r="K638"/>
  <c r="AT638"/>
  <c r="AB288" l="1"/>
  <c r="AA288"/>
  <c r="Z288"/>
  <c r="BD639"/>
  <c r="BF639" s="1"/>
  <c r="BA639"/>
  <c r="A641"/>
  <c r="AS641"/>
  <c r="B641"/>
  <c r="C642"/>
  <c r="D641"/>
  <c r="G628"/>
  <c r="G629" s="1"/>
  <c r="G630" s="1"/>
  <c r="G631" s="1"/>
  <c r="G632" s="1"/>
  <c r="G633" s="1"/>
  <c r="G634" s="1"/>
  <c r="G635" s="1"/>
  <c r="G636" s="1"/>
  <c r="G637" s="1"/>
  <c r="G638" s="1"/>
  <c r="G639" s="1"/>
  <c r="AO640"/>
  <c r="AP640"/>
  <c r="I640"/>
  <c r="AN640"/>
  <c r="AU640"/>
  <c r="BB640"/>
  <c r="BC640"/>
  <c r="Q640"/>
  <c r="AV640"/>
  <c r="E640"/>
  <c r="R640" s="1"/>
  <c r="K639"/>
  <c r="AY639"/>
  <c r="AW639"/>
  <c r="AT639"/>
  <c r="O638"/>
  <c r="Y638" s="1"/>
  <c r="W638"/>
  <c r="BE639"/>
  <c r="BG639" s="1"/>
  <c r="T638"/>
  <c r="S639" s="1"/>
  <c r="H638"/>
  <c r="AX639"/>
  <c r="AZ639" s="1"/>
  <c r="F639"/>
  <c r="R639"/>
  <c r="AH288" l="1"/>
  <c r="AG288"/>
  <c r="P289"/>
  <c r="U289" s="1"/>
  <c r="AF288"/>
  <c r="F640"/>
  <c r="T640" s="1"/>
  <c r="B642"/>
  <c r="A642"/>
  <c r="AS642"/>
  <c r="C643"/>
  <c r="D642"/>
  <c r="S641"/>
  <c r="O639"/>
  <c r="Y639" s="1"/>
  <c r="W639"/>
  <c r="V639"/>
  <c r="BE640"/>
  <c r="BG640" s="1"/>
  <c r="AO641"/>
  <c r="AV641"/>
  <c r="BC641"/>
  <c r="AU641"/>
  <c r="I641"/>
  <c r="BB641"/>
  <c r="Q641"/>
  <c r="AN641"/>
  <c r="AP641"/>
  <c r="E641"/>
  <c r="R641" s="1"/>
  <c r="BA640"/>
  <c r="BD640"/>
  <c r="BF640" s="1"/>
  <c r="T639"/>
  <c r="H639"/>
  <c r="AX640"/>
  <c r="AZ640" s="1"/>
  <c r="AW640"/>
  <c r="AY640" s="1"/>
  <c r="K640"/>
  <c r="AT640"/>
  <c r="F641"/>
  <c r="T641" s="1"/>
  <c r="S642" s="1"/>
  <c r="AR639"/>
  <c r="H640" l="1"/>
  <c r="Z289"/>
  <c r="AB289"/>
  <c r="AA289"/>
  <c r="BD641"/>
  <c r="BF641" s="1"/>
  <c r="BA641"/>
  <c r="AR640"/>
  <c r="O640"/>
  <c r="Y640" s="1"/>
  <c r="W640"/>
  <c r="BE641"/>
  <c r="BG641" s="1"/>
  <c r="AS643"/>
  <c r="A643"/>
  <c r="B643"/>
  <c r="C644"/>
  <c r="D643"/>
  <c r="S640"/>
  <c r="AX641"/>
  <c r="AZ641" s="1"/>
  <c r="AT641"/>
  <c r="AW641"/>
  <c r="AY641" s="1"/>
  <c r="K641"/>
  <c r="AN642"/>
  <c r="AP642"/>
  <c r="BC642"/>
  <c r="AO642"/>
  <c r="AV642"/>
  <c r="AU642"/>
  <c r="BB642"/>
  <c r="Q642"/>
  <c r="I642"/>
  <c r="E642"/>
  <c r="H641"/>
  <c r="P290" l="1"/>
  <c r="AF289"/>
  <c r="AH289"/>
  <c r="AG289"/>
  <c r="AR641"/>
  <c r="BE642"/>
  <c r="BG642" s="1"/>
  <c r="AX642"/>
  <c r="AZ642" s="1"/>
  <c r="AW642"/>
  <c r="AY642" s="1"/>
  <c r="AT642"/>
  <c r="K642"/>
  <c r="AN643"/>
  <c r="AV643"/>
  <c r="I643"/>
  <c r="BB643"/>
  <c r="Q643"/>
  <c r="AO643"/>
  <c r="AP643"/>
  <c r="BC643"/>
  <c r="AU643"/>
  <c r="E643"/>
  <c r="R643" s="1"/>
  <c r="F642"/>
  <c r="BD642"/>
  <c r="BF642" s="1"/>
  <c r="BA642"/>
  <c r="O641"/>
  <c r="Y641" s="1"/>
  <c r="W641"/>
  <c r="C645"/>
  <c r="A644"/>
  <c r="D644"/>
  <c r="AS644"/>
  <c r="B644"/>
  <c r="R642"/>
  <c r="AA290" l="1"/>
  <c r="AG290" s="1"/>
  <c r="U290"/>
  <c r="AB290"/>
  <c r="AH290" s="1"/>
  <c r="Z290"/>
  <c r="AF290" s="1"/>
  <c r="L291"/>
  <c r="M291"/>
  <c r="F643"/>
  <c r="T643" s="1"/>
  <c r="AR642"/>
  <c r="BD643"/>
  <c r="BF643" s="1"/>
  <c r="BA643"/>
  <c r="O642"/>
  <c r="Y642" s="1"/>
  <c r="W642"/>
  <c r="BE643"/>
  <c r="BG643" s="1"/>
  <c r="AT643"/>
  <c r="K643"/>
  <c r="AW643"/>
  <c r="AY643" s="1"/>
  <c r="S644"/>
  <c r="AP644"/>
  <c r="AV644"/>
  <c r="BC644"/>
  <c r="AO644"/>
  <c r="AN644"/>
  <c r="Q644"/>
  <c r="BB644"/>
  <c r="AU644"/>
  <c r="I644"/>
  <c r="E644"/>
  <c r="R644" s="1"/>
  <c r="T642"/>
  <c r="S643" s="1"/>
  <c r="H642"/>
  <c r="AX643"/>
  <c r="AZ643" s="1"/>
  <c r="AS645"/>
  <c r="A645"/>
  <c r="C646"/>
  <c r="B645"/>
  <c r="D645"/>
  <c r="P291" l="1"/>
  <c r="U291" s="1"/>
  <c r="Z291" s="1"/>
  <c r="AF291" s="1"/>
  <c r="N291"/>
  <c r="AB291"/>
  <c r="AA291"/>
  <c r="H643"/>
  <c r="F644"/>
  <c r="T644" s="1"/>
  <c r="S645" s="1"/>
  <c r="BD644"/>
  <c r="BF644" s="1"/>
  <c r="BA644"/>
  <c r="A646"/>
  <c r="B646"/>
  <c r="AS646"/>
  <c r="C647"/>
  <c r="D646"/>
  <c r="AX644"/>
  <c r="AZ644" s="1"/>
  <c r="O643"/>
  <c r="Y643" s="1"/>
  <c r="W643"/>
  <c r="BE644"/>
  <c r="BG644" s="1"/>
  <c r="AY644"/>
  <c r="AW644"/>
  <c r="AT644"/>
  <c r="K644"/>
  <c r="AO645"/>
  <c r="BB645"/>
  <c r="AU645"/>
  <c r="I645"/>
  <c r="Q645"/>
  <c r="AP645"/>
  <c r="BC645"/>
  <c r="AV645"/>
  <c r="AN645"/>
  <c r="E645"/>
  <c r="AR643"/>
  <c r="X291" l="1"/>
  <c r="P292"/>
  <c r="AH291"/>
  <c r="AG291"/>
  <c r="H644"/>
  <c r="AR644"/>
  <c r="AX645"/>
  <c r="AZ645" s="1"/>
  <c r="BD645"/>
  <c r="BF645" s="1"/>
  <c r="BA645"/>
  <c r="B647"/>
  <c r="D647"/>
  <c r="C648"/>
  <c r="A647"/>
  <c r="AS647"/>
  <c r="BE645"/>
  <c r="BG645" s="1"/>
  <c r="AW645"/>
  <c r="AY645" s="1"/>
  <c r="AT645"/>
  <c r="K645"/>
  <c r="I646"/>
  <c r="BC646"/>
  <c r="AU646"/>
  <c r="AV646"/>
  <c r="Q646"/>
  <c r="AO646"/>
  <c r="AP646"/>
  <c r="BB646"/>
  <c r="AN646"/>
  <c r="E646"/>
  <c r="O644"/>
  <c r="Y644" s="1"/>
  <c r="W644"/>
  <c r="R645"/>
  <c r="F645"/>
  <c r="AB292" l="1"/>
  <c r="AH292" s="1"/>
  <c r="U292"/>
  <c r="F646"/>
  <c r="T646" s="1"/>
  <c r="AR645"/>
  <c r="BE646"/>
  <c r="BG646" s="1"/>
  <c r="O645"/>
  <c r="Y645" s="1"/>
  <c r="W645"/>
  <c r="A648"/>
  <c r="AS648"/>
  <c r="D648"/>
  <c r="C649"/>
  <c r="B648"/>
  <c r="T645"/>
  <c r="S646" s="1"/>
  <c r="H645"/>
  <c r="AW646"/>
  <c r="AY646" s="1"/>
  <c r="K646"/>
  <c r="AT646"/>
  <c r="I647"/>
  <c r="BB647"/>
  <c r="AV647"/>
  <c r="BC647"/>
  <c r="Q647"/>
  <c r="AN647"/>
  <c r="AU647"/>
  <c r="AP647"/>
  <c r="AO647"/>
  <c r="E647"/>
  <c r="R647" s="1"/>
  <c r="H646"/>
  <c r="S647"/>
  <c r="R646"/>
  <c r="BD646"/>
  <c r="BF646" s="1"/>
  <c r="BA646"/>
  <c r="AX646"/>
  <c r="AZ646" s="1"/>
  <c r="F647" l="1"/>
  <c r="T647" s="1"/>
  <c r="S648" s="1"/>
  <c r="Z292"/>
  <c r="AA292"/>
  <c r="AG292" s="1"/>
  <c r="O646"/>
  <c r="Y646" s="1"/>
  <c r="W646"/>
  <c r="BE647"/>
  <c r="BG647" s="1"/>
  <c r="B649"/>
  <c r="AS649"/>
  <c r="C650"/>
  <c r="D649"/>
  <c r="A649"/>
  <c r="AW647"/>
  <c r="AY647" s="1"/>
  <c r="K647"/>
  <c r="AT647"/>
  <c r="AX647"/>
  <c r="AZ647" s="1"/>
  <c r="BB648"/>
  <c r="Q648"/>
  <c r="I648"/>
  <c r="AP648"/>
  <c r="AN648"/>
  <c r="AV648"/>
  <c r="AU648"/>
  <c r="AO648"/>
  <c r="BC648"/>
  <c r="E648"/>
  <c r="R648" s="1"/>
  <c r="AR646"/>
  <c r="BD647"/>
  <c r="BF647" s="1"/>
  <c r="BA647"/>
  <c r="H647" l="1"/>
  <c r="AF292"/>
  <c r="P293"/>
  <c r="F648"/>
  <c r="T648" s="1"/>
  <c r="S649" s="1"/>
  <c r="AR647"/>
  <c r="AW648"/>
  <c r="AY648" s="1"/>
  <c r="AT648"/>
  <c r="K648"/>
  <c r="BB649"/>
  <c r="I649"/>
  <c r="AN649"/>
  <c r="BC649"/>
  <c r="AP649"/>
  <c r="AO649"/>
  <c r="Q649"/>
  <c r="AU649"/>
  <c r="AV649"/>
  <c r="E649"/>
  <c r="R649" s="1"/>
  <c r="O647"/>
  <c r="Y647" s="1"/>
  <c r="W647"/>
  <c r="AS650"/>
  <c r="C651"/>
  <c r="B650"/>
  <c r="D650"/>
  <c r="A650"/>
  <c r="BE648"/>
  <c r="BG648" s="1"/>
  <c r="BA648"/>
  <c r="BD648"/>
  <c r="BF648" s="1"/>
  <c r="AX648"/>
  <c r="AZ648" s="1"/>
  <c r="U293" l="1"/>
  <c r="F649"/>
  <c r="H649" s="1"/>
  <c r="H648"/>
  <c r="Q650"/>
  <c r="AO650"/>
  <c r="AP650"/>
  <c r="AN650"/>
  <c r="BB650"/>
  <c r="BC650"/>
  <c r="I650"/>
  <c r="AU650"/>
  <c r="AV650"/>
  <c r="E650"/>
  <c r="R650" s="1"/>
  <c r="C652"/>
  <c r="A651"/>
  <c r="AS651" s="1"/>
  <c r="D651"/>
  <c r="B651"/>
  <c r="K649"/>
  <c r="AT649"/>
  <c r="AW649"/>
  <c r="AY649" s="1"/>
  <c r="BE649"/>
  <c r="BG649" s="1"/>
  <c r="O648"/>
  <c r="Y648" s="1"/>
  <c r="W648"/>
  <c r="AX649"/>
  <c r="AZ649" s="1"/>
  <c r="BA649"/>
  <c r="BD649"/>
  <c r="BF649" s="1"/>
  <c r="AR648"/>
  <c r="AA293" l="1"/>
  <c r="AG293" s="1"/>
  <c r="Z293"/>
  <c r="AB293"/>
  <c r="T649"/>
  <c r="S650" s="1"/>
  <c r="F650"/>
  <c r="T650" s="1"/>
  <c r="S651" s="1"/>
  <c r="BE650"/>
  <c r="BG650" s="1"/>
  <c r="A652"/>
  <c r="B652"/>
  <c r="D652"/>
  <c r="AS652"/>
  <c r="C653"/>
  <c r="AR649"/>
  <c r="O649"/>
  <c r="Y649" s="1"/>
  <c r="W649"/>
  <c r="AW650"/>
  <c r="AY650" s="1"/>
  <c r="AT650"/>
  <c r="K650"/>
  <c r="AO651"/>
  <c r="AV651"/>
  <c r="BB651"/>
  <c r="AP651"/>
  <c r="BC651"/>
  <c r="AU651"/>
  <c r="I651"/>
  <c r="AN651"/>
  <c r="Q651"/>
  <c r="E651"/>
  <c r="R651" s="1"/>
  <c r="AX650"/>
  <c r="AZ650" s="1"/>
  <c r="BD650"/>
  <c r="BF650" s="1"/>
  <c r="BA650"/>
  <c r="AF293" l="1"/>
  <c r="P294"/>
  <c r="AH293"/>
  <c r="H650"/>
  <c r="AR650"/>
  <c r="BA651"/>
  <c r="BD651"/>
  <c r="BF651" s="1"/>
  <c r="G640"/>
  <c r="G641" s="1"/>
  <c r="G642" s="1"/>
  <c r="G643" s="1"/>
  <c r="G644" s="1"/>
  <c r="G645" s="1"/>
  <c r="G646" s="1"/>
  <c r="G647" s="1"/>
  <c r="G648" s="1"/>
  <c r="G649" s="1"/>
  <c r="G650" s="1"/>
  <c r="G651" s="1"/>
  <c r="BE651"/>
  <c r="BG651" s="1"/>
  <c r="K651"/>
  <c r="AW651"/>
  <c r="AY651" s="1"/>
  <c r="AT651"/>
  <c r="AX651"/>
  <c r="AZ651" s="1"/>
  <c r="D653"/>
  <c r="B653"/>
  <c r="AS653"/>
  <c r="A653"/>
  <c r="C654"/>
  <c r="BC652"/>
  <c r="AP652"/>
  <c r="I652"/>
  <c r="AV652"/>
  <c r="AN652"/>
  <c r="BB652"/>
  <c r="AO652"/>
  <c r="AU652"/>
  <c r="Q652"/>
  <c r="E652"/>
  <c r="F651"/>
  <c r="O650"/>
  <c r="Y650" s="1"/>
  <c r="W650"/>
  <c r="AA294" l="1"/>
  <c r="U294"/>
  <c r="AR651"/>
  <c r="O651"/>
  <c r="Y651" s="1"/>
  <c r="W651"/>
  <c r="V651"/>
  <c r="BE652"/>
  <c r="BG652" s="1"/>
  <c r="BD652"/>
  <c r="BF652" s="1"/>
  <c r="BA652"/>
  <c r="BC653"/>
  <c r="I653"/>
  <c r="AV653"/>
  <c r="AO653"/>
  <c r="AP653"/>
  <c r="Q653"/>
  <c r="AU653"/>
  <c r="BB653"/>
  <c r="AN653"/>
  <c r="E653"/>
  <c r="R653" s="1"/>
  <c r="T651"/>
  <c r="H651"/>
  <c r="AW652"/>
  <c r="AY652" s="1"/>
  <c r="K652"/>
  <c r="AT652"/>
  <c r="AX652"/>
  <c r="AZ652" s="1"/>
  <c r="C655"/>
  <c r="AS654"/>
  <c r="D654"/>
  <c r="A654"/>
  <c r="B654"/>
  <c r="R652"/>
  <c r="F652"/>
  <c r="Z294" l="1"/>
  <c r="AB294"/>
  <c r="AG294"/>
  <c r="AP654"/>
  <c r="AV654"/>
  <c r="AN654"/>
  <c r="AU654"/>
  <c r="BC654"/>
  <c r="Q654"/>
  <c r="AO654"/>
  <c r="BB654"/>
  <c r="I654"/>
  <c r="E654"/>
  <c r="R654" s="1"/>
  <c r="BD653"/>
  <c r="BF653" s="1"/>
  <c r="BA653"/>
  <c r="AR652"/>
  <c r="O652"/>
  <c r="Y652" s="1"/>
  <c r="W652"/>
  <c r="S652"/>
  <c r="BE653"/>
  <c r="BG653" s="1"/>
  <c r="T652"/>
  <c r="S653" s="1"/>
  <c r="H652"/>
  <c r="D655"/>
  <c r="C656"/>
  <c r="AS655"/>
  <c r="A655"/>
  <c r="B655"/>
  <c r="F654" s="1"/>
  <c r="T654" s="1"/>
  <c r="AT653"/>
  <c r="AW653"/>
  <c r="AY653" s="1"/>
  <c r="K653"/>
  <c r="AX653"/>
  <c r="AZ653" s="1"/>
  <c r="F653"/>
  <c r="AF294" l="1"/>
  <c r="P295"/>
  <c r="U295" s="1"/>
  <c r="AB295" s="1"/>
  <c r="AH294"/>
  <c r="AX654"/>
  <c r="AZ654" s="1"/>
  <c r="AU655"/>
  <c r="AP655"/>
  <c r="BB655"/>
  <c r="AV655"/>
  <c r="I655"/>
  <c r="AO655"/>
  <c r="BC655"/>
  <c r="Q655"/>
  <c r="AN655"/>
  <c r="E655"/>
  <c r="AT654"/>
  <c r="K654"/>
  <c r="AW654"/>
  <c r="AY654" s="1"/>
  <c r="AR653"/>
  <c r="T653"/>
  <c r="S654" s="1"/>
  <c r="H653"/>
  <c r="O653"/>
  <c r="Y653" s="1"/>
  <c r="W653"/>
  <c r="BA654"/>
  <c r="BD654"/>
  <c r="BF654" s="1"/>
  <c r="B656"/>
  <c r="AS656"/>
  <c r="R655"/>
  <c r="D656"/>
  <c r="C657"/>
  <c r="A656"/>
  <c r="BE654"/>
  <c r="BG654" s="1"/>
  <c r="S655"/>
  <c r="H654"/>
  <c r="AH295" l="1"/>
  <c r="AA295"/>
  <c r="AG295" s="1"/>
  <c r="Z295"/>
  <c r="F655"/>
  <c r="T655" s="1"/>
  <c r="S656" s="1"/>
  <c r="O654"/>
  <c r="Y654" s="1"/>
  <c r="W654"/>
  <c r="AX655"/>
  <c r="AZ655" s="1"/>
  <c r="C658"/>
  <c r="D657"/>
  <c r="AS657"/>
  <c r="B657"/>
  <c r="A657"/>
  <c r="AW655"/>
  <c r="AY655" s="1"/>
  <c r="AT655"/>
  <c r="K655"/>
  <c r="AR654"/>
  <c r="AU656"/>
  <c r="AP656"/>
  <c r="Q656"/>
  <c r="AO656"/>
  <c r="BC656"/>
  <c r="AN656"/>
  <c r="I656"/>
  <c r="BB656"/>
  <c r="AV656"/>
  <c r="E656"/>
  <c r="BE655"/>
  <c r="BG655" s="1"/>
  <c r="BA655"/>
  <c r="BD655"/>
  <c r="BF655" s="1"/>
  <c r="P296" l="1"/>
  <c r="AF295"/>
  <c r="H655"/>
  <c r="F656"/>
  <c r="T656" s="1"/>
  <c r="S657" s="1"/>
  <c r="AR655"/>
  <c r="BE656"/>
  <c r="BG656" s="1"/>
  <c r="O655"/>
  <c r="Y655" s="1"/>
  <c r="W655"/>
  <c r="D658"/>
  <c r="A658"/>
  <c r="B658"/>
  <c r="AS658"/>
  <c r="C659"/>
  <c r="BD656"/>
  <c r="BF656" s="1"/>
  <c r="BA656"/>
  <c r="AX656"/>
  <c r="AZ656" s="1"/>
  <c r="K656"/>
  <c r="AT656"/>
  <c r="AW656"/>
  <c r="AY656" s="1"/>
  <c r="AO657"/>
  <c r="I657"/>
  <c r="AV657"/>
  <c r="Q657"/>
  <c r="AP657"/>
  <c r="AU657"/>
  <c r="BC657"/>
  <c r="AN657"/>
  <c r="BB657"/>
  <c r="E657"/>
  <c r="R656"/>
  <c r="AB296" l="1"/>
  <c r="U296"/>
  <c r="AA296" s="1"/>
  <c r="H656"/>
  <c r="AR656"/>
  <c r="O656"/>
  <c r="Y656" s="1"/>
  <c r="W656"/>
  <c r="K657"/>
  <c r="AW657"/>
  <c r="AY657" s="1"/>
  <c r="AT657"/>
  <c r="R657"/>
  <c r="BD657"/>
  <c r="BF657" s="1"/>
  <c r="BA657"/>
  <c r="BE657"/>
  <c r="BG657" s="1"/>
  <c r="AX657"/>
  <c r="AZ657" s="1"/>
  <c r="AS659"/>
  <c r="D659"/>
  <c r="B659"/>
  <c r="A659"/>
  <c r="C660"/>
  <c r="BB658"/>
  <c r="AN658"/>
  <c r="AV658"/>
  <c r="BC658"/>
  <c r="Q658"/>
  <c r="I658"/>
  <c r="AU658"/>
  <c r="AP658"/>
  <c r="AO658"/>
  <c r="E658"/>
  <c r="R658" s="1"/>
  <c r="F657"/>
  <c r="Z296" l="1"/>
  <c r="AH296"/>
  <c r="AG296"/>
  <c r="F658"/>
  <c r="T658" s="1"/>
  <c r="AR657"/>
  <c r="T657"/>
  <c r="S658" s="1"/>
  <c r="H657"/>
  <c r="BE658"/>
  <c r="BG658" s="1"/>
  <c r="B660"/>
  <c r="A660"/>
  <c r="D660"/>
  <c r="C661"/>
  <c r="AS660"/>
  <c r="BD658"/>
  <c r="BF658" s="1"/>
  <c r="BA658"/>
  <c r="K658"/>
  <c r="AW658"/>
  <c r="AY658" s="1"/>
  <c r="AT658"/>
  <c r="AX658"/>
  <c r="AZ658" s="1"/>
  <c r="AV659"/>
  <c r="AP659"/>
  <c r="AU659"/>
  <c r="BC659"/>
  <c r="Q659"/>
  <c r="AO659"/>
  <c r="AN659"/>
  <c r="BB659"/>
  <c r="I659"/>
  <c r="E659"/>
  <c r="O657"/>
  <c r="Y657" s="1"/>
  <c r="W657"/>
  <c r="AF296" l="1"/>
  <c r="P297"/>
  <c r="H658"/>
  <c r="AR658"/>
  <c r="F659"/>
  <c r="T659" s="1"/>
  <c r="S660" s="1"/>
  <c r="S659"/>
  <c r="D661"/>
  <c r="B661"/>
  <c r="C662"/>
  <c r="A661"/>
  <c r="AS661"/>
  <c r="K659"/>
  <c r="AW659"/>
  <c r="AY659" s="1"/>
  <c r="AT659"/>
  <c r="O658"/>
  <c r="Y658" s="1"/>
  <c r="W658"/>
  <c r="AX659"/>
  <c r="AZ659" s="1"/>
  <c r="BD659"/>
  <c r="BF659" s="1"/>
  <c r="BA659"/>
  <c r="BE659"/>
  <c r="BG659" s="1"/>
  <c r="H659"/>
  <c r="R659"/>
  <c r="BC660"/>
  <c r="AV660"/>
  <c r="Q660"/>
  <c r="AU660"/>
  <c r="AO660"/>
  <c r="AP660"/>
  <c r="BB660"/>
  <c r="I660"/>
  <c r="AN660"/>
  <c r="E660"/>
  <c r="AB297" l="1"/>
  <c r="U297"/>
  <c r="Z297" s="1"/>
  <c r="AA297"/>
  <c r="AR659"/>
  <c r="AX660"/>
  <c r="AZ660" s="1"/>
  <c r="O659"/>
  <c r="Y659" s="1"/>
  <c r="W659"/>
  <c r="C663"/>
  <c r="D662"/>
  <c r="A662"/>
  <c r="AS662"/>
  <c r="B662"/>
  <c r="BD660"/>
  <c r="BF660" s="1"/>
  <c r="BA660"/>
  <c r="AO661"/>
  <c r="AN661"/>
  <c r="Q661"/>
  <c r="AP661"/>
  <c r="BB661"/>
  <c r="AV661"/>
  <c r="BC661"/>
  <c r="I661"/>
  <c r="AU661"/>
  <c r="E661"/>
  <c r="R661" s="1"/>
  <c r="R660"/>
  <c r="K660"/>
  <c r="AT660"/>
  <c r="AW660"/>
  <c r="AY660" s="1"/>
  <c r="BE660"/>
  <c r="BG660" s="1"/>
  <c r="F660"/>
  <c r="P298" l="1"/>
  <c r="AF297"/>
  <c r="U298"/>
  <c r="AB298" s="1"/>
  <c r="AH297"/>
  <c r="AG297"/>
  <c r="AA298"/>
  <c r="F661"/>
  <c r="T661" s="1"/>
  <c r="S662" s="1"/>
  <c r="K661"/>
  <c r="AW661"/>
  <c r="AY661" s="1"/>
  <c r="AT661"/>
  <c r="BD661"/>
  <c r="BF661" s="1"/>
  <c r="BA661"/>
  <c r="A663"/>
  <c r="C664"/>
  <c r="D663"/>
  <c r="B663"/>
  <c r="AS663"/>
  <c r="O660"/>
  <c r="Y660" s="1"/>
  <c r="W660"/>
  <c r="AX661"/>
  <c r="AZ661" s="1"/>
  <c r="AR660"/>
  <c r="T660"/>
  <c r="S661" s="1"/>
  <c r="H660"/>
  <c r="BE661"/>
  <c r="BG661" s="1"/>
  <c r="AP662"/>
  <c r="AV662"/>
  <c r="AN662"/>
  <c r="BB662"/>
  <c r="BC662"/>
  <c r="AO662"/>
  <c r="Q662"/>
  <c r="I662"/>
  <c r="AU662"/>
  <c r="E662"/>
  <c r="AG298" l="1"/>
  <c r="AH298"/>
  <c r="Z298"/>
  <c r="H661"/>
  <c r="F662"/>
  <c r="T662" s="1"/>
  <c r="S663" s="1"/>
  <c r="AR661"/>
  <c r="BE662"/>
  <c r="BG662" s="1"/>
  <c r="BC663"/>
  <c r="I663"/>
  <c r="AN663"/>
  <c r="BB663"/>
  <c r="AP663"/>
  <c r="Q663"/>
  <c r="AV663"/>
  <c r="AU663"/>
  <c r="AO663"/>
  <c r="E663"/>
  <c r="AX662"/>
  <c r="AZ662" s="1"/>
  <c r="O661"/>
  <c r="Y661" s="1"/>
  <c r="W661"/>
  <c r="R662"/>
  <c r="AW662"/>
  <c r="AY662" s="1"/>
  <c r="K662"/>
  <c r="AT662"/>
  <c r="D664"/>
  <c r="B664"/>
  <c r="C665"/>
  <c r="A664"/>
  <c r="AS664"/>
  <c r="BA662"/>
  <c r="BD662"/>
  <c r="BF662" s="1"/>
  <c r="P299" l="1"/>
  <c r="AF298"/>
  <c r="H662"/>
  <c r="F663"/>
  <c r="H663" s="1"/>
  <c r="AR662"/>
  <c r="AX663"/>
  <c r="AZ663" s="1"/>
  <c r="O662"/>
  <c r="W662"/>
  <c r="C666"/>
  <c r="AS665"/>
  <c r="D665"/>
  <c r="A665"/>
  <c r="B665"/>
  <c r="AW663"/>
  <c r="AY663" s="1"/>
  <c r="AR663" s="1"/>
  <c r="AT663"/>
  <c r="K663"/>
  <c r="BA663"/>
  <c r="BD663"/>
  <c r="BF663" s="1"/>
  <c r="Y662"/>
  <c r="R663"/>
  <c r="G652"/>
  <c r="G653" s="1"/>
  <c r="G654" s="1"/>
  <c r="G655" s="1"/>
  <c r="G656" s="1"/>
  <c r="G657" s="1"/>
  <c r="G658" s="1"/>
  <c r="G659" s="1"/>
  <c r="G660" s="1"/>
  <c r="G661" s="1"/>
  <c r="G662" s="1"/>
  <c r="G663" s="1"/>
  <c r="AO664"/>
  <c r="I664"/>
  <c r="Q664"/>
  <c r="AU664"/>
  <c r="AV664"/>
  <c r="AP664"/>
  <c r="AN664"/>
  <c r="BB664"/>
  <c r="BC664"/>
  <c r="E664"/>
  <c r="R664" s="1"/>
  <c r="BG663"/>
  <c r="BE663"/>
  <c r="U299" l="1"/>
  <c r="Z299" s="1"/>
  <c r="F664"/>
  <c r="T664" s="1"/>
  <c r="S665" s="1"/>
  <c r="T663"/>
  <c r="D666"/>
  <c r="B666"/>
  <c r="A666"/>
  <c r="C667"/>
  <c r="AS666"/>
  <c r="S664"/>
  <c r="O663"/>
  <c r="Y663" s="1"/>
  <c r="W663"/>
  <c r="V663"/>
  <c r="AW664"/>
  <c r="AY664" s="1"/>
  <c r="K664"/>
  <c r="AT664"/>
  <c r="BA664"/>
  <c r="BD664"/>
  <c r="BF664" s="1"/>
  <c r="BE664"/>
  <c r="BG664" s="1"/>
  <c r="AX664"/>
  <c r="AZ664" s="1"/>
  <c r="BC665"/>
  <c r="I665"/>
  <c r="BB665"/>
  <c r="AN665"/>
  <c r="AP665"/>
  <c r="AU665"/>
  <c r="Q665"/>
  <c r="AO665"/>
  <c r="AV665"/>
  <c r="E665"/>
  <c r="R665" s="1"/>
  <c r="H664" l="1"/>
  <c r="AF299"/>
  <c r="AB299"/>
  <c r="AA299"/>
  <c r="O664"/>
  <c r="Y664" s="1"/>
  <c r="W664"/>
  <c r="A667"/>
  <c r="B667"/>
  <c r="D667"/>
  <c r="C668"/>
  <c r="AS667"/>
  <c r="AX665"/>
  <c r="AZ665" s="1"/>
  <c r="BE665"/>
  <c r="BG665" s="1"/>
  <c r="AW665"/>
  <c r="AY665" s="1"/>
  <c r="K665"/>
  <c r="AT665"/>
  <c r="BD665"/>
  <c r="BF665" s="1"/>
  <c r="BA665"/>
  <c r="BB666"/>
  <c r="AV666"/>
  <c r="AO666"/>
  <c r="AU666"/>
  <c r="I666"/>
  <c r="AN666"/>
  <c r="BC666"/>
  <c r="AP666"/>
  <c r="Q666"/>
  <c r="E666"/>
  <c r="AR664"/>
  <c r="F665"/>
  <c r="AH299" l="1"/>
  <c r="AG299"/>
  <c r="P300"/>
  <c r="AR665"/>
  <c r="T665"/>
  <c r="S666" s="1"/>
  <c r="H665"/>
  <c r="AW666"/>
  <c r="AY666" s="1"/>
  <c r="K666"/>
  <c r="AT666"/>
  <c r="AX666"/>
  <c r="AZ666" s="1"/>
  <c r="R666"/>
  <c r="BE666"/>
  <c r="BG666" s="1"/>
  <c r="O665"/>
  <c r="Y665" s="1"/>
  <c r="W665"/>
  <c r="BD666"/>
  <c r="BF666" s="1"/>
  <c r="BA666"/>
  <c r="C669"/>
  <c r="AS668"/>
  <c r="B668"/>
  <c r="A668"/>
  <c r="D668"/>
  <c r="AV667"/>
  <c r="AO667"/>
  <c r="AU667"/>
  <c r="I667"/>
  <c r="AP667"/>
  <c r="Q667"/>
  <c r="BC667"/>
  <c r="AN667"/>
  <c r="BB667"/>
  <c r="E667"/>
  <c r="R667" s="1"/>
  <c r="F666"/>
  <c r="U300" l="1"/>
  <c r="AA300" s="1"/>
  <c r="AB300"/>
  <c r="AR666"/>
  <c r="B669"/>
  <c r="C670"/>
  <c r="D669"/>
  <c r="AS669"/>
  <c r="A669"/>
  <c r="F667"/>
  <c r="BE667"/>
  <c r="BG667" s="1"/>
  <c r="T666"/>
  <c r="S667" s="1"/>
  <c r="H666"/>
  <c r="AW667"/>
  <c r="AY667" s="1"/>
  <c r="K667"/>
  <c r="AT667"/>
  <c r="AO668"/>
  <c r="BB668"/>
  <c r="BC668"/>
  <c r="AN668"/>
  <c r="AU668"/>
  <c r="I668"/>
  <c r="Q668"/>
  <c r="AP668"/>
  <c r="AV668"/>
  <c r="E668"/>
  <c r="O666"/>
  <c r="Y666" s="1"/>
  <c r="W666"/>
  <c r="BD667"/>
  <c r="BF667" s="1"/>
  <c r="BA667"/>
  <c r="AX667"/>
  <c r="AZ667" s="1"/>
  <c r="AG300" l="1"/>
  <c r="AH300"/>
  <c r="Z300"/>
  <c r="F668"/>
  <c r="T668" s="1"/>
  <c r="K668"/>
  <c r="AT668"/>
  <c r="AW668"/>
  <c r="AY668" s="1"/>
  <c r="BE668"/>
  <c r="BG668" s="1"/>
  <c r="AX668"/>
  <c r="AZ668" s="1"/>
  <c r="BD668"/>
  <c r="BF668" s="1"/>
  <c r="BA668"/>
  <c r="T667"/>
  <c r="S668" s="1"/>
  <c r="H667"/>
  <c r="BC669"/>
  <c r="BB669"/>
  <c r="I669"/>
  <c r="Q669"/>
  <c r="AV669"/>
  <c r="AU669"/>
  <c r="AO669"/>
  <c r="AN669"/>
  <c r="AP669"/>
  <c r="E669"/>
  <c r="R669" s="1"/>
  <c r="AR667"/>
  <c r="C671"/>
  <c r="D670"/>
  <c r="B670"/>
  <c r="AS670"/>
  <c r="A670"/>
  <c r="S669"/>
  <c r="R668"/>
  <c r="O667"/>
  <c r="Y667" s="1"/>
  <c r="W667"/>
  <c r="H668"/>
  <c r="AF300" l="1"/>
  <c r="P301"/>
  <c r="AR668"/>
  <c r="AP670"/>
  <c r="AO670"/>
  <c r="AV670"/>
  <c r="AU670"/>
  <c r="AN670"/>
  <c r="I670"/>
  <c r="BC670"/>
  <c r="Q670"/>
  <c r="BB670"/>
  <c r="E670"/>
  <c r="O668"/>
  <c r="Y668" s="1"/>
  <c r="W668"/>
  <c r="AX669"/>
  <c r="AZ669" s="1"/>
  <c r="BE669"/>
  <c r="BG669" s="1"/>
  <c r="F669"/>
  <c r="D671"/>
  <c r="B671"/>
  <c r="C672"/>
  <c r="AS671"/>
  <c r="A671"/>
  <c r="AW669"/>
  <c r="AY669" s="1"/>
  <c r="AT669"/>
  <c r="K669"/>
  <c r="BA669"/>
  <c r="BD669"/>
  <c r="BF669" s="1"/>
  <c r="U301" l="1"/>
  <c r="Z301" s="1"/>
  <c r="AR669"/>
  <c r="BA670"/>
  <c r="BD670"/>
  <c r="BF670" s="1"/>
  <c r="F670"/>
  <c r="AV671"/>
  <c r="BC671"/>
  <c r="AN671"/>
  <c r="AP671"/>
  <c r="AO671"/>
  <c r="I671"/>
  <c r="AU671"/>
  <c r="Q671"/>
  <c r="BB671"/>
  <c r="E671"/>
  <c r="R671" s="1"/>
  <c r="T669"/>
  <c r="S670" s="1"/>
  <c r="H669"/>
  <c r="O669"/>
  <c r="Y669" s="1"/>
  <c r="W669"/>
  <c r="C673"/>
  <c r="B672"/>
  <c r="D672"/>
  <c r="AS672"/>
  <c r="A672"/>
  <c r="BE670"/>
  <c r="BG670" s="1"/>
  <c r="AX670"/>
  <c r="AZ670" s="1"/>
  <c r="AT670"/>
  <c r="K670"/>
  <c r="AW670"/>
  <c r="AY670" s="1"/>
  <c r="AR670" s="1"/>
  <c r="R670"/>
  <c r="AF301" l="1"/>
  <c r="AA301"/>
  <c r="AB301"/>
  <c r="AW671"/>
  <c r="AY671" s="1"/>
  <c r="AT671"/>
  <c r="K671"/>
  <c r="AN672"/>
  <c r="AO672"/>
  <c r="Q672"/>
  <c r="AV672"/>
  <c r="AP672"/>
  <c r="BC672"/>
  <c r="I672"/>
  <c r="AU672"/>
  <c r="BB672"/>
  <c r="E672"/>
  <c r="O670"/>
  <c r="Y670" s="1"/>
  <c r="W670"/>
  <c r="BA671"/>
  <c r="BD671"/>
  <c r="BF671" s="1"/>
  <c r="AX671"/>
  <c r="AZ671" s="1"/>
  <c r="B673"/>
  <c r="D673"/>
  <c r="R672"/>
  <c r="AS673"/>
  <c r="A673"/>
  <c r="C674"/>
  <c r="BE671"/>
  <c r="BG671" s="1"/>
  <c r="T670"/>
  <c r="S671" s="1"/>
  <c r="H670"/>
  <c r="F671"/>
  <c r="AG301" l="1"/>
  <c r="AH301"/>
  <c r="P302"/>
  <c r="AR671"/>
  <c r="K672"/>
  <c r="AW672"/>
  <c r="AY672" s="1"/>
  <c r="AT672"/>
  <c r="AX672"/>
  <c r="AZ672" s="1"/>
  <c r="O671"/>
  <c r="Y671" s="1"/>
  <c r="W671"/>
  <c r="BD672"/>
  <c r="BF672" s="1"/>
  <c r="BA672"/>
  <c r="BC673"/>
  <c r="AU673"/>
  <c r="AV673"/>
  <c r="I673"/>
  <c r="BB673"/>
  <c r="AP673"/>
  <c r="AN673"/>
  <c r="AO673"/>
  <c r="Q673"/>
  <c r="E673"/>
  <c r="R673" s="1"/>
  <c r="F672"/>
  <c r="T671"/>
  <c r="S672" s="1"/>
  <c r="H671"/>
  <c r="BE672"/>
  <c r="BG672" s="1"/>
  <c r="D674"/>
  <c r="A674"/>
  <c r="B674"/>
  <c r="C675"/>
  <c r="AS674"/>
  <c r="U302" l="1"/>
  <c r="Z302" s="1"/>
  <c r="AR672"/>
  <c r="C676"/>
  <c r="D675"/>
  <c r="B675"/>
  <c r="A675"/>
  <c r="AS675" s="1"/>
  <c r="O672"/>
  <c r="Y672" s="1"/>
  <c r="W672"/>
  <c r="BE673"/>
  <c r="BG673" s="1"/>
  <c r="AW673"/>
  <c r="AY673" s="1"/>
  <c r="AT673"/>
  <c r="K673"/>
  <c r="AX673"/>
  <c r="AZ673" s="1"/>
  <c r="BD673"/>
  <c r="BA673"/>
  <c r="BF673"/>
  <c r="AN674"/>
  <c r="I674"/>
  <c r="AP674"/>
  <c r="BC674"/>
  <c r="AO674"/>
  <c r="AV674"/>
  <c r="AU674"/>
  <c r="BB674"/>
  <c r="Q674"/>
  <c r="E674"/>
  <c r="R674" s="1"/>
  <c r="T672"/>
  <c r="S673" s="1"/>
  <c r="H672"/>
  <c r="F673"/>
  <c r="L303" l="1"/>
  <c r="AF302"/>
  <c r="AB302"/>
  <c r="AA302"/>
  <c r="P303" s="1"/>
  <c r="F674"/>
  <c r="T674" s="1"/>
  <c r="AR673"/>
  <c r="AT674"/>
  <c r="K674"/>
  <c r="AW674"/>
  <c r="AY674" s="1"/>
  <c r="S675"/>
  <c r="BD674"/>
  <c r="BF674" s="1"/>
  <c r="BA674"/>
  <c r="BE674"/>
  <c r="BG674" s="1"/>
  <c r="B676"/>
  <c r="C677"/>
  <c r="AS676"/>
  <c r="A676"/>
  <c r="D676"/>
  <c r="O673"/>
  <c r="Y673" s="1"/>
  <c r="W673"/>
  <c r="AO675"/>
  <c r="AU675"/>
  <c r="AP675"/>
  <c r="BB675"/>
  <c r="Q675"/>
  <c r="AN675"/>
  <c r="BC675"/>
  <c r="AV675"/>
  <c r="I675"/>
  <c r="E675"/>
  <c r="T673"/>
  <c r="S674" s="1"/>
  <c r="H673"/>
  <c r="AX674"/>
  <c r="AZ674" s="1"/>
  <c r="F675"/>
  <c r="T675" s="1"/>
  <c r="X303" l="1"/>
  <c r="Z303"/>
  <c r="AG302"/>
  <c r="M303"/>
  <c r="N303"/>
  <c r="AH302"/>
  <c r="U303"/>
  <c r="AA303" s="1"/>
  <c r="AG303" s="1"/>
  <c r="AB303"/>
  <c r="H674"/>
  <c r="AR674"/>
  <c r="AX675"/>
  <c r="AZ675" s="1"/>
  <c r="AP676"/>
  <c r="AU676"/>
  <c r="BB676"/>
  <c r="AO676"/>
  <c r="AV676"/>
  <c r="Q676"/>
  <c r="BC676"/>
  <c r="AN676"/>
  <c r="I676"/>
  <c r="E676"/>
  <c r="R676" s="1"/>
  <c r="G664"/>
  <c r="G665" s="1"/>
  <c r="G666" s="1"/>
  <c r="G667" s="1"/>
  <c r="G668" s="1"/>
  <c r="G669" s="1"/>
  <c r="G670" s="1"/>
  <c r="G671" s="1"/>
  <c r="G672" s="1"/>
  <c r="G673" s="1"/>
  <c r="G674" s="1"/>
  <c r="G675" s="1"/>
  <c r="S676"/>
  <c r="K675"/>
  <c r="AW675"/>
  <c r="AY675" s="1"/>
  <c r="AT675"/>
  <c r="R675"/>
  <c r="BE675"/>
  <c r="BG675" s="1"/>
  <c r="C678"/>
  <c r="A677"/>
  <c r="D677"/>
  <c r="B677"/>
  <c r="AS677"/>
  <c r="BD675"/>
  <c r="BF675" s="1"/>
  <c r="BA675"/>
  <c r="O674"/>
  <c r="Y674" s="1"/>
  <c r="W674"/>
  <c r="H675"/>
  <c r="AH303" l="1"/>
  <c r="U304"/>
  <c r="AB304" s="1"/>
  <c r="P304"/>
  <c r="AF303"/>
  <c r="F676"/>
  <c r="T676" s="1"/>
  <c r="S677" s="1"/>
  <c r="AK676"/>
  <c r="AJ676"/>
  <c r="AL676"/>
  <c r="K676"/>
  <c r="AW676"/>
  <c r="AY676" s="1"/>
  <c r="AT676"/>
  <c r="O675"/>
  <c r="Y675" s="1"/>
  <c r="W675"/>
  <c r="V675"/>
  <c r="BD676"/>
  <c r="BF676" s="1"/>
  <c r="BA676"/>
  <c r="AR675"/>
  <c r="BE676"/>
  <c r="BG676" s="1"/>
  <c r="A678"/>
  <c r="B678"/>
  <c r="AS678"/>
  <c r="D678"/>
  <c r="C679"/>
  <c r="AV677"/>
  <c r="AP677"/>
  <c r="I677"/>
  <c r="BB677"/>
  <c r="AO677"/>
  <c r="BC677"/>
  <c r="AN677"/>
  <c r="Q677"/>
  <c r="AU677"/>
  <c r="E677"/>
  <c r="R677" s="1"/>
  <c r="AX676"/>
  <c r="AZ676" s="1"/>
  <c r="Z304" l="1"/>
  <c r="P305" s="1"/>
  <c r="U305" s="1"/>
  <c r="AA304"/>
  <c r="AA305" s="1"/>
  <c r="AH304"/>
  <c r="H676"/>
  <c r="AR676"/>
  <c r="AT677"/>
  <c r="AW677"/>
  <c r="AY677" s="1"/>
  <c r="K677"/>
  <c r="AX677"/>
  <c r="AZ677" s="1"/>
  <c r="AJ677"/>
  <c r="AK677"/>
  <c r="AL677"/>
  <c r="BE677"/>
  <c r="BG677" s="1"/>
  <c r="F677"/>
  <c r="O676"/>
  <c r="Y676" s="1"/>
  <c r="W676"/>
  <c r="BA677"/>
  <c r="BD677"/>
  <c r="BF677" s="1"/>
  <c r="B679"/>
  <c r="A679"/>
  <c r="AS679"/>
  <c r="C680"/>
  <c r="D679"/>
  <c r="BC678"/>
  <c r="Q678"/>
  <c r="BB678"/>
  <c r="AP678"/>
  <c r="AN678"/>
  <c r="AO678"/>
  <c r="AU678"/>
  <c r="AV678"/>
  <c r="I678"/>
  <c r="E678"/>
  <c r="AG304" l="1"/>
  <c r="AF304"/>
  <c r="AG305"/>
  <c r="AB305"/>
  <c r="Z305"/>
  <c r="AR677"/>
  <c r="F678"/>
  <c r="T678" s="1"/>
  <c r="K678"/>
  <c r="AW678"/>
  <c r="AY678" s="1"/>
  <c r="AT678"/>
  <c r="BE678"/>
  <c r="BG678" s="1"/>
  <c r="AV679"/>
  <c r="BB679"/>
  <c r="BC679"/>
  <c r="Q679"/>
  <c r="AU679"/>
  <c r="AN679"/>
  <c r="AO679"/>
  <c r="AP679"/>
  <c r="I679"/>
  <c r="E679"/>
  <c r="R679" s="1"/>
  <c r="O677"/>
  <c r="Y677" s="1"/>
  <c r="W677"/>
  <c r="T677"/>
  <c r="S678" s="1"/>
  <c r="H677"/>
  <c r="AL678"/>
  <c r="AK678"/>
  <c r="AJ678"/>
  <c r="R678"/>
  <c r="BD678"/>
  <c r="BF678" s="1"/>
  <c r="BA678"/>
  <c r="AX678"/>
  <c r="AZ678" s="1"/>
  <c r="AS680"/>
  <c r="C681"/>
  <c r="B680"/>
  <c r="A680"/>
  <c r="D680"/>
  <c r="S679"/>
  <c r="AF305" l="1"/>
  <c r="P306"/>
  <c r="Z306"/>
  <c r="AH305"/>
  <c r="U306"/>
  <c r="AB306"/>
  <c r="AH306" s="1"/>
  <c r="H678"/>
  <c r="F679"/>
  <c r="T679" s="1"/>
  <c r="S680" s="1"/>
  <c r="AR678"/>
  <c r="Q680"/>
  <c r="AP680"/>
  <c r="AN680"/>
  <c r="AO680"/>
  <c r="AV680"/>
  <c r="AU680"/>
  <c r="I680"/>
  <c r="BB680"/>
  <c r="BC680"/>
  <c r="E680"/>
  <c r="R680" s="1"/>
  <c r="D681"/>
  <c r="AS681"/>
  <c r="B681"/>
  <c r="A681"/>
  <c r="C682"/>
  <c r="AL679"/>
  <c r="AJ679"/>
  <c r="AK679"/>
  <c r="BD679"/>
  <c r="BF679" s="1"/>
  <c r="BA679"/>
  <c r="BE679"/>
  <c r="BG679" s="1"/>
  <c r="O678"/>
  <c r="Y678" s="1"/>
  <c r="W678"/>
  <c r="K679"/>
  <c r="AW679"/>
  <c r="AY679" s="1"/>
  <c r="AT679"/>
  <c r="AX679"/>
  <c r="AZ679" s="1"/>
  <c r="AA306" l="1"/>
  <c r="P307" s="1"/>
  <c r="AF306"/>
  <c r="H679"/>
  <c r="F680"/>
  <c r="H680" s="1"/>
  <c r="AR679"/>
  <c r="O679"/>
  <c r="Y679" s="1"/>
  <c r="W679"/>
  <c r="AV681"/>
  <c r="I681"/>
  <c r="AO681"/>
  <c r="BC681"/>
  <c r="AP681"/>
  <c r="Q681"/>
  <c r="BB681"/>
  <c r="AU681"/>
  <c r="AN681"/>
  <c r="E681"/>
  <c r="R681" s="1"/>
  <c r="AL680"/>
  <c r="AJ680"/>
  <c r="AK680"/>
  <c r="AW680"/>
  <c r="AY680" s="1"/>
  <c r="AT680"/>
  <c r="K680"/>
  <c r="AS682"/>
  <c r="C683"/>
  <c r="D682"/>
  <c r="F681" s="1"/>
  <c r="T681" s="1"/>
  <c r="B682"/>
  <c r="A682"/>
  <c r="BD680"/>
  <c r="BF680" s="1"/>
  <c r="BA680"/>
  <c r="BE680"/>
  <c r="BG680" s="1"/>
  <c r="AX680"/>
  <c r="AZ680" s="1"/>
  <c r="S682" l="1"/>
  <c r="T680"/>
  <c r="S681" s="1"/>
  <c r="U307"/>
  <c r="AB307" s="1"/>
  <c r="AG306"/>
  <c r="AA307"/>
  <c r="AR680"/>
  <c r="O680"/>
  <c r="Y680" s="1"/>
  <c r="W680"/>
  <c r="AX681"/>
  <c r="AZ681" s="1"/>
  <c r="AW681"/>
  <c r="AY681" s="1"/>
  <c r="AT681"/>
  <c r="K681"/>
  <c r="BE681"/>
  <c r="BG681" s="1"/>
  <c r="AJ681"/>
  <c r="AK681"/>
  <c r="AL681"/>
  <c r="AV682"/>
  <c r="I682"/>
  <c r="Q682"/>
  <c r="AU682"/>
  <c r="AO682"/>
  <c r="BC682"/>
  <c r="AP682"/>
  <c r="AN682"/>
  <c r="BB682"/>
  <c r="E682"/>
  <c r="R682" s="1"/>
  <c r="D683"/>
  <c r="A683"/>
  <c r="B683"/>
  <c r="C684"/>
  <c r="AS683"/>
  <c r="BA681"/>
  <c r="BD681"/>
  <c r="BF681" s="1"/>
  <c r="H681"/>
  <c r="AH307" l="1"/>
  <c r="Z307"/>
  <c r="AG307"/>
  <c r="F682"/>
  <c r="H682" s="1"/>
  <c r="AR681"/>
  <c r="C685"/>
  <c r="B684"/>
  <c r="A684"/>
  <c r="AS684"/>
  <c r="D684"/>
  <c r="AW682"/>
  <c r="AY682" s="1"/>
  <c r="AT682"/>
  <c r="K682"/>
  <c r="O681"/>
  <c r="Y681" s="1"/>
  <c r="W681"/>
  <c r="AP683"/>
  <c r="BC683"/>
  <c r="Q683"/>
  <c r="BB683"/>
  <c r="I683"/>
  <c r="AU683"/>
  <c r="AN683"/>
  <c r="AO683"/>
  <c r="AV683"/>
  <c r="E683"/>
  <c r="R683" s="1"/>
  <c r="BA682"/>
  <c r="BD682"/>
  <c r="BF682" s="1"/>
  <c r="AX682"/>
  <c r="AZ682" s="1"/>
  <c r="AK682"/>
  <c r="AJ682"/>
  <c r="AL682"/>
  <c r="BE682"/>
  <c r="BG682" s="1"/>
  <c r="P308" l="1"/>
  <c r="AF307"/>
  <c r="T682"/>
  <c r="S683" s="1"/>
  <c r="F683"/>
  <c r="T683" s="1"/>
  <c r="S684" s="1"/>
  <c r="AR682"/>
  <c r="AX683"/>
  <c r="AZ683" s="1"/>
  <c r="O682"/>
  <c r="Y682" s="1"/>
  <c r="W682"/>
  <c r="AK683"/>
  <c r="AJ683"/>
  <c r="AL683"/>
  <c r="AT683"/>
  <c r="K683"/>
  <c r="AW683"/>
  <c r="AY683" s="1"/>
  <c r="AR683" s="1"/>
  <c r="BE683"/>
  <c r="BG683" s="1"/>
  <c r="D685"/>
  <c r="C686"/>
  <c r="B685"/>
  <c r="A685"/>
  <c r="AS685"/>
  <c r="BD683"/>
  <c r="BF683" s="1"/>
  <c r="BA683"/>
  <c r="AU684"/>
  <c r="AO684"/>
  <c r="AP684"/>
  <c r="Q684"/>
  <c r="BC684"/>
  <c r="I684"/>
  <c r="AV684"/>
  <c r="AN684"/>
  <c r="BB684"/>
  <c r="E684"/>
  <c r="R684" s="1"/>
  <c r="U308" l="1"/>
  <c r="Z308" s="1"/>
  <c r="H683"/>
  <c r="BE684"/>
  <c r="BG684" s="1"/>
  <c r="AT684"/>
  <c r="AW684"/>
  <c r="AY684" s="1"/>
  <c r="K684"/>
  <c r="BB685"/>
  <c r="AV685"/>
  <c r="AN685"/>
  <c r="I685"/>
  <c r="AO685"/>
  <c r="AP685"/>
  <c r="BC685"/>
  <c r="Q685"/>
  <c r="AU685"/>
  <c r="E685"/>
  <c r="R685" s="1"/>
  <c r="AX684"/>
  <c r="AZ684" s="1"/>
  <c r="AS686"/>
  <c r="D686"/>
  <c r="B686"/>
  <c r="C687"/>
  <c r="A686"/>
  <c r="F684"/>
  <c r="BA684"/>
  <c r="BD684"/>
  <c r="BF684" s="1"/>
  <c r="O683"/>
  <c r="Y683" s="1"/>
  <c r="W683"/>
  <c r="AJ684"/>
  <c r="AK684"/>
  <c r="AL684"/>
  <c r="AA308" l="1"/>
  <c r="P309" s="1"/>
  <c r="AB308"/>
  <c r="AF308"/>
  <c r="F685"/>
  <c r="H685" s="1"/>
  <c r="AR684"/>
  <c r="A687"/>
  <c r="AS687" s="1"/>
  <c r="B687"/>
  <c r="C688"/>
  <c r="D687"/>
  <c r="AW685"/>
  <c r="AY685" s="1"/>
  <c r="AT685"/>
  <c r="K685"/>
  <c r="BD685"/>
  <c r="BF685" s="1"/>
  <c r="BA685"/>
  <c r="AV686"/>
  <c r="BB686"/>
  <c r="BC686"/>
  <c r="AO686"/>
  <c r="I686"/>
  <c r="AU686"/>
  <c r="AN686"/>
  <c r="AP686"/>
  <c r="Q686"/>
  <c r="E686"/>
  <c r="AK685"/>
  <c r="AL685"/>
  <c r="AJ685"/>
  <c r="AX685"/>
  <c r="AZ685" s="1"/>
  <c r="T684"/>
  <c r="S685" s="1"/>
  <c r="H684"/>
  <c r="BE685"/>
  <c r="BG685"/>
  <c r="O684"/>
  <c r="Y684" s="1"/>
  <c r="W684"/>
  <c r="AG308" l="1"/>
  <c r="AA309"/>
  <c r="AG309" s="1"/>
  <c r="U309"/>
  <c r="AB309" s="1"/>
  <c r="AH308"/>
  <c r="Z309"/>
  <c r="F686"/>
  <c r="T686" s="1"/>
  <c r="S687" s="1"/>
  <c r="T685"/>
  <c r="S686" s="1"/>
  <c r="AK686"/>
  <c r="AJ686"/>
  <c r="AL686"/>
  <c r="AR685"/>
  <c r="R686"/>
  <c r="BA686"/>
  <c r="BD686"/>
  <c r="BF686" s="1"/>
  <c r="BE686"/>
  <c r="BG686" s="1"/>
  <c r="B688"/>
  <c r="D688"/>
  <c r="A688"/>
  <c r="C689"/>
  <c r="AS688"/>
  <c r="AP687"/>
  <c r="BC687"/>
  <c r="BB687"/>
  <c r="AV687"/>
  <c r="AN687"/>
  <c r="AO687"/>
  <c r="Q687"/>
  <c r="AU687"/>
  <c r="I687"/>
  <c r="E687"/>
  <c r="R687" s="1"/>
  <c r="AW686"/>
  <c r="AY686" s="1"/>
  <c r="AT686"/>
  <c r="K686"/>
  <c r="AX686"/>
  <c r="AZ686" s="1"/>
  <c r="O685"/>
  <c r="Y685" s="1"/>
  <c r="W685"/>
  <c r="AF309" l="1"/>
  <c r="P310"/>
  <c r="U310" s="1"/>
  <c r="AH309"/>
  <c r="H686"/>
  <c r="F687"/>
  <c r="T687" s="1"/>
  <c r="M687" s="1"/>
  <c r="AR686"/>
  <c r="BC688"/>
  <c r="I688"/>
  <c r="AO688"/>
  <c r="BB688"/>
  <c r="AN688"/>
  <c r="AP688"/>
  <c r="AU688"/>
  <c r="Q688"/>
  <c r="AV688"/>
  <c r="E688"/>
  <c r="AJ687"/>
  <c r="AL687"/>
  <c r="AK687"/>
  <c r="BE687"/>
  <c r="BG687" s="1"/>
  <c r="AS689"/>
  <c r="C690"/>
  <c r="A689"/>
  <c r="R688"/>
  <c r="D689"/>
  <c r="B689"/>
  <c r="O686"/>
  <c r="Y686" s="1"/>
  <c r="W686"/>
  <c r="BA687"/>
  <c r="BD687"/>
  <c r="BF687" s="1"/>
  <c r="G676"/>
  <c r="G677" s="1"/>
  <c r="G678" s="1"/>
  <c r="G679" s="1"/>
  <c r="G680" s="1"/>
  <c r="G681" s="1"/>
  <c r="G682" s="1"/>
  <c r="G683" s="1"/>
  <c r="G684" s="1"/>
  <c r="G685" s="1"/>
  <c r="G686" s="1"/>
  <c r="G687" s="1"/>
  <c r="AT687"/>
  <c r="K687"/>
  <c r="AW687"/>
  <c r="AY687" s="1"/>
  <c r="AX687"/>
  <c r="AZ687" s="1"/>
  <c r="Z310" l="1"/>
  <c r="AF310" s="1"/>
  <c r="AA310"/>
  <c r="S688"/>
  <c r="AB310"/>
  <c r="AG310"/>
  <c r="H687"/>
  <c r="N687"/>
  <c r="L687"/>
  <c r="AR687"/>
  <c r="BA688"/>
  <c r="BD688"/>
  <c r="BF688" s="1"/>
  <c r="A690"/>
  <c r="B690"/>
  <c r="C691"/>
  <c r="D690"/>
  <c r="AS690"/>
  <c r="AX688"/>
  <c r="AZ688" s="1"/>
  <c r="BE688"/>
  <c r="BG688" s="1"/>
  <c r="AP689"/>
  <c r="BB689"/>
  <c r="AO689"/>
  <c r="BC689"/>
  <c r="AV689"/>
  <c r="I689"/>
  <c r="AU689"/>
  <c r="AN689"/>
  <c r="Q689"/>
  <c r="E689"/>
  <c r="R689" s="1"/>
  <c r="AJ688"/>
  <c r="AL688"/>
  <c r="AK688"/>
  <c r="F688"/>
  <c r="O687"/>
  <c r="Y687" s="1"/>
  <c r="W687"/>
  <c r="V687"/>
  <c r="K688"/>
  <c r="AT688"/>
  <c r="AW688"/>
  <c r="AY688" s="1"/>
  <c r="AH310" l="1"/>
  <c r="P311"/>
  <c r="U311" s="1"/>
  <c r="AR688"/>
  <c r="AT689"/>
  <c r="K689"/>
  <c r="AW689"/>
  <c r="AY689" s="1"/>
  <c r="C692"/>
  <c r="B691"/>
  <c r="A691"/>
  <c r="AS691"/>
  <c r="D691"/>
  <c r="O688"/>
  <c r="Y688" s="1"/>
  <c r="W688"/>
  <c r="BE689"/>
  <c r="BG689" s="1"/>
  <c r="F689"/>
  <c r="AX689"/>
  <c r="AZ689" s="1"/>
  <c r="AN690"/>
  <c r="AO690"/>
  <c r="AU690"/>
  <c r="Q690"/>
  <c r="BB690"/>
  <c r="BC690"/>
  <c r="AP690"/>
  <c r="I690"/>
  <c r="AV690"/>
  <c r="E690"/>
  <c r="T688"/>
  <c r="S689" s="1"/>
  <c r="H688"/>
  <c r="AJ689"/>
  <c r="AL689"/>
  <c r="AK689"/>
  <c r="BD689"/>
  <c r="BF689" s="1"/>
  <c r="BA689"/>
  <c r="Z311" l="1"/>
  <c r="AA311"/>
  <c r="AB311"/>
  <c r="F690"/>
  <c r="T690" s="1"/>
  <c r="AR689"/>
  <c r="Q691"/>
  <c r="BB691"/>
  <c r="AU691"/>
  <c r="AP691"/>
  <c r="AV691"/>
  <c r="BC691"/>
  <c r="AO691"/>
  <c r="I691"/>
  <c r="AN691"/>
  <c r="E691"/>
  <c r="R691" s="1"/>
  <c r="BA690"/>
  <c r="BD690"/>
  <c r="BF690" s="1"/>
  <c r="AL690"/>
  <c r="AK690"/>
  <c r="AJ690"/>
  <c r="T689"/>
  <c r="S690" s="1"/>
  <c r="H689"/>
  <c r="B692"/>
  <c r="C693"/>
  <c r="A692"/>
  <c r="D692"/>
  <c r="AS692"/>
  <c r="S691"/>
  <c r="AX690"/>
  <c r="AZ690" s="1"/>
  <c r="BE690"/>
  <c r="BG690" s="1"/>
  <c r="AT690"/>
  <c r="AY690"/>
  <c r="K690"/>
  <c r="AW690"/>
  <c r="R690"/>
  <c r="O689"/>
  <c r="Y689" s="1"/>
  <c r="W689"/>
  <c r="P312" l="1"/>
  <c r="AF311"/>
  <c r="AG311"/>
  <c r="AH311"/>
  <c r="H690"/>
  <c r="AJ691"/>
  <c r="AL691"/>
  <c r="AK691"/>
  <c r="BE691"/>
  <c r="BG691" s="1"/>
  <c r="BD691"/>
  <c r="BF691" s="1"/>
  <c r="BA691"/>
  <c r="BB692"/>
  <c r="I692"/>
  <c r="AV692"/>
  <c r="Q692"/>
  <c r="BC692"/>
  <c r="AP692"/>
  <c r="AN692"/>
  <c r="AO692"/>
  <c r="AU692"/>
  <c r="E692"/>
  <c r="R692" s="1"/>
  <c r="AT691"/>
  <c r="K691"/>
  <c r="AW691"/>
  <c r="AY691" s="1"/>
  <c r="AR690"/>
  <c r="O690"/>
  <c r="Y690" s="1"/>
  <c r="W690"/>
  <c r="AS693"/>
  <c r="B693"/>
  <c r="C694"/>
  <c r="A693"/>
  <c r="D693"/>
  <c r="AX691"/>
  <c r="AZ691" s="1"/>
  <c r="F691"/>
  <c r="AB312" l="1"/>
  <c r="U312"/>
  <c r="Z312" s="1"/>
  <c r="AA312"/>
  <c r="AR691"/>
  <c r="F692"/>
  <c r="H692" s="1"/>
  <c r="T691"/>
  <c r="S692" s="1"/>
  <c r="H691"/>
  <c r="AS694"/>
  <c r="C695"/>
  <c r="D694"/>
  <c r="F693" s="1"/>
  <c r="T693" s="1"/>
  <c r="A694"/>
  <c r="B694"/>
  <c r="AJ692"/>
  <c r="AL692"/>
  <c r="AK692"/>
  <c r="AW692"/>
  <c r="AY692" s="1"/>
  <c r="AT692"/>
  <c r="K692"/>
  <c r="BE692"/>
  <c r="BG692" s="1"/>
  <c r="BD692"/>
  <c r="BF692" s="1"/>
  <c r="BA692"/>
  <c r="AX692"/>
  <c r="AZ692" s="1"/>
  <c r="I693"/>
  <c r="AN693"/>
  <c r="AO693"/>
  <c r="AU693"/>
  <c r="BC693"/>
  <c r="Q693"/>
  <c r="BB693"/>
  <c r="AP693"/>
  <c r="AV693"/>
  <c r="E693"/>
  <c r="R693" s="1"/>
  <c r="O691"/>
  <c r="Y691" s="1"/>
  <c r="W691"/>
  <c r="AF312" l="1"/>
  <c r="P313"/>
  <c r="AH312"/>
  <c r="AG312"/>
  <c r="S694"/>
  <c r="T692"/>
  <c r="S693" s="1"/>
  <c r="AX693"/>
  <c r="AZ693" s="1"/>
  <c r="B695"/>
  <c r="C696"/>
  <c r="D695"/>
  <c r="F694" s="1"/>
  <c r="T694" s="1"/>
  <c r="S695" s="1"/>
  <c r="AS695"/>
  <c r="A695"/>
  <c r="AL693"/>
  <c r="AK693"/>
  <c r="AJ693"/>
  <c r="AN694"/>
  <c r="Q694"/>
  <c r="AP694"/>
  <c r="I694"/>
  <c r="AO694"/>
  <c r="BB694"/>
  <c r="BC694"/>
  <c r="AV694"/>
  <c r="AU694"/>
  <c r="E694"/>
  <c r="R694" s="1"/>
  <c r="AR692"/>
  <c r="H693"/>
  <c r="BE693"/>
  <c r="BG693" s="1"/>
  <c r="O692"/>
  <c r="Y692" s="1"/>
  <c r="W692"/>
  <c r="BA693"/>
  <c r="BD693"/>
  <c r="BF693" s="1"/>
  <c r="AW693"/>
  <c r="AY693" s="1"/>
  <c r="AR693" s="1"/>
  <c r="K693"/>
  <c r="AT693"/>
  <c r="U313" l="1"/>
  <c r="H694"/>
  <c r="BE694"/>
  <c r="BG694" s="1"/>
  <c r="AX694"/>
  <c r="AZ694" s="1"/>
  <c r="O693"/>
  <c r="Y693" s="1"/>
  <c r="W693"/>
  <c r="K694"/>
  <c r="AT694"/>
  <c r="AW694"/>
  <c r="AY694" s="1"/>
  <c r="I695"/>
  <c r="AO695"/>
  <c r="BB695"/>
  <c r="AP695"/>
  <c r="AN695"/>
  <c r="AV695"/>
  <c r="AU695"/>
  <c r="BC695"/>
  <c r="Q695"/>
  <c r="E695"/>
  <c r="R695" s="1"/>
  <c r="D696"/>
  <c r="B696"/>
  <c r="A696"/>
  <c r="C697"/>
  <c r="AS696"/>
  <c r="AL694"/>
  <c r="AJ694"/>
  <c r="AK694"/>
  <c r="BD694"/>
  <c r="BF694" s="1"/>
  <c r="BA694"/>
  <c r="Z313" l="1"/>
  <c r="AB313"/>
  <c r="AA313"/>
  <c r="F695"/>
  <c r="H695" s="1"/>
  <c r="AR694"/>
  <c r="BE695"/>
  <c r="BG695" s="1"/>
  <c r="O694"/>
  <c r="Y694" s="1"/>
  <c r="W694"/>
  <c r="Q696"/>
  <c r="BB696"/>
  <c r="AV696"/>
  <c r="I696"/>
  <c r="AN696"/>
  <c r="BC696"/>
  <c r="AO696"/>
  <c r="AP696"/>
  <c r="AU696"/>
  <c r="E696"/>
  <c r="AK695"/>
  <c r="AL695"/>
  <c r="AJ695"/>
  <c r="AX695"/>
  <c r="AZ695" s="1"/>
  <c r="AS697"/>
  <c r="D697"/>
  <c r="A697"/>
  <c r="B697"/>
  <c r="C698"/>
  <c r="AT695"/>
  <c r="K695"/>
  <c r="AW695"/>
  <c r="AY695" s="1"/>
  <c r="BD695"/>
  <c r="BF695" s="1"/>
  <c r="BA695"/>
  <c r="AH313" l="1"/>
  <c r="AG313"/>
  <c r="AF313"/>
  <c r="P314"/>
  <c r="U314" s="1"/>
  <c r="F696"/>
  <c r="T696" s="1"/>
  <c r="T695"/>
  <c r="S696" s="1"/>
  <c r="AR695"/>
  <c r="AJ696"/>
  <c r="AK696"/>
  <c r="AL696"/>
  <c r="BE696"/>
  <c r="BG696" s="1"/>
  <c r="BA696"/>
  <c r="BD696"/>
  <c r="BF696" s="1"/>
  <c r="O695"/>
  <c r="Y695" s="1"/>
  <c r="W695"/>
  <c r="AX696"/>
  <c r="AZ696" s="1"/>
  <c r="R696"/>
  <c r="BC697"/>
  <c r="I697"/>
  <c r="AN697"/>
  <c r="BB697"/>
  <c r="AU697"/>
  <c r="Q697"/>
  <c r="AO697"/>
  <c r="AP697"/>
  <c r="AV697"/>
  <c r="E697"/>
  <c r="R697" s="1"/>
  <c r="D698"/>
  <c r="AS698"/>
  <c r="A698"/>
  <c r="B698"/>
  <c r="C699"/>
  <c r="AT696"/>
  <c r="K696"/>
  <c r="AW696"/>
  <c r="AY696" s="1"/>
  <c r="AA314" l="1"/>
  <c r="Z314"/>
  <c r="H696"/>
  <c r="AB314"/>
  <c r="S697"/>
  <c r="AP698"/>
  <c r="AN698"/>
  <c r="AU698"/>
  <c r="Q698"/>
  <c r="I698"/>
  <c r="AO698"/>
  <c r="BB698"/>
  <c r="AV698"/>
  <c r="BC698"/>
  <c r="E698"/>
  <c r="AX697"/>
  <c r="AZ697" s="1"/>
  <c r="K697"/>
  <c r="AW697"/>
  <c r="AY697" s="1"/>
  <c r="AT697"/>
  <c r="BE697"/>
  <c r="BG697" s="1"/>
  <c r="C700"/>
  <c r="A699"/>
  <c r="AS699" s="1"/>
  <c r="D699"/>
  <c r="B699"/>
  <c r="BA697"/>
  <c r="BD697"/>
  <c r="BF697" s="1"/>
  <c r="O696"/>
  <c r="Y696" s="1"/>
  <c r="W696"/>
  <c r="AK697"/>
  <c r="AJ697"/>
  <c r="AL697"/>
  <c r="AR696"/>
  <c r="F697"/>
  <c r="F698" l="1"/>
  <c r="T698" s="1"/>
  <c r="AH314"/>
  <c r="N315"/>
  <c r="AF314"/>
  <c r="L315"/>
  <c r="P315"/>
  <c r="X315" s="1"/>
  <c r="M315"/>
  <c r="AG314"/>
  <c r="B700"/>
  <c r="C701"/>
  <c r="A700"/>
  <c r="AS700"/>
  <c r="D700"/>
  <c r="BA698"/>
  <c r="BD698"/>
  <c r="BF698" s="1"/>
  <c r="AW698"/>
  <c r="AY698" s="1"/>
  <c r="AT698"/>
  <c r="K698"/>
  <c r="S699"/>
  <c r="T697"/>
  <c r="S698" s="1"/>
  <c r="H697"/>
  <c r="AK698"/>
  <c r="AJ698"/>
  <c r="AL698"/>
  <c r="F699"/>
  <c r="T699" s="1"/>
  <c r="AX698"/>
  <c r="AZ698" s="1"/>
  <c r="H698"/>
  <c r="AP699"/>
  <c r="I699"/>
  <c r="BB699"/>
  <c r="AU699"/>
  <c r="Q699"/>
  <c r="AN699"/>
  <c r="AV699"/>
  <c r="AO699"/>
  <c r="BC699"/>
  <c r="E699"/>
  <c r="O697"/>
  <c r="W697"/>
  <c r="BE698"/>
  <c r="BG698" s="1"/>
  <c r="AR697"/>
  <c r="Y697"/>
  <c r="R698"/>
  <c r="AB315" l="1"/>
  <c r="U315"/>
  <c r="H699"/>
  <c r="AL699"/>
  <c r="AK699"/>
  <c r="AJ699"/>
  <c r="AX699"/>
  <c r="AZ699" s="1"/>
  <c r="BA699"/>
  <c r="BD699"/>
  <c r="BF699" s="1"/>
  <c r="O698"/>
  <c r="W698"/>
  <c r="G688"/>
  <c r="G689" s="1"/>
  <c r="G690" s="1"/>
  <c r="G691" s="1"/>
  <c r="G692" s="1"/>
  <c r="G693" s="1"/>
  <c r="G694" s="1"/>
  <c r="G695" s="1"/>
  <c r="G696" s="1"/>
  <c r="G697" s="1"/>
  <c r="G698" s="1"/>
  <c r="G699" s="1"/>
  <c r="R699"/>
  <c r="D701"/>
  <c r="AS701"/>
  <c r="A701"/>
  <c r="C702"/>
  <c r="B701"/>
  <c r="F700" s="1"/>
  <c r="T700" s="1"/>
  <c r="S701" s="1"/>
  <c r="AR698"/>
  <c r="AW699"/>
  <c r="AY699" s="1"/>
  <c r="AT699"/>
  <c r="K699"/>
  <c r="BE699"/>
  <c r="BG699" s="1"/>
  <c r="N699"/>
  <c r="L699"/>
  <c r="M699"/>
  <c r="S700"/>
  <c r="AO700"/>
  <c r="Q700"/>
  <c r="AN700"/>
  <c r="I700"/>
  <c r="BC700"/>
  <c r="AV700"/>
  <c r="AP700"/>
  <c r="BB700"/>
  <c r="AU700"/>
  <c r="E700"/>
  <c r="R700" s="1"/>
  <c r="Y698"/>
  <c r="AH315" l="1"/>
  <c r="AA315"/>
  <c r="Z315"/>
  <c r="AR699"/>
  <c r="Q701"/>
  <c r="AU701"/>
  <c r="AV701"/>
  <c r="I701"/>
  <c r="AN701"/>
  <c r="AO701"/>
  <c r="BC701"/>
  <c r="BB701"/>
  <c r="AP701"/>
  <c r="E701"/>
  <c r="R701" s="1"/>
  <c r="AS702"/>
  <c r="D702"/>
  <c r="B702"/>
  <c r="A702"/>
  <c r="C703"/>
  <c r="AW700"/>
  <c r="AY700" s="1"/>
  <c r="K700"/>
  <c r="AT700"/>
  <c r="BE700"/>
  <c r="BG700" s="1"/>
  <c r="H700"/>
  <c r="BD700"/>
  <c r="BF700" s="1"/>
  <c r="BA700"/>
  <c r="AL700"/>
  <c r="AJ700"/>
  <c r="AK700"/>
  <c r="AX700"/>
  <c r="AZ700" s="1"/>
  <c r="O699"/>
  <c r="Y699" s="1"/>
  <c r="W699"/>
  <c r="V699"/>
  <c r="AG315" l="1"/>
  <c r="P316"/>
  <c r="AF315"/>
  <c r="AR700"/>
  <c r="B703"/>
  <c r="C704"/>
  <c r="A703"/>
  <c r="AS703"/>
  <c r="D703"/>
  <c r="AK701"/>
  <c r="AL701"/>
  <c r="AJ701"/>
  <c r="K701"/>
  <c r="AT701"/>
  <c r="AW701"/>
  <c r="AY701" s="1"/>
  <c r="F701"/>
  <c r="BE701"/>
  <c r="BG701" s="1"/>
  <c r="AX701"/>
  <c r="AZ701" s="1"/>
  <c r="BD701"/>
  <c r="BF701" s="1"/>
  <c r="BA701"/>
  <c r="O700"/>
  <c r="Y700" s="1"/>
  <c r="W700"/>
  <c r="BB702"/>
  <c r="I702"/>
  <c r="BC702"/>
  <c r="AV702"/>
  <c r="AU702"/>
  <c r="AP702"/>
  <c r="AO702"/>
  <c r="Q702"/>
  <c r="AN702"/>
  <c r="E702"/>
  <c r="R702" s="1"/>
  <c r="U316" l="1"/>
  <c r="AR701"/>
  <c r="T701"/>
  <c r="S702" s="1"/>
  <c r="H701"/>
  <c r="A704"/>
  <c r="C705"/>
  <c r="D704"/>
  <c r="AS704"/>
  <c r="B704"/>
  <c r="AJ702"/>
  <c r="AL702"/>
  <c r="AK702"/>
  <c r="O701"/>
  <c r="Y701" s="1"/>
  <c r="W701"/>
  <c r="AX702"/>
  <c r="AZ702" s="1"/>
  <c r="AU703"/>
  <c r="AP703"/>
  <c r="AN703"/>
  <c r="AV703"/>
  <c r="Q703"/>
  <c r="AO703"/>
  <c r="BC703"/>
  <c r="BB703"/>
  <c r="I703"/>
  <c r="E703"/>
  <c r="R703" s="1"/>
  <c r="BG702"/>
  <c r="BE702"/>
  <c r="AT702"/>
  <c r="AW702"/>
  <c r="AY702" s="1"/>
  <c r="K702"/>
  <c r="BD702"/>
  <c r="BF702" s="1"/>
  <c r="BA702"/>
  <c r="F702"/>
  <c r="AA316" l="1"/>
  <c r="Z316"/>
  <c r="AB316"/>
  <c r="AR702"/>
  <c r="AW703"/>
  <c r="AY703" s="1"/>
  <c r="K703"/>
  <c r="AT703"/>
  <c r="O702"/>
  <c r="Y702" s="1"/>
  <c r="W702"/>
  <c r="AK703"/>
  <c r="AL703"/>
  <c r="AJ703"/>
  <c r="AS705"/>
  <c r="D705"/>
  <c r="C706"/>
  <c r="B705"/>
  <c r="A705"/>
  <c r="Q704"/>
  <c r="I704"/>
  <c r="AN704"/>
  <c r="AU704"/>
  <c r="AV704"/>
  <c r="BB704"/>
  <c r="AP704"/>
  <c r="BC704"/>
  <c r="AO704"/>
  <c r="E704"/>
  <c r="R704" s="1"/>
  <c r="BE703"/>
  <c r="BG703" s="1"/>
  <c r="T702"/>
  <c r="S703" s="1"/>
  <c r="H702"/>
  <c r="BD703"/>
  <c r="BA703"/>
  <c r="BF703"/>
  <c r="AZ703"/>
  <c r="AX703"/>
  <c r="F703"/>
  <c r="P317" l="1"/>
  <c r="AF316"/>
  <c r="AG316"/>
  <c r="U317"/>
  <c r="Z317" s="1"/>
  <c r="AF317" s="1"/>
  <c r="AH316"/>
  <c r="F704"/>
  <c r="T704" s="1"/>
  <c r="AR703"/>
  <c r="T703"/>
  <c r="S704" s="1"/>
  <c r="H703"/>
  <c r="AL704"/>
  <c r="AK704"/>
  <c r="AJ704"/>
  <c r="BD704"/>
  <c r="BF704" s="1"/>
  <c r="BA704"/>
  <c r="A706"/>
  <c r="B706"/>
  <c r="D706"/>
  <c r="C707"/>
  <c r="AS706"/>
  <c r="BG704"/>
  <c r="BE704"/>
  <c r="AT704"/>
  <c r="K704"/>
  <c r="AY704"/>
  <c r="AW704"/>
  <c r="BB705"/>
  <c r="AN705"/>
  <c r="AV705"/>
  <c r="AP705"/>
  <c r="Q705"/>
  <c r="AO705"/>
  <c r="BC705"/>
  <c r="AU705"/>
  <c r="I705"/>
  <c r="E705"/>
  <c r="O703"/>
  <c r="Y703" s="1"/>
  <c r="W703"/>
  <c r="AX704"/>
  <c r="AZ704" s="1"/>
  <c r="AB317" l="1"/>
  <c r="AH317" s="1"/>
  <c r="AA317"/>
  <c r="AG317" s="1"/>
  <c r="S705"/>
  <c r="H704"/>
  <c r="BE705"/>
  <c r="BG705" s="1"/>
  <c r="AX705"/>
  <c r="AZ705" s="1"/>
  <c r="AR704"/>
  <c r="AL705"/>
  <c r="AJ705"/>
  <c r="AK705"/>
  <c r="O704"/>
  <c r="Y704" s="1"/>
  <c r="W704"/>
  <c r="AW705"/>
  <c r="AY705" s="1"/>
  <c r="AT705"/>
  <c r="K705"/>
  <c r="D707"/>
  <c r="B707"/>
  <c r="C708"/>
  <c r="A707"/>
  <c r="AS707"/>
  <c r="R705"/>
  <c r="BD705"/>
  <c r="BF705" s="1"/>
  <c r="BA705"/>
  <c r="AV706"/>
  <c r="AO706"/>
  <c r="Q706"/>
  <c r="AN706"/>
  <c r="BB706"/>
  <c r="BC706"/>
  <c r="I706"/>
  <c r="AU706"/>
  <c r="AP706"/>
  <c r="E706"/>
  <c r="R706" s="1"/>
  <c r="F705"/>
  <c r="P318" l="1"/>
  <c r="AR705"/>
  <c r="O705"/>
  <c r="Y705" s="1"/>
  <c r="W705"/>
  <c r="BD706"/>
  <c r="BF706" s="1"/>
  <c r="BA706"/>
  <c r="AX706"/>
  <c r="AZ706" s="1"/>
  <c r="B708"/>
  <c r="AS708"/>
  <c r="C709"/>
  <c r="D708"/>
  <c r="A708"/>
  <c r="F706"/>
  <c r="T705"/>
  <c r="S706" s="1"/>
  <c r="H705"/>
  <c r="K706"/>
  <c r="AT706"/>
  <c r="AW706"/>
  <c r="AY706" s="1"/>
  <c r="AL706"/>
  <c r="AK706"/>
  <c r="AJ706"/>
  <c r="BE706"/>
  <c r="BG706" s="1"/>
  <c r="AN707"/>
  <c r="AO707"/>
  <c r="AV707"/>
  <c r="Q707"/>
  <c r="AU707"/>
  <c r="BB707"/>
  <c r="I707"/>
  <c r="AP707"/>
  <c r="BC707"/>
  <c r="E707"/>
  <c r="R707" s="1"/>
  <c r="U318" l="1"/>
  <c r="AB318" s="1"/>
  <c r="AH318" s="1"/>
  <c r="AP708"/>
  <c r="BB708"/>
  <c r="AO708"/>
  <c r="AV708"/>
  <c r="AN708"/>
  <c r="I708"/>
  <c r="BC708"/>
  <c r="AU708"/>
  <c r="Q708"/>
  <c r="E708"/>
  <c r="R708" s="1"/>
  <c r="F707"/>
  <c r="BD707"/>
  <c r="BF707" s="1"/>
  <c r="BA707"/>
  <c r="AX707"/>
  <c r="AZ707" s="1"/>
  <c r="O706"/>
  <c r="Y706" s="1"/>
  <c r="W706"/>
  <c r="AR706"/>
  <c r="AJ707"/>
  <c r="AL707"/>
  <c r="AK707"/>
  <c r="BE707"/>
  <c r="BG707" s="1"/>
  <c r="AW707"/>
  <c r="AY707" s="1"/>
  <c r="AT707"/>
  <c r="K707"/>
  <c r="T706"/>
  <c r="S707" s="1"/>
  <c r="H706"/>
  <c r="D709"/>
  <c r="A709"/>
  <c r="B709"/>
  <c r="AS709"/>
  <c r="C710"/>
  <c r="Z318" l="1"/>
  <c r="AA318"/>
  <c r="AG318" s="1"/>
  <c r="F708"/>
  <c r="T708" s="1"/>
  <c r="S709" s="1"/>
  <c r="O707"/>
  <c r="Y707" s="1"/>
  <c r="W707"/>
  <c r="AJ708"/>
  <c r="AK708"/>
  <c r="AL708"/>
  <c r="BA708"/>
  <c r="BD708"/>
  <c r="BF708" s="1"/>
  <c r="A710"/>
  <c r="C711"/>
  <c r="B710"/>
  <c r="AS710"/>
  <c r="D710"/>
  <c r="AN709"/>
  <c r="AO709"/>
  <c r="Q709"/>
  <c r="I709"/>
  <c r="BB709"/>
  <c r="BC709"/>
  <c r="AV709"/>
  <c r="AP709"/>
  <c r="AU709"/>
  <c r="E709"/>
  <c r="T707"/>
  <c r="S708" s="1"/>
  <c r="H707"/>
  <c r="BE708"/>
  <c r="BG708" s="1"/>
  <c r="AR707"/>
  <c r="K708"/>
  <c r="AT708"/>
  <c r="AW708"/>
  <c r="AY708" s="1"/>
  <c r="AX708"/>
  <c r="AZ708" s="1"/>
  <c r="AF318" l="1"/>
  <c r="P319"/>
  <c r="U319" s="1"/>
  <c r="AA319" s="1"/>
  <c r="AG319" s="1"/>
  <c r="AB319"/>
  <c r="F709"/>
  <c r="T709" s="1"/>
  <c r="S710" s="1"/>
  <c r="H708"/>
  <c r="AR708"/>
  <c r="AW709"/>
  <c r="AY709" s="1"/>
  <c r="K709"/>
  <c r="AT709"/>
  <c r="BD709"/>
  <c r="BF709" s="1"/>
  <c r="BA709"/>
  <c r="AJ709"/>
  <c r="AK709"/>
  <c r="AL709"/>
  <c r="BE709"/>
  <c r="BG709" s="1"/>
  <c r="R709"/>
  <c r="AX709"/>
  <c r="AZ709" s="1"/>
  <c r="AP710"/>
  <c r="BB710"/>
  <c r="AU710"/>
  <c r="AN710"/>
  <c r="I710"/>
  <c r="Q710"/>
  <c r="AO710"/>
  <c r="BC710"/>
  <c r="AV710"/>
  <c r="E710"/>
  <c r="R710" s="1"/>
  <c r="O708"/>
  <c r="Y708" s="1"/>
  <c r="W708"/>
  <c r="A711"/>
  <c r="AS711" s="1"/>
  <c r="D711"/>
  <c r="B711"/>
  <c r="C712"/>
  <c r="Z319" l="1"/>
  <c r="AF319" s="1"/>
  <c r="H709"/>
  <c r="AH319"/>
  <c r="F710"/>
  <c r="T710" s="1"/>
  <c r="S711" s="1"/>
  <c r="AR709"/>
  <c r="K710"/>
  <c r="AW710"/>
  <c r="AY710" s="1"/>
  <c r="AT710"/>
  <c r="C713"/>
  <c r="D712"/>
  <c r="AS712"/>
  <c r="B712"/>
  <c r="A712"/>
  <c r="AV711"/>
  <c r="AP711"/>
  <c r="Q711"/>
  <c r="AN711"/>
  <c r="I711"/>
  <c r="BC711"/>
  <c r="BB711"/>
  <c r="AU711"/>
  <c r="AO711"/>
  <c r="E711"/>
  <c r="R711" s="1"/>
  <c r="BE710"/>
  <c r="BG710" s="1"/>
  <c r="AX710"/>
  <c r="AZ710" s="1"/>
  <c r="AK710"/>
  <c r="AJ710"/>
  <c r="AL710"/>
  <c r="BA710"/>
  <c r="BD710"/>
  <c r="BF710" s="1"/>
  <c r="O709"/>
  <c r="Y709" s="1"/>
  <c r="W709"/>
  <c r="P320" l="1"/>
  <c r="AA320"/>
  <c r="U320"/>
  <c r="AB320" s="1"/>
  <c r="H710"/>
  <c r="F711"/>
  <c r="T711" s="1"/>
  <c r="N711" s="1"/>
  <c r="AR710"/>
  <c r="AX711"/>
  <c r="AZ711" s="1"/>
  <c r="M711"/>
  <c r="S712"/>
  <c r="BE711"/>
  <c r="BG711" s="1"/>
  <c r="O710"/>
  <c r="Y710" s="1"/>
  <c r="W710"/>
  <c r="H711"/>
  <c r="BD711"/>
  <c r="BF711" s="1"/>
  <c r="BA711"/>
  <c r="G700"/>
  <c r="G701" s="1"/>
  <c r="G702" s="1"/>
  <c r="G703" s="1"/>
  <c r="G704" s="1"/>
  <c r="G705" s="1"/>
  <c r="G706" s="1"/>
  <c r="G707" s="1"/>
  <c r="G708" s="1"/>
  <c r="G709" s="1"/>
  <c r="G710" s="1"/>
  <c r="G711" s="1"/>
  <c r="B713"/>
  <c r="D713"/>
  <c r="C714"/>
  <c r="A713"/>
  <c r="AS713"/>
  <c r="AL711"/>
  <c r="AK711"/>
  <c r="AJ711"/>
  <c r="K711"/>
  <c r="AW711"/>
  <c r="AY711" s="1"/>
  <c r="AR711" s="1"/>
  <c r="AT711"/>
  <c r="AO712"/>
  <c r="I712"/>
  <c r="AV712"/>
  <c r="BC712"/>
  <c r="BB712"/>
  <c r="AN712"/>
  <c r="AU712"/>
  <c r="AP712"/>
  <c r="Q712"/>
  <c r="E712"/>
  <c r="Z320" l="1"/>
  <c r="P321" s="1"/>
  <c r="AG320"/>
  <c r="L711"/>
  <c r="AH320"/>
  <c r="AX712"/>
  <c r="AZ712" s="1"/>
  <c r="O711"/>
  <c r="Y711" s="1"/>
  <c r="W711"/>
  <c r="V711"/>
  <c r="BB713"/>
  <c r="AO713"/>
  <c r="Q713"/>
  <c r="AP713"/>
  <c r="AU713"/>
  <c r="I713"/>
  <c r="AN713"/>
  <c r="BC713"/>
  <c r="AV713"/>
  <c r="E713"/>
  <c r="R713" s="1"/>
  <c r="F712"/>
  <c r="BD712"/>
  <c r="BF712" s="1"/>
  <c r="BA712"/>
  <c r="AJ712"/>
  <c r="AK712"/>
  <c r="AL712"/>
  <c r="AW712"/>
  <c r="AY712" s="1"/>
  <c r="AT712"/>
  <c r="K712"/>
  <c r="A714"/>
  <c r="AS714"/>
  <c r="D714"/>
  <c r="C715"/>
  <c r="B714"/>
  <c r="BE712"/>
  <c r="BG712" s="1"/>
  <c r="R712"/>
  <c r="AA321" l="1"/>
  <c r="P322" s="1"/>
  <c r="U321"/>
  <c r="Z321" s="1"/>
  <c r="AB321"/>
  <c r="AH321" s="1"/>
  <c r="AF320"/>
  <c r="AG321"/>
  <c r="AF321"/>
  <c r="F713"/>
  <c r="T713" s="1"/>
  <c r="S714" s="1"/>
  <c r="C716"/>
  <c r="D715"/>
  <c r="A715"/>
  <c r="B715"/>
  <c r="AS715"/>
  <c r="BC714"/>
  <c r="AP714"/>
  <c r="Q714"/>
  <c r="AO714"/>
  <c r="BB714"/>
  <c r="I714"/>
  <c r="AN714"/>
  <c r="AU714"/>
  <c r="AV714"/>
  <c r="E714"/>
  <c r="BE713"/>
  <c r="BG713" s="1"/>
  <c r="AR712"/>
  <c r="AX713"/>
  <c r="AZ713" s="1"/>
  <c r="K713"/>
  <c r="AW713"/>
  <c r="AY713" s="1"/>
  <c r="AT713"/>
  <c r="BD713"/>
  <c r="BF713" s="1"/>
  <c r="BA713"/>
  <c r="O712"/>
  <c r="W712"/>
  <c r="T712"/>
  <c r="S713" s="1"/>
  <c r="H712"/>
  <c r="AJ713"/>
  <c r="AK713"/>
  <c r="AL713"/>
  <c r="U322" l="1"/>
  <c r="H713"/>
  <c r="AL714"/>
  <c r="AK714"/>
  <c r="AJ714"/>
  <c r="C717"/>
  <c r="AS716"/>
  <c r="A716"/>
  <c r="D716"/>
  <c r="B716"/>
  <c r="AR713"/>
  <c r="F714"/>
  <c r="R714"/>
  <c r="O713"/>
  <c r="W713"/>
  <c r="AT714"/>
  <c r="K714"/>
  <c r="AW714"/>
  <c r="AY714" s="1"/>
  <c r="Y712"/>
  <c r="AX714"/>
  <c r="AZ714" s="1"/>
  <c r="BD714"/>
  <c r="BF714" s="1"/>
  <c r="BA714"/>
  <c r="BG714"/>
  <c r="BE714"/>
  <c r="AO715"/>
  <c r="Q715"/>
  <c r="BC715"/>
  <c r="AU715"/>
  <c r="AV715"/>
  <c r="I715"/>
  <c r="AN715"/>
  <c r="BB715"/>
  <c r="AP715"/>
  <c r="E715"/>
  <c r="R715" s="1"/>
  <c r="AB322" l="1"/>
  <c r="Z322"/>
  <c r="AA322"/>
  <c r="F715"/>
  <c r="T715" s="1"/>
  <c r="AR714"/>
  <c r="BE715"/>
  <c r="BG715" s="1"/>
  <c r="BD715"/>
  <c r="BF715" s="1"/>
  <c r="BA715"/>
  <c r="AW715"/>
  <c r="AY715" s="1"/>
  <c r="K715"/>
  <c r="AT715"/>
  <c r="AN716"/>
  <c r="BC716"/>
  <c r="AV716"/>
  <c r="Q716"/>
  <c r="AP716"/>
  <c r="AO716"/>
  <c r="AU716"/>
  <c r="I716"/>
  <c r="BB716"/>
  <c r="E716"/>
  <c r="R716" s="1"/>
  <c r="AX715"/>
  <c r="AZ715" s="1"/>
  <c r="T714"/>
  <c r="S715" s="1"/>
  <c r="H714"/>
  <c r="A717"/>
  <c r="AS717"/>
  <c r="C718"/>
  <c r="D717"/>
  <c r="B717"/>
  <c r="O714"/>
  <c r="W714"/>
  <c r="AL715"/>
  <c r="AK715"/>
  <c r="AJ715"/>
  <c r="Y713"/>
  <c r="S716"/>
  <c r="AH322" l="1"/>
  <c r="P323"/>
  <c r="U323" s="1"/>
  <c r="AF322"/>
  <c r="AG322"/>
  <c r="F716"/>
  <c r="T716" s="1"/>
  <c r="S717" s="1"/>
  <c r="H715"/>
  <c r="AR715"/>
  <c r="Y714"/>
  <c r="BD716"/>
  <c r="BF716" s="1"/>
  <c r="BA716"/>
  <c r="C719"/>
  <c r="AS718"/>
  <c r="D718"/>
  <c r="A718"/>
  <c r="B718"/>
  <c r="AK716"/>
  <c r="AL716"/>
  <c r="AJ716"/>
  <c r="BE716"/>
  <c r="BG716" s="1"/>
  <c r="BB717"/>
  <c r="BC717"/>
  <c r="AO717"/>
  <c r="AP717"/>
  <c r="I717"/>
  <c r="AU717"/>
  <c r="AN717"/>
  <c r="Q717"/>
  <c r="AV717"/>
  <c r="E717"/>
  <c r="R717" s="1"/>
  <c r="AW716"/>
  <c r="AY716" s="1"/>
  <c r="AT716"/>
  <c r="K716"/>
  <c r="AX716"/>
  <c r="AZ716" s="1"/>
  <c r="O715"/>
  <c r="W715"/>
  <c r="AA323" l="1"/>
  <c r="Z323"/>
  <c r="H716"/>
  <c r="AB323"/>
  <c r="Y715"/>
  <c r="AR716"/>
  <c r="AN718"/>
  <c r="AV718"/>
  <c r="BB718"/>
  <c r="AO718"/>
  <c r="AU718"/>
  <c r="AP718"/>
  <c r="Q718"/>
  <c r="I718"/>
  <c r="BC718"/>
  <c r="E718"/>
  <c r="R718" s="1"/>
  <c r="C720"/>
  <c r="B719"/>
  <c r="AS719"/>
  <c r="D719"/>
  <c r="A719"/>
  <c r="O716"/>
  <c r="W716"/>
  <c r="AX717"/>
  <c r="AZ717" s="1"/>
  <c r="BA717"/>
  <c r="BD717"/>
  <c r="BF717" s="1"/>
  <c r="AK717"/>
  <c r="AL717"/>
  <c r="AJ717"/>
  <c r="K717"/>
  <c r="AW717"/>
  <c r="AY717" s="1"/>
  <c r="AT717"/>
  <c r="BE717"/>
  <c r="BG717" s="1"/>
  <c r="F717"/>
  <c r="Y716" l="1"/>
  <c r="AH323"/>
  <c r="AF323"/>
  <c r="P324"/>
  <c r="AG323"/>
  <c r="AR717"/>
  <c r="AS720"/>
  <c r="C721"/>
  <c r="A720"/>
  <c r="B720"/>
  <c r="D720"/>
  <c r="AV719"/>
  <c r="I719"/>
  <c r="BB719"/>
  <c r="AP719"/>
  <c r="AU719"/>
  <c r="AN719"/>
  <c r="Q719"/>
  <c r="BC719"/>
  <c r="AO719"/>
  <c r="E719"/>
  <c r="F718"/>
  <c r="BE718"/>
  <c r="BG718" s="1"/>
  <c r="K718"/>
  <c r="AW718"/>
  <c r="AY718" s="1"/>
  <c r="AT718"/>
  <c r="T717"/>
  <c r="S718" s="1"/>
  <c r="H717"/>
  <c r="AL718"/>
  <c r="AJ718"/>
  <c r="AK718"/>
  <c r="AX718"/>
  <c r="AZ718" s="1"/>
  <c r="O717"/>
  <c r="Y717" s="1"/>
  <c r="W717"/>
  <c r="BD718"/>
  <c r="BF718" s="1"/>
  <c r="BA718"/>
  <c r="U324" l="1"/>
  <c r="AB324" s="1"/>
  <c r="F719"/>
  <c r="T719" s="1"/>
  <c r="T718"/>
  <c r="S719" s="1"/>
  <c r="H718"/>
  <c r="BE719"/>
  <c r="BG719" s="1"/>
  <c r="AS721"/>
  <c r="B721"/>
  <c r="C722"/>
  <c r="D721"/>
  <c r="A721"/>
  <c r="AR718"/>
  <c r="AT719"/>
  <c r="AW719"/>
  <c r="AY719" s="1"/>
  <c r="K719"/>
  <c r="AX719"/>
  <c r="AZ719" s="1"/>
  <c r="AN720"/>
  <c r="AO720"/>
  <c r="Q720"/>
  <c r="AU720"/>
  <c r="I720"/>
  <c r="AV720"/>
  <c r="BC720"/>
  <c r="BB720"/>
  <c r="AP720"/>
  <c r="E720"/>
  <c r="O718"/>
  <c r="Y718" s="1"/>
  <c r="W718"/>
  <c r="AK719"/>
  <c r="AJ719"/>
  <c r="AL719"/>
  <c r="R719"/>
  <c r="BA719"/>
  <c r="BD719"/>
  <c r="BF719" s="1"/>
  <c r="S720"/>
  <c r="Z324" l="1"/>
  <c r="AA324"/>
  <c r="AH324"/>
  <c r="F720"/>
  <c r="H720" s="1"/>
  <c r="H719"/>
  <c r="BA720"/>
  <c r="BD720"/>
  <c r="BF720" s="1"/>
  <c r="K720"/>
  <c r="AT720"/>
  <c r="AW720"/>
  <c r="AY720" s="1"/>
  <c r="AN721"/>
  <c r="AU721"/>
  <c r="I721"/>
  <c r="BB721"/>
  <c r="AP721"/>
  <c r="AV721"/>
  <c r="BC721"/>
  <c r="AO721"/>
  <c r="Q721"/>
  <c r="E721"/>
  <c r="R721" s="1"/>
  <c r="AR719"/>
  <c r="AK720"/>
  <c r="AJ720"/>
  <c r="AL720"/>
  <c r="AX720"/>
  <c r="AZ720" s="1"/>
  <c r="O719"/>
  <c r="Y719" s="1"/>
  <c r="W719"/>
  <c r="R720"/>
  <c r="BE720"/>
  <c r="BG720" s="1"/>
  <c r="B722"/>
  <c r="D722"/>
  <c r="A722"/>
  <c r="AS722"/>
  <c r="C723"/>
  <c r="P325" l="1"/>
  <c r="AF324"/>
  <c r="AG324"/>
  <c r="T720"/>
  <c r="S721" s="1"/>
  <c r="AR720"/>
  <c r="C724"/>
  <c r="D723"/>
  <c r="B723"/>
  <c r="A723"/>
  <c r="AS723" s="1"/>
  <c r="AU722"/>
  <c r="AV722"/>
  <c r="BC722"/>
  <c r="I722"/>
  <c r="Q722"/>
  <c r="BB722"/>
  <c r="AO722"/>
  <c r="AN722"/>
  <c r="AP722"/>
  <c r="E722"/>
  <c r="R722" s="1"/>
  <c r="BE721"/>
  <c r="BG721" s="1"/>
  <c r="F721"/>
  <c r="BD721"/>
  <c r="BF721" s="1"/>
  <c r="BA721"/>
  <c r="O720"/>
  <c r="Y720" s="1"/>
  <c r="W720"/>
  <c r="AK721"/>
  <c r="AJ721"/>
  <c r="AL721"/>
  <c r="AX721"/>
  <c r="AZ721" s="1"/>
  <c r="K721"/>
  <c r="AT721"/>
  <c r="AW721"/>
  <c r="AY721" s="1"/>
  <c r="U325" l="1"/>
  <c r="F722"/>
  <c r="H722" s="1"/>
  <c r="AR721"/>
  <c r="AK722"/>
  <c r="AJ722"/>
  <c r="AL722"/>
  <c r="BD722"/>
  <c r="BF722" s="1"/>
  <c r="BA722"/>
  <c r="AX722"/>
  <c r="AZ722" s="1"/>
  <c r="T721"/>
  <c r="S722" s="1"/>
  <c r="H721"/>
  <c r="BE722"/>
  <c r="BG722" s="1"/>
  <c r="AP723"/>
  <c r="AV723"/>
  <c r="BB723"/>
  <c r="AO723"/>
  <c r="AU723"/>
  <c r="I723"/>
  <c r="AN723"/>
  <c r="Q723"/>
  <c r="BC723"/>
  <c r="E723"/>
  <c r="R723" s="1"/>
  <c r="C725"/>
  <c r="AS724"/>
  <c r="A724"/>
  <c r="B724"/>
  <c r="F723" s="1"/>
  <c r="D724"/>
  <c r="O721"/>
  <c r="Y721" s="1"/>
  <c r="W721"/>
  <c r="AT722"/>
  <c r="AW722"/>
  <c r="AY722" s="1"/>
  <c r="K722"/>
  <c r="Z325" l="1"/>
  <c r="AA325"/>
  <c r="AB325"/>
  <c r="T722"/>
  <c r="S723"/>
  <c r="T723"/>
  <c r="H723"/>
  <c r="BD723"/>
  <c r="BF723" s="1"/>
  <c r="BA723"/>
  <c r="D725"/>
  <c r="B725"/>
  <c r="F724" s="1"/>
  <c r="T724" s="1"/>
  <c r="S725" s="1"/>
  <c r="A725"/>
  <c r="AS725"/>
  <c r="C726"/>
  <c r="BE723"/>
  <c r="BG723" s="1"/>
  <c r="AT723"/>
  <c r="K723"/>
  <c r="AW723"/>
  <c r="AY723" s="1"/>
  <c r="AO724"/>
  <c r="AU724"/>
  <c r="BC724"/>
  <c r="I724"/>
  <c r="AV724"/>
  <c r="AN724"/>
  <c r="BB724"/>
  <c r="AP724"/>
  <c r="Q724"/>
  <c r="E724"/>
  <c r="AJ723"/>
  <c r="AL723"/>
  <c r="AK723"/>
  <c r="AX723"/>
  <c r="AZ723" s="1"/>
  <c r="AR722"/>
  <c r="O722"/>
  <c r="Y722" s="1"/>
  <c r="W722"/>
  <c r="G712"/>
  <c r="G713" s="1"/>
  <c r="G714" s="1"/>
  <c r="G715" s="1"/>
  <c r="G716" s="1"/>
  <c r="G717" s="1"/>
  <c r="G718" s="1"/>
  <c r="G719" s="1"/>
  <c r="G720" s="1"/>
  <c r="G721" s="1"/>
  <c r="G722" s="1"/>
  <c r="G723" s="1"/>
  <c r="AF325" l="1"/>
  <c r="P326"/>
  <c r="U326" s="1"/>
  <c r="Z326"/>
  <c r="AG325"/>
  <c r="AA326"/>
  <c r="AH325"/>
  <c r="AB326"/>
  <c r="AR723"/>
  <c r="AJ724"/>
  <c r="AL724"/>
  <c r="AK724"/>
  <c r="BA724"/>
  <c r="BD724"/>
  <c r="BF724" s="1"/>
  <c r="BE724"/>
  <c r="BG724" s="1"/>
  <c r="Q725"/>
  <c r="AV725"/>
  <c r="AU725"/>
  <c r="BB725"/>
  <c r="AN725"/>
  <c r="AP725"/>
  <c r="AO725"/>
  <c r="I725"/>
  <c r="BC725"/>
  <c r="E725"/>
  <c r="L723"/>
  <c r="M723"/>
  <c r="N723"/>
  <c r="S724"/>
  <c r="AX724"/>
  <c r="AZ724" s="1"/>
  <c r="H724"/>
  <c r="R724"/>
  <c r="K724"/>
  <c r="AW724"/>
  <c r="AY724" s="1"/>
  <c r="AT724"/>
  <c r="O723"/>
  <c r="Y723" s="1"/>
  <c r="W723"/>
  <c r="V723"/>
  <c r="C727"/>
  <c r="D726"/>
  <c r="B726"/>
  <c r="A726"/>
  <c r="R725"/>
  <c r="AS726"/>
  <c r="N327" l="1"/>
  <c r="AH326"/>
  <c r="M327"/>
  <c r="AG326"/>
  <c r="L327"/>
  <c r="P327"/>
  <c r="X327" s="1"/>
  <c r="AF326"/>
  <c r="AR724"/>
  <c r="O724"/>
  <c r="W724"/>
  <c r="AU726"/>
  <c r="Q726"/>
  <c r="AV726"/>
  <c r="AO726"/>
  <c r="AN726"/>
  <c r="I726"/>
  <c r="BB726"/>
  <c r="BC726"/>
  <c r="AP726"/>
  <c r="E726"/>
  <c r="R726" s="1"/>
  <c r="BE725"/>
  <c r="BG725" s="1"/>
  <c r="AK725"/>
  <c r="AL725"/>
  <c r="AJ725"/>
  <c r="AX725"/>
  <c r="AZ725" s="1"/>
  <c r="A727"/>
  <c r="C728"/>
  <c r="B727"/>
  <c r="D727"/>
  <c r="AS727"/>
  <c r="AT725"/>
  <c r="AW725"/>
  <c r="AY725" s="1"/>
  <c r="K725"/>
  <c r="BD725"/>
  <c r="BF725" s="1"/>
  <c r="BA725"/>
  <c r="F725"/>
  <c r="AA327" l="1"/>
  <c r="U327"/>
  <c r="AB327" s="1"/>
  <c r="Z327"/>
  <c r="O725"/>
  <c r="W725"/>
  <c r="C729"/>
  <c r="D728"/>
  <c r="AS728"/>
  <c r="B728"/>
  <c r="A728"/>
  <c r="BE726"/>
  <c r="BG726" s="1"/>
  <c r="Y724"/>
  <c r="Y725" s="1"/>
  <c r="T725"/>
  <c r="S726" s="1"/>
  <c r="H725"/>
  <c r="AW726"/>
  <c r="AY726" s="1"/>
  <c r="K726"/>
  <c r="AT726"/>
  <c r="AJ726"/>
  <c r="AL726"/>
  <c r="AK726"/>
  <c r="AR725"/>
  <c r="AV727"/>
  <c r="Q727"/>
  <c r="I727"/>
  <c r="BB727"/>
  <c r="AN727"/>
  <c r="AO727"/>
  <c r="BC727"/>
  <c r="AU727"/>
  <c r="AP727"/>
  <c r="E727"/>
  <c r="R727" s="1"/>
  <c r="BD726"/>
  <c r="BF726" s="1"/>
  <c r="BA726"/>
  <c r="AX726"/>
  <c r="AZ726" s="1"/>
  <c r="F726"/>
  <c r="AG327" l="1"/>
  <c r="AH327"/>
  <c r="AF327"/>
  <c r="P328"/>
  <c r="F727"/>
  <c r="T727" s="1"/>
  <c r="S728" s="1"/>
  <c r="AR726"/>
  <c r="T726"/>
  <c r="S727" s="1"/>
  <c r="H726"/>
  <c r="AX727"/>
  <c r="AZ727" s="1"/>
  <c r="BE727"/>
  <c r="BG727" s="1"/>
  <c r="AV728"/>
  <c r="AP728"/>
  <c r="Q728"/>
  <c r="BC728"/>
  <c r="BB728"/>
  <c r="I728"/>
  <c r="AN728"/>
  <c r="AO728"/>
  <c r="AU728"/>
  <c r="E728"/>
  <c r="R728" s="1"/>
  <c r="H727"/>
  <c r="K727"/>
  <c r="AW727"/>
  <c r="AY727" s="1"/>
  <c r="AR727" s="1"/>
  <c r="AT727"/>
  <c r="BA727"/>
  <c r="BD727"/>
  <c r="BF727" s="1"/>
  <c r="O726"/>
  <c r="Y726" s="1"/>
  <c r="W726"/>
  <c r="AJ727"/>
  <c r="AL727"/>
  <c r="AK727"/>
  <c r="C730"/>
  <c r="D729"/>
  <c r="AS729"/>
  <c r="B729"/>
  <c r="A729"/>
  <c r="AA328" l="1"/>
  <c r="AB328"/>
  <c r="U328"/>
  <c r="Z328" s="1"/>
  <c r="F728"/>
  <c r="T728" s="1"/>
  <c r="S729" s="1"/>
  <c r="AO729"/>
  <c r="AP729"/>
  <c r="Q729"/>
  <c r="I729"/>
  <c r="AV729"/>
  <c r="AN729"/>
  <c r="BB729"/>
  <c r="AU729"/>
  <c r="BC729"/>
  <c r="E729"/>
  <c r="D730"/>
  <c r="C731"/>
  <c r="AS730"/>
  <c r="A730"/>
  <c r="B730"/>
  <c r="F729" s="1"/>
  <c r="AK728"/>
  <c r="AL728"/>
  <c r="AJ728"/>
  <c r="BE728"/>
  <c r="BG728" s="1"/>
  <c r="O727"/>
  <c r="Y727" s="1"/>
  <c r="W727"/>
  <c r="AT728"/>
  <c r="K728"/>
  <c r="AW728"/>
  <c r="AY728" s="1"/>
  <c r="BD728"/>
  <c r="BF728" s="1"/>
  <c r="BA728"/>
  <c r="AX728"/>
  <c r="AZ728" s="1"/>
  <c r="AH328" l="1"/>
  <c r="AG328"/>
  <c r="AF328"/>
  <c r="P329"/>
  <c r="U329" s="1"/>
  <c r="Z329"/>
  <c r="H728"/>
  <c r="T729"/>
  <c r="S730" s="1"/>
  <c r="H729"/>
  <c r="AR728"/>
  <c r="D731"/>
  <c r="A731"/>
  <c r="C732"/>
  <c r="B731"/>
  <c r="AS731"/>
  <c r="AX729"/>
  <c r="AZ729" s="1"/>
  <c r="AK729"/>
  <c r="AJ729"/>
  <c r="AL729"/>
  <c r="BD729"/>
  <c r="BF729" s="1"/>
  <c r="BA729"/>
  <c r="BE729"/>
  <c r="BG729" s="1"/>
  <c r="O728"/>
  <c r="Y728" s="1"/>
  <c r="W728"/>
  <c r="AU730"/>
  <c r="BC730"/>
  <c r="I730"/>
  <c r="AV730"/>
  <c r="AP730"/>
  <c r="BB730"/>
  <c r="Q730"/>
  <c r="AN730"/>
  <c r="AO730"/>
  <c r="E730"/>
  <c r="K729"/>
  <c r="AW729"/>
  <c r="AY729" s="1"/>
  <c r="AR729" s="1"/>
  <c r="AT729"/>
  <c r="R729"/>
  <c r="AF329" l="1"/>
  <c r="AB329"/>
  <c r="AA329"/>
  <c r="F730"/>
  <c r="H730" s="1"/>
  <c r="O729"/>
  <c r="Y729" s="1"/>
  <c r="W729"/>
  <c r="AT730"/>
  <c r="AW730"/>
  <c r="AY730" s="1"/>
  <c r="K730"/>
  <c r="AJ730"/>
  <c r="AK730"/>
  <c r="AL730"/>
  <c r="BD730"/>
  <c r="BF730" s="1"/>
  <c r="BA730"/>
  <c r="BE730"/>
  <c r="BG730" s="1"/>
  <c r="R730"/>
  <c r="AS732"/>
  <c r="B732"/>
  <c r="C733"/>
  <c r="D732"/>
  <c r="A732"/>
  <c r="AX730"/>
  <c r="AZ730" s="1"/>
  <c r="AN731"/>
  <c r="BB731"/>
  <c r="BC731"/>
  <c r="AV731"/>
  <c r="Q731"/>
  <c r="AP731"/>
  <c r="AO731"/>
  <c r="I731"/>
  <c r="AU731"/>
  <c r="E731"/>
  <c r="R731" s="1"/>
  <c r="AG329" l="1"/>
  <c r="AH329"/>
  <c r="P330"/>
  <c r="T730"/>
  <c r="S731" s="1"/>
  <c r="F731"/>
  <c r="T731" s="1"/>
  <c r="S732" s="1"/>
  <c r="AR730"/>
  <c r="O730"/>
  <c r="Y730" s="1"/>
  <c r="W730"/>
  <c r="BD731"/>
  <c r="BF731" s="1"/>
  <c r="BA731"/>
  <c r="BB732"/>
  <c r="AP732"/>
  <c r="BC732"/>
  <c r="AV732"/>
  <c r="AO732"/>
  <c r="I732"/>
  <c r="AN732"/>
  <c r="AU732"/>
  <c r="Q732"/>
  <c r="E732"/>
  <c r="R732" s="1"/>
  <c r="AX731"/>
  <c r="AZ731" s="1"/>
  <c r="C734"/>
  <c r="D733"/>
  <c r="AS733"/>
  <c r="B733"/>
  <c r="A733"/>
  <c r="K731"/>
  <c r="AY731"/>
  <c r="AW731"/>
  <c r="AT731"/>
  <c r="AL731"/>
  <c r="AK731"/>
  <c r="AJ731"/>
  <c r="BE731"/>
  <c r="BG731" s="1"/>
  <c r="AA330" l="1"/>
  <c r="Z330"/>
  <c r="AB330"/>
  <c r="U330"/>
  <c r="H731"/>
  <c r="K732"/>
  <c r="AT732"/>
  <c r="AW732"/>
  <c r="AY732" s="1"/>
  <c r="AX732"/>
  <c r="AZ732" s="1"/>
  <c r="BB733"/>
  <c r="AO733"/>
  <c r="I733"/>
  <c r="Q733"/>
  <c r="BC733"/>
  <c r="AP733"/>
  <c r="AU733"/>
  <c r="AV733"/>
  <c r="AN733"/>
  <c r="E733"/>
  <c r="R733" s="1"/>
  <c r="B734"/>
  <c r="D734"/>
  <c r="C735"/>
  <c r="A734"/>
  <c r="AS734"/>
  <c r="BA732"/>
  <c r="BD732"/>
  <c r="BF732" s="1"/>
  <c r="AL732"/>
  <c r="AK732"/>
  <c r="AJ732"/>
  <c r="AR731"/>
  <c r="F732"/>
  <c r="O731"/>
  <c r="Y731" s="1"/>
  <c r="W731"/>
  <c r="BG732"/>
  <c r="BE732"/>
  <c r="AF330" l="1"/>
  <c r="P331"/>
  <c r="U331" s="1"/>
  <c r="Z331"/>
  <c r="AG330"/>
  <c r="AA331"/>
  <c r="AH330"/>
  <c r="AB331"/>
  <c r="F733"/>
  <c r="H733" s="1"/>
  <c r="T732"/>
  <c r="S733" s="1"/>
  <c r="H732"/>
  <c r="A735"/>
  <c r="AS735" s="1"/>
  <c r="D735"/>
  <c r="B735"/>
  <c r="C736"/>
  <c r="AX733"/>
  <c r="AZ733" s="1"/>
  <c r="BE733"/>
  <c r="BG733" s="1"/>
  <c r="BD733"/>
  <c r="BF733" s="1"/>
  <c r="BA733"/>
  <c r="AR732"/>
  <c r="AO734"/>
  <c r="AU734"/>
  <c r="AV734"/>
  <c r="Q734"/>
  <c r="AN734"/>
  <c r="BC734"/>
  <c r="AP734"/>
  <c r="I734"/>
  <c r="BB734"/>
  <c r="E734"/>
  <c r="R734" s="1"/>
  <c r="AL733"/>
  <c r="AK733"/>
  <c r="AJ733"/>
  <c r="AW733"/>
  <c r="AY733" s="1"/>
  <c r="AT733"/>
  <c r="K733"/>
  <c r="O732"/>
  <c r="Y732" s="1"/>
  <c r="W732"/>
  <c r="AF331" l="1"/>
  <c r="P332"/>
  <c r="AG331"/>
  <c r="AA332"/>
  <c r="AH331"/>
  <c r="U332"/>
  <c r="Z332" s="1"/>
  <c r="T733"/>
  <c r="S734" s="1"/>
  <c r="AR733"/>
  <c r="AX734"/>
  <c r="AZ734" s="1"/>
  <c r="BA734"/>
  <c r="BD734"/>
  <c r="BF734" s="1"/>
  <c r="AL734"/>
  <c r="AJ734"/>
  <c r="AK734"/>
  <c r="BE734"/>
  <c r="BG734" s="1"/>
  <c r="AT734"/>
  <c r="K734"/>
  <c r="AW734"/>
  <c r="AY734" s="1"/>
  <c r="A736"/>
  <c r="D736"/>
  <c r="AS736"/>
  <c r="B736"/>
  <c r="C737"/>
  <c r="Q735"/>
  <c r="BC735"/>
  <c r="BB735"/>
  <c r="I735"/>
  <c r="AO735"/>
  <c r="AV735"/>
  <c r="AP735"/>
  <c r="AN735"/>
  <c r="AU735"/>
  <c r="E735"/>
  <c r="F734"/>
  <c r="O733"/>
  <c r="Y733" s="1"/>
  <c r="W733"/>
  <c r="AG332" l="1"/>
  <c r="AF332"/>
  <c r="AB332"/>
  <c r="AR734"/>
  <c r="C738"/>
  <c r="A737"/>
  <c r="B737"/>
  <c r="D737"/>
  <c r="AS737"/>
  <c r="BE735"/>
  <c r="BG735" s="1"/>
  <c r="AJ735"/>
  <c r="AL735"/>
  <c r="AK735"/>
  <c r="AX735"/>
  <c r="AZ735" s="1"/>
  <c r="T734"/>
  <c r="S735" s="1"/>
  <c r="H734"/>
  <c r="BD735"/>
  <c r="BF735" s="1"/>
  <c r="BA735"/>
  <c r="G724"/>
  <c r="G725" s="1"/>
  <c r="G726" s="1"/>
  <c r="G727" s="1"/>
  <c r="G728" s="1"/>
  <c r="G729" s="1"/>
  <c r="G730" s="1"/>
  <c r="G731" s="1"/>
  <c r="G732" s="1"/>
  <c r="G733" s="1"/>
  <c r="G734" s="1"/>
  <c r="G735" s="1"/>
  <c r="BB736"/>
  <c r="AV736"/>
  <c r="AU736"/>
  <c r="I736"/>
  <c r="AN736"/>
  <c r="BC736"/>
  <c r="Q736"/>
  <c r="AP736"/>
  <c r="AO736"/>
  <c r="E736"/>
  <c r="R735"/>
  <c r="O734"/>
  <c r="Y734" s="1"/>
  <c r="W734"/>
  <c r="F735"/>
  <c r="AT735"/>
  <c r="K735"/>
  <c r="AY735"/>
  <c r="AW735"/>
  <c r="AH332" l="1"/>
  <c r="P333"/>
  <c r="U333" s="1"/>
  <c r="AR735"/>
  <c r="AJ736"/>
  <c r="AK736"/>
  <c r="AL736"/>
  <c r="BE736"/>
  <c r="BG736" s="1"/>
  <c r="AX736"/>
  <c r="AZ736" s="1"/>
  <c r="O735"/>
  <c r="Y735" s="1"/>
  <c r="W735"/>
  <c r="V735"/>
  <c r="AW736"/>
  <c r="AY736" s="1"/>
  <c r="AT736"/>
  <c r="K736"/>
  <c r="C739"/>
  <c r="D738"/>
  <c r="AS738"/>
  <c r="A738"/>
  <c r="B738"/>
  <c r="Q737"/>
  <c r="I737"/>
  <c r="AV737"/>
  <c r="AU737"/>
  <c r="BC737"/>
  <c r="AP737"/>
  <c r="BB737"/>
  <c r="AO737"/>
  <c r="AN737"/>
  <c r="E737"/>
  <c r="T735"/>
  <c r="H735"/>
  <c r="BA736"/>
  <c r="BD736"/>
  <c r="BF736" s="1"/>
  <c r="F736"/>
  <c r="R736"/>
  <c r="AA333" l="1"/>
  <c r="Z333"/>
  <c r="AB333"/>
  <c r="F737"/>
  <c r="H737" s="1"/>
  <c r="L735"/>
  <c r="M735"/>
  <c r="N735"/>
  <c r="S736"/>
  <c r="AK737"/>
  <c r="AJ737"/>
  <c r="AL737"/>
  <c r="I738"/>
  <c r="BC738"/>
  <c r="Q738"/>
  <c r="BB738"/>
  <c r="AO738"/>
  <c r="AU738"/>
  <c r="AV738"/>
  <c r="AN738"/>
  <c r="AP738"/>
  <c r="E738"/>
  <c r="R738" s="1"/>
  <c r="B739"/>
  <c r="D739"/>
  <c r="C740"/>
  <c r="AS739"/>
  <c r="A739"/>
  <c r="AR736"/>
  <c r="T736"/>
  <c r="S737" s="1"/>
  <c r="H736"/>
  <c r="BD737"/>
  <c r="BF737" s="1"/>
  <c r="BA737"/>
  <c r="AZ737"/>
  <c r="AX737"/>
  <c r="R737"/>
  <c r="O736"/>
  <c r="W736"/>
  <c r="AW737"/>
  <c r="AY737" s="1"/>
  <c r="AT737"/>
  <c r="K737"/>
  <c r="BE737"/>
  <c r="BG737" s="1"/>
  <c r="AF333" l="1"/>
  <c r="P334"/>
  <c r="Z334"/>
  <c r="AH333"/>
  <c r="U334"/>
  <c r="AA334" s="1"/>
  <c r="AG334" s="1"/>
  <c r="AB334"/>
  <c r="AG333"/>
  <c r="F738"/>
  <c r="T738" s="1"/>
  <c r="S739"/>
  <c r="T737"/>
  <c r="S738" s="1"/>
  <c r="AR737"/>
  <c r="C741"/>
  <c r="D740"/>
  <c r="AS740"/>
  <c r="A740"/>
  <c r="B740"/>
  <c r="BC739"/>
  <c r="Q739"/>
  <c r="AU739"/>
  <c r="AV739"/>
  <c r="BB739"/>
  <c r="I739"/>
  <c r="AO739"/>
  <c r="AP739"/>
  <c r="AN739"/>
  <c r="E739"/>
  <c r="AX738"/>
  <c r="AZ738" s="1"/>
  <c r="BD738"/>
  <c r="BF738" s="1"/>
  <c r="BA738"/>
  <c r="Y736"/>
  <c r="O737"/>
  <c r="W737"/>
  <c r="AL738"/>
  <c r="AJ738"/>
  <c r="AK738"/>
  <c r="AW738"/>
  <c r="AY738" s="1"/>
  <c r="AT738"/>
  <c r="K738"/>
  <c r="BE738"/>
  <c r="BG738" s="1"/>
  <c r="AH334" l="1"/>
  <c r="U335"/>
  <c r="P335"/>
  <c r="AF334"/>
  <c r="H738"/>
  <c r="F739"/>
  <c r="T739" s="1"/>
  <c r="S740" s="1"/>
  <c r="Y737"/>
  <c r="AR738"/>
  <c r="O738"/>
  <c r="W738"/>
  <c r="BD739"/>
  <c r="BF739" s="1"/>
  <c r="BA739"/>
  <c r="BE739"/>
  <c r="BG739" s="1"/>
  <c r="AN740"/>
  <c r="AU740"/>
  <c r="AP740"/>
  <c r="BB740"/>
  <c r="AV740"/>
  <c r="AO740"/>
  <c r="BC740"/>
  <c r="I740"/>
  <c r="Q740"/>
  <c r="E740"/>
  <c r="C742"/>
  <c r="AS741"/>
  <c r="A741"/>
  <c r="R740"/>
  <c r="B741"/>
  <c r="D741"/>
  <c r="AJ739"/>
  <c r="AL739"/>
  <c r="AK739"/>
  <c r="R739"/>
  <c r="K739"/>
  <c r="AW739"/>
  <c r="AY739" s="1"/>
  <c r="AT739"/>
  <c r="AX739"/>
  <c r="AZ739" s="1"/>
  <c r="H739"/>
  <c r="AA335" l="1"/>
  <c r="Z335"/>
  <c r="AB335"/>
  <c r="Y738"/>
  <c r="AR739"/>
  <c r="B742"/>
  <c r="D742"/>
  <c r="A742"/>
  <c r="AS742"/>
  <c r="C743"/>
  <c r="BD740"/>
  <c r="BF740" s="1"/>
  <c r="BA740"/>
  <c r="BE740"/>
  <c r="BG740" s="1"/>
  <c r="Q741"/>
  <c r="AO741"/>
  <c r="AV741"/>
  <c r="AN741"/>
  <c r="BB741"/>
  <c r="AP741"/>
  <c r="AU741"/>
  <c r="I741"/>
  <c r="BC741"/>
  <c r="E741"/>
  <c r="R741" s="1"/>
  <c r="AX740"/>
  <c r="AZ740" s="1"/>
  <c r="O739"/>
  <c r="Y739" s="1"/>
  <c r="W739"/>
  <c r="AK740"/>
  <c r="AJ740"/>
  <c r="AL740"/>
  <c r="AW740"/>
  <c r="AY740" s="1"/>
  <c r="AT740"/>
  <c r="K740"/>
  <c r="F740"/>
  <c r="AF335" l="1"/>
  <c r="P336"/>
  <c r="AH335"/>
  <c r="U336"/>
  <c r="AA336" s="1"/>
  <c r="AG336" s="1"/>
  <c r="AG335"/>
  <c r="AR740"/>
  <c r="T740"/>
  <c r="S741" s="1"/>
  <c r="H740"/>
  <c r="BE741"/>
  <c r="BG741" s="1"/>
  <c r="BA741"/>
  <c r="BF741"/>
  <c r="BD741"/>
  <c r="AJ741"/>
  <c r="AK741"/>
  <c r="AL741"/>
  <c r="B743"/>
  <c r="A743"/>
  <c r="D743"/>
  <c r="AS743"/>
  <c r="C744"/>
  <c r="F741"/>
  <c r="O740"/>
  <c r="Y740" s="1"/>
  <c r="W740"/>
  <c r="AW741"/>
  <c r="AY741" s="1"/>
  <c r="K741"/>
  <c r="AT741"/>
  <c r="AX741"/>
  <c r="AZ741" s="1"/>
  <c r="AO742"/>
  <c r="BB742"/>
  <c r="AP742"/>
  <c r="AV742"/>
  <c r="I742"/>
  <c r="BC742"/>
  <c r="Q742"/>
  <c r="AN742"/>
  <c r="AU742"/>
  <c r="E742"/>
  <c r="AB336" l="1"/>
  <c r="AH336" s="1"/>
  <c r="Z336"/>
  <c r="P337" s="1"/>
  <c r="AR741"/>
  <c r="O741"/>
  <c r="Y741" s="1"/>
  <c r="W741"/>
  <c r="B744"/>
  <c r="C745"/>
  <c r="D744"/>
  <c r="AS744"/>
  <c r="A744"/>
  <c r="Q743"/>
  <c r="AV743"/>
  <c r="BC743"/>
  <c r="AU743"/>
  <c r="I743"/>
  <c r="AO743"/>
  <c r="AP743"/>
  <c r="BB743"/>
  <c r="AN743"/>
  <c r="E743"/>
  <c r="R743" s="1"/>
  <c r="AX742"/>
  <c r="AZ742" s="1"/>
  <c r="AT742"/>
  <c r="AW742"/>
  <c r="AY742" s="1"/>
  <c r="K742"/>
  <c r="AJ742"/>
  <c r="AK742"/>
  <c r="AL742"/>
  <c r="BE742"/>
  <c r="BG742" s="1"/>
  <c r="BA742"/>
  <c r="BD742"/>
  <c r="BF742" s="1"/>
  <c r="T741"/>
  <c r="S742" s="1"/>
  <c r="H741"/>
  <c r="F743"/>
  <c r="T743" s="1"/>
  <c r="F742"/>
  <c r="R742"/>
  <c r="AB337" l="1"/>
  <c r="AH337" s="1"/>
  <c r="AA337"/>
  <c r="AG337" s="1"/>
  <c r="U337"/>
  <c r="AF336"/>
  <c r="Z337"/>
  <c r="P338" s="1"/>
  <c r="AR742"/>
  <c r="BE743"/>
  <c r="BG743" s="1"/>
  <c r="AN744"/>
  <c r="AV744"/>
  <c r="AO744"/>
  <c r="BC744"/>
  <c r="AU744"/>
  <c r="Q744"/>
  <c r="I744"/>
  <c r="AP744"/>
  <c r="BB744"/>
  <c r="E744"/>
  <c r="R744" s="1"/>
  <c r="BD743"/>
  <c r="BF743" s="1"/>
  <c r="BA743"/>
  <c r="AW743"/>
  <c r="AY743" s="1"/>
  <c r="K743"/>
  <c r="AT743"/>
  <c r="B745"/>
  <c r="C746"/>
  <c r="D745"/>
  <c r="A745"/>
  <c r="AS745"/>
  <c r="T742"/>
  <c r="S743" s="1"/>
  <c r="H742"/>
  <c r="H743"/>
  <c r="O742"/>
  <c r="Y742" s="1"/>
  <c r="W742"/>
  <c r="AL743"/>
  <c r="AJ743"/>
  <c r="AK743"/>
  <c r="AX743"/>
  <c r="AZ743" s="1"/>
  <c r="S744"/>
  <c r="AF337" l="1"/>
  <c r="AB338"/>
  <c r="U338"/>
  <c r="Z338" s="1"/>
  <c r="BA744"/>
  <c r="BD744"/>
  <c r="BF744" s="1"/>
  <c r="AW744"/>
  <c r="AY744" s="1"/>
  <c r="AT744"/>
  <c r="K744"/>
  <c r="AU745"/>
  <c r="AO745"/>
  <c r="BB745"/>
  <c r="AV745"/>
  <c r="I745"/>
  <c r="AN745"/>
  <c r="Q745"/>
  <c r="AP745"/>
  <c r="BC745"/>
  <c r="E745"/>
  <c r="AL744"/>
  <c r="AK744"/>
  <c r="AJ744"/>
  <c r="AZ744"/>
  <c r="AX744"/>
  <c r="AR743"/>
  <c r="AS746"/>
  <c r="A746"/>
  <c r="C747"/>
  <c r="B746"/>
  <c r="D746"/>
  <c r="R745"/>
  <c r="O743"/>
  <c r="Y743" s="1"/>
  <c r="W743"/>
  <c r="BE744"/>
  <c r="BG744" s="1"/>
  <c r="F744"/>
  <c r="AF338" l="1"/>
  <c r="L339"/>
  <c r="AA338"/>
  <c r="AH338"/>
  <c r="N339"/>
  <c r="AR744"/>
  <c r="O744"/>
  <c r="Y744" s="1"/>
  <c r="W744"/>
  <c r="C748"/>
  <c r="D747"/>
  <c r="B747"/>
  <c r="A747"/>
  <c r="BE745"/>
  <c r="BG745" s="1"/>
  <c r="AW745"/>
  <c r="AY745" s="1"/>
  <c r="AT745"/>
  <c r="K745"/>
  <c r="AJ745"/>
  <c r="AL745"/>
  <c r="AK745"/>
  <c r="I746"/>
  <c r="Q746"/>
  <c r="AV746"/>
  <c r="AN746"/>
  <c r="BC746"/>
  <c r="BB746"/>
  <c r="AU746"/>
  <c r="AO746"/>
  <c r="AP746"/>
  <c r="E746"/>
  <c r="AX745"/>
  <c r="AZ745" s="1"/>
  <c r="T744"/>
  <c r="S745" s="1"/>
  <c r="H744"/>
  <c r="BD745"/>
  <c r="BA745"/>
  <c r="BF745"/>
  <c r="F745"/>
  <c r="AG338" l="1"/>
  <c r="M339"/>
  <c r="P339"/>
  <c r="F746"/>
  <c r="T746" s="1"/>
  <c r="AR745"/>
  <c r="T745"/>
  <c r="S746" s="1"/>
  <c r="H745"/>
  <c r="AW746"/>
  <c r="AY746" s="1"/>
  <c r="K746"/>
  <c r="AT746"/>
  <c r="AX746"/>
  <c r="AZ746" s="1"/>
  <c r="BC747"/>
  <c r="AU747"/>
  <c r="Q747"/>
  <c r="AN747"/>
  <c r="I747"/>
  <c r="AP747"/>
  <c r="BB747"/>
  <c r="AO747"/>
  <c r="AV747"/>
  <c r="E747"/>
  <c r="R747" s="1"/>
  <c r="A748"/>
  <c r="C749"/>
  <c r="AS748"/>
  <c r="B748"/>
  <c r="D748"/>
  <c r="O745"/>
  <c r="Y745" s="1"/>
  <c r="W745"/>
  <c r="S747"/>
  <c r="BE746"/>
  <c r="BG746" s="1"/>
  <c r="AJ746"/>
  <c r="AK746"/>
  <c r="AL746"/>
  <c r="BD746"/>
  <c r="BF746" s="1"/>
  <c r="BA746"/>
  <c r="H746"/>
  <c r="AS747"/>
  <c r="R746"/>
  <c r="AA339" l="1"/>
  <c r="X339"/>
  <c r="Z339"/>
  <c r="U339"/>
  <c r="AB339" s="1"/>
  <c r="F747"/>
  <c r="T747" s="1"/>
  <c r="N747" s="1"/>
  <c r="S748"/>
  <c r="AX747"/>
  <c r="AZ747" s="1"/>
  <c r="BE747"/>
  <c r="BG747" s="1"/>
  <c r="G736"/>
  <c r="G737" s="1"/>
  <c r="G738" s="1"/>
  <c r="G739" s="1"/>
  <c r="G740" s="1"/>
  <c r="G741" s="1"/>
  <c r="G742" s="1"/>
  <c r="G743" s="1"/>
  <c r="G744" s="1"/>
  <c r="G745" s="1"/>
  <c r="G746" s="1"/>
  <c r="G747" s="1"/>
  <c r="AR746"/>
  <c r="BD747"/>
  <c r="BF747" s="1"/>
  <c r="BA747"/>
  <c r="AP748"/>
  <c r="BB748"/>
  <c r="AV748"/>
  <c r="Q748"/>
  <c r="AU748"/>
  <c r="BC748"/>
  <c r="I748"/>
  <c r="AO748"/>
  <c r="AN748"/>
  <c r="E748"/>
  <c r="R748" s="1"/>
  <c r="O746"/>
  <c r="Y746" s="1"/>
  <c r="W746"/>
  <c r="A749"/>
  <c r="C750"/>
  <c r="AS749"/>
  <c r="B749"/>
  <c r="D749"/>
  <c r="AK747"/>
  <c r="AL747"/>
  <c r="AJ747"/>
  <c r="AW747"/>
  <c r="AY747" s="1"/>
  <c r="AT747"/>
  <c r="K747"/>
  <c r="M747" l="1"/>
  <c r="AF339"/>
  <c r="P340"/>
  <c r="H747"/>
  <c r="AG339"/>
  <c r="AH339"/>
  <c r="U340"/>
  <c r="L747"/>
  <c r="F748"/>
  <c r="T748" s="1"/>
  <c r="S749" s="1"/>
  <c r="AX748"/>
  <c r="AZ748" s="1"/>
  <c r="AR747"/>
  <c r="AN749"/>
  <c r="AV749"/>
  <c r="I749"/>
  <c r="AP749"/>
  <c r="Q749"/>
  <c r="AU749"/>
  <c r="AO749"/>
  <c r="BC749"/>
  <c r="BB749"/>
  <c r="E749"/>
  <c r="R749" s="1"/>
  <c r="B750"/>
  <c r="D750"/>
  <c r="AS750"/>
  <c r="A750"/>
  <c r="C751"/>
  <c r="AW748"/>
  <c r="AY748" s="1"/>
  <c r="AT748"/>
  <c r="K748"/>
  <c r="O747"/>
  <c r="Y747" s="1"/>
  <c r="W747"/>
  <c r="V747"/>
  <c r="AL748"/>
  <c r="AJ748"/>
  <c r="AK748"/>
  <c r="BE748"/>
  <c r="BG748" s="1"/>
  <c r="BD748"/>
  <c r="BF748" s="1"/>
  <c r="BA748"/>
  <c r="H748" l="1"/>
  <c r="Z340"/>
  <c r="AF340" s="1"/>
  <c r="AB340"/>
  <c r="AA340"/>
  <c r="F749"/>
  <c r="T749" s="1"/>
  <c r="S750" s="1"/>
  <c r="AT749"/>
  <c r="K749"/>
  <c r="AW749"/>
  <c r="AY749" s="1"/>
  <c r="BD749"/>
  <c r="BF749" s="1"/>
  <c r="BA749"/>
  <c r="Q750"/>
  <c r="BC750"/>
  <c r="AP750"/>
  <c r="AU750"/>
  <c r="AN750"/>
  <c r="BB750"/>
  <c r="AV750"/>
  <c r="AO750"/>
  <c r="I750"/>
  <c r="E750"/>
  <c r="AJ749"/>
  <c r="AK749"/>
  <c r="AL749"/>
  <c r="AX749"/>
  <c r="AZ749" s="1"/>
  <c r="O748"/>
  <c r="Y748" s="1"/>
  <c r="W748"/>
  <c r="AS751"/>
  <c r="A751"/>
  <c r="C752"/>
  <c r="B751"/>
  <c r="D751"/>
  <c r="BE749"/>
  <c r="BG749" s="1"/>
  <c r="H749"/>
  <c r="AR748"/>
  <c r="AG340" l="1"/>
  <c r="AH340"/>
  <c r="U341"/>
  <c r="AB341" s="1"/>
  <c r="P341"/>
  <c r="F750"/>
  <c r="H750" s="1"/>
  <c r="AX750"/>
  <c r="AZ750" s="1"/>
  <c r="O749"/>
  <c r="Y749" s="1"/>
  <c r="W749"/>
  <c r="C753"/>
  <c r="D752"/>
  <c r="B752"/>
  <c r="AS752"/>
  <c r="A752"/>
  <c r="AK750"/>
  <c r="AL750"/>
  <c r="AJ750"/>
  <c r="BD750"/>
  <c r="BF750" s="1"/>
  <c r="BA750"/>
  <c r="AT750"/>
  <c r="AW750"/>
  <c r="AY750" s="1"/>
  <c r="K750"/>
  <c r="R750"/>
  <c r="AR749"/>
  <c r="BE750"/>
  <c r="BG750" s="1"/>
  <c r="Q751"/>
  <c r="AO751"/>
  <c r="BB751"/>
  <c r="AN751"/>
  <c r="BC751"/>
  <c r="AU751"/>
  <c r="AV751"/>
  <c r="AP751"/>
  <c r="I751"/>
  <c r="E751"/>
  <c r="R751" s="1"/>
  <c r="Z341" l="1"/>
  <c r="AA341"/>
  <c r="AH341"/>
  <c r="F751"/>
  <c r="T751" s="1"/>
  <c r="S752"/>
  <c r="T750"/>
  <c r="S751" s="1"/>
  <c r="Q752"/>
  <c r="AO752"/>
  <c r="AV752"/>
  <c r="I752"/>
  <c r="AP752"/>
  <c r="BC752"/>
  <c r="AU752"/>
  <c r="BB752"/>
  <c r="AN752"/>
  <c r="E752"/>
  <c r="R752" s="1"/>
  <c r="BE751"/>
  <c r="BG751" s="1"/>
  <c r="AR750"/>
  <c r="AK751"/>
  <c r="AJ751"/>
  <c r="AL751"/>
  <c r="AT751"/>
  <c r="AW751"/>
  <c r="AY751" s="1"/>
  <c r="K751"/>
  <c r="O750"/>
  <c r="Y750" s="1"/>
  <c r="W750"/>
  <c r="AX751"/>
  <c r="AZ751" s="1"/>
  <c r="BD751"/>
  <c r="BF751" s="1"/>
  <c r="BA751"/>
  <c r="C754"/>
  <c r="B753"/>
  <c r="D753"/>
  <c r="A753"/>
  <c r="AS753"/>
  <c r="H751"/>
  <c r="P342" l="1"/>
  <c r="AF341"/>
  <c r="AG341"/>
  <c r="AJ752"/>
  <c r="AL752"/>
  <c r="AK752"/>
  <c r="BE752"/>
  <c r="BG752" s="1"/>
  <c r="F752"/>
  <c r="K752"/>
  <c r="AW752"/>
  <c r="AY752" s="1"/>
  <c r="AT752"/>
  <c r="AX752"/>
  <c r="AZ752" s="1"/>
  <c r="AR751"/>
  <c r="AO753"/>
  <c r="BC753"/>
  <c r="AN753"/>
  <c r="AP753"/>
  <c r="AV753"/>
  <c r="AU753"/>
  <c r="I753"/>
  <c r="BB753"/>
  <c r="Q753"/>
  <c r="E753"/>
  <c r="R753" s="1"/>
  <c r="B754"/>
  <c r="AS754"/>
  <c r="A754"/>
  <c r="C755"/>
  <c r="D754"/>
  <c r="BD752"/>
  <c r="BF752" s="1"/>
  <c r="BA752"/>
  <c r="O751"/>
  <c r="Y751" s="1"/>
  <c r="W751"/>
  <c r="Z342" l="1"/>
  <c r="U342"/>
  <c r="AA342" s="1"/>
  <c r="AB342"/>
  <c r="F753"/>
  <c r="T753" s="1"/>
  <c r="S754" s="1"/>
  <c r="AR752"/>
  <c r="AX753"/>
  <c r="AZ753" s="1"/>
  <c r="C756"/>
  <c r="AS755"/>
  <c r="D755"/>
  <c r="B755"/>
  <c r="A755"/>
  <c r="AU754"/>
  <c r="AN754"/>
  <c r="AV754"/>
  <c r="Q754"/>
  <c r="AO754"/>
  <c r="AP754"/>
  <c r="I754"/>
  <c r="BB754"/>
  <c r="BC754"/>
  <c r="E754"/>
  <c r="R754" s="1"/>
  <c r="AL753"/>
  <c r="AK753"/>
  <c r="AJ753"/>
  <c r="K753"/>
  <c r="AT753"/>
  <c r="AW753"/>
  <c r="AY753" s="1"/>
  <c r="BE753"/>
  <c r="BG753" s="1"/>
  <c r="T752"/>
  <c r="S753" s="1"/>
  <c r="H752"/>
  <c r="BA753"/>
  <c r="BD753"/>
  <c r="BF753" s="1"/>
  <c r="O752"/>
  <c r="Y752" s="1"/>
  <c r="W752"/>
  <c r="AF342" l="1"/>
  <c r="P343"/>
  <c r="AG342"/>
  <c r="AH342"/>
  <c r="H753"/>
  <c r="AX754"/>
  <c r="AZ754" s="1"/>
  <c r="BE754"/>
  <c r="BG754" s="1"/>
  <c r="K754"/>
  <c r="AT754"/>
  <c r="AW754"/>
  <c r="AY754" s="1"/>
  <c r="BB755"/>
  <c r="AN755"/>
  <c r="Q755"/>
  <c r="AU755"/>
  <c r="BC755"/>
  <c r="AP755"/>
  <c r="AV755"/>
  <c r="I755"/>
  <c r="AO755"/>
  <c r="E755"/>
  <c r="R755" s="1"/>
  <c r="AS756"/>
  <c r="D756"/>
  <c r="A756"/>
  <c r="B756"/>
  <c r="C757"/>
  <c r="AR753"/>
  <c r="F754"/>
  <c r="BA754"/>
  <c r="BD754"/>
  <c r="BF754" s="1"/>
  <c r="O753"/>
  <c r="Y753" s="1"/>
  <c r="W753"/>
  <c r="AK754"/>
  <c r="AL754"/>
  <c r="AJ754"/>
  <c r="Z343" l="1"/>
  <c r="U343"/>
  <c r="AV756"/>
  <c r="BB756"/>
  <c r="AO756"/>
  <c r="Q756"/>
  <c r="AN756"/>
  <c r="I756"/>
  <c r="AP756"/>
  <c r="AU756"/>
  <c r="BC756"/>
  <c r="E756"/>
  <c r="R756" s="1"/>
  <c r="AK755"/>
  <c r="AJ755"/>
  <c r="AL755"/>
  <c r="AX755"/>
  <c r="AZ755" s="1"/>
  <c r="AR754"/>
  <c r="T754"/>
  <c r="S755" s="1"/>
  <c r="H754"/>
  <c r="D757"/>
  <c r="C758"/>
  <c r="AS757"/>
  <c r="B757"/>
  <c r="A757"/>
  <c r="AW755"/>
  <c r="AY755" s="1"/>
  <c r="K755"/>
  <c r="AT755"/>
  <c r="BE755"/>
  <c r="BG755" s="1"/>
  <c r="BD755"/>
  <c r="BF755" s="1"/>
  <c r="BA755"/>
  <c r="O754"/>
  <c r="Y754" s="1"/>
  <c r="W754"/>
  <c r="F755"/>
  <c r="AF343" l="1"/>
  <c r="AB343"/>
  <c r="AA343"/>
  <c r="P344" s="1"/>
  <c r="F756"/>
  <c r="H756" s="1"/>
  <c r="AR755"/>
  <c r="T755"/>
  <c r="S756" s="1"/>
  <c r="H755"/>
  <c r="O755"/>
  <c r="Y755" s="1"/>
  <c r="W755"/>
  <c r="AT756"/>
  <c r="K756"/>
  <c r="AW756"/>
  <c r="AY756" s="1"/>
  <c r="BC757"/>
  <c r="I757"/>
  <c r="Q757"/>
  <c r="AU757"/>
  <c r="AV757"/>
  <c r="AP757"/>
  <c r="AO757"/>
  <c r="BB757"/>
  <c r="AN757"/>
  <c r="E757"/>
  <c r="B758"/>
  <c r="C759"/>
  <c r="D758"/>
  <c r="A758"/>
  <c r="AS758"/>
  <c r="BE756"/>
  <c r="BG756" s="1"/>
  <c r="AX756"/>
  <c r="AZ756" s="1"/>
  <c r="AJ756"/>
  <c r="AL756"/>
  <c r="AK756"/>
  <c r="BD756"/>
  <c r="BF756" s="1"/>
  <c r="BA756"/>
  <c r="Z344" l="1"/>
  <c r="AH343"/>
  <c r="U344"/>
  <c r="AB344" s="1"/>
  <c r="AH344" s="1"/>
  <c r="T756"/>
  <c r="S757" s="1"/>
  <c r="AG343"/>
  <c r="AA344"/>
  <c r="AG344" s="1"/>
  <c r="BA757"/>
  <c r="BD757"/>
  <c r="BF757" s="1"/>
  <c r="K757"/>
  <c r="AW757"/>
  <c r="AY757" s="1"/>
  <c r="AT757"/>
  <c r="C760"/>
  <c r="D759"/>
  <c r="B759"/>
  <c r="A759"/>
  <c r="AS759" s="1"/>
  <c r="AX757"/>
  <c r="AZ757" s="1"/>
  <c r="BE757"/>
  <c r="BG757" s="1"/>
  <c r="AK757"/>
  <c r="AJ757"/>
  <c r="AL757"/>
  <c r="AN758"/>
  <c r="AP758"/>
  <c r="BB758"/>
  <c r="AU758"/>
  <c r="AV758"/>
  <c r="BC758"/>
  <c r="I758"/>
  <c r="AO758"/>
  <c r="Q758"/>
  <c r="E758"/>
  <c r="O756"/>
  <c r="Y756" s="1"/>
  <c r="W756"/>
  <c r="R757"/>
  <c r="AR756"/>
  <c r="F757"/>
  <c r="P345" l="1"/>
  <c r="AF344"/>
  <c r="AR757"/>
  <c r="O757"/>
  <c r="Y757" s="1"/>
  <c r="W757"/>
  <c r="K758"/>
  <c r="AT758"/>
  <c r="AW758"/>
  <c r="AY758" s="1"/>
  <c r="AX758"/>
  <c r="AZ758" s="1"/>
  <c r="C761"/>
  <c r="AS760"/>
  <c r="D760"/>
  <c r="A760"/>
  <c r="B760"/>
  <c r="AJ758"/>
  <c r="AK758"/>
  <c r="AL758"/>
  <c r="BE758"/>
  <c r="BG758" s="1"/>
  <c r="AP759"/>
  <c r="BB759"/>
  <c r="Q759"/>
  <c r="I759"/>
  <c r="BC759"/>
  <c r="AO759"/>
  <c r="AV759"/>
  <c r="AU759"/>
  <c r="AN759"/>
  <c r="E759"/>
  <c r="T757"/>
  <c r="S758" s="1"/>
  <c r="H757"/>
  <c r="BA758"/>
  <c r="BD758"/>
  <c r="BF758" s="1"/>
  <c r="F758"/>
  <c r="R758"/>
  <c r="U345" l="1"/>
  <c r="Z345" s="1"/>
  <c r="AR758"/>
  <c r="O758"/>
  <c r="Y758" s="1"/>
  <c r="W758"/>
  <c r="BE759"/>
  <c r="BG759" s="1"/>
  <c r="AU760"/>
  <c r="I760"/>
  <c r="AO760"/>
  <c r="Q760"/>
  <c r="AP760"/>
  <c r="BC760"/>
  <c r="AV760"/>
  <c r="BB760"/>
  <c r="AN760"/>
  <c r="E760"/>
  <c r="R760" s="1"/>
  <c r="AK759"/>
  <c r="AL759"/>
  <c r="AJ759"/>
  <c r="BD759"/>
  <c r="BF759" s="1"/>
  <c r="BA759"/>
  <c r="G748"/>
  <c r="G749" s="1"/>
  <c r="G750" s="1"/>
  <c r="G751" s="1"/>
  <c r="G752" s="1"/>
  <c r="G753" s="1"/>
  <c r="G754" s="1"/>
  <c r="G755" s="1"/>
  <c r="G756" s="1"/>
  <c r="G757" s="1"/>
  <c r="G758" s="1"/>
  <c r="G759" s="1"/>
  <c r="AS761"/>
  <c r="A761"/>
  <c r="C762"/>
  <c r="D761"/>
  <c r="B761"/>
  <c r="F759"/>
  <c r="AW759"/>
  <c r="AY759" s="1"/>
  <c r="AT759"/>
  <c r="K759"/>
  <c r="T758"/>
  <c r="S759" s="1"/>
  <c r="H758"/>
  <c r="AX759"/>
  <c r="AZ759" s="1"/>
  <c r="R759"/>
  <c r="AF345" l="1"/>
  <c r="AB345"/>
  <c r="AH345" s="1"/>
  <c r="AA345"/>
  <c r="F760"/>
  <c r="H760" s="1"/>
  <c r="T759"/>
  <c r="H759"/>
  <c r="C763"/>
  <c r="D762"/>
  <c r="B762"/>
  <c r="F761" s="1"/>
  <c r="T761" s="1"/>
  <c r="AS762"/>
  <c r="A762"/>
  <c r="O759"/>
  <c r="Y759" s="1"/>
  <c r="W759"/>
  <c r="V759"/>
  <c r="Q761"/>
  <c r="AN761"/>
  <c r="AV761"/>
  <c r="I761"/>
  <c r="AP761"/>
  <c r="AU761"/>
  <c r="BB761"/>
  <c r="BC761"/>
  <c r="AO761"/>
  <c r="E761"/>
  <c r="BD760"/>
  <c r="BF760" s="1"/>
  <c r="BA760"/>
  <c r="AT760"/>
  <c r="AW760"/>
  <c r="AY760" s="1"/>
  <c r="K760"/>
  <c r="AR759"/>
  <c r="AK760"/>
  <c r="AL760"/>
  <c r="AJ760"/>
  <c r="BE760"/>
  <c r="BG760" s="1"/>
  <c r="AX760"/>
  <c r="AZ760" s="1"/>
  <c r="AG345" l="1"/>
  <c r="P346"/>
  <c r="T760"/>
  <c r="S761" s="1"/>
  <c r="AV762"/>
  <c r="AU762"/>
  <c r="AN762"/>
  <c r="Q762"/>
  <c r="AO762"/>
  <c r="AP762"/>
  <c r="BC762"/>
  <c r="BB762"/>
  <c r="I762"/>
  <c r="E762"/>
  <c r="R762" s="1"/>
  <c r="AS763"/>
  <c r="B763"/>
  <c r="C764"/>
  <c r="D763"/>
  <c r="A763"/>
  <c r="AK761"/>
  <c r="AJ761"/>
  <c r="AL761"/>
  <c r="K761"/>
  <c r="AW761"/>
  <c r="AY761" s="1"/>
  <c r="AT761"/>
  <c r="AR760"/>
  <c r="H761"/>
  <c r="R761"/>
  <c r="O760"/>
  <c r="Y760" s="1"/>
  <c r="W760"/>
  <c r="L759"/>
  <c r="N759"/>
  <c r="M759"/>
  <c r="S760"/>
  <c r="BD761"/>
  <c r="BF761" s="1"/>
  <c r="BA761"/>
  <c r="AX761"/>
  <c r="AZ761" s="1"/>
  <c r="BE761"/>
  <c r="BG761" s="1"/>
  <c r="U346" l="1"/>
  <c r="F762"/>
  <c r="T762" s="1"/>
  <c r="S763" s="1"/>
  <c r="S762"/>
  <c r="BE762"/>
  <c r="BG762" s="1"/>
  <c r="O761"/>
  <c r="Y761" s="1"/>
  <c r="W761"/>
  <c r="I763"/>
  <c r="AV763"/>
  <c r="Q763"/>
  <c r="AO763"/>
  <c r="BB763"/>
  <c r="BC763"/>
  <c r="AU763"/>
  <c r="AP763"/>
  <c r="AN763"/>
  <c r="E763"/>
  <c r="R763" s="1"/>
  <c r="BA762"/>
  <c r="BD762"/>
  <c r="BF762" s="1"/>
  <c r="B764"/>
  <c r="AS764"/>
  <c r="D764"/>
  <c r="A764"/>
  <c r="C765"/>
  <c r="AX762"/>
  <c r="AZ762" s="1"/>
  <c r="AR761"/>
  <c r="AJ762"/>
  <c r="AL762"/>
  <c r="AK762"/>
  <c r="K762"/>
  <c r="AT762"/>
  <c r="AW762"/>
  <c r="AY762" s="1"/>
  <c r="AB346" l="1"/>
  <c r="AA346"/>
  <c r="Z346"/>
  <c r="H762"/>
  <c r="AR762"/>
  <c r="B765"/>
  <c r="D765"/>
  <c r="A765"/>
  <c r="AS765"/>
  <c r="C766"/>
  <c r="BD763"/>
  <c r="BF763" s="1"/>
  <c r="BA763"/>
  <c r="O762"/>
  <c r="Y762" s="1"/>
  <c r="W762"/>
  <c r="AJ763"/>
  <c r="AK763"/>
  <c r="AL763"/>
  <c r="AO764"/>
  <c r="AN764"/>
  <c r="BB764"/>
  <c r="BC764"/>
  <c r="Q764"/>
  <c r="AV764"/>
  <c r="AP764"/>
  <c r="AU764"/>
  <c r="I764"/>
  <c r="E764"/>
  <c r="BE763"/>
  <c r="BG763" s="1"/>
  <c r="AX763"/>
  <c r="AZ763" s="1"/>
  <c r="AT763"/>
  <c r="AW763"/>
  <c r="AY763" s="1"/>
  <c r="K763"/>
  <c r="F763"/>
  <c r="AH346" l="1"/>
  <c r="AG346"/>
  <c r="AF346"/>
  <c r="P347"/>
  <c r="U347" s="1"/>
  <c r="Z347" s="1"/>
  <c r="AF347" s="1"/>
  <c r="F764"/>
  <c r="H764" s="1"/>
  <c r="T763"/>
  <c r="S764" s="1"/>
  <c r="H763"/>
  <c r="AW764"/>
  <c r="AY764" s="1"/>
  <c r="AT764"/>
  <c r="K764"/>
  <c r="BE764"/>
  <c r="BG764" s="1"/>
  <c r="BC765"/>
  <c r="AP765"/>
  <c r="BB765"/>
  <c r="I765"/>
  <c r="AO765"/>
  <c r="AU765"/>
  <c r="AN765"/>
  <c r="Q765"/>
  <c r="AV765"/>
  <c r="E765"/>
  <c r="AR763"/>
  <c r="O763"/>
  <c r="Y763" s="1"/>
  <c r="W763"/>
  <c r="AK764"/>
  <c r="AL764"/>
  <c r="AJ764"/>
  <c r="AX764"/>
  <c r="AZ764" s="1"/>
  <c r="AS766"/>
  <c r="A766"/>
  <c r="B766"/>
  <c r="D766"/>
  <c r="C767"/>
  <c r="R764"/>
  <c r="BA764"/>
  <c r="BD764"/>
  <c r="BF764" s="1"/>
  <c r="AA347" l="1"/>
  <c r="AB347"/>
  <c r="T764"/>
  <c r="S765" s="1"/>
  <c r="AR764"/>
  <c r="BE765"/>
  <c r="BG765" s="1"/>
  <c r="B767"/>
  <c r="C768"/>
  <c r="A767"/>
  <c r="AS767"/>
  <c r="D767"/>
  <c r="AX765"/>
  <c r="AZ765" s="1"/>
  <c r="AW765"/>
  <c r="AY765" s="1"/>
  <c r="AT765"/>
  <c r="K765"/>
  <c r="O764"/>
  <c r="Y764" s="1"/>
  <c r="W764"/>
  <c r="AK765"/>
  <c r="AL765"/>
  <c r="AJ765"/>
  <c r="BC766"/>
  <c r="Q766"/>
  <c r="AV766"/>
  <c r="BB766"/>
  <c r="AP766"/>
  <c r="AO766"/>
  <c r="I766"/>
  <c r="AN766"/>
  <c r="AU766"/>
  <c r="E766"/>
  <c r="R766" s="1"/>
  <c r="BD765"/>
  <c r="BF765" s="1"/>
  <c r="BA765"/>
  <c r="R765"/>
  <c r="F765"/>
  <c r="P348" l="1"/>
  <c r="U348" s="1"/>
  <c r="Z348" s="1"/>
  <c r="AG347"/>
  <c r="AH347"/>
  <c r="AR765"/>
  <c r="F766"/>
  <c r="T766" s="1"/>
  <c r="S767" s="1"/>
  <c r="AW766"/>
  <c r="AY766" s="1"/>
  <c r="K766"/>
  <c r="AT766"/>
  <c r="BE766"/>
  <c r="BG766" s="1"/>
  <c r="O765"/>
  <c r="Y765" s="1"/>
  <c r="W765"/>
  <c r="D768"/>
  <c r="A768"/>
  <c r="AS768"/>
  <c r="B768"/>
  <c r="C769"/>
  <c r="AK766"/>
  <c r="AL766"/>
  <c r="AJ766"/>
  <c r="T765"/>
  <c r="S766" s="1"/>
  <c r="H765"/>
  <c r="AX766"/>
  <c r="AZ766" s="1"/>
  <c r="BD766"/>
  <c r="BF766" s="1"/>
  <c r="BA766"/>
  <c r="I767"/>
  <c r="AP767"/>
  <c r="AO767"/>
  <c r="AU767"/>
  <c r="AN767"/>
  <c r="Q767"/>
  <c r="AV767"/>
  <c r="BC767"/>
  <c r="BB767"/>
  <c r="E767"/>
  <c r="AF348" l="1"/>
  <c r="AB348"/>
  <c r="AA348"/>
  <c r="H766"/>
  <c r="AJ767"/>
  <c r="AK767"/>
  <c r="AL767"/>
  <c r="BD767"/>
  <c r="BF767" s="1"/>
  <c r="BA767"/>
  <c r="C770"/>
  <c r="B769"/>
  <c r="A769"/>
  <c r="D769"/>
  <c r="AS769"/>
  <c r="O766"/>
  <c r="Y766" s="1"/>
  <c r="W766"/>
  <c r="R767"/>
  <c r="Q768"/>
  <c r="I768"/>
  <c r="BB768"/>
  <c r="AP768"/>
  <c r="AN768"/>
  <c r="BC768"/>
  <c r="AV768"/>
  <c r="AO768"/>
  <c r="AU768"/>
  <c r="E768"/>
  <c r="R768" s="1"/>
  <c r="AR766"/>
  <c r="AX767"/>
  <c r="AZ767" s="1"/>
  <c r="BE767"/>
  <c r="BG767" s="1"/>
  <c r="AW767"/>
  <c r="AY767" s="1"/>
  <c r="K767"/>
  <c r="AT767"/>
  <c r="F767"/>
  <c r="F768" l="1"/>
  <c r="T768" s="1"/>
  <c r="AG348"/>
  <c r="AH348"/>
  <c r="P349"/>
  <c r="AR767"/>
  <c r="T767"/>
  <c r="S768" s="1"/>
  <c r="H767"/>
  <c r="AT768"/>
  <c r="AW768"/>
  <c r="AY768" s="1"/>
  <c r="K768"/>
  <c r="AP769"/>
  <c r="Q769"/>
  <c r="AN769"/>
  <c r="BC769"/>
  <c r="AV769"/>
  <c r="I769"/>
  <c r="BB769"/>
  <c r="AU769"/>
  <c r="AO769"/>
  <c r="E769"/>
  <c r="R769" s="1"/>
  <c r="H768"/>
  <c r="AJ768"/>
  <c r="AL768"/>
  <c r="AK768"/>
  <c r="BE768"/>
  <c r="BG768" s="1"/>
  <c r="S769"/>
  <c r="O767"/>
  <c r="Y767" s="1"/>
  <c r="W767"/>
  <c r="AX768"/>
  <c r="AZ768" s="1"/>
  <c r="BA768"/>
  <c r="BD768"/>
  <c r="BF768" s="1"/>
  <c r="D770"/>
  <c r="AS770"/>
  <c r="B770"/>
  <c r="A770"/>
  <c r="C771"/>
  <c r="U349" l="1"/>
  <c r="AA349" s="1"/>
  <c r="F769"/>
  <c r="T769" s="1"/>
  <c r="S770" s="1"/>
  <c r="AW769"/>
  <c r="AY769" s="1"/>
  <c r="AT769"/>
  <c r="K769"/>
  <c r="BE769"/>
  <c r="BG769" s="1"/>
  <c r="O768"/>
  <c r="Y768" s="1"/>
  <c r="W768"/>
  <c r="AN770"/>
  <c r="AO770"/>
  <c r="AU770"/>
  <c r="AP770"/>
  <c r="I770"/>
  <c r="BB770"/>
  <c r="Q770"/>
  <c r="AV770"/>
  <c r="BC770"/>
  <c r="E770"/>
  <c r="R770" s="1"/>
  <c r="B771"/>
  <c r="D771"/>
  <c r="C772"/>
  <c r="A771"/>
  <c r="AS771" s="1"/>
  <c r="AJ769"/>
  <c r="AK769"/>
  <c r="AL769"/>
  <c r="AR768"/>
  <c r="AX769"/>
  <c r="AZ769" s="1"/>
  <c r="BA769"/>
  <c r="BD769"/>
  <c r="BF769" s="1"/>
  <c r="H769"/>
  <c r="AG349" l="1"/>
  <c r="Z349"/>
  <c r="AB349"/>
  <c r="F770"/>
  <c r="T770" s="1"/>
  <c r="S771" s="1"/>
  <c r="AR769"/>
  <c r="O769"/>
  <c r="Y769" s="1"/>
  <c r="W769"/>
  <c r="BC771"/>
  <c r="AP771"/>
  <c r="AN771"/>
  <c r="AV771"/>
  <c r="I771"/>
  <c r="AO771"/>
  <c r="AU771"/>
  <c r="Q771"/>
  <c r="BB771"/>
  <c r="E771"/>
  <c r="R771" s="1"/>
  <c r="AX770"/>
  <c r="AZ770" s="1"/>
  <c r="BE770"/>
  <c r="BG770" s="1"/>
  <c r="AW770"/>
  <c r="AY770" s="1"/>
  <c r="AT770"/>
  <c r="K770"/>
  <c r="C773"/>
  <c r="D772"/>
  <c r="A772"/>
  <c r="B772"/>
  <c r="AS772"/>
  <c r="AL770"/>
  <c r="AK770"/>
  <c r="AJ770"/>
  <c r="BD770"/>
  <c r="BF770" s="1"/>
  <c r="BA770"/>
  <c r="AH349" l="1"/>
  <c r="P350"/>
  <c r="AF349"/>
  <c r="H770"/>
  <c r="AR770"/>
  <c r="AX771"/>
  <c r="AZ771" s="1"/>
  <c r="BD771"/>
  <c r="BF771" s="1"/>
  <c r="BA771"/>
  <c r="BE771"/>
  <c r="BG771" s="1"/>
  <c r="G760"/>
  <c r="G761" s="1"/>
  <c r="G762" s="1"/>
  <c r="G763" s="1"/>
  <c r="G764" s="1"/>
  <c r="G765" s="1"/>
  <c r="G766" s="1"/>
  <c r="G767" s="1"/>
  <c r="G768" s="1"/>
  <c r="G769" s="1"/>
  <c r="G770" s="1"/>
  <c r="G771" s="1"/>
  <c r="O770"/>
  <c r="W770"/>
  <c r="AL771"/>
  <c r="AJ771"/>
  <c r="AK771"/>
  <c r="AS773"/>
  <c r="A773"/>
  <c r="B773"/>
  <c r="D773"/>
  <c r="C774"/>
  <c r="AO772"/>
  <c r="AP772"/>
  <c r="BC772"/>
  <c r="AN772"/>
  <c r="AV772"/>
  <c r="AU772"/>
  <c r="Q772"/>
  <c r="I772"/>
  <c r="BB772"/>
  <c r="E772"/>
  <c r="R772" s="1"/>
  <c r="AW771"/>
  <c r="AY771" s="1"/>
  <c r="K771"/>
  <c r="AT771"/>
  <c r="F771"/>
  <c r="Y770"/>
  <c r="U350" l="1"/>
  <c r="AR771"/>
  <c r="AL772"/>
  <c r="AJ772"/>
  <c r="AK772"/>
  <c r="AT772"/>
  <c r="K772"/>
  <c r="AW772"/>
  <c r="AY772" s="1"/>
  <c r="BE772"/>
  <c r="BG772" s="1"/>
  <c r="T771"/>
  <c r="H771"/>
  <c r="D774"/>
  <c r="AS774"/>
  <c r="B774"/>
  <c r="C775"/>
  <c r="A774"/>
  <c r="I773"/>
  <c r="AV773"/>
  <c r="AP773"/>
  <c r="AN773"/>
  <c r="BC773"/>
  <c r="BB773"/>
  <c r="Q773"/>
  <c r="AO773"/>
  <c r="AU773"/>
  <c r="E773"/>
  <c r="O771"/>
  <c r="Y771" s="1"/>
  <c r="W771"/>
  <c r="V771"/>
  <c r="BA772"/>
  <c r="BD772"/>
  <c r="BF772" s="1"/>
  <c r="AX772"/>
  <c r="AZ772" s="1"/>
  <c r="F772"/>
  <c r="AB350" l="1"/>
  <c r="Z350"/>
  <c r="AA350"/>
  <c r="F773"/>
  <c r="T773" s="1"/>
  <c r="AR772"/>
  <c r="BB774"/>
  <c r="AP774"/>
  <c r="Q774"/>
  <c r="AU774"/>
  <c r="I774"/>
  <c r="AV774"/>
  <c r="AO774"/>
  <c r="BC774"/>
  <c r="AN774"/>
  <c r="E774"/>
  <c r="R774" s="1"/>
  <c r="S774"/>
  <c r="K773"/>
  <c r="AW773"/>
  <c r="AY773" s="1"/>
  <c r="AT773"/>
  <c r="BE773"/>
  <c r="BG773" s="1"/>
  <c r="N771"/>
  <c r="L771"/>
  <c r="M771"/>
  <c r="S772"/>
  <c r="BD773"/>
  <c r="BF773" s="1"/>
  <c r="BA773"/>
  <c r="AX773"/>
  <c r="AZ773" s="1"/>
  <c r="AS775"/>
  <c r="B775"/>
  <c r="D775"/>
  <c r="A775"/>
  <c r="C776"/>
  <c r="O772"/>
  <c r="W772"/>
  <c r="AJ773"/>
  <c r="AL773"/>
  <c r="AK773"/>
  <c r="T772"/>
  <c r="S773" s="1"/>
  <c r="H772"/>
  <c r="R773"/>
  <c r="L351" l="1"/>
  <c r="AF350"/>
  <c r="P351"/>
  <c r="X351" s="1"/>
  <c r="Z351"/>
  <c r="AH350"/>
  <c r="N351"/>
  <c r="U351"/>
  <c r="AB351"/>
  <c r="AG350"/>
  <c r="M351"/>
  <c r="AA351"/>
  <c r="AG351" s="1"/>
  <c r="H773"/>
  <c r="O773"/>
  <c r="W773"/>
  <c r="AK774"/>
  <c r="AJ774"/>
  <c r="AL774"/>
  <c r="AX774"/>
  <c r="AZ774" s="1"/>
  <c r="BB775"/>
  <c r="AV775"/>
  <c r="AN775"/>
  <c r="BC775"/>
  <c r="I775"/>
  <c r="AU775"/>
  <c r="AP775"/>
  <c r="AO775"/>
  <c r="Q775"/>
  <c r="E775"/>
  <c r="R775" s="1"/>
  <c r="AS776"/>
  <c r="A776"/>
  <c r="B776"/>
  <c r="D776"/>
  <c r="C777"/>
  <c r="BE774"/>
  <c r="BG774" s="1"/>
  <c r="K774"/>
  <c r="AW774"/>
  <c r="AY774" s="1"/>
  <c r="AT774"/>
  <c r="AR773"/>
  <c r="Y772"/>
  <c r="Y773" s="1"/>
  <c r="F774"/>
  <c r="BA774"/>
  <c r="BD774"/>
  <c r="BF774" s="1"/>
  <c r="AH351" l="1"/>
  <c r="AF351"/>
  <c r="P352"/>
  <c r="AR774"/>
  <c r="F775"/>
  <c r="T775" s="1"/>
  <c r="S776" s="1"/>
  <c r="T774"/>
  <c r="S775" s="1"/>
  <c r="H774"/>
  <c r="AS777"/>
  <c r="A777"/>
  <c r="D777"/>
  <c r="F776" s="1"/>
  <c r="T776" s="1"/>
  <c r="B777"/>
  <c r="C778"/>
  <c r="AU776"/>
  <c r="AV776"/>
  <c r="Q776"/>
  <c r="BC776"/>
  <c r="I776"/>
  <c r="BB776"/>
  <c r="AP776"/>
  <c r="AN776"/>
  <c r="AO776"/>
  <c r="E776"/>
  <c r="R776" s="1"/>
  <c r="BE775"/>
  <c r="BG775" s="1"/>
  <c r="O774"/>
  <c r="Y774" s="1"/>
  <c r="W774"/>
  <c r="BA775"/>
  <c r="BD775"/>
  <c r="BF775" s="1"/>
  <c r="AK775"/>
  <c r="AL775"/>
  <c r="AJ775"/>
  <c r="AW775"/>
  <c r="AY775" s="1"/>
  <c r="AT775"/>
  <c r="K775"/>
  <c r="AX775"/>
  <c r="AZ775" s="1"/>
  <c r="AA352" l="1"/>
  <c r="U352"/>
  <c r="S777"/>
  <c r="AB352"/>
  <c r="H775"/>
  <c r="Z352"/>
  <c r="H776"/>
  <c r="K776"/>
  <c r="AT776"/>
  <c r="AW776"/>
  <c r="AY776" s="1"/>
  <c r="AP777"/>
  <c r="AV777"/>
  <c r="BC777"/>
  <c r="AO777"/>
  <c r="BB777"/>
  <c r="AN777"/>
  <c r="Q777"/>
  <c r="I777"/>
  <c r="AU777"/>
  <c r="E777"/>
  <c r="R777" s="1"/>
  <c r="AR775"/>
  <c r="O775"/>
  <c r="Y775" s="1"/>
  <c r="W775"/>
  <c r="BE776"/>
  <c r="BG776" s="1"/>
  <c r="B778"/>
  <c r="A778"/>
  <c r="D778"/>
  <c r="AS778"/>
  <c r="C779"/>
  <c r="AJ776"/>
  <c r="AL776"/>
  <c r="AK776"/>
  <c r="BA776"/>
  <c r="BD776"/>
  <c r="BF776" s="1"/>
  <c r="AX776"/>
  <c r="AZ776" s="1"/>
  <c r="AG352" l="1"/>
  <c r="AF352"/>
  <c r="P353"/>
  <c r="AA353" s="1"/>
  <c r="AH352"/>
  <c r="U353"/>
  <c r="AR776"/>
  <c r="B779"/>
  <c r="A779"/>
  <c r="D779"/>
  <c r="AS779"/>
  <c r="C780"/>
  <c r="AP778"/>
  <c r="AO778"/>
  <c r="AU778"/>
  <c r="BC778"/>
  <c r="BB778"/>
  <c r="AN778"/>
  <c r="AV778"/>
  <c r="Q778"/>
  <c r="I778"/>
  <c r="E778"/>
  <c r="F777"/>
  <c r="BA777"/>
  <c r="BD777"/>
  <c r="BF777" s="1"/>
  <c r="O776"/>
  <c r="Y776" s="1"/>
  <c r="W776"/>
  <c r="AW777"/>
  <c r="AY777" s="1"/>
  <c r="AT777"/>
  <c r="K777"/>
  <c r="AL777"/>
  <c r="AK777"/>
  <c r="AJ777"/>
  <c r="AX777"/>
  <c r="AZ777" s="1"/>
  <c r="BE777"/>
  <c r="BG777" s="1"/>
  <c r="AG353" l="1"/>
  <c r="AB353"/>
  <c r="Z353"/>
  <c r="AR777"/>
  <c r="AK778"/>
  <c r="AL778"/>
  <c r="AJ778"/>
  <c r="AW778"/>
  <c r="AY778" s="1"/>
  <c r="AT778"/>
  <c r="K778"/>
  <c r="O777"/>
  <c r="Y777" s="1"/>
  <c r="W777"/>
  <c r="BE778"/>
  <c r="BG778" s="1"/>
  <c r="D780"/>
  <c r="AS780"/>
  <c r="B780"/>
  <c r="C781"/>
  <c r="A780"/>
  <c r="AU779"/>
  <c r="Q779"/>
  <c r="I779"/>
  <c r="AV779"/>
  <c r="AN779"/>
  <c r="BB779"/>
  <c r="BC779"/>
  <c r="AO779"/>
  <c r="AP779"/>
  <c r="E779"/>
  <c r="AX778"/>
  <c r="AZ778" s="1"/>
  <c r="T777"/>
  <c r="S778" s="1"/>
  <c r="H777"/>
  <c r="BD778"/>
  <c r="BF778" s="1"/>
  <c r="BA778"/>
  <c r="R778"/>
  <c r="F778"/>
  <c r="P354" l="1"/>
  <c r="AF353"/>
  <c r="AH353"/>
  <c r="AR778"/>
  <c r="O778"/>
  <c r="Y778" s="1"/>
  <c r="W778"/>
  <c r="BE779"/>
  <c r="BG779" s="1"/>
  <c r="Q780"/>
  <c r="AP780"/>
  <c r="AN780"/>
  <c r="AV780"/>
  <c r="BB780"/>
  <c r="AU780"/>
  <c r="I780"/>
  <c r="BC780"/>
  <c r="AO780"/>
  <c r="E780"/>
  <c r="AL779"/>
  <c r="AK779"/>
  <c r="AJ779"/>
  <c r="BD779"/>
  <c r="BF779" s="1"/>
  <c r="BA779"/>
  <c r="D781"/>
  <c r="A781"/>
  <c r="AS781"/>
  <c r="B781"/>
  <c r="F780" s="1"/>
  <c r="T780" s="1"/>
  <c r="C782"/>
  <c r="T778"/>
  <c r="S779" s="1"/>
  <c r="H778"/>
  <c r="AX779"/>
  <c r="AZ779" s="1"/>
  <c r="R779"/>
  <c r="F779"/>
  <c r="AW779"/>
  <c r="AY779" s="1"/>
  <c r="K779"/>
  <c r="AT779"/>
  <c r="AB354" l="1"/>
  <c r="U354"/>
  <c r="AA354"/>
  <c r="Z354"/>
  <c r="AR779"/>
  <c r="AL780"/>
  <c r="AK780"/>
  <c r="AJ780"/>
  <c r="AW780"/>
  <c r="AY780" s="1"/>
  <c r="AT780"/>
  <c r="K780"/>
  <c r="O779"/>
  <c r="Y779" s="1"/>
  <c r="W779"/>
  <c r="C783"/>
  <c r="B782"/>
  <c r="AS782"/>
  <c r="A782"/>
  <c r="D782"/>
  <c r="I781"/>
  <c r="AP781"/>
  <c r="Q781"/>
  <c r="BC781"/>
  <c r="AV781"/>
  <c r="AN781"/>
  <c r="BB781"/>
  <c r="AO781"/>
  <c r="AU781"/>
  <c r="E781"/>
  <c r="S781"/>
  <c r="T779"/>
  <c r="S780" s="1"/>
  <c r="H779"/>
  <c r="BE780"/>
  <c r="BG780" s="1"/>
  <c r="AZ780"/>
  <c r="AX780"/>
  <c r="BD780"/>
  <c r="BF780" s="1"/>
  <c r="BA780"/>
  <c r="H780"/>
  <c r="R780"/>
  <c r="AH354" l="1"/>
  <c r="AG354"/>
  <c r="P355"/>
  <c r="AF354"/>
  <c r="AR780"/>
  <c r="AW781"/>
  <c r="AY781" s="1"/>
  <c r="AT781"/>
  <c r="K781"/>
  <c r="AX781"/>
  <c r="AZ781" s="1"/>
  <c r="O780"/>
  <c r="W780"/>
  <c r="F781"/>
  <c r="AL781"/>
  <c r="AK781"/>
  <c r="AJ781"/>
  <c r="BD781"/>
  <c r="BF781" s="1"/>
  <c r="BA781"/>
  <c r="AP782"/>
  <c r="BB782"/>
  <c r="AO782"/>
  <c r="I782"/>
  <c r="AU782"/>
  <c r="AV782"/>
  <c r="Q782"/>
  <c r="AN782"/>
  <c r="BC782"/>
  <c r="E782"/>
  <c r="R782" s="1"/>
  <c r="B783"/>
  <c r="D783"/>
  <c r="A783"/>
  <c r="AS783" s="1"/>
  <c r="C784"/>
  <c r="Y780"/>
  <c r="BE781"/>
  <c r="BG781" s="1"/>
  <c r="R781"/>
  <c r="AB355" l="1"/>
  <c r="U355"/>
  <c r="AR781"/>
  <c r="AL782"/>
  <c r="AJ782"/>
  <c r="AK782"/>
  <c r="AX782"/>
  <c r="AZ782" s="1"/>
  <c r="D784"/>
  <c r="C785"/>
  <c r="B784"/>
  <c r="A784"/>
  <c r="AS784"/>
  <c r="BE782"/>
  <c r="BG782" s="1"/>
  <c r="AW782"/>
  <c r="AY782" s="1"/>
  <c r="AT782"/>
  <c r="K782"/>
  <c r="O781"/>
  <c r="Y781" s="1"/>
  <c r="W781"/>
  <c r="BD782"/>
  <c r="BF782" s="1"/>
  <c r="BA782"/>
  <c r="T781"/>
  <c r="S782" s="1"/>
  <c r="H781"/>
  <c r="AP783"/>
  <c r="BC783"/>
  <c r="AU783"/>
  <c r="I783"/>
  <c r="BB783"/>
  <c r="AN783"/>
  <c r="AO783"/>
  <c r="Q783"/>
  <c r="AV783"/>
  <c r="E783"/>
  <c r="F782"/>
  <c r="Z355" l="1"/>
  <c r="AA355"/>
  <c r="AH355"/>
  <c r="F783"/>
  <c r="H783" s="1"/>
  <c r="AR782"/>
  <c r="T782"/>
  <c r="S783" s="1"/>
  <c r="H782"/>
  <c r="AX783"/>
  <c r="AZ783" s="1"/>
  <c r="BD783"/>
  <c r="BF783" s="1"/>
  <c r="BA783"/>
  <c r="I784"/>
  <c r="AP784"/>
  <c r="BC784"/>
  <c r="BB784"/>
  <c r="AO784"/>
  <c r="AU784"/>
  <c r="AV784"/>
  <c r="AN784"/>
  <c r="Q784"/>
  <c r="E784"/>
  <c r="R784" s="1"/>
  <c r="AL783"/>
  <c r="AK783"/>
  <c r="AJ783"/>
  <c r="BE783"/>
  <c r="BG783" s="1"/>
  <c r="A785"/>
  <c r="B785"/>
  <c r="C786"/>
  <c r="D785"/>
  <c r="AS785"/>
  <c r="F784"/>
  <c r="T784" s="1"/>
  <c r="G772"/>
  <c r="G773" s="1"/>
  <c r="G774" s="1"/>
  <c r="G775" s="1"/>
  <c r="G776" s="1"/>
  <c r="G777" s="1"/>
  <c r="G778" s="1"/>
  <c r="G779" s="1"/>
  <c r="G780" s="1"/>
  <c r="G781" s="1"/>
  <c r="G782" s="1"/>
  <c r="G783" s="1"/>
  <c r="AW783"/>
  <c r="AY783" s="1"/>
  <c r="K783"/>
  <c r="AT783"/>
  <c r="O782"/>
  <c r="Y782" s="1"/>
  <c r="W782"/>
  <c r="R783"/>
  <c r="P356" l="1"/>
  <c r="AF355"/>
  <c r="AG355"/>
  <c r="T783"/>
  <c r="S785"/>
  <c r="AP785"/>
  <c r="AN785"/>
  <c r="Q785"/>
  <c r="AU785"/>
  <c r="BB785"/>
  <c r="BC785"/>
  <c r="AV785"/>
  <c r="I785"/>
  <c r="AO785"/>
  <c r="E785"/>
  <c r="AR783"/>
  <c r="B786"/>
  <c r="D786"/>
  <c r="C787"/>
  <c r="A786"/>
  <c r="AS786"/>
  <c r="AX784"/>
  <c r="AZ784" s="1"/>
  <c r="BE784"/>
  <c r="BG784" s="1"/>
  <c r="H784"/>
  <c r="O783"/>
  <c r="Y783" s="1"/>
  <c r="W783"/>
  <c r="V783"/>
  <c r="AJ784"/>
  <c r="AK784"/>
  <c r="AL784"/>
  <c r="AW784"/>
  <c r="K784"/>
  <c r="AT784"/>
  <c r="AY784"/>
  <c r="BD784"/>
  <c r="BF784" s="1"/>
  <c r="BA784"/>
  <c r="AB356" l="1"/>
  <c r="U356"/>
  <c r="M783"/>
  <c r="S784"/>
  <c r="L783"/>
  <c r="N783"/>
  <c r="AR784"/>
  <c r="D787"/>
  <c r="B787"/>
  <c r="C788"/>
  <c r="A787"/>
  <c r="AS787"/>
  <c r="BD785"/>
  <c r="BF785" s="1"/>
  <c r="BA785"/>
  <c r="AN786"/>
  <c r="AO786"/>
  <c r="AP786"/>
  <c r="BC786"/>
  <c r="I786"/>
  <c r="Q786"/>
  <c r="AU786"/>
  <c r="BB786"/>
  <c r="AV786"/>
  <c r="E786"/>
  <c r="R786" s="1"/>
  <c r="AL785"/>
  <c r="AJ785"/>
  <c r="AK785"/>
  <c r="BE785"/>
  <c r="BG785" s="1"/>
  <c r="O784"/>
  <c r="Y784" s="1"/>
  <c r="W784"/>
  <c r="AX785"/>
  <c r="AZ785" s="1"/>
  <c r="R785"/>
  <c r="F785"/>
  <c r="AW785"/>
  <c r="AY785" s="1"/>
  <c r="AT785"/>
  <c r="K785"/>
  <c r="AH356" l="1"/>
  <c r="Z356"/>
  <c r="AA356"/>
  <c r="F786"/>
  <c r="T786" s="1"/>
  <c r="AR785"/>
  <c r="BD786"/>
  <c r="BF786" s="1"/>
  <c r="BA786"/>
  <c r="BE786"/>
  <c r="BG786" s="1"/>
  <c r="O785"/>
  <c r="Y785" s="1"/>
  <c r="W785"/>
  <c r="T785"/>
  <c r="S786" s="1"/>
  <c r="H785"/>
  <c r="AX786"/>
  <c r="AZ786" s="1"/>
  <c r="AK786"/>
  <c r="AJ786"/>
  <c r="AL786"/>
  <c r="C789"/>
  <c r="B788"/>
  <c r="A788"/>
  <c r="D788"/>
  <c r="AS788"/>
  <c r="S787"/>
  <c r="AW786"/>
  <c r="K786"/>
  <c r="AT786"/>
  <c r="AY786"/>
  <c r="AN787"/>
  <c r="BC787"/>
  <c r="AP787"/>
  <c r="AU787"/>
  <c r="I787"/>
  <c r="Q787"/>
  <c r="BB787"/>
  <c r="AO787"/>
  <c r="AV787"/>
  <c r="E787"/>
  <c r="R787" s="1"/>
  <c r="AG356" l="1"/>
  <c r="P357"/>
  <c r="AF356"/>
  <c r="H786"/>
  <c r="AP788"/>
  <c r="AV788"/>
  <c r="Q788"/>
  <c r="AU788"/>
  <c r="AO788"/>
  <c r="AN788"/>
  <c r="BB788"/>
  <c r="BC788"/>
  <c r="I788"/>
  <c r="E788"/>
  <c r="AW787"/>
  <c r="AY787" s="1"/>
  <c r="K787"/>
  <c r="AT787"/>
  <c r="AX787"/>
  <c r="AZ787" s="1"/>
  <c r="C790"/>
  <c r="B789"/>
  <c r="AS789"/>
  <c r="R788"/>
  <c r="D789"/>
  <c r="A789"/>
  <c r="AR786"/>
  <c r="F787"/>
  <c r="BA787"/>
  <c r="BD787"/>
  <c r="BF787" s="1"/>
  <c r="AK787"/>
  <c r="AJ787"/>
  <c r="AL787"/>
  <c r="BE787"/>
  <c r="BG787" s="1"/>
  <c r="O786"/>
  <c r="Y786" s="1"/>
  <c r="W786"/>
  <c r="AB357" l="1"/>
  <c r="U357"/>
  <c r="F788"/>
  <c r="T788" s="1"/>
  <c r="O787"/>
  <c r="Y787" s="1"/>
  <c r="W787"/>
  <c r="BE788"/>
  <c r="BG788" s="1"/>
  <c r="AT788"/>
  <c r="AW788"/>
  <c r="AY788" s="1"/>
  <c r="K788"/>
  <c r="D790"/>
  <c r="AS790"/>
  <c r="A790"/>
  <c r="C791"/>
  <c r="B790"/>
  <c r="S789"/>
  <c r="T787"/>
  <c r="S788" s="1"/>
  <c r="H787"/>
  <c r="Q789"/>
  <c r="AV789"/>
  <c r="AO789"/>
  <c r="AP789"/>
  <c r="BB789"/>
  <c r="I789"/>
  <c r="AU789"/>
  <c r="AN789"/>
  <c r="BC789"/>
  <c r="E789"/>
  <c r="F789"/>
  <c r="T789" s="1"/>
  <c r="S790" s="1"/>
  <c r="AJ788"/>
  <c r="AK788"/>
  <c r="AL788"/>
  <c r="AZ788"/>
  <c r="AX788"/>
  <c r="AR787"/>
  <c r="BA788"/>
  <c r="BF788"/>
  <c r="BD788"/>
  <c r="AH357" l="1"/>
  <c r="Z357"/>
  <c r="AA357"/>
  <c r="H788"/>
  <c r="H789"/>
  <c r="K789"/>
  <c r="AW789"/>
  <c r="AY789" s="1"/>
  <c r="AT789"/>
  <c r="I790"/>
  <c r="AU790"/>
  <c r="BC790"/>
  <c r="AV790"/>
  <c r="AN790"/>
  <c r="AO790"/>
  <c r="AP790"/>
  <c r="Q790"/>
  <c r="BB790"/>
  <c r="E790"/>
  <c r="O788"/>
  <c r="Y788" s="1"/>
  <c r="W788"/>
  <c r="D791"/>
  <c r="C792"/>
  <c r="B791"/>
  <c r="AS791"/>
  <c r="A791"/>
  <c r="AJ789"/>
  <c r="AK789"/>
  <c r="AL789"/>
  <c r="AX789"/>
  <c r="AZ789" s="1"/>
  <c r="BE789"/>
  <c r="BG789" s="1"/>
  <c r="BA789"/>
  <c r="BD789"/>
  <c r="BF789" s="1"/>
  <c r="R789"/>
  <c r="AR788"/>
  <c r="AG357" l="1"/>
  <c r="P358"/>
  <c r="AF357"/>
  <c r="AR789"/>
  <c r="O789"/>
  <c r="Y789" s="1"/>
  <c r="W789"/>
  <c r="AJ790"/>
  <c r="AK790"/>
  <c r="AL790"/>
  <c r="AT790"/>
  <c r="AW790"/>
  <c r="AY790" s="1"/>
  <c r="K790"/>
  <c r="BD790"/>
  <c r="BF790" s="1"/>
  <c r="BA790"/>
  <c r="AO791"/>
  <c r="Q791"/>
  <c r="BB791"/>
  <c r="AV791"/>
  <c r="I791"/>
  <c r="BC791"/>
  <c r="AU791"/>
  <c r="AN791"/>
  <c r="AP791"/>
  <c r="E791"/>
  <c r="BE790"/>
  <c r="BG790" s="1"/>
  <c r="D792"/>
  <c r="AS792"/>
  <c r="B792"/>
  <c r="A792"/>
  <c r="C793"/>
  <c r="AX790"/>
  <c r="AZ790" s="1"/>
  <c r="F790"/>
  <c r="R790"/>
  <c r="AA358" l="1"/>
  <c r="U358"/>
  <c r="Z358" s="1"/>
  <c r="F791"/>
  <c r="T791" s="1"/>
  <c r="S792" s="1"/>
  <c r="T790"/>
  <c r="S791" s="1"/>
  <c r="H790"/>
  <c r="AS793"/>
  <c r="D793"/>
  <c r="B793"/>
  <c r="C794"/>
  <c r="A793"/>
  <c r="AK791"/>
  <c r="AJ791"/>
  <c r="AL791"/>
  <c r="BE791"/>
  <c r="BG791" s="1"/>
  <c r="AR790"/>
  <c r="K791"/>
  <c r="AW791"/>
  <c r="AY791" s="1"/>
  <c r="AT791"/>
  <c r="BD791"/>
  <c r="BF791" s="1"/>
  <c r="BA791"/>
  <c r="R791"/>
  <c r="AX791"/>
  <c r="AZ791" s="1"/>
  <c r="O790"/>
  <c r="Y790" s="1"/>
  <c r="W790"/>
  <c r="BB792"/>
  <c r="AO792"/>
  <c r="AU792"/>
  <c r="I792"/>
  <c r="AP792"/>
  <c r="Q792"/>
  <c r="AN792"/>
  <c r="AV792"/>
  <c r="BC792"/>
  <c r="E792"/>
  <c r="AF358" l="1"/>
  <c r="AG358"/>
  <c r="AB358"/>
  <c r="P359" s="1"/>
  <c r="F792"/>
  <c r="T792" s="1"/>
  <c r="S793" s="1"/>
  <c r="H791"/>
  <c r="AK792"/>
  <c r="AL792"/>
  <c r="AJ792"/>
  <c r="AT792"/>
  <c r="AW792"/>
  <c r="AY792" s="1"/>
  <c r="K792"/>
  <c r="O791"/>
  <c r="Y791" s="1"/>
  <c r="W791"/>
  <c r="R792"/>
  <c r="AX792"/>
  <c r="AZ792" s="1"/>
  <c r="AS794"/>
  <c r="B794"/>
  <c r="C795"/>
  <c r="A794"/>
  <c r="D794"/>
  <c r="BE792"/>
  <c r="BG792" s="1"/>
  <c r="BD792"/>
  <c r="BF792" s="1"/>
  <c r="BA792"/>
  <c r="Q793"/>
  <c r="BB793"/>
  <c r="AP793"/>
  <c r="BC793"/>
  <c r="I793"/>
  <c r="AV793"/>
  <c r="AO793"/>
  <c r="AN793"/>
  <c r="AU793"/>
  <c r="E793"/>
  <c r="AR791"/>
  <c r="Z359" l="1"/>
  <c r="AA359"/>
  <c r="AH358"/>
  <c r="U359"/>
  <c r="AB359" s="1"/>
  <c r="H792"/>
  <c r="F793"/>
  <c r="T793" s="1"/>
  <c r="S794" s="1"/>
  <c r="AK793"/>
  <c r="AJ793"/>
  <c r="AL793"/>
  <c r="AX793"/>
  <c r="AZ793" s="1"/>
  <c r="BD793"/>
  <c r="BF793" s="1"/>
  <c r="BA793"/>
  <c r="O792"/>
  <c r="Y792" s="1"/>
  <c r="W792"/>
  <c r="R793"/>
  <c r="BE793"/>
  <c r="BG793" s="1"/>
  <c r="A795"/>
  <c r="AS795" s="1"/>
  <c r="C796"/>
  <c r="B795"/>
  <c r="D795"/>
  <c r="AR792"/>
  <c r="AW793"/>
  <c r="AY793" s="1"/>
  <c r="AT793"/>
  <c r="K793"/>
  <c r="AP794"/>
  <c r="AN794"/>
  <c r="BB794"/>
  <c r="AO794"/>
  <c r="AU794"/>
  <c r="BC794"/>
  <c r="Q794"/>
  <c r="AV794"/>
  <c r="I794"/>
  <c r="E794"/>
  <c r="R794" s="1"/>
  <c r="AF359" l="1"/>
  <c r="P360"/>
  <c r="U360" s="1"/>
  <c r="AA360" s="1"/>
  <c r="AG359"/>
  <c r="AH359"/>
  <c r="H793"/>
  <c r="AX794"/>
  <c r="AZ794" s="1"/>
  <c r="I795"/>
  <c r="AP795"/>
  <c r="BC795"/>
  <c r="AO795"/>
  <c r="AU795"/>
  <c r="AN795"/>
  <c r="AV795"/>
  <c r="BB795"/>
  <c r="Q795"/>
  <c r="E795"/>
  <c r="AK794"/>
  <c r="AL794"/>
  <c r="AJ794"/>
  <c r="BE794"/>
  <c r="BG794" s="1"/>
  <c r="B796"/>
  <c r="D796"/>
  <c r="AS796"/>
  <c r="C797"/>
  <c r="A796"/>
  <c r="AR793"/>
  <c r="O793"/>
  <c r="Y793" s="1"/>
  <c r="W793"/>
  <c r="F794"/>
  <c r="BD794"/>
  <c r="BF794" s="1"/>
  <c r="BA794"/>
  <c r="K794"/>
  <c r="AW794"/>
  <c r="AY794" s="1"/>
  <c r="AT794"/>
  <c r="AG360" l="1"/>
  <c r="AB360"/>
  <c r="Z360"/>
  <c r="AR794"/>
  <c r="F795"/>
  <c r="T795" s="1"/>
  <c r="N795" s="1"/>
  <c r="T794"/>
  <c r="S795" s="1"/>
  <c r="H794"/>
  <c r="AL795"/>
  <c r="AJ795"/>
  <c r="AK795"/>
  <c r="AX795"/>
  <c r="AZ795" s="1"/>
  <c r="BE795"/>
  <c r="BG795" s="1"/>
  <c r="R795"/>
  <c r="O794"/>
  <c r="Y794" s="1"/>
  <c r="W794"/>
  <c r="S796"/>
  <c r="AS797"/>
  <c r="C798"/>
  <c r="A797"/>
  <c r="D797"/>
  <c r="F796" s="1"/>
  <c r="T796" s="1"/>
  <c r="S797" s="1"/>
  <c r="B797"/>
  <c r="G784"/>
  <c r="G785" s="1"/>
  <c r="G786" s="1"/>
  <c r="G787" s="1"/>
  <c r="G788" s="1"/>
  <c r="G789" s="1"/>
  <c r="G790" s="1"/>
  <c r="G791" s="1"/>
  <c r="G792" s="1"/>
  <c r="G793" s="1"/>
  <c r="G794" s="1"/>
  <c r="G795" s="1"/>
  <c r="BD795"/>
  <c r="BF795" s="1"/>
  <c r="BA795"/>
  <c r="AO796"/>
  <c r="AU796"/>
  <c r="AV796"/>
  <c r="BB796"/>
  <c r="Q796"/>
  <c r="I796"/>
  <c r="AP796"/>
  <c r="AN796"/>
  <c r="BC796"/>
  <c r="E796"/>
  <c r="K795"/>
  <c r="AT795"/>
  <c r="AW795"/>
  <c r="AY795" s="1"/>
  <c r="AH360" l="1"/>
  <c r="U361"/>
  <c r="AA361" s="1"/>
  <c r="AF360"/>
  <c r="P361"/>
  <c r="Z361"/>
  <c r="H795"/>
  <c r="M795"/>
  <c r="L795"/>
  <c r="AR795"/>
  <c r="BD796"/>
  <c r="BF796" s="1"/>
  <c r="BA796"/>
  <c r="AL796"/>
  <c r="AJ796"/>
  <c r="AK796"/>
  <c r="K796"/>
  <c r="AW796"/>
  <c r="AY796" s="1"/>
  <c r="AT796"/>
  <c r="D798"/>
  <c r="B798"/>
  <c r="A798"/>
  <c r="C799"/>
  <c r="AS798"/>
  <c r="O795"/>
  <c r="Y795" s="1"/>
  <c r="W795"/>
  <c r="V795"/>
  <c r="AX796"/>
  <c r="AZ796" s="1"/>
  <c r="BC797"/>
  <c r="AU797"/>
  <c r="BB797"/>
  <c r="Q797"/>
  <c r="AP797"/>
  <c r="AV797"/>
  <c r="I797"/>
  <c r="AO797"/>
  <c r="AN797"/>
  <c r="E797"/>
  <c r="BE796"/>
  <c r="BG796" s="1"/>
  <c r="H796"/>
  <c r="R796"/>
  <c r="AF361" l="1"/>
  <c r="AG361"/>
  <c r="AB361"/>
  <c r="AR796"/>
  <c r="F797"/>
  <c r="T797" s="1"/>
  <c r="S798" s="1"/>
  <c r="AN798"/>
  <c r="BC798"/>
  <c r="I798"/>
  <c r="AP798"/>
  <c r="BB798"/>
  <c r="AO798"/>
  <c r="AV798"/>
  <c r="AU798"/>
  <c r="Q798"/>
  <c r="E798"/>
  <c r="R798" s="1"/>
  <c r="O796"/>
  <c r="W796"/>
  <c r="K797"/>
  <c r="AW797"/>
  <c r="AY797" s="1"/>
  <c r="AT797"/>
  <c r="BA797"/>
  <c r="BD797"/>
  <c r="BF797" s="1"/>
  <c r="D799"/>
  <c r="C800"/>
  <c r="AS799"/>
  <c r="A799"/>
  <c r="B799"/>
  <c r="AJ797"/>
  <c r="AK797"/>
  <c r="AL797"/>
  <c r="AX797"/>
  <c r="AZ797" s="1"/>
  <c r="BE797"/>
  <c r="BG797" s="1"/>
  <c r="F798"/>
  <c r="T798" s="1"/>
  <c r="R797"/>
  <c r="P362" l="1"/>
  <c r="AH361"/>
  <c r="H797"/>
  <c r="S799"/>
  <c r="AS800"/>
  <c r="D800"/>
  <c r="A800"/>
  <c r="B800"/>
  <c r="C801"/>
  <c r="O797"/>
  <c r="W797"/>
  <c r="AX798"/>
  <c r="AZ798" s="1"/>
  <c r="Y796"/>
  <c r="BD798"/>
  <c r="BF798" s="1"/>
  <c r="BA798"/>
  <c r="H798"/>
  <c r="AW798"/>
  <c r="AY798" s="1"/>
  <c r="AT798"/>
  <c r="K798"/>
  <c r="BB799"/>
  <c r="AV799"/>
  <c r="AP799"/>
  <c r="AO799"/>
  <c r="I799"/>
  <c r="Q799"/>
  <c r="BC799"/>
  <c r="AU799"/>
  <c r="AN799"/>
  <c r="E799"/>
  <c r="AK798"/>
  <c r="AJ798"/>
  <c r="AL798"/>
  <c r="BE798"/>
  <c r="BG798" s="1"/>
  <c r="AR797"/>
  <c r="AA362" l="1"/>
  <c r="Z362"/>
  <c r="U362"/>
  <c r="AB362" s="1"/>
  <c r="Y797"/>
  <c r="BD799"/>
  <c r="BF799" s="1"/>
  <c r="BA799"/>
  <c r="AO800"/>
  <c r="BC800"/>
  <c r="AV800"/>
  <c r="I800"/>
  <c r="BB800"/>
  <c r="AN800"/>
  <c r="AP800"/>
  <c r="Q800"/>
  <c r="AU800"/>
  <c r="E800"/>
  <c r="R800" s="1"/>
  <c r="AJ799"/>
  <c r="AL799"/>
  <c r="AK799"/>
  <c r="AX799"/>
  <c r="AZ799" s="1"/>
  <c r="F799"/>
  <c r="BE799"/>
  <c r="BG799" s="1"/>
  <c r="R799"/>
  <c r="O798"/>
  <c r="Y798" s="1"/>
  <c r="W798"/>
  <c r="K799"/>
  <c r="AW799"/>
  <c r="AY799" s="1"/>
  <c r="AT799"/>
  <c r="AS801"/>
  <c r="D801"/>
  <c r="A801"/>
  <c r="C802"/>
  <c r="B801"/>
  <c r="AR798"/>
  <c r="M363" l="1"/>
  <c r="AG362"/>
  <c r="L363"/>
  <c r="AF362"/>
  <c r="P363"/>
  <c r="X363" s="1"/>
  <c r="N363"/>
  <c r="AH362"/>
  <c r="F800"/>
  <c r="T800" s="1"/>
  <c r="Q801"/>
  <c r="AO801"/>
  <c r="AP801"/>
  <c r="AU801"/>
  <c r="AV801"/>
  <c r="I801"/>
  <c r="BC801"/>
  <c r="BB801"/>
  <c r="AN801"/>
  <c r="E801"/>
  <c r="R801" s="1"/>
  <c r="AX800"/>
  <c r="AZ800" s="1"/>
  <c r="O799"/>
  <c r="Y799" s="1"/>
  <c r="W799"/>
  <c r="B802"/>
  <c r="D802"/>
  <c r="A802"/>
  <c r="C803"/>
  <c r="AS802"/>
  <c r="T799"/>
  <c r="S800" s="1"/>
  <c r="H799"/>
  <c r="AW800"/>
  <c r="AY800" s="1"/>
  <c r="AT800"/>
  <c r="K800"/>
  <c r="BD800"/>
  <c r="BF800" s="1"/>
  <c r="BA800"/>
  <c r="AR799"/>
  <c r="AL800"/>
  <c r="AJ800"/>
  <c r="AK800"/>
  <c r="BE800"/>
  <c r="BG800" s="1"/>
  <c r="U363" l="1"/>
  <c r="S801"/>
  <c r="AA363"/>
  <c r="H800"/>
  <c r="O800"/>
  <c r="Y800" s="1"/>
  <c r="W800"/>
  <c r="BE801"/>
  <c r="BG801" s="1"/>
  <c r="BD801"/>
  <c r="BF801" s="1"/>
  <c r="BA801"/>
  <c r="AT801"/>
  <c r="AW801"/>
  <c r="AY801" s="1"/>
  <c r="K801"/>
  <c r="AU802"/>
  <c r="AO802"/>
  <c r="Q802"/>
  <c r="AP802"/>
  <c r="I802"/>
  <c r="BC802"/>
  <c r="BB802"/>
  <c r="AN802"/>
  <c r="AV802"/>
  <c r="E802"/>
  <c r="R802" s="1"/>
  <c r="B803"/>
  <c r="C804"/>
  <c r="D803"/>
  <c r="A803"/>
  <c r="AS803"/>
  <c r="AX801"/>
  <c r="AZ801" s="1"/>
  <c r="AR800"/>
  <c r="F801"/>
  <c r="AL801"/>
  <c r="AK801"/>
  <c r="AJ801"/>
  <c r="Z363" l="1"/>
  <c r="AB363"/>
  <c r="AH363" s="1"/>
  <c r="AG363"/>
  <c r="AR801"/>
  <c r="T801"/>
  <c r="S802" s="1"/>
  <c r="H801"/>
  <c r="AS804"/>
  <c r="B804"/>
  <c r="C805"/>
  <c r="A804"/>
  <c r="D804"/>
  <c r="F803" s="1"/>
  <c r="T803" s="1"/>
  <c r="AX802"/>
  <c r="AZ802" s="1"/>
  <c r="AW802"/>
  <c r="AY802" s="1"/>
  <c r="K802"/>
  <c r="AT802"/>
  <c r="O801"/>
  <c r="Y801" s="1"/>
  <c r="W801"/>
  <c r="AL802"/>
  <c r="AJ802"/>
  <c r="AK802"/>
  <c r="BE802"/>
  <c r="BG802" s="1"/>
  <c r="I803"/>
  <c r="BC803"/>
  <c r="Q803"/>
  <c r="AP803"/>
  <c r="AU803"/>
  <c r="AN803"/>
  <c r="BB803"/>
  <c r="AO803"/>
  <c r="AV803"/>
  <c r="E803"/>
  <c r="BD802"/>
  <c r="BF802" s="1"/>
  <c r="BA802"/>
  <c r="F802"/>
  <c r="AF363" l="1"/>
  <c r="P364"/>
  <c r="U364" s="1"/>
  <c r="AA364" s="1"/>
  <c r="AG364" s="1"/>
  <c r="AB364"/>
  <c r="AH364" s="1"/>
  <c r="Z364"/>
  <c r="O802"/>
  <c r="Y802" s="1"/>
  <c r="W802"/>
  <c r="T802"/>
  <c r="S803" s="1"/>
  <c r="H802"/>
  <c r="AX803"/>
  <c r="AZ803" s="1"/>
  <c r="K803"/>
  <c r="AT803"/>
  <c r="AW803"/>
  <c r="AY803" s="1"/>
  <c r="AJ803"/>
  <c r="AL803"/>
  <c r="AK803"/>
  <c r="BE803"/>
  <c r="BG803" s="1"/>
  <c r="AR802"/>
  <c r="R803"/>
  <c r="A805"/>
  <c r="AS805"/>
  <c r="C806"/>
  <c r="B805"/>
  <c r="D805"/>
  <c r="BA803"/>
  <c r="BD803"/>
  <c r="BF803" s="1"/>
  <c r="BB804"/>
  <c r="AO804"/>
  <c r="I804"/>
  <c r="AV804"/>
  <c r="AP804"/>
  <c r="AN804"/>
  <c r="Q804"/>
  <c r="BC804"/>
  <c r="AU804"/>
  <c r="E804"/>
  <c r="S804"/>
  <c r="H803"/>
  <c r="P365" l="1"/>
  <c r="AF364"/>
  <c r="AK804"/>
  <c r="AJ804"/>
  <c r="AL804"/>
  <c r="B806"/>
  <c r="A806"/>
  <c r="C807"/>
  <c r="D806"/>
  <c r="AS806"/>
  <c r="O803"/>
  <c r="W803"/>
  <c r="BE804"/>
  <c r="BG804" s="1"/>
  <c r="AX804"/>
  <c r="AZ804" s="1"/>
  <c r="BB805"/>
  <c r="AU805"/>
  <c r="Q805"/>
  <c r="AP805"/>
  <c r="BC805"/>
  <c r="AV805"/>
  <c r="AO805"/>
  <c r="AN805"/>
  <c r="I805"/>
  <c r="E805"/>
  <c r="R805" s="1"/>
  <c r="AW804"/>
  <c r="AY804" s="1"/>
  <c r="K804"/>
  <c r="AT804"/>
  <c r="BA804"/>
  <c r="BD804"/>
  <c r="BF804" s="1"/>
  <c r="Y803"/>
  <c r="AR803"/>
  <c r="F804"/>
  <c r="R804"/>
  <c r="U365" l="1"/>
  <c r="AB365" s="1"/>
  <c r="AR804"/>
  <c r="F805"/>
  <c r="T805" s="1"/>
  <c r="S806" s="1"/>
  <c r="A807"/>
  <c r="B807"/>
  <c r="D807"/>
  <c r="C808"/>
  <c r="AS807"/>
  <c r="AK805"/>
  <c r="AJ805"/>
  <c r="AL805"/>
  <c r="AX805"/>
  <c r="AZ805" s="1"/>
  <c r="AW805"/>
  <c r="AY805" s="1"/>
  <c r="AT805"/>
  <c r="K805"/>
  <c r="T804"/>
  <c r="S805" s="1"/>
  <c r="H804"/>
  <c r="O804"/>
  <c r="W804"/>
  <c r="BG805"/>
  <c r="BE805"/>
  <c r="BD805"/>
  <c r="BF805" s="1"/>
  <c r="BA805"/>
  <c r="AO806"/>
  <c r="BC806"/>
  <c r="AV806"/>
  <c r="AU806"/>
  <c r="AN806"/>
  <c r="BB806"/>
  <c r="I806"/>
  <c r="AP806"/>
  <c r="Q806"/>
  <c r="E806"/>
  <c r="R806" s="1"/>
  <c r="Y804"/>
  <c r="AA365" l="1"/>
  <c r="AH365"/>
  <c r="Z365"/>
  <c r="H805"/>
  <c r="AR805"/>
  <c r="AX806"/>
  <c r="AZ806" s="1"/>
  <c r="K806"/>
  <c r="AW806"/>
  <c r="AY806" s="1"/>
  <c r="AT806"/>
  <c r="A808"/>
  <c r="AS808"/>
  <c r="C809"/>
  <c r="D808"/>
  <c r="B808"/>
  <c r="O805"/>
  <c r="W805"/>
  <c r="AN807"/>
  <c r="AO807"/>
  <c r="BB807"/>
  <c r="AU807"/>
  <c r="BC807"/>
  <c r="AP807"/>
  <c r="AV807"/>
  <c r="Q807"/>
  <c r="I807"/>
  <c r="E807"/>
  <c r="R807" s="1"/>
  <c r="Y805"/>
  <c r="F806"/>
  <c r="AK806"/>
  <c r="AJ806"/>
  <c r="AL806"/>
  <c r="BD806"/>
  <c r="BF806" s="1"/>
  <c r="BA806"/>
  <c r="BE806"/>
  <c r="BG806" s="1"/>
  <c r="AF365" l="1"/>
  <c r="P366"/>
  <c r="AG365"/>
  <c r="F807"/>
  <c r="H807" s="1"/>
  <c r="K807"/>
  <c r="AT807"/>
  <c r="AW807"/>
  <c r="AY807" s="1"/>
  <c r="BE807"/>
  <c r="BG807" s="1"/>
  <c r="AL807"/>
  <c r="AK807"/>
  <c r="AJ807"/>
  <c r="B809"/>
  <c r="C810"/>
  <c r="A809"/>
  <c r="D809"/>
  <c r="AS809"/>
  <c r="AR806"/>
  <c r="AX807"/>
  <c r="AZ807" s="1"/>
  <c r="BD807"/>
  <c r="BF807" s="1"/>
  <c r="BA807"/>
  <c r="T806"/>
  <c r="S807" s="1"/>
  <c r="H806"/>
  <c r="G796"/>
  <c r="G797" s="1"/>
  <c r="G798" s="1"/>
  <c r="G799" s="1"/>
  <c r="G800" s="1"/>
  <c r="G801" s="1"/>
  <c r="G802" s="1"/>
  <c r="G803" s="1"/>
  <c r="G804" s="1"/>
  <c r="G805" s="1"/>
  <c r="G806" s="1"/>
  <c r="G807" s="1"/>
  <c r="BB808"/>
  <c r="AP808"/>
  <c r="AN808"/>
  <c r="Q808"/>
  <c r="BC808"/>
  <c r="AU808"/>
  <c r="I808"/>
  <c r="AV808"/>
  <c r="AO808"/>
  <c r="E808"/>
  <c r="O806"/>
  <c r="Y806" s="1"/>
  <c r="W806"/>
  <c r="U366" l="1"/>
  <c r="AB366" s="1"/>
  <c r="T807"/>
  <c r="M807" s="1"/>
  <c r="BE808"/>
  <c r="BG808" s="1"/>
  <c r="BD808"/>
  <c r="BF808" s="1"/>
  <c r="BA808"/>
  <c r="AK808"/>
  <c r="AJ808"/>
  <c r="AL808"/>
  <c r="K808"/>
  <c r="AW808"/>
  <c r="AY808" s="1"/>
  <c r="AT808"/>
  <c r="D810"/>
  <c r="C811"/>
  <c r="A810"/>
  <c r="AS810"/>
  <c r="B810"/>
  <c r="F808"/>
  <c r="AR807"/>
  <c r="AX808"/>
  <c r="AZ808" s="1"/>
  <c r="Q809"/>
  <c r="AU809"/>
  <c r="BB809"/>
  <c r="I809"/>
  <c r="AP809"/>
  <c r="AO809"/>
  <c r="BC809"/>
  <c r="AV809"/>
  <c r="AN809"/>
  <c r="E809"/>
  <c r="R809" s="1"/>
  <c r="O807"/>
  <c r="Y807" s="1"/>
  <c r="W807"/>
  <c r="V807"/>
  <c r="R808"/>
  <c r="N807" l="1"/>
  <c r="AH366"/>
  <c r="Z366"/>
  <c r="AA366"/>
  <c r="L807"/>
  <c r="S808"/>
  <c r="AR808"/>
  <c r="BD809"/>
  <c r="BF809" s="1"/>
  <c r="BA809"/>
  <c r="Q810"/>
  <c r="AP810"/>
  <c r="AN810"/>
  <c r="AV810"/>
  <c r="BC810"/>
  <c r="AU810"/>
  <c r="AO810"/>
  <c r="BB810"/>
  <c r="I810"/>
  <c r="E810"/>
  <c r="R810" s="1"/>
  <c r="AX809"/>
  <c r="AZ809" s="1"/>
  <c r="O808"/>
  <c r="Y808" s="1"/>
  <c r="W808"/>
  <c r="BE809"/>
  <c r="BG809" s="1"/>
  <c r="AJ809"/>
  <c r="AK809"/>
  <c r="AL809"/>
  <c r="AW809"/>
  <c r="AY809" s="1"/>
  <c r="AT809"/>
  <c r="K809"/>
  <c r="T808"/>
  <c r="S809" s="1"/>
  <c r="H808"/>
  <c r="A811"/>
  <c r="B811"/>
  <c r="D811"/>
  <c r="AS811"/>
  <c r="C812"/>
  <c r="F809"/>
  <c r="AF366" l="1"/>
  <c r="P367"/>
  <c r="AG366"/>
  <c r="AR809"/>
  <c r="BD810"/>
  <c r="BF810" s="1"/>
  <c r="BA810"/>
  <c r="AX810"/>
  <c r="AZ810" s="1"/>
  <c r="T809"/>
  <c r="S810" s="1"/>
  <c r="H809"/>
  <c r="AU811"/>
  <c r="BC811"/>
  <c r="BB811"/>
  <c r="Q811"/>
  <c r="I811"/>
  <c r="AN811"/>
  <c r="AP811"/>
  <c r="AO811"/>
  <c r="AV811"/>
  <c r="E811"/>
  <c r="R811" s="1"/>
  <c r="B812"/>
  <c r="AS812"/>
  <c r="A812"/>
  <c r="D812"/>
  <c r="C813"/>
  <c r="BE810"/>
  <c r="BG810" s="1"/>
  <c r="O809"/>
  <c r="W809"/>
  <c r="AJ810"/>
  <c r="AK810"/>
  <c r="AL810"/>
  <c r="AW810"/>
  <c r="AY810" s="1"/>
  <c r="AT810"/>
  <c r="K810"/>
  <c r="Y809"/>
  <c r="F810"/>
  <c r="AB367" l="1"/>
  <c r="U367"/>
  <c r="AR810"/>
  <c r="O810"/>
  <c r="W810"/>
  <c r="AO812"/>
  <c r="AN812"/>
  <c r="AP812"/>
  <c r="I812"/>
  <c r="BB812"/>
  <c r="Q812"/>
  <c r="AU812"/>
  <c r="BC812"/>
  <c r="AV812"/>
  <c r="E812"/>
  <c r="R812" s="1"/>
  <c r="AX811"/>
  <c r="AZ811" s="1"/>
  <c r="AT811"/>
  <c r="AW811"/>
  <c r="AY811" s="1"/>
  <c r="K811"/>
  <c r="AS813"/>
  <c r="D813"/>
  <c r="A813"/>
  <c r="B813"/>
  <c r="C814"/>
  <c r="BA811"/>
  <c r="BD811"/>
  <c r="BF811" s="1"/>
  <c r="T810"/>
  <c r="S811" s="1"/>
  <c r="H810"/>
  <c r="AL811"/>
  <c r="AJ811"/>
  <c r="AK811"/>
  <c r="BE811"/>
  <c r="BG811" s="1"/>
  <c r="Y810"/>
  <c r="F811"/>
  <c r="AH367" l="1"/>
  <c r="Z367"/>
  <c r="AA367"/>
  <c r="AR811"/>
  <c r="D814"/>
  <c r="C815"/>
  <c r="AS814"/>
  <c r="B814"/>
  <c r="A814"/>
  <c r="AX812"/>
  <c r="AZ812" s="1"/>
  <c r="T811"/>
  <c r="S812" s="1"/>
  <c r="H811"/>
  <c r="AV813"/>
  <c r="AP813"/>
  <c r="I813"/>
  <c r="BC813"/>
  <c r="AO813"/>
  <c r="Q813"/>
  <c r="AN813"/>
  <c r="AU813"/>
  <c r="BB813"/>
  <c r="E813"/>
  <c r="R813" s="1"/>
  <c r="AT812"/>
  <c r="K812"/>
  <c r="AW812"/>
  <c r="AY812" s="1"/>
  <c r="O811"/>
  <c r="Y811" s="1"/>
  <c r="W811"/>
  <c r="BE812"/>
  <c r="BG812" s="1"/>
  <c r="BA812"/>
  <c r="BD812"/>
  <c r="BF812" s="1"/>
  <c r="AJ812"/>
  <c r="AK812"/>
  <c r="AL812"/>
  <c r="F812"/>
  <c r="AF367" l="1"/>
  <c r="P368"/>
  <c r="AG367"/>
  <c r="F813"/>
  <c r="T813" s="1"/>
  <c r="K813"/>
  <c r="AW813"/>
  <c r="AY813" s="1"/>
  <c r="AT813"/>
  <c r="BE813"/>
  <c r="BG813" s="1"/>
  <c r="Q814"/>
  <c r="BB814"/>
  <c r="AN814"/>
  <c r="AP814"/>
  <c r="I814"/>
  <c r="AU814"/>
  <c r="AO814"/>
  <c r="AV814"/>
  <c r="BC814"/>
  <c r="E814"/>
  <c r="O812"/>
  <c r="Y812" s="1"/>
  <c r="W812"/>
  <c r="BA813"/>
  <c r="BD813"/>
  <c r="BF813" s="1"/>
  <c r="AX813"/>
  <c r="AZ813" s="1"/>
  <c r="D815"/>
  <c r="C816"/>
  <c r="R814"/>
  <c r="B815"/>
  <c r="A815"/>
  <c r="AS815"/>
  <c r="T812"/>
  <c r="S813" s="1"/>
  <c r="H812"/>
  <c r="AL813"/>
  <c r="AK813"/>
  <c r="AJ813"/>
  <c r="AR812"/>
  <c r="Z368" l="1"/>
  <c r="S814"/>
  <c r="U368"/>
  <c r="AB368" s="1"/>
  <c r="F814"/>
  <c r="T814" s="1"/>
  <c r="S815" s="1"/>
  <c r="H813"/>
  <c r="BE814"/>
  <c r="BG814" s="1"/>
  <c r="AP815"/>
  <c r="AV815"/>
  <c r="BB815"/>
  <c r="BC815"/>
  <c r="AU815"/>
  <c r="AO815"/>
  <c r="AN815"/>
  <c r="Q815"/>
  <c r="I815"/>
  <c r="E815"/>
  <c r="AL814"/>
  <c r="AJ814"/>
  <c r="AK814"/>
  <c r="AW814"/>
  <c r="AY814" s="1"/>
  <c r="K814"/>
  <c r="AT814"/>
  <c r="BD814"/>
  <c r="BF814" s="1"/>
  <c r="BA814"/>
  <c r="AX814"/>
  <c r="AZ814" s="1"/>
  <c r="C817"/>
  <c r="AS816"/>
  <c r="R815"/>
  <c r="A816"/>
  <c r="D816"/>
  <c r="B816"/>
  <c r="O813"/>
  <c r="Y813" s="1"/>
  <c r="W813"/>
  <c r="AR813"/>
  <c r="AH368" l="1"/>
  <c r="AA368"/>
  <c r="P369" s="1"/>
  <c r="AF368"/>
  <c r="H814"/>
  <c r="F815"/>
  <c r="H815" s="1"/>
  <c r="AR814"/>
  <c r="AO816"/>
  <c r="AN816"/>
  <c r="BB816"/>
  <c r="AP816"/>
  <c r="AV816"/>
  <c r="AU816"/>
  <c r="BC816"/>
  <c r="I816"/>
  <c r="Q816"/>
  <c r="E816"/>
  <c r="R816" s="1"/>
  <c r="BD815"/>
  <c r="BF815" s="1"/>
  <c r="BA815"/>
  <c r="O814"/>
  <c r="Y814" s="1"/>
  <c r="W814"/>
  <c r="BE815"/>
  <c r="BG815" s="1"/>
  <c r="A817"/>
  <c r="C818"/>
  <c r="D817"/>
  <c r="B817"/>
  <c r="AS817"/>
  <c r="K815"/>
  <c r="AT815"/>
  <c r="AW815"/>
  <c r="AY815" s="1"/>
  <c r="AJ815"/>
  <c r="AL815"/>
  <c r="AK815"/>
  <c r="AX815"/>
  <c r="AZ815" s="1"/>
  <c r="Z369" l="1"/>
  <c r="U369"/>
  <c r="AB369" s="1"/>
  <c r="AG368"/>
  <c r="AA369"/>
  <c r="T815"/>
  <c r="S816" s="1"/>
  <c r="AR815"/>
  <c r="B818"/>
  <c r="C819"/>
  <c r="A818"/>
  <c r="D818"/>
  <c r="AS818"/>
  <c r="AX816"/>
  <c r="AZ816" s="1"/>
  <c r="O815"/>
  <c r="Y815" s="1"/>
  <c r="W815"/>
  <c r="BC817"/>
  <c r="AU817"/>
  <c r="BB817"/>
  <c r="I817"/>
  <c r="AO817"/>
  <c r="AP817"/>
  <c r="AN817"/>
  <c r="AV817"/>
  <c r="Q817"/>
  <c r="E817"/>
  <c r="AK816"/>
  <c r="AL816"/>
  <c r="AJ816"/>
  <c r="AW816"/>
  <c r="AY816" s="1"/>
  <c r="AT816"/>
  <c r="K816"/>
  <c r="F816"/>
  <c r="BE816"/>
  <c r="BG816" s="1"/>
  <c r="BA816"/>
  <c r="BF816"/>
  <c r="BD816"/>
  <c r="AF369" l="1"/>
  <c r="P370"/>
  <c r="AH369"/>
  <c r="U370"/>
  <c r="AB370" s="1"/>
  <c r="AG369"/>
  <c r="F817"/>
  <c r="T817" s="1"/>
  <c r="AR816"/>
  <c r="AL817"/>
  <c r="AK817"/>
  <c r="AJ817"/>
  <c r="AW817"/>
  <c r="AY817" s="1"/>
  <c r="AT817"/>
  <c r="K817"/>
  <c r="S818"/>
  <c r="R817"/>
  <c r="T816"/>
  <c r="S817" s="1"/>
  <c r="H816"/>
  <c r="BD817"/>
  <c r="BF817" s="1"/>
  <c r="BA817"/>
  <c r="O816"/>
  <c r="Y816" s="1"/>
  <c r="W816"/>
  <c r="AX817"/>
  <c r="AZ817" s="1"/>
  <c r="A819"/>
  <c r="B819"/>
  <c r="D819"/>
  <c r="C820"/>
  <c r="AS819"/>
  <c r="H817"/>
  <c r="BE817"/>
  <c r="BG817" s="1"/>
  <c r="Q818"/>
  <c r="AV818"/>
  <c r="BC818"/>
  <c r="AN818"/>
  <c r="AU818"/>
  <c r="BB818"/>
  <c r="AO818"/>
  <c r="AP818"/>
  <c r="I818"/>
  <c r="E818"/>
  <c r="AA370" l="1"/>
  <c r="AG370" s="1"/>
  <c r="Z370"/>
  <c r="AH370"/>
  <c r="AF370"/>
  <c r="AW818"/>
  <c r="AY818" s="1"/>
  <c r="K818"/>
  <c r="AT818"/>
  <c r="C821"/>
  <c r="AS820"/>
  <c r="B820"/>
  <c r="F819" s="1"/>
  <c r="T819" s="1"/>
  <c r="D820"/>
  <c r="A820"/>
  <c r="AJ818"/>
  <c r="AL818"/>
  <c r="AK818"/>
  <c r="BD818"/>
  <c r="BF818" s="1"/>
  <c r="BA818"/>
  <c r="AX818"/>
  <c r="AZ818" s="1"/>
  <c r="BC819"/>
  <c r="AN819"/>
  <c r="AP819"/>
  <c r="I819"/>
  <c r="Q819"/>
  <c r="BB819"/>
  <c r="AO819"/>
  <c r="AU819"/>
  <c r="AV819"/>
  <c r="E819"/>
  <c r="R819" s="1"/>
  <c r="R818"/>
  <c r="BE818"/>
  <c r="BG818" s="1"/>
  <c r="O817"/>
  <c r="Y817" s="1"/>
  <c r="W817"/>
  <c r="F818"/>
  <c r="AR817"/>
  <c r="Z371" l="1"/>
  <c r="AF371" s="1"/>
  <c r="P371"/>
  <c r="U371" s="1"/>
  <c r="AB371" s="1"/>
  <c r="AH371" s="1"/>
  <c r="AA371"/>
  <c r="O818"/>
  <c r="Y818" s="1"/>
  <c r="W818"/>
  <c r="AN820"/>
  <c r="BB820"/>
  <c r="AV820"/>
  <c r="I820"/>
  <c r="Q820"/>
  <c r="AP820"/>
  <c r="BC820"/>
  <c r="AU820"/>
  <c r="AO820"/>
  <c r="E820"/>
  <c r="AX819"/>
  <c r="AZ819" s="1"/>
  <c r="BE819"/>
  <c r="BG819" s="1"/>
  <c r="BA819"/>
  <c r="BD819"/>
  <c r="BF819" s="1"/>
  <c r="AR818"/>
  <c r="K819"/>
  <c r="AT819"/>
  <c r="AW819"/>
  <c r="AY819" s="1"/>
  <c r="M819"/>
  <c r="L819"/>
  <c r="N819"/>
  <c r="AL819"/>
  <c r="AK819"/>
  <c r="AJ819"/>
  <c r="G808"/>
  <c r="G809" s="1"/>
  <c r="G810" s="1"/>
  <c r="G811" s="1"/>
  <c r="G812" s="1"/>
  <c r="G813" s="1"/>
  <c r="G814" s="1"/>
  <c r="G815" s="1"/>
  <c r="G816" s="1"/>
  <c r="G817" s="1"/>
  <c r="G818" s="1"/>
  <c r="G819" s="1"/>
  <c r="T818"/>
  <c r="S819" s="1"/>
  <c r="H818"/>
  <c r="D821"/>
  <c r="AS821"/>
  <c r="B821"/>
  <c r="R820"/>
  <c r="A821"/>
  <c r="C822"/>
  <c r="H819"/>
  <c r="AG371" l="1"/>
  <c r="S820"/>
  <c r="P372"/>
  <c r="AR819"/>
  <c r="O819"/>
  <c r="Y819" s="1"/>
  <c r="W819"/>
  <c r="V819"/>
  <c r="Q821"/>
  <c r="AN821"/>
  <c r="BB821"/>
  <c r="I821"/>
  <c r="AU821"/>
  <c r="AP821"/>
  <c r="BC821"/>
  <c r="AV821"/>
  <c r="AO821"/>
  <c r="E821"/>
  <c r="AK820"/>
  <c r="AL820"/>
  <c r="AJ820"/>
  <c r="BD820"/>
  <c r="BF820" s="1"/>
  <c r="BA820"/>
  <c r="F820"/>
  <c r="A822"/>
  <c r="D822"/>
  <c r="C823"/>
  <c r="B822"/>
  <c r="AS822"/>
  <c r="R821"/>
  <c r="BE820"/>
  <c r="BG820" s="1"/>
  <c r="AX820"/>
  <c r="AZ820" s="1"/>
  <c r="AW820"/>
  <c r="AY820" s="1"/>
  <c r="K820"/>
  <c r="AT820"/>
  <c r="Z372" l="1"/>
  <c r="U372"/>
  <c r="AA372" s="1"/>
  <c r="AG372" s="1"/>
  <c r="F821"/>
  <c r="H821" s="1"/>
  <c r="AR820"/>
  <c r="B823"/>
  <c r="C824"/>
  <c r="AS823"/>
  <c r="A823"/>
  <c r="D823"/>
  <c r="AK821"/>
  <c r="AL821"/>
  <c r="AJ821"/>
  <c r="BA821"/>
  <c r="BD821"/>
  <c r="BF821" s="1"/>
  <c r="O820"/>
  <c r="W820"/>
  <c r="F822"/>
  <c r="T822" s="1"/>
  <c r="BE821"/>
  <c r="BG821" s="1"/>
  <c r="I822"/>
  <c r="BB822"/>
  <c r="AP822"/>
  <c r="AO822"/>
  <c r="AU822"/>
  <c r="Q822"/>
  <c r="AV822"/>
  <c r="AN822"/>
  <c r="BC822"/>
  <c r="E822"/>
  <c r="AX821"/>
  <c r="AZ821" s="1"/>
  <c r="T820"/>
  <c r="S821" s="1"/>
  <c r="H820"/>
  <c r="K821"/>
  <c r="AW821"/>
  <c r="AY821" s="1"/>
  <c r="AT821"/>
  <c r="AF372" l="1"/>
  <c r="AB372"/>
  <c r="P373" s="1"/>
  <c r="S823"/>
  <c r="T821"/>
  <c r="S822" s="1"/>
  <c r="AR821"/>
  <c r="H822"/>
  <c r="O821"/>
  <c r="W821"/>
  <c r="BE822"/>
  <c r="BG822" s="1"/>
  <c r="AT822"/>
  <c r="K822"/>
  <c r="AW822"/>
  <c r="AY822" s="1"/>
  <c r="AP823"/>
  <c r="AN823"/>
  <c r="Q823"/>
  <c r="BB823"/>
  <c r="I823"/>
  <c r="AV823"/>
  <c r="AO823"/>
  <c r="AU823"/>
  <c r="BC823"/>
  <c r="E823"/>
  <c r="R823" s="1"/>
  <c r="AJ822"/>
  <c r="AL822"/>
  <c r="AK822"/>
  <c r="BA822"/>
  <c r="BD822"/>
  <c r="BF822" s="1"/>
  <c r="AX822"/>
  <c r="AZ822" s="1"/>
  <c r="A824"/>
  <c r="AS824"/>
  <c r="C825"/>
  <c r="B824"/>
  <c r="D824"/>
  <c r="Y820"/>
  <c r="R822"/>
  <c r="AA373" l="1"/>
  <c r="Z373"/>
  <c r="U373"/>
  <c r="AB373" s="1"/>
  <c r="AH373" s="1"/>
  <c r="AH372"/>
  <c r="Y821"/>
  <c r="F823"/>
  <c r="H823" s="1"/>
  <c r="AR822"/>
  <c r="Q824"/>
  <c r="AN824"/>
  <c r="AV824"/>
  <c r="BC824"/>
  <c r="I824"/>
  <c r="AO824"/>
  <c r="AU824"/>
  <c r="BB824"/>
  <c r="AP824"/>
  <c r="E824"/>
  <c r="R824" s="1"/>
  <c r="AJ823"/>
  <c r="AK823"/>
  <c r="AL823"/>
  <c r="AX823"/>
  <c r="AZ823" s="1"/>
  <c r="D825"/>
  <c r="A825"/>
  <c r="C826"/>
  <c r="AS825"/>
  <c r="B825"/>
  <c r="AT823"/>
  <c r="AW823"/>
  <c r="AY823" s="1"/>
  <c r="K823"/>
  <c r="BD823"/>
  <c r="BF823" s="1"/>
  <c r="BA823"/>
  <c r="BE823"/>
  <c r="BG823" s="1"/>
  <c r="O822"/>
  <c r="Y822" s="1"/>
  <c r="W822"/>
  <c r="AF373" l="1"/>
  <c r="Z374"/>
  <c r="P374"/>
  <c r="U374" s="1"/>
  <c r="AB374" s="1"/>
  <c r="AA374"/>
  <c r="AG373"/>
  <c r="T823"/>
  <c r="S824" s="1"/>
  <c r="F824"/>
  <c r="T824" s="1"/>
  <c r="S825" s="1"/>
  <c r="AR823"/>
  <c r="H824"/>
  <c r="BA824"/>
  <c r="BD824"/>
  <c r="BF824" s="1"/>
  <c r="B826"/>
  <c r="C827"/>
  <c r="A826"/>
  <c r="AS826"/>
  <c r="D826"/>
  <c r="AJ824"/>
  <c r="AK824"/>
  <c r="AL824"/>
  <c r="AW824"/>
  <c r="AY824" s="1"/>
  <c r="K824"/>
  <c r="AT824"/>
  <c r="AX824"/>
  <c r="AZ824" s="1"/>
  <c r="BE824"/>
  <c r="BG824" s="1"/>
  <c r="O823"/>
  <c r="Y823" s="1"/>
  <c r="W823"/>
  <c r="Q825"/>
  <c r="AO825"/>
  <c r="AP825"/>
  <c r="I825"/>
  <c r="AV825"/>
  <c r="BC825"/>
  <c r="AU825"/>
  <c r="AN825"/>
  <c r="BB825"/>
  <c r="E825"/>
  <c r="R825" s="1"/>
  <c r="L375" l="1"/>
  <c r="P375"/>
  <c r="AF374"/>
  <c r="N375"/>
  <c r="AH374"/>
  <c r="AG374"/>
  <c r="M375"/>
  <c r="F825"/>
  <c r="H825" s="1"/>
  <c r="AR824"/>
  <c r="B827"/>
  <c r="AS827"/>
  <c r="C828"/>
  <c r="A827"/>
  <c r="D827"/>
  <c r="BE825"/>
  <c r="BG825" s="1"/>
  <c r="AW825"/>
  <c r="AY825" s="1"/>
  <c r="AT825"/>
  <c r="K825"/>
  <c r="BD825"/>
  <c r="BF825" s="1"/>
  <c r="BA825"/>
  <c r="AX825"/>
  <c r="AZ825" s="1"/>
  <c r="Q826"/>
  <c r="AV826"/>
  <c r="I826"/>
  <c r="AU826"/>
  <c r="BB826"/>
  <c r="AO826"/>
  <c r="AP826"/>
  <c r="BC826"/>
  <c r="AN826"/>
  <c r="E826"/>
  <c r="R826" s="1"/>
  <c r="AK825"/>
  <c r="AL825"/>
  <c r="AJ825"/>
  <c r="O824"/>
  <c r="Y824" s="1"/>
  <c r="W824"/>
  <c r="F826" l="1"/>
  <c r="T826" s="1"/>
  <c r="AB375"/>
  <c r="AH375" s="1"/>
  <c r="U375"/>
  <c r="X375"/>
  <c r="S827"/>
  <c r="T825"/>
  <c r="S826" s="1"/>
  <c r="AR825"/>
  <c r="BD826"/>
  <c r="BF826" s="1"/>
  <c r="BA826"/>
  <c r="AL826"/>
  <c r="AJ826"/>
  <c r="AK826"/>
  <c r="AX826"/>
  <c r="AZ826" s="1"/>
  <c r="AO827"/>
  <c r="AP827"/>
  <c r="BB827"/>
  <c r="AU827"/>
  <c r="AV827"/>
  <c r="AN827"/>
  <c r="Q827"/>
  <c r="BC827"/>
  <c r="I827"/>
  <c r="E827"/>
  <c r="H826"/>
  <c r="BE826"/>
  <c r="BG826" s="1"/>
  <c r="AW826"/>
  <c r="AY826" s="1"/>
  <c r="AT826"/>
  <c r="K826"/>
  <c r="O825"/>
  <c r="Y825" s="1"/>
  <c r="W825"/>
  <c r="AS828"/>
  <c r="A828"/>
  <c r="D828"/>
  <c r="C829"/>
  <c r="R827"/>
  <c r="B828"/>
  <c r="AA375" l="1"/>
  <c r="AG375" s="1"/>
  <c r="Z375"/>
  <c r="AR826"/>
  <c r="BE827"/>
  <c r="BG827" s="1"/>
  <c r="AT827"/>
  <c r="K827"/>
  <c r="AW827"/>
  <c r="AY827" s="1"/>
  <c r="AX827"/>
  <c r="AZ827" s="1"/>
  <c r="AV828"/>
  <c r="AO828"/>
  <c r="AP828"/>
  <c r="AN828"/>
  <c r="I828"/>
  <c r="BB828"/>
  <c r="Q828"/>
  <c r="BC828"/>
  <c r="AU828"/>
  <c r="E828"/>
  <c r="R828" s="1"/>
  <c r="AJ827"/>
  <c r="AK827"/>
  <c r="AL827"/>
  <c r="A829"/>
  <c r="D829"/>
  <c r="C830"/>
  <c r="AS829"/>
  <c r="B829"/>
  <c r="O826"/>
  <c r="Y826" s="1"/>
  <c r="W826"/>
  <c r="BD827"/>
  <c r="BF827" s="1"/>
  <c r="BA827"/>
  <c r="F827"/>
  <c r="AF375" l="1"/>
  <c r="P376"/>
  <c r="F828"/>
  <c r="H828" s="1"/>
  <c r="AR827"/>
  <c r="AW828"/>
  <c r="AY828" s="1"/>
  <c r="K828"/>
  <c r="AT828"/>
  <c r="AX828"/>
  <c r="AZ828" s="1"/>
  <c r="O827"/>
  <c r="Y827" s="1"/>
  <c r="W827"/>
  <c r="BD828"/>
  <c r="BF828" s="1"/>
  <c r="BA828"/>
  <c r="T827"/>
  <c r="S828" s="1"/>
  <c r="H827"/>
  <c r="C831"/>
  <c r="AS830"/>
  <c r="B830"/>
  <c r="F829" s="1"/>
  <c r="A830"/>
  <c r="D830"/>
  <c r="AL828"/>
  <c r="AK828"/>
  <c r="AJ828"/>
  <c r="AV829"/>
  <c r="I829"/>
  <c r="AN829"/>
  <c r="AO829"/>
  <c r="BB829"/>
  <c r="AP829"/>
  <c r="BC829"/>
  <c r="AU829"/>
  <c r="Q829"/>
  <c r="E829"/>
  <c r="BE828"/>
  <c r="BG828" s="1"/>
  <c r="AB376" l="1"/>
  <c r="AH376" s="1"/>
  <c r="U376"/>
  <c r="T828"/>
  <c r="S829" s="1"/>
  <c r="T829"/>
  <c r="S830" s="1"/>
  <c r="H829"/>
  <c r="C832"/>
  <c r="D831"/>
  <c r="A831"/>
  <c r="AS831" s="1"/>
  <c r="B831"/>
  <c r="BE829"/>
  <c r="BG829" s="1"/>
  <c r="AR828"/>
  <c r="AL829"/>
  <c r="AJ829"/>
  <c r="AK829"/>
  <c r="AW829"/>
  <c r="AY829" s="1"/>
  <c r="AT829"/>
  <c r="K829"/>
  <c r="O828"/>
  <c r="Y828" s="1"/>
  <c r="W828"/>
  <c r="BA829"/>
  <c r="BD829"/>
  <c r="BF829" s="1"/>
  <c r="AX829"/>
  <c r="AZ829" s="1"/>
  <c r="AO830"/>
  <c r="AU830"/>
  <c r="AN830"/>
  <c r="AP830"/>
  <c r="Q830"/>
  <c r="AV830"/>
  <c r="BB830"/>
  <c r="I830"/>
  <c r="BC830"/>
  <c r="E830"/>
  <c r="R830" s="1"/>
  <c r="R829"/>
  <c r="AA376" l="1"/>
  <c r="Z376"/>
  <c r="F830"/>
  <c r="T830" s="1"/>
  <c r="S831" s="1"/>
  <c r="BE830"/>
  <c r="BG830" s="1"/>
  <c r="AL830"/>
  <c r="AK830"/>
  <c r="AJ830"/>
  <c r="AX830"/>
  <c r="AZ830" s="1"/>
  <c r="K830"/>
  <c r="AW830"/>
  <c r="AY830" s="1"/>
  <c r="AT830"/>
  <c r="AR829"/>
  <c r="O829"/>
  <c r="Y829" s="1"/>
  <c r="W829"/>
  <c r="BD830"/>
  <c r="BF830" s="1"/>
  <c r="BA830"/>
  <c r="AU831"/>
  <c r="I831"/>
  <c r="Q831"/>
  <c r="BC831"/>
  <c r="AN831"/>
  <c r="AV831"/>
  <c r="AP831"/>
  <c r="BB831"/>
  <c r="AO831"/>
  <c r="E831"/>
  <c r="R831" s="1"/>
  <c r="A832"/>
  <c r="AS832"/>
  <c r="B832"/>
  <c r="C833"/>
  <c r="D832"/>
  <c r="P377" l="1"/>
  <c r="U377" s="1"/>
  <c r="AB377" s="1"/>
  <c r="AH377" s="1"/>
  <c r="AF376"/>
  <c r="AG376"/>
  <c r="H830"/>
  <c r="AR830"/>
  <c r="G820"/>
  <c r="G821" s="1"/>
  <c r="G822" s="1"/>
  <c r="G823" s="1"/>
  <c r="G824" s="1"/>
  <c r="G825" s="1"/>
  <c r="G826" s="1"/>
  <c r="G827" s="1"/>
  <c r="G828" s="1"/>
  <c r="G829" s="1"/>
  <c r="G830" s="1"/>
  <c r="G831" s="1"/>
  <c r="AW831"/>
  <c r="AY831" s="1"/>
  <c r="AT831"/>
  <c r="K831"/>
  <c r="O830"/>
  <c r="Y830" s="1"/>
  <c r="W830"/>
  <c r="F831"/>
  <c r="AS833"/>
  <c r="C834"/>
  <c r="B833"/>
  <c r="D833"/>
  <c r="A833"/>
  <c r="AK831"/>
  <c r="AJ831"/>
  <c r="AL831"/>
  <c r="AX831"/>
  <c r="AZ831" s="1"/>
  <c r="AV832"/>
  <c r="AO832"/>
  <c r="Q832"/>
  <c r="AP832"/>
  <c r="AN832"/>
  <c r="I832"/>
  <c r="BC832"/>
  <c r="BB832"/>
  <c r="AU832"/>
  <c r="E832"/>
  <c r="BD831"/>
  <c r="BF831" s="1"/>
  <c r="BA831"/>
  <c r="BE831"/>
  <c r="BG831" s="1"/>
  <c r="Z377" l="1"/>
  <c r="AA377"/>
  <c r="AR831"/>
  <c r="BE832"/>
  <c r="BG832" s="1"/>
  <c r="AV833"/>
  <c r="AO833"/>
  <c r="BC833"/>
  <c r="AN833"/>
  <c r="AU833"/>
  <c r="AP833"/>
  <c r="Q833"/>
  <c r="BB833"/>
  <c r="I833"/>
  <c r="E833"/>
  <c r="C835"/>
  <c r="B834"/>
  <c r="D834"/>
  <c r="R833"/>
  <c r="AS834"/>
  <c r="A834"/>
  <c r="BA832"/>
  <c r="BD832"/>
  <c r="BF832" s="1"/>
  <c r="AX832"/>
  <c r="AZ832" s="1"/>
  <c r="T831"/>
  <c r="H831"/>
  <c r="O831"/>
  <c r="Y831" s="1"/>
  <c r="W831"/>
  <c r="V831"/>
  <c r="K832"/>
  <c r="AW832"/>
  <c r="AY832" s="1"/>
  <c r="AT832"/>
  <c r="AK832"/>
  <c r="AL832"/>
  <c r="AJ832"/>
  <c r="R832"/>
  <c r="F832"/>
  <c r="AF377" l="1"/>
  <c r="P378"/>
  <c r="AG377"/>
  <c r="F833"/>
  <c r="H833" s="1"/>
  <c r="T832"/>
  <c r="S833" s="1"/>
  <c r="H832"/>
  <c r="AS835"/>
  <c r="C836"/>
  <c r="D835"/>
  <c r="A835"/>
  <c r="B835"/>
  <c r="BE833"/>
  <c r="BG833" s="1"/>
  <c r="O832"/>
  <c r="W832"/>
  <c r="N831"/>
  <c r="M831"/>
  <c r="L831"/>
  <c r="S832"/>
  <c r="AP834"/>
  <c r="Q834"/>
  <c r="AU834"/>
  <c r="AV834"/>
  <c r="AO834"/>
  <c r="BC834"/>
  <c r="AN834"/>
  <c r="I834"/>
  <c r="BB834"/>
  <c r="E834"/>
  <c r="BD833"/>
  <c r="BF833" s="1"/>
  <c r="BA833"/>
  <c r="AT833"/>
  <c r="AW833"/>
  <c r="AY833" s="1"/>
  <c r="K833"/>
  <c r="AX833"/>
  <c r="AZ833" s="1"/>
  <c r="AR832"/>
  <c r="AK833"/>
  <c r="AL833"/>
  <c r="AJ833"/>
  <c r="AB378" l="1"/>
  <c r="U378"/>
  <c r="T833"/>
  <c r="S834" s="1"/>
  <c r="F834"/>
  <c r="T834" s="1"/>
  <c r="S835" s="1"/>
  <c r="AX834"/>
  <c r="AZ834" s="1"/>
  <c r="BD834"/>
  <c r="BF834" s="1"/>
  <c r="BA834"/>
  <c r="AJ834"/>
  <c r="AK834"/>
  <c r="AL834"/>
  <c r="BE834"/>
  <c r="BG834" s="1"/>
  <c r="A836"/>
  <c r="C837"/>
  <c r="D836"/>
  <c r="AS836"/>
  <c r="B836"/>
  <c r="AR833"/>
  <c r="R834"/>
  <c r="Y832"/>
  <c r="O833"/>
  <c r="W833"/>
  <c r="AO835"/>
  <c r="I835"/>
  <c r="Q835"/>
  <c r="AU835"/>
  <c r="AN835"/>
  <c r="AV835"/>
  <c r="BC835"/>
  <c r="BB835"/>
  <c r="AP835"/>
  <c r="E835"/>
  <c r="AW834"/>
  <c r="AY834" s="1"/>
  <c r="AT834"/>
  <c r="K834"/>
  <c r="AH378" l="1"/>
  <c r="Z378"/>
  <c r="AA378"/>
  <c r="F835"/>
  <c r="H835" s="1"/>
  <c r="H834"/>
  <c r="AR834"/>
  <c r="AL835"/>
  <c r="AJ835"/>
  <c r="AK835"/>
  <c r="AX835"/>
  <c r="AZ835" s="1"/>
  <c r="D837"/>
  <c r="AS837"/>
  <c r="C838"/>
  <c r="B837"/>
  <c r="A837"/>
  <c r="R835"/>
  <c r="O834"/>
  <c r="W834"/>
  <c r="AP836"/>
  <c r="AO836"/>
  <c r="I836"/>
  <c r="BB836"/>
  <c r="AN836"/>
  <c r="BC836"/>
  <c r="AU836"/>
  <c r="Q836"/>
  <c r="AV836"/>
  <c r="E836"/>
  <c r="BE835"/>
  <c r="BG835" s="1"/>
  <c r="BA835"/>
  <c r="BD835"/>
  <c r="BF835" s="1"/>
  <c r="AW835"/>
  <c r="AY835" s="1"/>
  <c r="AT835"/>
  <c r="K835"/>
  <c r="Y833"/>
  <c r="AG378" l="1"/>
  <c r="AF378"/>
  <c r="P379"/>
  <c r="F836"/>
  <c r="H836" s="1"/>
  <c r="Y834"/>
  <c r="T835"/>
  <c r="S836" s="1"/>
  <c r="AR835"/>
  <c r="T836"/>
  <c r="S837" s="1"/>
  <c r="BA836"/>
  <c r="BD836"/>
  <c r="BF836" s="1"/>
  <c r="O835"/>
  <c r="W835"/>
  <c r="AW836"/>
  <c r="AY836" s="1"/>
  <c r="AT836"/>
  <c r="K836"/>
  <c r="A838"/>
  <c r="B838"/>
  <c r="C839"/>
  <c r="D838"/>
  <c r="AS838"/>
  <c r="AX836"/>
  <c r="AZ836" s="1"/>
  <c r="I837"/>
  <c r="AU837"/>
  <c r="AO837"/>
  <c r="AV837"/>
  <c r="Q837"/>
  <c r="AP837"/>
  <c r="BB837"/>
  <c r="AN837"/>
  <c r="BC837"/>
  <c r="E837"/>
  <c r="R837" s="1"/>
  <c r="AJ836"/>
  <c r="AL836"/>
  <c r="AK836"/>
  <c r="BE836"/>
  <c r="BG836" s="1"/>
  <c r="R836"/>
  <c r="U379" l="1"/>
  <c r="Z379" s="1"/>
  <c r="Y835"/>
  <c r="AR836"/>
  <c r="BD837"/>
  <c r="BF837" s="1"/>
  <c r="BA837"/>
  <c r="BE837"/>
  <c r="BG837" s="1"/>
  <c r="AO838"/>
  <c r="AU838"/>
  <c r="AV838"/>
  <c r="I838"/>
  <c r="BB838"/>
  <c r="AN838"/>
  <c r="BC838"/>
  <c r="Q838"/>
  <c r="AP838"/>
  <c r="E838"/>
  <c r="R838" s="1"/>
  <c r="F837"/>
  <c r="A839"/>
  <c r="AS839"/>
  <c r="D839"/>
  <c r="B839"/>
  <c r="C840"/>
  <c r="AX837"/>
  <c r="AZ837" s="1"/>
  <c r="O836"/>
  <c r="W836"/>
  <c r="AK837"/>
  <c r="AJ837"/>
  <c r="AL837"/>
  <c r="K837"/>
  <c r="AT837"/>
  <c r="AW837"/>
  <c r="AY837" s="1"/>
  <c r="AR837" s="1"/>
  <c r="AF379" l="1"/>
  <c r="AB379"/>
  <c r="AA379"/>
  <c r="Y836"/>
  <c r="F838"/>
  <c r="T838" s="1"/>
  <c r="S839" s="1"/>
  <c r="BE838"/>
  <c r="BG838" s="1"/>
  <c r="AX838"/>
  <c r="AZ838" s="1"/>
  <c r="O837"/>
  <c r="W837"/>
  <c r="T837"/>
  <c r="S838" s="1"/>
  <c r="H837"/>
  <c r="AL838"/>
  <c r="AK838"/>
  <c r="AJ838"/>
  <c r="AW838"/>
  <c r="K838"/>
  <c r="AT838"/>
  <c r="AY838"/>
  <c r="AU839"/>
  <c r="BC839"/>
  <c r="AV839"/>
  <c r="AN839"/>
  <c r="Q839"/>
  <c r="AO839"/>
  <c r="I839"/>
  <c r="BB839"/>
  <c r="AP839"/>
  <c r="E839"/>
  <c r="R839" s="1"/>
  <c r="D840"/>
  <c r="A840"/>
  <c r="B840"/>
  <c r="AS840"/>
  <c r="C841"/>
  <c r="BA838"/>
  <c r="BD838"/>
  <c r="BF838" s="1"/>
  <c r="AG379" l="1"/>
  <c r="P380"/>
  <c r="Y837"/>
  <c r="AH379"/>
  <c r="U380"/>
  <c r="AA380" s="1"/>
  <c r="AB380"/>
  <c r="H838"/>
  <c r="AR838"/>
  <c r="F839"/>
  <c r="T839" s="1"/>
  <c r="S840" s="1"/>
  <c r="BD839"/>
  <c r="BF839" s="1"/>
  <c r="BA839"/>
  <c r="O838"/>
  <c r="W838"/>
  <c r="K839"/>
  <c r="AT839"/>
  <c r="AW839"/>
  <c r="AY839" s="1"/>
  <c r="AL839"/>
  <c r="AK839"/>
  <c r="AJ839"/>
  <c r="BE839"/>
  <c r="BG839" s="1"/>
  <c r="D841"/>
  <c r="B841"/>
  <c r="C842"/>
  <c r="AS841"/>
  <c r="A841"/>
  <c r="AV840"/>
  <c r="I840"/>
  <c r="BB840"/>
  <c r="AP840"/>
  <c r="BC840"/>
  <c r="AU840"/>
  <c r="Q840"/>
  <c r="AO840"/>
  <c r="AN840"/>
  <c r="E840"/>
  <c r="AX839"/>
  <c r="AZ839" s="1"/>
  <c r="AG380" l="1"/>
  <c r="AH380"/>
  <c r="Y838"/>
  <c r="Z380"/>
  <c r="H839"/>
  <c r="F840"/>
  <c r="T840" s="1"/>
  <c r="S841" s="1"/>
  <c r="AR839"/>
  <c r="O839"/>
  <c r="W839"/>
  <c r="AK840"/>
  <c r="AJ840"/>
  <c r="AL840"/>
  <c r="AT840"/>
  <c r="K840"/>
  <c r="AW840"/>
  <c r="AY840" s="1"/>
  <c r="BA840"/>
  <c r="BD840"/>
  <c r="BF840" s="1"/>
  <c r="R840"/>
  <c r="BE840"/>
  <c r="BG840" s="1"/>
  <c r="AX840"/>
  <c r="AZ840" s="1"/>
  <c r="AS842"/>
  <c r="B842"/>
  <c r="D842"/>
  <c r="A842"/>
  <c r="C843"/>
  <c r="AO841"/>
  <c r="AN841"/>
  <c r="AP841"/>
  <c r="AV841"/>
  <c r="I841"/>
  <c r="BC841"/>
  <c r="BB841"/>
  <c r="Q841"/>
  <c r="AU841"/>
  <c r="E841"/>
  <c r="P381" l="1"/>
  <c r="AF380"/>
  <c r="Y839"/>
  <c r="F841"/>
  <c r="T841" s="1"/>
  <c r="S842" s="1"/>
  <c r="H840"/>
  <c r="AR840"/>
  <c r="BD841"/>
  <c r="BF841" s="1"/>
  <c r="BA841"/>
  <c r="AL841"/>
  <c r="AK841"/>
  <c r="AJ841"/>
  <c r="BE841"/>
  <c r="BG841" s="1"/>
  <c r="AX841"/>
  <c r="AZ841" s="1"/>
  <c r="O840"/>
  <c r="Y840" s="1"/>
  <c r="W840"/>
  <c r="H841"/>
  <c r="BC842"/>
  <c r="I842"/>
  <c r="BB842"/>
  <c r="AV842"/>
  <c r="AP842"/>
  <c r="AN842"/>
  <c r="Q842"/>
  <c r="AO842"/>
  <c r="AU842"/>
  <c r="E842"/>
  <c r="R842" s="1"/>
  <c r="K841"/>
  <c r="AT841"/>
  <c r="AW841"/>
  <c r="AY841" s="1"/>
  <c r="AR841" s="1"/>
  <c r="D843"/>
  <c r="A843"/>
  <c r="AS843" s="1"/>
  <c r="B843"/>
  <c r="C844"/>
  <c r="R841"/>
  <c r="AB381" l="1"/>
  <c r="U381"/>
  <c r="Z381" s="1"/>
  <c r="AA381"/>
  <c r="B844"/>
  <c r="AS844"/>
  <c r="C845"/>
  <c r="A844"/>
  <c r="D844"/>
  <c r="AX842"/>
  <c r="AZ842" s="1"/>
  <c r="BC843"/>
  <c r="AU843"/>
  <c r="AO843"/>
  <c r="AP843"/>
  <c r="Q843"/>
  <c r="I843"/>
  <c r="AN843"/>
  <c r="AV843"/>
  <c r="BB843"/>
  <c r="E843"/>
  <c r="AW842"/>
  <c r="AY842" s="1"/>
  <c r="K842"/>
  <c r="AT842"/>
  <c r="BE842"/>
  <c r="BG842" s="1"/>
  <c r="AJ842"/>
  <c r="AL842"/>
  <c r="AK842"/>
  <c r="O841"/>
  <c r="Y841" s="1"/>
  <c r="W841"/>
  <c r="BD842"/>
  <c r="BF842" s="1"/>
  <c r="BA842"/>
  <c r="F842"/>
  <c r="AH381" l="1"/>
  <c r="AF381"/>
  <c r="P382"/>
  <c r="U382" s="1"/>
  <c r="AG381"/>
  <c r="AR842"/>
  <c r="F843"/>
  <c r="T843" s="1"/>
  <c r="O842"/>
  <c r="Y842" s="1"/>
  <c r="W842"/>
  <c r="BD843"/>
  <c r="BF843" s="1"/>
  <c r="BA843"/>
  <c r="BE843"/>
  <c r="BG843" s="1"/>
  <c r="D845"/>
  <c r="F844" s="1"/>
  <c r="T844" s="1"/>
  <c r="C846"/>
  <c r="AS845"/>
  <c r="B845"/>
  <c r="A845"/>
  <c r="AK843"/>
  <c r="AL843"/>
  <c r="AJ843"/>
  <c r="AW843"/>
  <c r="AY843" s="1"/>
  <c r="AT843"/>
  <c r="K843"/>
  <c r="BB844"/>
  <c r="AU844"/>
  <c r="AO844"/>
  <c r="AV844"/>
  <c r="AP844"/>
  <c r="Q844"/>
  <c r="I844"/>
  <c r="BC844"/>
  <c r="AN844"/>
  <c r="E844"/>
  <c r="T842"/>
  <c r="S843" s="1"/>
  <c r="H842"/>
  <c r="G832"/>
  <c r="G833" s="1"/>
  <c r="G834" s="1"/>
  <c r="G835" s="1"/>
  <c r="G836" s="1"/>
  <c r="G837" s="1"/>
  <c r="G838" s="1"/>
  <c r="G839" s="1"/>
  <c r="G840" s="1"/>
  <c r="G841" s="1"/>
  <c r="G842" s="1"/>
  <c r="G843" s="1"/>
  <c r="AX843"/>
  <c r="AZ843" s="1"/>
  <c r="R843"/>
  <c r="AB382" l="1"/>
  <c r="Z382"/>
  <c r="AA382"/>
  <c r="AG382" s="1"/>
  <c r="H843"/>
  <c r="S845"/>
  <c r="AR843"/>
  <c r="AW844"/>
  <c r="AY844" s="1"/>
  <c r="K844"/>
  <c r="AT844"/>
  <c r="M843"/>
  <c r="L843"/>
  <c r="N843"/>
  <c r="S844"/>
  <c r="AL844"/>
  <c r="AJ844"/>
  <c r="AK844"/>
  <c r="B846"/>
  <c r="D846"/>
  <c r="C847"/>
  <c r="AS846"/>
  <c r="A846"/>
  <c r="O843"/>
  <c r="Y843" s="1"/>
  <c r="W843"/>
  <c r="V843"/>
  <c r="H844"/>
  <c r="BE844"/>
  <c r="BG844" s="1"/>
  <c r="AX844"/>
  <c r="AZ844" s="1"/>
  <c r="BA844"/>
  <c r="BD844"/>
  <c r="BF844" s="1"/>
  <c r="AO845"/>
  <c r="AV845"/>
  <c r="AU845"/>
  <c r="AN845"/>
  <c r="BC845"/>
  <c r="BB845"/>
  <c r="Q845"/>
  <c r="I845"/>
  <c r="AP845"/>
  <c r="E845"/>
  <c r="R844"/>
  <c r="P383" l="1"/>
  <c r="U383" s="1"/>
  <c r="AA383" s="1"/>
  <c r="AF382"/>
  <c r="AH382"/>
  <c r="O844"/>
  <c r="Y844" s="1"/>
  <c r="W844"/>
  <c r="AJ845"/>
  <c r="AL845"/>
  <c r="AK845"/>
  <c r="R845"/>
  <c r="BE845"/>
  <c r="BG845" s="1"/>
  <c r="A847"/>
  <c r="AS847"/>
  <c r="C848"/>
  <c r="B847"/>
  <c r="D847"/>
  <c r="BA845"/>
  <c r="BD845"/>
  <c r="BF845" s="1"/>
  <c r="AX845"/>
  <c r="AZ845" s="1"/>
  <c r="AW845"/>
  <c r="AY845" s="1"/>
  <c r="K845"/>
  <c r="AT845"/>
  <c r="BB846"/>
  <c r="AV846"/>
  <c r="AP846"/>
  <c r="AO846"/>
  <c r="BC846"/>
  <c r="AN846"/>
  <c r="AU846"/>
  <c r="I846"/>
  <c r="Q846"/>
  <c r="E846"/>
  <c r="R846" s="1"/>
  <c r="F846"/>
  <c r="T846" s="1"/>
  <c r="AR844"/>
  <c r="F845"/>
  <c r="AG383" l="1"/>
  <c r="AB383"/>
  <c r="Z383"/>
  <c r="AR845"/>
  <c r="O845"/>
  <c r="Y845" s="1"/>
  <c r="W845"/>
  <c r="AT846"/>
  <c r="K846"/>
  <c r="AW846"/>
  <c r="AY846" s="1"/>
  <c r="S847"/>
  <c r="H846"/>
  <c r="AU847"/>
  <c r="Q847"/>
  <c r="AO847"/>
  <c r="AV847"/>
  <c r="I847"/>
  <c r="AP847"/>
  <c r="AN847"/>
  <c r="BC847"/>
  <c r="BB847"/>
  <c r="E847"/>
  <c r="R847" s="1"/>
  <c r="BG846"/>
  <c r="BE846"/>
  <c r="BD846"/>
  <c r="BF846" s="1"/>
  <c r="BA846"/>
  <c r="T845"/>
  <c r="S846" s="1"/>
  <c r="H845"/>
  <c r="AK846"/>
  <c r="AL846"/>
  <c r="AJ846"/>
  <c r="AX846"/>
  <c r="AZ846" s="1"/>
  <c r="B848"/>
  <c r="D848"/>
  <c r="C849"/>
  <c r="AS848"/>
  <c r="A848"/>
  <c r="AH383" l="1"/>
  <c r="U384"/>
  <c r="Z384" s="1"/>
  <c r="AB384"/>
  <c r="P384"/>
  <c r="AA384" s="1"/>
  <c r="AF383"/>
  <c r="F847"/>
  <c r="T847" s="1"/>
  <c r="S848" s="1"/>
  <c r="BE847"/>
  <c r="BG847" s="1"/>
  <c r="AX847"/>
  <c r="AZ847" s="1"/>
  <c r="AK847"/>
  <c r="AL847"/>
  <c r="AJ847"/>
  <c r="BB848"/>
  <c r="AN848"/>
  <c r="AU848"/>
  <c r="AV848"/>
  <c r="I848"/>
  <c r="BC848"/>
  <c r="AO848"/>
  <c r="Q848"/>
  <c r="AP848"/>
  <c r="E848"/>
  <c r="R848" s="1"/>
  <c r="B849"/>
  <c r="AS849"/>
  <c r="D849"/>
  <c r="A849"/>
  <c r="C850"/>
  <c r="BD847"/>
  <c r="BF847" s="1"/>
  <c r="BA847"/>
  <c r="AW847"/>
  <c r="AY847" s="1"/>
  <c r="K847"/>
  <c r="AT847"/>
  <c r="O846"/>
  <c r="Y846" s="1"/>
  <c r="W846"/>
  <c r="AR846"/>
  <c r="P385" l="1"/>
  <c r="U385" s="1"/>
  <c r="Z385" s="1"/>
  <c r="AF384"/>
  <c r="AH384"/>
  <c r="AG384"/>
  <c r="F848"/>
  <c r="T848" s="1"/>
  <c r="H847"/>
  <c r="S849"/>
  <c r="AR847"/>
  <c r="AW848"/>
  <c r="AY848" s="1"/>
  <c r="AT848"/>
  <c r="K848"/>
  <c r="AX848"/>
  <c r="AZ848" s="1"/>
  <c r="B850"/>
  <c r="A850"/>
  <c r="D850"/>
  <c r="C851"/>
  <c r="AS850"/>
  <c r="BD848"/>
  <c r="BF848" s="1"/>
  <c r="BA848"/>
  <c r="O847"/>
  <c r="Y847" s="1"/>
  <c r="W847"/>
  <c r="BB849"/>
  <c r="AO849"/>
  <c r="AU849"/>
  <c r="AV849"/>
  <c r="BC849"/>
  <c r="I849"/>
  <c r="AN849"/>
  <c r="AP849"/>
  <c r="Q849"/>
  <c r="E849"/>
  <c r="AK848"/>
  <c r="AL848"/>
  <c r="AJ848"/>
  <c r="BE848"/>
  <c r="BG848" s="1"/>
  <c r="AA385" l="1"/>
  <c r="AG385" s="1"/>
  <c r="AF385"/>
  <c r="AB385"/>
  <c r="H848"/>
  <c r="F849"/>
  <c r="T849" s="1"/>
  <c r="S850" s="1"/>
  <c r="AR848"/>
  <c r="K849"/>
  <c r="AW849"/>
  <c r="AY849" s="1"/>
  <c r="AT849"/>
  <c r="AX849"/>
  <c r="AZ849" s="1"/>
  <c r="O848"/>
  <c r="Y848" s="1"/>
  <c r="W848"/>
  <c r="BE849"/>
  <c r="BG849" s="1"/>
  <c r="BD849"/>
  <c r="BA849"/>
  <c r="BF849"/>
  <c r="BC850"/>
  <c r="AU850"/>
  <c r="I850"/>
  <c r="BB850"/>
  <c r="AN850"/>
  <c r="Q850"/>
  <c r="AP850"/>
  <c r="AV850"/>
  <c r="AO850"/>
  <c r="E850"/>
  <c r="AJ849"/>
  <c r="AL849"/>
  <c r="AK849"/>
  <c r="R849"/>
  <c r="C852"/>
  <c r="AS851"/>
  <c r="A851"/>
  <c r="D851"/>
  <c r="B851"/>
  <c r="AH385" l="1"/>
  <c r="P386"/>
  <c r="H849"/>
  <c r="BE850"/>
  <c r="BG850" s="1"/>
  <c r="AR849"/>
  <c r="I851"/>
  <c r="AP851"/>
  <c r="AO851"/>
  <c r="AU851"/>
  <c r="Q851"/>
  <c r="AN851"/>
  <c r="BC851"/>
  <c r="AV851"/>
  <c r="BB851"/>
  <c r="E851"/>
  <c r="R851" s="1"/>
  <c r="AJ850"/>
  <c r="AL850"/>
  <c r="AK850"/>
  <c r="AW850"/>
  <c r="AY850" s="1"/>
  <c r="K850"/>
  <c r="AT850"/>
  <c r="C853"/>
  <c r="AS852"/>
  <c r="A852"/>
  <c r="B852"/>
  <c r="D852"/>
  <c r="AX850"/>
  <c r="AZ850" s="1"/>
  <c r="BD850"/>
  <c r="BF850" s="1"/>
  <c r="BA850"/>
  <c r="O849"/>
  <c r="Y849" s="1"/>
  <c r="W849"/>
  <c r="F850"/>
  <c r="R850"/>
  <c r="Z386" l="1"/>
  <c r="U386"/>
  <c r="F851"/>
  <c r="T851" s="1"/>
  <c r="AR850"/>
  <c r="BD851"/>
  <c r="BF851" s="1"/>
  <c r="BA851"/>
  <c r="AK851"/>
  <c r="AL851"/>
  <c r="AJ851"/>
  <c r="S852"/>
  <c r="O850"/>
  <c r="Y850" s="1"/>
  <c r="W850"/>
  <c r="BE851"/>
  <c r="BG851" s="1"/>
  <c r="T850"/>
  <c r="S851" s="1"/>
  <c r="H850"/>
  <c r="Q852"/>
  <c r="I852"/>
  <c r="AN852"/>
  <c r="AV852"/>
  <c r="BB852"/>
  <c r="AO852"/>
  <c r="AP852"/>
  <c r="BC852"/>
  <c r="AU852"/>
  <c r="E852"/>
  <c r="R852" s="1"/>
  <c r="D853"/>
  <c r="A853"/>
  <c r="B853"/>
  <c r="AS853"/>
  <c r="C854"/>
  <c r="AX851"/>
  <c r="AZ851" s="1"/>
  <c r="AT851"/>
  <c r="K851"/>
  <c r="AY851"/>
  <c r="AW851"/>
  <c r="L387" l="1"/>
  <c r="AF386"/>
  <c r="AA386"/>
  <c r="AB386"/>
  <c r="H851"/>
  <c r="D854"/>
  <c r="B854"/>
  <c r="C855"/>
  <c r="A854"/>
  <c r="AS854"/>
  <c r="AT852"/>
  <c r="K852"/>
  <c r="AW852"/>
  <c r="AY852" s="1"/>
  <c r="BD852"/>
  <c r="BF852" s="1"/>
  <c r="BA852"/>
  <c r="O851"/>
  <c r="Y851" s="1"/>
  <c r="W851"/>
  <c r="AP853"/>
  <c r="BB853"/>
  <c r="I853"/>
  <c r="AU853"/>
  <c r="AO853"/>
  <c r="AN853"/>
  <c r="AV853"/>
  <c r="BC853"/>
  <c r="Q853"/>
  <c r="E853"/>
  <c r="R853" s="1"/>
  <c r="AL852"/>
  <c r="AK852"/>
  <c r="AJ852"/>
  <c r="AR851"/>
  <c r="BE852"/>
  <c r="BG852" s="1"/>
  <c r="AX852"/>
  <c r="AZ852" s="1"/>
  <c r="F852"/>
  <c r="N387" l="1"/>
  <c r="AH386"/>
  <c r="P387"/>
  <c r="X387" s="1"/>
  <c r="F853"/>
  <c r="T853" s="1"/>
  <c r="AG386"/>
  <c r="M387"/>
  <c r="O852"/>
  <c r="Y852" s="1"/>
  <c r="W852"/>
  <c r="BE853"/>
  <c r="BG853" s="1"/>
  <c r="K853"/>
  <c r="AT853"/>
  <c r="AW853"/>
  <c r="AY853" s="1"/>
  <c r="I854"/>
  <c r="AV854"/>
  <c r="AU854"/>
  <c r="AN854"/>
  <c r="Q854"/>
  <c r="BB854"/>
  <c r="BC854"/>
  <c r="AO854"/>
  <c r="AP854"/>
  <c r="E854"/>
  <c r="R854" s="1"/>
  <c r="AR852"/>
  <c r="T852"/>
  <c r="S853" s="1"/>
  <c r="H852"/>
  <c r="AL853"/>
  <c r="AJ853"/>
  <c r="AK853"/>
  <c r="BD853"/>
  <c r="BF853" s="1"/>
  <c r="BA853"/>
  <c r="H853"/>
  <c r="AX853"/>
  <c r="AZ853" s="1"/>
  <c r="D855"/>
  <c r="A855"/>
  <c r="B855"/>
  <c r="C856"/>
  <c r="S854"/>
  <c r="U387" l="1"/>
  <c r="F854"/>
  <c r="T854" s="1"/>
  <c r="S855" s="1"/>
  <c r="AJ854"/>
  <c r="AL854"/>
  <c r="AK854"/>
  <c r="BD854"/>
  <c r="BF854" s="1"/>
  <c r="BA854"/>
  <c r="AX854"/>
  <c r="AZ854" s="1"/>
  <c r="Q855"/>
  <c r="AO855"/>
  <c r="I855"/>
  <c r="AV855"/>
  <c r="AU855"/>
  <c r="BB855"/>
  <c r="AN855"/>
  <c r="BC855"/>
  <c r="AP855"/>
  <c r="E855"/>
  <c r="A856"/>
  <c r="AS856"/>
  <c r="D856"/>
  <c r="C857"/>
  <c r="B856"/>
  <c r="BE854"/>
  <c r="BG854" s="1"/>
  <c r="AT854"/>
  <c r="AW854"/>
  <c r="AY854" s="1"/>
  <c r="K854"/>
  <c r="H854"/>
  <c r="AS855"/>
  <c r="AR853"/>
  <c r="O853"/>
  <c r="Y853" s="1"/>
  <c r="W853"/>
  <c r="Z387" l="1"/>
  <c r="AA387"/>
  <c r="AB387"/>
  <c r="AR854"/>
  <c r="G844"/>
  <c r="G845" s="1"/>
  <c r="G846" s="1"/>
  <c r="G847" s="1"/>
  <c r="G848" s="1"/>
  <c r="G849" s="1"/>
  <c r="G850" s="1"/>
  <c r="G851" s="1"/>
  <c r="G852" s="1"/>
  <c r="G853" s="1"/>
  <c r="G854" s="1"/>
  <c r="G855" s="1"/>
  <c r="AJ855"/>
  <c r="AK855"/>
  <c r="AL855"/>
  <c r="BA855"/>
  <c r="BD855"/>
  <c r="BF855" s="1"/>
  <c r="F855"/>
  <c r="O854"/>
  <c r="Y854" s="1"/>
  <c r="W854"/>
  <c r="BE855"/>
  <c r="BG855" s="1"/>
  <c r="AX855"/>
  <c r="AZ855" s="1"/>
  <c r="R855"/>
  <c r="C858"/>
  <c r="AS857"/>
  <c r="A857"/>
  <c r="D857"/>
  <c r="B857"/>
  <c r="AO856"/>
  <c r="I856"/>
  <c r="BC856"/>
  <c r="AV856"/>
  <c r="BB856"/>
  <c r="Q856"/>
  <c r="AN856"/>
  <c r="AU856"/>
  <c r="AP856"/>
  <c r="E856"/>
  <c r="AW855"/>
  <c r="AY855" s="1"/>
  <c r="AT855"/>
  <c r="K855"/>
  <c r="AF387" l="1"/>
  <c r="P388"/>
  <c r="U388" s="1"/>
  <c r="AB388" s="1"/>
  <c r="AG387"/>
  <c r="AH387"/>
  <c r="BC857"/>
  <c r="AP857"/>
  <c r="AU857"/>
  <c r="Q857"/>
  <c r="I857"/>
  <c r="BB857"/>
  <c r="AV857"/>
  <c r="AO857"/>
  <c r="AN857"/>
  <c r="E857"/>
  <c r="R857" s="1"/>
  <c r="AW856"/>
  <c r="AY856" s="1"/>
  <c r="AT856"/>
  <c r="K856"/>
  <c r="AX856"/>
  <c r="AZ856" s="1"/>
  <c r="AR855"/>
  <c r="BD856"/>
  <c r="BF856" s="1"/>
  <c r="BA856"/>
  <c r="O855"/>
  <c r="Y855" s="1"/>
  <c r="W855"/>
  <c r="V855"/>
  <c r="AL856"/>
  <c r="AK856"/>
  <c r="AJ856"/>
  <c r="T855"/>
  <c r="H855"/>
  <c r="R856"/>
  <c r="BE856"/>
  <c r="BG856" s="1"/>
  <c r="C859"/>
  <c r="D858"/>
  <c r="A858"/>
  <c r="B858"/>
  <c r="AS858"/>
  <c r="F856"/>
  <c r="AH388" l="1"/>
  <c r="AA388"/>
  <c r="Z388"/>
  <c r="F857"/>
  <c r="H857" s="1"/>
  <c r="O856"/>
  <c r="W856"/>
  <c r="BE857"/>
  <c r="BG857" s="1"/>
  <c r="AL857"/>
  <c r="AK857"/>
  <c r="AJ857"/>
  <c r="BD857"/>
  <c r="BF857" s="1"/>
  <c r="BA857"/>
  <c r="AR856"/>
  <c r="AS859"/>
  <c r="A859"/>
  <c r="D859"/>
  <c r="C860"/>
  <c r="B859"/>
  <c r="L855"/>
  <c r="N855"/>
  <c r="M855"/>
  <c r="S856"/>
  <c r="T856"/>
  <c r="S857" s="1"/>
  <c r="H856"/>
  <c r="AO858"/>
  <c r="AV858"/>
  <c r="I858"/>
  <c r="AP858"/>
  <c r="BC858"/>
  <c r="Q858"/>
  <c r="AN858"/>
  <c r="BB858"/>
  <c r="AU858"/>
  <c r="E858"/>
  <c r="AZ857"/>
  <c r="AX857"/>
  <c r="AW857"/>
  <c r="AY857" s="1"/>
  <c r="AT857"/>
  <c r="K857"/>
  <c r="AG388" l="1"/>
  <c r="P389"/>
  <c r="AF388"/>
  <c r="F858"/>
  <c r="H858" s="1"/>
  <c r="T857"/>
  <c r="S858" s="1"/>
  <c r="AR857"/>
  <c r="BD858"/>
  <c r="BF858" s="1"/>
  <c r="BA858"/>
  <c r="A860"/>
  <c r="AS860"/>
  <c r="B860"/>
  <c r="D860"/>
  <c r="C861"/>
  <c r="AL858"/>
  <c r="AK858"/>
  <c r="AJ858"/>
  <c r="AX858"/>
  <c r="AZ858" s="1"/>
  <c r="O857"/>
  <c r="W857"/>
  <c r="AW858"/>
  <c r="AY858" s="1"/>
  <c r="AT858"/>
  <c r="K858"/>
  <c r="BE858"/>
  <c r="BG858" s="1"/>
  <c r="Y856"/>
  <c r="AN859"/>
  <c r="AV859"/>
  <c r="BB859"/>
  <c r="BC859"/>
  <c r="Q859"/>
  <c r="AP859"/>
  <c r="I859"/>
  <c r="AU859"/>
  <c r="AO859"/>
  <c r="E859"/>
  <c r="R859" s="1"/>
  <c r="R858"/>
  <c r="U389" l="1"/>
  <c r="AB389" s="1"/>
  <c r="T858"/>
  <c r="S859" s="1"/>
  <c r="F859"/>
  <c r="T859" s="1"/>
  <c r="S860" s="1"/>
  <c r="AR858"/>
  <c r="BD859"/>
  <c r="BF859" s="1"/>
  <c r="BA859"/>
  <c r="AL859"/>
  <c r="AK859"/>
  <c r="AJ859"/>
  <c r="AX859"/>
  <c r="AZ859" s="1"/>
  <c r="Q860"/>
  <c r="AN860"/>
  <c r="AU860"/>
  <c r="AO860"/>
  <c r="AP860"/>
  <c r="I860"/>
  <c r="AV860"/>
  <c r="BC860"/>
  <c r="BB860"/>
  <c r="E860"/>
  <c r="R860" s="1"/>
  <c r="O858"/>
  <c r="W858"/>
  <c r="A861"/>
  <c r="D861"/>
  <c r="B861"/>
  <c r="C862"/>
  <c r="AS861"/>
  <c r="AW859"/>
  <c r="AY859" s="1"/>
  <c r="K859"/>
  <c r="AT859"/>
  <c r="BE859"/>
  <c r="BG859" s="1"/>
  <c r="Y857"/>
  <c r="H859"/>
  <c r="AH389" l="1"/>
  <c r="AA389"/>
  <c r="Z389"/>
  <c r="Y858"/>
  <c r="F860"/>
  <c r="H860" s="1"/>
  <c r="BE860"/>
  <c r="BG860" s="1"/>
  <c r="BD860"/>
  <c r="BF860" s="1"/>
  <c r="BA860"/>
  <c r="D862"/>
  <c r="B862"/>
  <c r="AS862"/>
  <c r="C863"/>
  <c r="A862"/>
  <c r="AV861"/>
  <c r="I861"/>
  <c r="AP861"/>
  <c r="AN861"/>
  <c r="BB861"/>
  <c r="BC861"/>
  <c r="AO861"/>
  <c r="AU861"/>
  <c r="Q861"/>
  <c r="E861"/>
  <c r="AK860"/>
  <c r="AL860"/>
  <c r="AJ860"/>
  <c r="AR859"/>
  <c r="O859"/>
  <c r="Y859" s="1"/>
  <c r="W859"/>
  <c r="AX860"/>
  <c r="AZ860" s="1"/>
  <c r="AW860"/>
  <c r="AY860" s="1"/>
  <c r="AT860"/>
  <c r="K860"/>
  <c r="AF389" l="1"/>
  <c r="P390"/>
  <c r="AG389"/>
  <c r="T860"/>
  <c r="S861" s="1"/>
  <c r="F861"/>
  <c r="T861" s="1"/>
  <c r="S862" s="1"/>
  <c r="AR860"/>
  <c r="BD861"/>
  <c r="BF861" s="1"/>
  <c r="BA861"/>
  <c r="AX861"/>
  <c r="AZ861" s="1"/>
  <c r="AK861"/>
  <c r="AJ861"/>
  <c r="AL861"/>
  <c r="BE861"/>
  <c r="BG861" s="1"/>
  <c r="D863"/>
  <c r="B863"/>
  <c r="C864"/>
  <c r="A863"/>
  <c r="AS863"/>
  <c r="R861"/>
  <c r="H861"/>
  <c r="O860"/>
  <c r="Y860" s="1"/>
  <c r="W860"/>
  <c r="AW861"/>
  <c r="AY861" s="1"/>
  <c r="AT861"/>
  <c r="K861"/>
  <c r="BC862"/>
  <c r="AN862"/>
  <c r="BB862"/>
  <c r="AV862"/>
  <c r="AO862"/>
  <c r="Q862"/>
  <c r="I862"/>
  <c r="AU862"/>
  <c r="AP862"/>
  <c r="E862"/>
  <c r="U390" l="1"/>
  <c r="F862"/>
  <c r="H862" s="1"/>
  <c r="K862"/>
  <c r="AT862"/>
  <c r="AW862"/>
  <c r="AY862" s="1"/>
  <c r="AX862"/>
  <c r="AZ862" s="1"/>
  <c r="BE862"/>
  <c r="BG862" s="1"/>
  <c r="AK862"/>
  <c r="AJ862"/>
  <c r="AL862"/>
  <c r="A864"/>
  <c r="C865"/>
  <c r="AS864"/>
  <c r="B864"/>
  <c r="D864"/>
  <c r="AR861"/>
  <c r="BD862"/>
  <c r="BF862" s="1"/>
  <c r="BA862"/>
  <c r="R862"/>
  <c r="AV863"/>
  <c r="AP863"/>
  <c r="BB863"/>
  <c r="Q863"/>
  <c r="AN863"/>
  <c r="BC863"/>
  <c r="AU863"/>
  <c r="I863"/>
  <c r="AO863"/>
  <c r="E863"/>
  <c r="R863" s="1"/>
  <c r="O861"/>
  <c r="Y861" s="1"/>
  <c r="W861"/>
  <c r="Z390" l="1"/>
  <c r="AA390"/>
  <c r="AB390"/>
  <c r="T862"/>
  <c r="S863" s="1"/>
  <c r="AX863"/>
  <c r="AZ863" s="1"/>
  <c r="AR862"/>
  <c r="BD863"/>
  <c r="BF863" s="1"/>
  <c r="BA863"/>
  <c r="AS865"/>
  <c r="A865"/>
  <c r="B865"/>
  <c r="D865"/>
  <c r="C866"/>
  <c r="AL863"/>
  <c r="AJ863"/>
  <c r="AK863"/>
  <c r="BE863"/>
  <c r="BG863" s="1"/>
  <c r="I864"/>
  <c r="BC864"/>
  <c r="AU864"/>
  <c r="Q864"/>
  <c r="AN864"/>
  <c r="AV864"/>
  <c r="BB864"/>
  <c r="AP864"/>
  <c r="AO864"/>
  <c r="E864"/>
  <c r="R864" s="1"/>
  <c r="F863"/>
  <c r="K863"/>
  <c r="AW863"/>
  <c r="AY863" s="1"/>
  <c r="AT863"/>
  <c r="O862"/>
  <c r="Y862" s="1"/>
  <c r="W862"/>
  <c r="AF390" l="1"/>
  <c r="P391"/>
  <c r="Z391" s="1"/>
  <c r="AG390"/>
  <c r="AH390"/>
  <c r="U391"/>
  <c r="AA391" s="1"/>
  <c r="AG391" s="1"/>
  <c r="F864"/>
  <c r="H864" s="1"/>
  <c r="AR863"/>
  <c r="O863"/>
  <c r="Y863" s="1"/>
  <c r="W863"/>
  <c r="BD864"/>
  <c r="BF864" s="1"/>
  <c r="BA864"/>
  <c r="AT864"/>
  <c r="K864"/>
  <c r="AW864"/>
  <c r="AY864" s="1"/>
  <c r="T863"/>
  <c r="S864" s="1"/>
  <c r="H863"/>
  <c r="AS866"/>
  <c r="C867"/>
  <c r="D866"/>
  <c r="B866"/>
  <c r="A866"/>
  <c r="AJ864"/>
  <c r="AL864"/>
  <c r="AK864"/>
  <c r="AX864"/>
  <c r="AZ864" s="1"/>
  <c r="BE864"/>
  <c r="BG864" s="1"/>
  <c r="Q865"/>
  <c r="AP865"/>
  <c r="AU865"/>
  <c r="BC865"/>
  <c r="AV865"/>
  <c r="BB865"/>
  <c r="I865"/>
  <c r="AO865"/>
  <c r="AN865"/>
  <c r="E865"/>
  <c r="R865" s="1"/>
  <c r="AF391" l="1"/>
  <c r="AB391"/>
  <c r="P392" s="1"/>
  <c r="T864"/>
  <c r="S865" s="1"/>
  <c r="F865"/>
  <c r="T865" s="1"/>
  <c r="S866" s="1"/>
  <c r="AR864"/>
  <c r="AJ865"/>
  <c r="AK865"/>
  <c r="AL865"/>
  <c r="O864"/>
  <c r="Y864" s="1"/>
  <c r="W864"/>
  <c r="AX865"/>
  <c r="AZ865" s="1"/>
  <c r="D867"/>
  <c r="C868"/>
  <c r="A867"/>
  <c r="AS867" s="1"/>
  <c r="B867"/>
  <c r="BD865"/>
  <c r="BF865" s="1"/>
  <c r="BA865"/>
  <c r="AT865"/>
  <c r="K865"/>
  <c r="AW865"/>
  <c r="AY865" s="1"/>
  <c r="BE865"/>
  <c r="BG865" s="1"/>
  <c r="AN866"/>
  <c r="AV866"/>
  <c r="Q866"/>
  <c r="BB866"/>
  <c r="BC866"/>
  <c r="AO866"/>
  <c r="AU866"/>
  <c r="AP866"/>
  <c r="I866"/>
  <c r="E866"/>
  <c r="R866" s="1"/>
  <c r="AA392" l="1"/>
  <c r="AH391"/>
  <c r="U392"/>
  <c r="Z392" s="1"/>
  <c r="AB392"/>
  <c r="H865"/>
  <c r="AR865"/>
  <c r="AT866"/>
  <c r="K866"/>
  <c r="AW866"/>
  <c r="AY866" s="1"/>
  <c r="D868"/>
  <c r="A868"/>
  <c r="AS868"/>
  <c r="B868"/>
  <c r="C869"/>
  <c r="BE866"/>
  <c r="BG866" s="1"/>
  <c r="AJ866"/>
  <c r="AK866"/>
  <c r="AL866"/>
  <c r="AX866"/>
  <c r="AZ866" s="1"/>
  <c r="BA866"/>
  <c r="BD866"/>
  <c r="BF866" s="1"/>
  <c r="O865"/>
  <c r="Y865" s="1"/>
  <c r="W865"/>
  <c r="BB867"/>
  <c r="BC867"/>
  <c r="Q867"/>
  <c r="AV867"/>
  <c r="I867"/>
  <c r="AP867"/>
  <c r="AU867"/>
  <c r="AN867"/>
  <c r="AO867"/>
  <c r="E867"/>
  <c r="F866"/>
  <c r="AH392" l="1"/>
  <c r="AG392"/>
  <c r="P393"/>
  <c r="U393" s="1"/>
  <c r="AF392"/>
  <c r="AR866"/>
  <c r="AL867"/>
  <c r="AK867"/>
  <c r="AJ867"/>
  <c r="BE867"/>
  <c r="BG867" s="1"/>
  <c r="T866"/>
  <c r="S867" s="1"/>
  <c r="H866"/>
  <c r="AT867"/>
  <c r="AW867"/>
  <c r="AY867" s="1"/>
  <c r="K867"/>
  <c r="G856"/>
  <c r="G857" s="1"/>
  <c r="G858" s="1"/>
  <c r="G859" s="1"/>
  <c r="G860" s="1"/>
  <c r="G861" s="1"/>
  <c r="G862" s="1"/>
  <c r="G863" s="1"/>
  <c r="G864" s="1"/>
  <c r="G865" s="1"/>
  <c r="G866" s="1"/>
  <c r="G867" s="1"/>
  <c r="B869"/>
  <c r="C870"/>
  <c r="AS869"/>
  <c r="D869"/>
  <c r="A869"/>
  <c r="AN868"/>
  <c r="AP868"/>
  <c r="AU868"/>
  <c r="I868"/>
  <c r="AO868"/>
  <c r="BC868"/>
  <c r="BB868"/>
  <c r="Q868"/>
  <c r="AV868"/>
  <c r="E868"/>
  <c r="O866"/>
  <c r="Y866" s="1"/>
  <c r="W866"/>
  <c r="BD867"/>
  <c r="BF867" s="1"/>
  <c r="BA867"/>
  <c r="R867"/>
  <c r="AX867"/>
  <c r="AZ867" s="1"/>
  <c r="F867"/>
  <c r="AB393" l="1"/>
  <c r="AA393"/>
  <c r="AG393" s="1"/>
  <c r="Z393"/>
  <c r="P394"/>
  <c r="AF393"/>
  <c r="AH393"/>
  <c r="AR867"/>
  <c r="F868"/>
  <c r="H868" s="1"/>
  <c r="AW868"/>
  <c r="AY868" s="1"/>
  <c r="AT868"/>
  <c r="K868"/>
  <c r="T867"/>
  <c r="H867"/>
  <c r="AX868"/>
  <c r="AZ868" s="1"/>
  <c r="AL868"/>
  <c r="AK868"/>
  <c r="AJ868"/>
  <c r="BE868"/>
  <c r="BG868" s="1"/>
  <c r="R868"/>
  <c r="BA868"/>
  <c r="BD868"/>
  <c r="BF868" s="1"/>
  <c r="BC869"/>
  <c r="BB869"/>
  <c r="Q869"/>
  <c r="AV869"/>
  <c r="AN869"/>
  <c r="AP869"/>
  <c r="AO869"/>
  <c r="I869"/>
  <c r="AU869"/>
  <c r="E869"/>
  <c r="R869" s="1"/>
  <c r="AS870"/>
  <c r="A870"/>
  <c r="C871"/>
  <c r="B870"/>
  <c r="D870"/>
  <c r="O867"/>
  <c r="Y867" s="1"/>
  <c r="W867"/>
  <c r="V867"/>
  <c r="AB394" l="1"/>
  <c r="AH394" s="1"/>
  <c r="U394"/>
  <c r="AA394" s="1"/>
  <c r="AG394" s="1"/>
  <c r="Z394"/>
  <c r="AR868"/>
  <c r="T868"/>
  <c r="S869" s="1"/>
  <c r="O868"/>
  <c r="Y868" s="1"/>
  <c r="W868"/>
  <c r="AJ869"/>
  <c r="AL869"/>
  <c r="AK869"/>
  <c r="BD869"/>
  <c r="BF869" s="1"/>
  <c r="BA869"/>
  <c r="F869"/>
  <c r="AP870"/>
  <c r="I870"/>
  <c r="AU870"/>
  <c r="AO870"/>
  <c r="BC870"/>
  <c r="Q870"/>
  <c r="AV870"/>
  <c r="AN870"/>
  <c r="BB870"/>
  <c r="E870"/>
  <c r="R870" s="1"/>
  <c r="AX869"/>
  <c r="AZ869" s="1"/>
  <c r="L867"/>
  <c r="M867"/>
  <c r="N867"/>
  <c r="S868"/>
  <c r="C872"/>
  <c r="B871"/>
  <c r="AS871"/>
  <c r="D871"/>
  <c r="A871"/>
  <c r="AW869"/>
  <c r="AY869" s="1"/>
  <c r="K869"/>
  <c r="AT869"/>
  <c r="BG869"/>
  <c r="BE869"/>
  <c r="AF394" l="1"/>
  <c r="P395"/>
  <c r="AR869"/>
  <c r="F870"/>
  <c r="H870" s="1"/>
  <c r="AL870"/>
  <c r="AJ870"/>
  <c r="AK870"/>
  <c r="AX870"/>
  <c r="AZ870" s="1"/>
  <c r="AT870"/>
  <c r="K870"/>
  <c r="AW870"/>
  <c r="AY870" s="1"/>
  <c r="O869"/>
  <c r="Y869" s="1"/>
  <c r="W869"/>
  <c r="B872"/>
  <c r="AS872"/>
  <c r="D872"/>
  <c r="A872"/>
  <c r="C873"/>
  <c r="T869"/>
  <c r="S870" s="1"/>
  <c r="H869"/>
  <c r="I871"/>
  <c r="AP871"/>
  <c r="AO871"/>
  <c r="BC871"/>
  <c r="AV871"/>
  <c r="BB871"/>
  <c r="AU871"/>
  <c r="AN871"/>
  <c r="Q871"/>
  <c r="E871"/>
  <c r="R871" s="1"/>
  <c r="BD870"/>
  <c r="BF870" s="1"/>
  <c r="BA870"/>
  <c r="BE870"/>
  <c r="BG870" s="1"/>
  <c r="U395" l="1"/>
  <c r="Z395" s="1"/>
  <c r="T870"/>
  <c r="S871" s="1"/>
  <c r="F871"/>
  <c r="H871" s="1"/>
  <c r="AR870"/>
  <c r="BD871"/>
  <c r="BF871" s="1"/>
  <c r="BA871"/>
  <c r="AN872"/>
  <c r="Q872"/>
  <c r="AP872"/>
  <c r="AV872"/>
  <c r="BB872"/>
  <c r="AU872"/>
  <c r="I872"/>
  <c r="AO872"/>
  <c r="BC872"/>
  <c r="E872"/>
  <c r="R872" s="1"/>
  <c r="K871"/>
  <c r="AW871"/>
  <c r="AY871" s="1"/>
  <c r="AT871"/>
  <c r="BE871"/>
  <c r="BG871" s="1"/>
  <c r="A873"/>
  <c r="B873"/>
  <c r="AS873"/>
  <c r="D873"/>
  <c r="C874"/>
  <c r="O870"/>
  <c r="Y870" s="1"/>
  <c r="W870"/>
  <c r="AK871"/>
  <c r="AJ871"/>
  <c r="AL871"/>
  <c r="AX871"/>
  <c r="AZ871" s="1"/>
  <c r="AF395" l="1"/>
  <c r="AA395"/>
  <c r="P396" s="1"/>
  <c r="AB395"/>
  <c r="T871"/>
  <c r="S872" s="1"/>
  <c r="AR871"/>
  <c r="O871"/>
  <c r="Y871" s="1"/>
  <c r="W871"/>
  <c r="AX872"/>
  <c r="AZ872" s="1"/>
  <c r="BE872"/>
  <c r="BG872" s="1"/>
  <c r="BA872"/>
  <c r="BD872"/>
  <c r="BF872" s="1"/>
  <c r="D874"/>
  <c r="B874"/>
  <c r="AS874"/>
  <c r="C875"/>
  <c r="A874"/>
  <c r="Q873"/>
  <c r="AP873"/>
  <c r="AN873"/>
  <c r="AU873"/>
  <c r="AO873"/>
  <c r="BC873"/>
  <c r="AV873"/>
  <c r="I873"/>
  <c r="BB873"/>
  <c r="E873"/>
  <c r="AJ872"/>
  <c r="AL872"/>
  <c r="AK872"/>
  <c r="AW872"/>
  <c r="AY872" s="1"/>
  <c r="K872"/>
  <c r="AT872"/>
  <c r="F872"/>
  <c r="Z396" l="1"/>
  <c r="AG395"/>
  <c r="AH395"/>
  <c r="U396"/>
  <c r="AA396" s="1"/>
  <c r="AG396" s="1"/>
  <c r="T872"/>
  <c r="S873" s="1"/>
  <c r="H872"/>
  <c r="AL873"/>
  <c r="AK873"/>
  <c r="AJ873"/>
  <c r="AX873"/>
  <c r="AZ873" s="1"/>
  <c r="AR872"/>
  <c r="BE873"/>
  <c r="BG873" s="1"/>
  <c r="B875"/>
  <c r="C876"/>
  <c r="A875"/>
  <c r="D875"/>
  <c r="AS875"/>
  <c r="AT873"/>
  <c r="AW873"/>
  <c r="AY873" s="1"/>
  <c r="K873"/>
  <c r="AU874"/>
  <c r="AN874"/>
  <c r="Q874"/>
  <c r="BB874"/>
  <c r="BC874"/>
  <c r="AO874"/>
  <c r="I874"/>
  <c r="AP874"/>
  <c r="AV874"/>
  <c r="E874"/>
  <c r="R874" s="1"/>
  <c r="F873"/>
  <c r="O872"/>
  <c r="Y872" s="1"/>
  <c r="W872"/>
  <c r="BA873"/>
  <c r="BD873"/>
  <c r="BF873" s="1"/>
  <c r="R873"/>
  <c r="AB396" l="1"/>
  <c r="AF396"/>
  <c r="F874"/>
  <c r="T874" s="1"/>
  <c r="AR873"/>
  <c r="O873"/>
  <c r="Y873" s="1"/>
  <c r="W873"/>
  <c r="AX874"/>
  <c r="AZ874" s="1"/>
  <c r="BE874"/>
  <c r="BG874" s="1"/>
  <c r="AT874"/>
  <c r="K874"/>
  <c r="AW874"/>
  <c r="AY874" s="1"/>
  <c r="A876"/>
  <c r="C877"/>
  <c r="B876"/>
  <c r="D876"/>
  <c r="AS876"/>
  <c r="BD874"/>
  <c r="BF874" s="1"/>
  <c r="BA874"/>
  <c r="T873"/>
  <c r="S874" s="1"/>
  <c r="H873"/>
  <c r="AL874"/>
  <c r="AK874"/>
  <c r="AJ874"/>
  <c r="BB875"/>
  <c r="AN875"/>
  <c r="AP875"/>
  <c r="AU875"/>
  <c r="AO875"/>
  <c r="AV875"/>
  <c r="BC875"/>
  <c r="I875"/>
  <c r="Q875"/>
  <c r="E875"/>
  <c r="S875"/>
  <c r="AH396" l="1"/>
  <c r="AB397"/>
  <c r="AH397" s="1"/>
  <c r="U397"/>
  <c r="P397"/>
  <c r="H874"/>
  <c r="A877"/>
  <c r="C878"/>
  <c r="AS877"/>
  <c r="D877"/>
  <c r="B877"/>
  <c r="O874"/>
  <c r="Y874" s="1"/>
  <c r="W874"/>
  <c r="AT875"/>
  <c r="AW875"/>
  <c r="AY875" s="1"/>
  <c r="K875"/>
  <c r="BD875"/>
  <c r="BF875" s="1"/>
  <c r="BA875"/>
  <c r="AL875"/>
  <c r="AJ875"/>
  <c r="AK875"/>
  <c r="AX875"/>
  <c r="AZ875" s="1"/>
  <c r="F875"/>
  <c r="BE875"/>
  <c r="BG875" s="1"/>
  <c r="BC876"/>
  <c r="AP876"/>
  <c r="BB876"/>
  <c r="AO876"/>
  <c r="I876"/>
  <c r="AU876"/>
  <c r="Q876"/>
  <c r="AN876"/>
  <c r="AV876"/>
  <c r="E876"/>
  <c r="R875"/>
  <c r="AR874"/>
  <c r="Z397" l="1"/>
  <c r="AA397"/>
  <c r="F876"/>
  <c r="T876" s="1"/>
  <c r="O875"/>
  <c r="Y875" s="1"/>
  <c r="W875"/>
  <c r="BA876"/>
  <c r="BD876"/>
  <c r="BF876" s="1"/>
  <c r="AJ876"/>
  <c r="AL876"/>
  <c r="AK876"/>
  <c r="AV877"/>
  <c r="BB877"/>
  <c r="Q877"/>
  <c r="BC877"/>
  <c r="I877"/>
  <c r="AO877"/>
  <c r="AU877"/>
  <c r="AN877"/>
  <c r="AP877"/>
  <c r="E877"/>
  <c r="R877" s="1"/>
  <c r="AW876"/>
  <c r="AY876" s="1"/>
  <c r="K876"/>
  <c r="AT876"/>
  <c r="T875"/>
  <c r="S876" s="1"/>
  <c r="H875"/>
  <c r="AZ876"/>
  <c r="AX876"/>
  <c r="BG876"/>
  <c r="BE876"/>
  <c r="D878"/>
  <c r="B878"/>
  <c r="A878"/>
  <c r="C879"/>
  <c r="AS878"/>
  <c r="AR875"/>
  <c r="S877"/>
  <c r="R876"/>
  <c r="H876" l="1"/>
  <c r="P398"/>
  <c r="U398" s="1"/>
  <c r="AB398" s="1"/>
  <c r="AF397"/>
  <c r="AG397"/>
  <c r="AA398"/>
  <c r="F877"/>
  <c r="T877" s="1"/>
  <c r="S878" s="1"/>
  <c r="AR876"/>
  <c r="B879"/>
  <c r="D879"/>
  <c r="A879"/>
  <c r="C880"/>
  <c r="AJ877"/>
  <c r="AK877"/>
  <c r="AL877"/>
  <c r="BD877"/>
  <c r="BF877" s="1"/>
  <c r="BA877"/>
  <c r="AV878"/>
  <c r="BB878"/>
  <c r="AU878"/>
  <c r="BC878"/>
  <c r="AO878"/>
  <c r="AP878"/>
  <c r="I878"/>
  <c r="AN878"/>
  <c r="Q878"/>
  <c r="E878"/>
  <c r="R878" s="1"/>
  <c r="AW877"/>
  <c r="AY877" s="1"/>
  <c r="AT877"/>
  <c r="K877"/>
  <c r="BE877"/>
  <c r="BG877" s="1"/>
  <c r="O876"/>
  <c r="Y876" s="1"/>
  <c r="W876"/>
  <c r="AX877"/>
  <c r="AZ877" s="1"/>
  <c r="H877"/>
  <c r="N399" l="1"/>
  <c r="AH398"/>
  <c r="AG398"/>
  <c r="M399"/>
  <c r="Z398"/>
  <c r="F878"/>
  <c r="T878" s="1"/>
  <c r="S879" s="1"/>
  <c r="BE878"/>
  <c r="BG878" s="1"/>
  <c r="AV879"/>
  <c r="AU879"/>
  <c r="BC879"/>
  <c r="AO879"/>
  <c r="I879"/>
  <c r="AN879"/>
  <c r="AP879"/>
  <c r="Q879"/>
  <c r="BB879"/>
  <c r="E879"/>
  <c r="R879" s="1"/>
  <c r="AL878"/>
  <c r="AK878"/>
  <c r="AJ878"/>
  <c r="BD878"/>
  <c r="BF878" s="1"/>
  <c r="BA878"/>
  <c r="D880"/>
  <c r="B880"/>
  <c r="AS880"/>
  <c r="C881"/>
  <c r="A880"/>
  <c r="O877"/>
  <c r="Y877" s="1"/>
  <c r="W877"/>
  <c r="AX878"/>
  <c r="AZ878" s="1"/>
  <c r="AT878"/>
  <c r="K878"/>
  <c r="AW878"/>
  <c r="AY878" s="1"/>
  <c r="AR877"/>
  <c r="H878"/>
  <c r="AS879"/>
  <c r="L399" l="1"/>
  <c r="AF398"/>
  <c r="P399"/>
  <c r="AR878"/>
  <c r="AK879"/>
  <c r="AL879"/>
  <c r="AJ879"/>
  <c r="AT879"/>
  <c r="K879"/>
  <c r="AW879"/>
  <c r="AY879" s="1"/>
  <c r="C882"/>
  <c r="D881"/>
  <c r="B881"/>
  <c r="A881"/>
  <c r="AS881"/>
  <c r="BE879"/>
  <c r="BG879" s="1"/>
  <c r="F879"/>
  <c r="O878"/>
  <c r="Y878" s="1"/>
  <c r="W878"/>
  <c r="AO880"/>
  <c r="AV880"/>
  <c r="BC880"/>
  <c r="AP880"/>
  <c r="Q880"/>
  <c r="AN880"/>
  <c r="AU880"/>
  <c r="I880"/>
  <c r="BB880"/>
  <c r="E880"/>
  <c r="G868"/>
  <c r="G869" s="1"/>
  <c r="G870" s="1"/>
  <c r="G871" s="1"/>
  <c r="G872" s="1"/>
  <c r="G873" s="1"/>
  <c r="G874" s="1"/>
  <c r="G875" s="1"/>
  <c r="G876" s="1"/>
  <c r="G877" s="1"/>
  <c r="G878" s="1"/>
  <c r="G879" s="1"/>
  <c r="BD879"/>
  <c r="BF879" s="1"/>
  <c r="BA879"/>
  <c r="AX879"/>
  <c r="AZ879" s="1"/>
  <c r="X399" l="1"/>
  <c r="AA399"/>
  <c r="AG399" s="1"/>
  <c r="U399"/>
  <c r="Z399" s="1"/>
  <c r="AB399"/>
  <c r="F880"/>
  <c r="T880" s="1"/>
  <c r="AR879"/>
  <c r="AX880"/>
  <c r="AZ880" s="1"/>
  <c r="S881"/>
  <c r="AK880"/>
  <c r="AJ880"/>
  <c r="AL880"/>
  <c r="AW880"/>
  <c r="AY880" s="1"/>
  <c r="K880"/>
  <c r="AT880"/>
  <c r="BE880"/>
  <c r="BG880" s="1"/>
  <c r="H880"/>
  <c r="BB881"/>
  <c r="I881"/>
  <c r="BC881"/>
  <c r="AO881"/>
  <c r="AN881"/>
  <c r="AU881"/>
  <c r="Q881"/>
  <c r="AV881"/>
  <c r="AP881"/>
  <c r="E881"/>
  <c r="R881" s="1"/>
  <c r="B882"/>
  <c r="D882"/>
  <c r="C883"/>
  <c r="AS882"/>
  <c r="A882"/>
  <c r="BF880"/>
  <c r="BD880"/>
  <c r="BA880"/>
  <c r="T879"/>
  <c r="H879"/>
  <c r="O879"/>
  <c r="Y879" s="1"/>
  <c r="W879"/>
  <c r="V879"/>
  <c r="R880"/>
  <c r="P400" l="1"/>
  <c r="AF399"/>
  <c r="AH399"/>
  <c r="AR880"/>
  <c r="F881"/>
  <c r="H881" s="1"/>
  <c r="L879"/>
  <c r="M879"/>
  <c r="N879"/>
  <c r="S880"/>
  <c r="AX881"/>
  <c r="AZ881" s="1"/>
  <c r="C884"/>
  <c r="D883"/>
  <c r="AS883"/>
  <c r="A883"/>
  <c r="B883"/>
  <c r="BD881"/>
  <c r="BF881" s="1"/>
  <c r="BA881"/>
  <c r="AJ881"/>
  <c r="AK881"/>
  <c r="AL881"/>
  <c r="AW881"/>
  <c r="AY881" s="1"/>
  <c r="AR881" s="1"/>
  <c r="AT881"/>
  <c r="K881"/>
  <c r="BE881"/>
  <c r="BG881" s="1"/>
  <c r="AO882"/>
  <c r="BB882"/>
  <c r="Q882"/>
  <c r="I882"/>
  <c r="BC882"/>
  <c r="AV882"/>
  <c r="AP882"/>
  <c r="AN882"/>
  <c r="AU882"/>
  <c r="E882"/>
  <c r="O880"/>
  <c r="Y880" s="1"/>
  <c r="W880"/>
  <c r="AA400" l="1"/>
  <c r="AG400" s="1"/>
  <c r="U400"/>
  <c r="T881"/>
  <c r="S882" s="1"/>
  <c r="F882"/>
  <c r="H882" s="1"/>
  <c r="AJ882"/>
  <c r="AK882"/>
  <c r="AL882"/>
  <c r="AX882"/>
  <c r="AZ882" s="1"/>
  <c r="BA882"/>
  <c r="BD882"/>
  <c r="BF882" s="1"/>
  <c r="K882"/>
  <c r="AW882"/>
  <c r="AY882" s="1"/>
  <c r="AT882"/>
  <c r="BE882"/>
  <c r="BG882" s="1"/>
  <c r="Q883"/>
  <c r="AU883"/>
  <c r="AV883"/>
  <c r="BB883"/>
  <c r="AP883"/>
  <c r="I883"/>
  <c r="BC883"/>
  <c r="AN883"/>
  <c r="AO883"/>
  <c r="E883"/>
  <c r="R883" s="1"/>
  <c r="A884"/>
  <c r="AS884"/>
  <c r="C885"/>
  <c r="D884"/>
  <c r="B884"/>
  <c r="O881"/>
  <c r="Y881" s="1"/>
  <c r="W881"/>
  <c r="R882"/>
  <c r="Z400" l="1"/>
  <c r="AB400"/>
  <c r="F883"/>
  <c r="T883" s="1"/>
  <c r="T882"/>
  <c r="S883" s="1"/>
  <c r="S884"/>
  <c r="AR882"/>
  <c r="BC884"/>
  <c r="AU884"/>
  <c r="AP884"/>
  <c r="Q884"/>
  <c r="I884"/>
  <c r="BB884"/>
  <c r="AV884"/>
  <c r="AO884"/>
  <c r="AN884"/>
  <c r="E884"/>
  <c r="R884" s="1"/>
  <c r="BE883"/>
  <c r="BG883" s="1"/>
  <c r="AX883"/>
  <c r="AZ883" s="1"/>
  <c r="O882"/>
  <c r="Y882" s="1"/>
  <c r="W882"/>
  <c r="BD883"/>
  <c r="BF883" s="1"/>
  <c r="BA883"/>
  <c r="H883"/>
  <c r="B885"/>
  <c r="A885"/>
  <c r="AS885"/>
  <c r="C886"/>
  <c r="D885"/>
  <c r="AJ883"/>
  <c r="AK883"/>
  <c r="AL883"/>
  <c r="AW883"/>
  <c r="AY883" s="1"/>
  <c r="K883"/>
  <c r="AT883"/>
  <c r="AF400" l="1"/>
  <c r="P401"/>
  <c r="U401" s="1"/>
  <c r="AA401" s="1"/>
  <c r="AH400"/>
  <c r="F884"/>
  <c r="BE884"/>
  <c r="BG884" s="1"/>
  <c r="AJ884"/>
  <c r="AK884"/>
  <c r="AL884"/>
  <c r="BD884"/>
  <c r="BF884" s="1"/>
  <c r="BA884"/>
  <c r="AW884"/>
  <c r="AY884" s="1"/>
  <c r="K884"/>
  <c r="AT884"/>
  <c r="O883"/>
  <c r="Y883" s="1"/>
  <c r="W883"/>
  <c r="AO885"/>
  <c r="I885"/>
  <c r="AV885"/>
  <c r="Q885"/>
  <c r="BC885"/>
  <c r="AP885"/>
  <c r="AN885"/>
  <c r="BB885"/>
  <c r="AU885"/>
  <c r="E885"/>
  <c r="D886"/>
  <c r="A886"/>
  <c r="B886"/>
  <c r="F885" s="1"/>
  <c r="C887"/>
  <c r="AS886"/>
  <c r="AX884"/>
  <c r="AZ884" s="1"/>
  <c r="AR883"/>
  <c r="AB401" l="1"/>
  <c r="Z401"/>
  <c r="AG401"/>
  <c r="AR884"/>
  <c r="T885"/>
  <c r="S886" s="1"/>
  <c r="H885"/>
  <c r="O884"/>
  <c r="Y884" s="1"/>
  <c r="W884"/>
  <c r="AS887"/>
  <c r="A887"/>
  <c r="C888"/>
  <c r="D887"/>
  <c r="B887"/>
  <c r="T884"/>
  <c r="S885" s="1"/>
  <c r="H884"/>
  <c r="AK885"/>
  <c r="AJ885"/>
  <c r="AL885"/>
  <c r="AX885"/>
  <c r="AZ885" s="1"/>
  <c r="AO886"/>
  <c r="AN886"/>
  <c r="BB886"/>
  <c r="AV886"/>
  <c r="BC886"/>
  <c r="I886"/>
  <c r="AU886"/>
  <c r="AP886"/>
  <c r="Q886"/>
  <c r="E886"/>
  <c r="BD885"/>
  <c r="BF885" s="1"/>
  <c r="BA885"/>
  <c r="AW885"/>
  <c r="AY885" s="1"/>
  <c r="AT885"/>
  <c r="K885"/>
  <c r="BE885"/>
  <c r="BG885" s="1"/>
  <c r="R885"/>
  <c r="AH401" l="1"/>
  <c r="U402"/>
  <c r="Z402" s="1"/>
  <c r="AB402"/>
  <c r="AH402" s="1"/>
  <c r="P402"/>
  <c r="AA402" s="1"/>
  <c r="AF401"/>
  <c r="F886"/>
  <c r="T886" s="1"/>
  <c r="S887" s="1"/>
  <c r="AR885"/>
  <c r="C889"/>
  <c r="A888"/>
  <c r="AS888"/>
  <c r="B888"/>
  <c r="D888"/>
  <c r="AJ886"/>
  <c r="AL886"/>
  <c r="AK886"/>
  <c r="BE886"/>
  <c r="BG886" s="1"/>
  <c r="O885"/>
  <c r="Y885" s="1"/>
  <c r="W885"/>
  <c r="K886"/>
  <c r="AT886"/>
  <c r="AW886"/>
  <c r="AY886" s="1"/>
  <c r="BD886"/>
  <c r="BF886" s="1"/>
  <c r="BA886"/>
  <c r="AX886"/>
  <c r="AZ886" s="1"/>
  <c r="AV887"/>
  <c r="I887"/>
  <c r="BC887"/>
  <c r="AP887"/>
  <c r="BB887"/>
  <c r="AU887"/>
  <c r="AN887"/>
  <c r="Q887"/>
  <c r="AO887"/>
  <c r="E887"/>
  <c r="R887" s="1"/>
  <c r="R886"/>
  <c r="AF402" l="1"/>
  <c r="P403"/>
  <c r="AG402"/>
  <c r="H886"/>
  <c r="F887"/>
  <c r="H887" s="1"/>
  <c r="AR886"/>
  <c r="AX887"/>
  <c r="AZ887" s="1"/>
  <c r="AW887"/>
  <c r="AY887" s="1"/>
  <c r="AT887"/>
  <c r="K887"/>
  <c r="BE887"/>
  <c r="BG887" s="1"/>
  <c r="AS889"/>
  <c r="A889"/>
  <c r="B889"/>
  <c r="C890"/>
  <c r="D889"/>
  <c r="BD887"/>
  <c r="BF887" s="1"/>
  <c r="BA887"/>
  <c r="O886"/>
  <c r="Y886" s="1"/>
  <c r="W886"/>
  <c r="I888"/>
  <c r="Q888"/>
  <c r="AP888"/>
  <c r="AU888"/>
  <c r="AN888"/>
  <c r="BC888"/>
  <c r="AV888"/>
  <c r="AO888"/>
  <c r="BB888"/>
  <c r="E888"/>
  <c r="R888" s="1"/>
  <c r="AL887"/>
  <c r="AK887"/>
  <c r="AJ887"/>
  <c r="U403" l="1"/>
  <c r="Z403" s="1"/>
  <c r="T887"/>
  <c r="S888" s="1"/>
  <c r="AR887"/>
  <c r="AX888"/>
  <c r="AZ888" s="1"/>
  <c r="AV889"/>
  <c r="BC889"/>
  <c r="BB889"/>
  <c r="AP889"/>
  <c r="AU889"/>
  <c r="I889"/>
  <c r="AO889"/>
  <c r="AN889"/>
  <c r="Q889"/>
  <c r="E889"/>
  <c r="R889" s="1"/>
  <c r="O887"/>
  <c r="Y887" s="1"/>
  <c r="W887"/>
  <c r="F888"/>
  <c r="K888"/>
  <c r="AW888"/>
  <c r="AY888" s="1"/>
  <c r="AT888"/>
  <c r="BD888"/>
  <c r="BF888" s="1"/>
  <c r="BA888"/>
  <c r="AJ888"/>
  <c r="AK888"/>
  <c r="AL888"/>
  <c r="BE888"/>
  <c r="BG888" s="1"/>
  <c r="D890"/>
  <c r="A890"/>
  <c r="B890"/>
  <c r="C891"/>
  <c r="AS890"/>
  <c r="AF403" l="1"/>
  <c r="AB403"/>
  <c r="AA403"/>
  <c r="AR888"/>
  <c r="AJ889"/>
  <c r="AL889"/>
  <c r="AK889"/>
  <c r="BE889"/>
  <c r="BG889" s="1"/>
  <c r="C892"/>
  <c r="B891"/>
  <c r="D891"/>
  <c r="A891"/>
  <c r="AS891" s="1"/>
  <c r="O888"/>
  <c r="Y888" s="1"/>
  <c r="W888"/>
  <c r="T888"/>
  <c r="S889" s="1"/>
  <c r="H888"/>
  <c r="BD889"/>
  <c r="BF889" s="1"/>
  <c r="BA889"/>
  <c r="I890"/>
  <c r="AU890"/>
  <c r="AO890"/>
  <c r="BB890"/>
  <c r="AP890"/>
  <c r="BC890"/>
  <c r="AV890"/>
  <c r="Q890"/>
  <c r="AN890"/>
  <c r="E890"/>
  <c r="R890" s="1"/>
  <c r="F889"/>
  <c r="K889"/>
  <c r="AW889"/>
  <c r="AY889" s="1"/>
  <c r="AT889"/>
  <c r="AX889"/>
  <c r="AZ889" s="1"/>
  <c r="AG403" l="1"/>
  <c r="P404"/>
  <c r="AH403"/>
  <c r="F890"/>
  <c r="T890" s="1"/>
  <c r="AR889"/>
  <c r="AX890"/>
  <c r="AZ890" s="1"/>
  <c r="AS892"/>
  <c r="C893"/>
  <c r="A892"/>
  <c r="B892"/>
  <c r="D892"/>
  <c r="BB891"/>
  <c r="I891"/>
  <c r="AO891"/>
  <c r="BC891"/>
  <c r="AN891"/>
  <c r="AP891"/>
  <c r="AU891"/>
  <c r="Q891"/>
  <c r="AV891"/>
  <c r="E891"/>
  <c r="BD890"/>
  <c r="BF890" s="1"/>
  <c r="BA890"/>
  <c r="O889"/>
  <c r="Y889" s="1"/>
  <c r="W889"/>
  <c r="T889"/>
  <c r="S890" s="1"/>
  <c r="H889"/>
  <c r="AL890"/>
  <c r="AJ890"/>
  <c r="AK890"/>
  <c r="BE890"/>
  <c r="BG890" s="1"/>
  <c r="AT890"/>
  <c r="K890"/>
  <c r="AW890"/>
  <c r="AY890" s="1"/>
  <c r="S891"/>
  <c r="U404" l="1"/>
  <c r="H890"/>
  <c r="AX891"/>
  <c r="AZ891" s="1"/>
  <c r="BD891"/>
  <c r="BF891" s="1"/>
  <c r="BA891"/>
  <c r="G880"/>
  <c r="G881" s="1"/>
  <c r="G882" s="1"/>
  <c r="G883" s="1"/>
  <c r="G884" s="1"/>
  <c r="G885" s="1"/>
  <c r="G886" s="1"/>
  <c r="G887" s="1"/>
  <c r="G888" s="1"/>
  <c r="G889" s="1"/>
  <c r="G890" s="1"/>
  <c r="G891" s="1"/>
  <c r="AJ891"/>
  <c r="AL891"/>
  <c r="AK891"/>
  <c r="D893"/>
  <c r="A893"/>
  <c r="AS893"/>
  <c r="B893"/>
  <c r="C894"/>
  <c r="AT891"/>
  <c r="K891"/>
  <c r="AW891"/>
  <c r="AY891" s="1"/>
  <c r="F891"/>
  <c r="R891"/>
  <c r="O890"/>
  <c r="Y890" s="1"/>
  <c r="W890"/>
  <c r="BE891"/>
  <c r="BG891" s="1"/>
  <c r="Q892"/>
  <c r="I892"/>
  <c r="BB892"/>
  <c r="AN892"/>
  <c r="BC892"/>
  <c r="AP892"/>
  <c r="AU892"/>
  <c r="AV892"/>
  <c r="AO892"/>
  <c r="E892"/>
  <c r="AR890"/>
  <c r="AB404" l="1"/>
  <c r="AA404"/>
  <c r="Z404"/>
  <c r="F892"/>
  <c r="T892" s="1"/>
  <c r="S893" s="1"/>
  <c r="AX892"/>
  <c r="AZ892" s="1"/>
  <c r="AK892"/>
  <c r="AJ892"/>
  <c r="AL892"/>
  <c r="T891"/>
  <c r="H891"/>
  <c r="B894"/>
  <c r="C895"/>
  <c r="D894"/>
  <c r="A894"/>
  <c r="AS894"/>
  <c r="AO893"/>
  <c r="AU893"/>
  <c r="AN893"/>
  <c r="BC893"/>
  <c r="I893"/>
  <c r="AP893"/>
  <c r="BB893"/>
  <c r="AV893"/>
  <c r="Q893"/>
  <c r="E893"/>
  <c r="AW892"/>
  <c r="AY892" s="1"/>
  <c r="K892"/>
  <c r="AT892"/>
  <c r="BD892"/>
  <c r="BF892" s="1"/>
  <c r="BA892"/>
  <c r="O891"/>
  <c r="Y891" s="1"/>
  <c r="W891"/>
  <c r="V891"/>
  <c r="BE892"/>
  <c r="BG892" s="1"/>
  <c r="AR891"/>
  <c r="R892"/>
  <c r="AH404" l="1"/>
  <c r="AG404"/>
  <c r="AF404"/>
  <c r="P405"/>
  <c r="F893"/>
  <c r="T893" s="1"/>
  <c r="H892"/>
  <c r="S894"/>
  <c r="M891"/>
  <c r="N891"/>
  <c r="L891"/>
  <c r="S892"/>
  <c r="AK893"/>
  <c r="AJ893"/>
  <c r="AL893"/>
  <c r="AW893"/>
  <c r="AY893" s="1"/>
  <c r="K893"/>
  <c r="AT893"/>
  <c r="I894"/>
  <c r="AU894"/>
  <c r="BB894"/>
  <c r="AN894"/>
  <c r="BC894"/>
  <c r="Q894"/>
  <c r="AV894"/>
  <c r="AP894"/>
  <c r="AO894"/>
  <c r="E894"/>
  <c r="R894" s="1"/>
  <c r="AR892"/>
  <c r="BD893"/>
  <c r="BF893" s="1"/>
  <c r="BA893"/>
  <c r="O892"/>
  <c r="Y892" s="1"/>
  <c r="W892"/>
  <c r="AX893"/>
  <c r="AZ893" s="1"/>
  <c r="BE893"/>
  <c r="BG893" s="1"/>
  <c r="C896"/>
  <c r="B895"/>
  <c r="AS895"/>
  <c r="A895"/>
  <c r="D895"/>
  <c r="H893"/>
  <c r="R893"/>
  <c r="AB405" l="1"/>
  <c r="AA405"/>
  <c r="U405"/>
  <c r="Z405" s="1"/>
  <c r="F894"/>
  <c r="H894" s="1"/>
  <c r="AR893"/>
  <c r="O893"/>
  <c r="Y893" s="1"/>
  <c r="W893"/>
  <c r="BE894"/>
  <c r="BG894" s="1"/>
  <c r="AL894"/>
  <c r="AK894"/>
  <c r="AJ894"/>
  <c r="AW894"/>
  <c r="AY894" s="1"/>
  <c r="AT894"/>
  <c r="K894"/>
  <c r="AV895"/>
  <c r="AN895"/>
  <c r="AU895"/>
  <c r="AO895"/>
  <c r="BB895"/>
  <c r="Q895"/>
  <c r="AP895"/>
  <c r="BC895"/>
  <c r="I895"/>
  <c r="E895"/>
  <c r="R895" s="1"/>
  <c r="A896"/>
  <c r="D896"/>
  <c r="AS896"/>
  <c r="C897"/>
  <c r="B896"/>
  <c r="AX894"/>
  <c r="AZ894" s="1"/>
  <c r="BD894"/>
  <c r="BF894" s="1"/>
  <c r="BA894"/>
  <c r="AG405" l="1"/>
  <c r="AH405"/>
  <c r="AF405"/>
  <c r="P406"/>
  <c r="T894"/>
  <c r="S895" s="1"/>
  <c r="D897"/>
  <c r="C898"/>
  <c r="A897"/>
  <c r="AS897"/>
  <c r="B897"/>
  <c r="F896" s="1"/>
  <c r="T896" s="1"/>
  <c r="I896"/>
  <c r="Q896"/>
  <c r="AP896"/>
  <c r="AV896"/>
  <c r="AO896"/>
  <c r="BC896"/>
  <c r="BB896"/>
  <c r="AU896"/>
  <c r="AN896"/>
  <c r="E896"/>
  <c r="AW895"/>
  <c r="AY895" s="1"/>
  <c r="AT895"/>
  <c r="K895"/>
  <c r="BE895"/>
  <c r="BG895" s="1"/>
  <c r="O894"/>
  <c r="Y894" s="1"/>
  <c r="W894"/>
  <c r="BA895"/>
  <c r="BD895"/>
  <c r="BF895" s="1"/>
  <c r="AX895"/>
  <c r="AZ895" s="1"/>
  <c r="AL895"/>
  <c r="AK895"/>
  <c r="AJ895"/>
  <c r="F895"/>
  <c r="AR894"/>
  <c r="AA406" l="1"/>
  <c r="U406"/>
  <c r="Z406" s="1"/>
  <c r="AB406"/>
  <c r="O895"/>
  <c r="Y895" s="1"/>
  <c r="W895"/>
  <c r="AP897"/>
  <c r="BB897"/>
  <c r="Q897"/>
  <c r="AN897"/>
  <c r="AO897"/>
  <c r="BC897"/>
  <c r="I897"/>
  <c r="AU897"/>
  <c r="AV897"/>
  <c r="E897"/>
  <c r="T895"/>
  <c r="S896" s="1"/>
  <c r="H895"/>
  <c r="AJ896"/>
  <c r="AL896"/>
  <c r="AK896"/>
  <c r="BE896"/>
  <c r="BG896" s="1"/>
  <c r="BA896"/>
  <c r="BD896"/>
  <c r="BF896" s="1"/>
  <c r="S897"/>
  <c r="AR895"/>
  <c r="H896"/>
  <c r="R896"/>
  <c r="K896"/>
  <c r="AW896"/>
  <c r="AY896" s="1"/>
  <c r="AT896"/>
  <c r="AX896"/>
  <c r="AZ896" s="1"/>
  <c r="B898"/>
  <c r="C899"/>
  <c r="D898"/>
  <c r="AS898"/>
  <c r="A898"/>
  <c r="AG406" l="1"/>
  <c r="P407"/>
  <c r="AF406"/>
  <c r="AH406"/>
  <c r="U407"/>
  <c r="Z407" s="1"/>
  <c r="BA897"/>
  <c r="BD897"/>
  <c r="BF897" s="1"/>
  <c r="Q898"/>
  <c r="AU898"/>
  <c r="AN898"/>
  <c r="AO898"/>
  <c r="BB898"/>
  <c r="AV898"/>
  <c r="AP898"/>
  <c r="BC898"/>
  <c r="I898"/>
  <c r="E898"/>
  <c r="R898" s="1"/>
  <c r="D899"/>
  <c r="B899"/>
  <c r="AS899"/>
  <c r="C900"/>
  <c r="A899"/>
  <c r="AL897"/>
  <c r="AJ897"/>
  <c r="AK897"/>
  <c r="BE897"/>
  <c r="BG897" s="1"/>
  <c r="AW897"/>
  <c r="AY897" s="1"/>
  <c r="AT897"/>
  <c r="K897"/>
  <c r="O896"/>
  <c r="Y896" s="1"/>
  <c r="W896"/>
  <c r="AX897"/>
  <c r="AZ897" s="1"/>
  <c r="AR896"/>
  <c r="F897"/>
  <c r="R897"/>
  <c r="AB407" l="1"/>
  <c r="AA407"/>
  <c r="AG407" s="1"/>
  <c r="AF407"/>
  <c r="O897"/>
  <c r="Y897" s="1"/>
  <c r="W897"/>
  <c r="AS900"/>
  <c r="A900"/>
  <c r="C901"/>
  <c r="D900"/>
  <c r="B900"/>
  <c r="K898"/>
  <c r="AT898"/>
  <c r="AW898"/>
  <c r="AY898" s="1"/>
  <c r="T897"/>
  <c r="S898" s="1"/>
  <c r="H897"/>
  <c r="AP899"/>
  <c r="AO899"/>
  <c r="BC899"/>
  <c r="Q899"/>
  <c r="BB899"/>
  <c r="AV899"/>
  <c r="I899"/>
  <c r="AU899"/>
  <c r="AN899"/>
  <c r="E899"/>
  <c r="AR897"/>
  <c r="AJ898"/>
  <c r="AL898"/>
  <c r="AK898"/>
  <c r="AX898"/>
  <c r="AZ898" s="1"/>
  <c r="BE898"/>
  <c r="BG898" s="1"/>
  <c r="BA898"/>
  <c r="BD898"/>
  <c r="BF898" s="1"/>
  <c r="F898"/>
  <c r="U408" l="1"/>
  <c r="Z408" s="1"/>
  <c r="P408"/>
  <c r="AA408" s="1"/>
  <c r="AH407"/>
  <c r="F899"/>
  <c r="T899" s="1"/>
  <c r="AF408"/>
  <c r="BD899"/>
  <c r="BF899" s="1"/>
  <c r="BA899"/>
  <c r="D901"/>
  <c r="C902"/>
  <c r="AS901"/>
  <c r="B901"/>
  <c r="A901"/>
  <c r="AK899"/>
  <c r="AL899"/>
  <c r="AJ899"/>
  <c r="AX899"/>
  <c r="AZ899" s="1"/>
  <c r="AR898"/>
  <c r="R899"/>
  <c r="O898"/>
  <c r="Y898" s="1"/>
  <c r="W898"/>
  <c r="BE899"/>
  <c r="BG899" s="1"/>
  <c r="T898"/>
  <c r="S899" s="1"/>
  <c r="H898"/>
  <c r="AW899"/>
  <c r="AY899" s="1"/>
  <c r="K899"/>
  <c r="AT899"/>
  <c r="AO900"/>
  <c r="AN900"/>
  <c r="I900"/>
  <c r="AP900"/>
  <c r="BB900"/>
  <c r="AV900"/>
  <c r="AU900"/>
  <c r="Q900"/>
  <c r="BC900"/>
  <c r="E900"/>
  <c r="S900"/>
  <c r="H899"/>
  <c r="P409" l="1"/>
  <c r="AB408"/>
  <c r="AH408" s="1"/>
  <c r="AG408"/>
  <c r="F900"/>
  <c r="T900" s="1"/>
  <c r="S901" s="1"/>
  <c r="AR899"/>
  <c r="H900"/>
  <c r="O899"/>
  <c r="Y899" s="1"/>
  <c r="W899"/>
  <c r="BE900"/>
  <c r="BG900" s="1"/>
  <c r="BD900"/>
  <c r="BF900" s="1"/>
  <c r="BA900"/>
  <c r="AT900"/>
  <c r="AW900"/>
  <c r="AY900" s="1"/>
  <c r="K900"/>
  <c r="AL900"/>
  <c r="AJ900"/>
  <c r="AK900"/>
  <c r="AX900"/>
  <c r="AZ900" s="1"/>
  <c r="R900"/>
  <c r="AU901"/>
  <c r="BB901"/>
  <c r="AO901"/>
  <c r="AV901"/>
  <c r="AN901"/>
  <c r="BC901"/>
  <c r="Q901"/>
  <c r="I901"/>
  <c r="AP901"/>
  <c r="E901"/>
  <c r="R901" s="1"/>
  <c r="D902"/>
  <c r="C903"/>
  <c r="AS902"/>
  <c r="A902"/>
  <c r="B902"/>
  <c r="F901" s="1"/>
  <c r="AA409" l="1"/>
  <c r="U409"/>
  <c r="AB409" s="1"/>
  <c r="AH409" s="1"/>
  <c r="Z409"/>
  <c r="AG409"/>
  <c r="AR900"/>
  <c r="T901"/>
  <c r="S902" s="1"/>
  <c r="H901"/>
  <c r="AW901"/>
  <c r="AY901" s="1"/>
  <c r="K901"/>
  <c r="AT901"/>
  <c r="AP902"/>
  <c r="I902"/>
  <c r="AV902"/>
  <c r="Q902"/>
  <c r="BC902"/>
  <c r="AN902"/>
  <c r="AO902"/>
  <c r="AU902"/>
  <c r="BB902"/>
  <c r="E902"/>
  <c r="R902" s="1"/>
  <c r="AL901"/>
  <c r="AK901"/>
  <c r="AJ901"/>
  <c r="BE901"/>
  <c r="BG901" s="1"/>
  <c r="BD901"/>
  <c r="BF901" s="1"/>
  <c r="BA901"/>
  <c r="O900"/>
  <c r="Y900" s="1"/>
  <c r="W900"/>
  <c r="B903"/>
  <c r="C904"/>
  <c r="A903"/>
  <c r="D903"/>
  <c r="AX901"/>
  <c r="AZ901" s="1"/>
  <c r="AF409" l="1"/>
  <c r="P410"/>
  <c r="AX902"/>
  <c r="AZ902" s="1"/>
  <c r="O901"/>
  <c r="Y901" s="1"/>
  <c r="W901"/>
  <c r="BC903"/>
  <c r="Q903"/>
  <c r="AU903"/>
  <c r="AV903"/>
  <c r="AO903"/>
  <c r="I903"/>
  <c r="AP903"/>
  <c r="BB903"/>
  <c r="AN903"/>
  <c r="E903"/>
  <c r="R903" s="1"/>
  <c r="AT902"/>
  <c r="K902"/>
  <c r="AW902"/>
  <c r="AY902" s="1"/>
  <c r="BA902"/>
  <c r="BD902"/>
  <c r="BF902" s="1"/>
  <c r="BE902"/>
  <c r="BG902" s="1"/>
  <c r="F902"/>
  <c r="AR901"/>
  <c r="AS904"/>
  <c r="C905"/>
  <c r="A904"/>
  <c r="D904"/>
  <c r="B904"/>
  <c r="AK902"/>
  <c r="AL902"/>
  <c r="AJ902"/>
  <c r="AS903"/>
  <c r="U410" l="1"/>
  <c r="Z410" s="1"/>
  <c r="AR902"/>
  <c r="F903"/>
  <c r="T903" s="1"/>
  <c r="T902"/>
  <c r="S903" s="1"/>
  <c r="H902"/>
  <c r="BA903"/>
  <c r="BD903"/>
  <c r="BF903" s="1"/>
  <c r="AZ903"/>
  <c r="AX903"/>
  <c r="C906"/>
  <c r="AS905"/>
  <c r="D905"/>
  <c r="F904" s="1"/>
  <c r="B905"/>
  <c r="A905"/>
  <c r="BE903"/>
  <c r="BG903" s="1"/>
  <c r="O902"/>
  <c r="Y902" s="1"/>
  <c r="W902"/>
  <c r="AK903"/>
  <c r="AJ903"/>
  <c r="AL903"/>
  <c r="AP904"/>
  <c r="AN904"/>
  <c r="Q904"/>
  <c r="BB904"/>
  <c r="I904"/>
  <c r="AU904"/>
  <c r="AO904"/>
  <c r="BC904"/>
  <c r="AV904"/>
  <c r="E904"/>
  <c r="R904" s="1"/>
  <c r="K903"/>
  <c r="AT903"/>
  <c r="AW903"/>
  <c r="AY903" s="1"/>
  <c r="G892"/>
  <c r="G893" s="1"/>
  <c r="G894" s="1"/>
  <c r="G895" s="1"/>
  <c r="G896" s="1"/>
  <c r="G897" s="1"/>
  <c r="G898" s="1"/>
  <c r="G899" s="1"/>
  <c r="G900" s="1"/>
  <c r="G901" s="1"/>
  <c r="G902" s="1"/>
  <c r="G903" s="1"/>
  <c r="L411" l="1"/>
  <c r="AF410"/>
  <c r="AA410"/>
  <c r="P411" s="1"/>
  <c r="X411" s="1"/>
  <c r="AB410"/>
  <c r="H903"/>
  <c r="T904"/>
  <c r="S905" s="1"/>
  <c r="H904"/>
  <c r="AR903"/>
  <c r="AX904"/>
  <c r="AZ904" s="1"/>
  <c r="D906"/>
  <c r="C907"/>
  <c r="AS906"/>
  <c r="A906"/>
  <c r="B906"/>
  <c r="AJ904"/>
  <c r="AK904"/>
  <c r="AL904"/>
  <c r="AU905"/>
  <c r="BC905"/>
  <c r="AN905"/>
  <c r="I905"/>
  <c r="AO905"/>
  <c r="AV905"/>
  <c r="BB905"/>
  <c r="AP905"/>
  <c r="Q905"/>
  <c r="E905"/>
  <c r="O903"/>
  <c r="Y903" s="1"/>
  <c r="W903"/>
  <c r="V903"/>
  <c r="N903"/>
  <c r="M903"/>
  <c r="L903"/>
  <c r="S904"/>
  <c r="K904"/>
  <c r="AW904"/>
  <c r="AY904" s="1"/>
  <c r="AT904"/>
  <c r="BG904"/>
  <c r="BE904"/>
  <c r="BD904"/>
  <c r="BF904" s="1"/>
  <c r="BA904"/>
  <c r="F905"/>
  <c r="T905" s="1"/>
  <c r="S906" s="1"/>
  <c r="AG410" l="1"/>
  <c r="M411"/>
  <c r="N411"/>
  <c r="AH410"/>
  <c r="U411"/>
  <c r="AB411" s="1"/>
  <c r="Z411"/>
  <c r="AK905"/>
  <c r="AJ905"/>
  <c r="AL905"/>
  <c r="AX905"/>
  <c r="AZ905" s="1"/>
  <c r="BE905"/>
  <c r="BG905" s="1"/>
  <c r="D907"/>
  <c r="AS907"/>
  <c r="A907"/>
  <c r="C908"/>
  <c r="B907"/>
  <c r="BD905"/>
  <c r="BF905" s="1"/>
  <c r="BA905"/>
  <c r="AR904"/>
  <c r="H905"/>
  <c r="O904"/>
  <c r="Y904" s="1"/>
  <c r="W904"/>
  <c r="AN906"/>
  <c r="BB906"/>
  <c r="I906"/>
  <c r="AO906"/>
  <c r="BC906"/>
  <c r="Q906"/>
  <c r="AP906"/>
  <c r="AU906"/>
  <c r="AV906"/>
  <c r="E906"/>
  <c r="AT905"/>
  <c r="AW905"/>
  <c r="AY905" s="1"/>
  <c r="AR905" s="1"/>
  <c r="K905"/>
  <c r="R905"/>
  <c r="AH411" l="1"/>
  <c r="AA411"/>
  <c r="P412" s="1"/>
  <c r="AF411"/>
  <c r="AW906"/>
  <c r="AY906" s="1"/>
  <c r="K906"/>
  <c r="AT906"/>
  <c r="C909"/>
  <c r="AS908"/>
  <c r="A908"/>
  <c r="D908"/>
  <c r="B908"/>
  <c r="AX906"/>
  <c r="AZ906" s="1"/>
  <c r="BE906"/>
  <c r="BG906" s="1"/>
  <c r="O905"/>
  <c r="Y905" s="1"/>
  <c r="W905"/>
  <c r="AJ906"/>
  <c r="AK906"/>
  <c r="AL906"/>
  <c r="BA906"/>
  <c r="BD906"/>
  <c r="BF906" s="1"/>
  <c r="R906"/>
  <c r="AO907"/>
  <c r="I907"/>
  <c r="AV907"/>
  <c r="BB907"/>
  <c r="Q907"/>
  <c r="AU907"/>
  <c r="AN907"/>
  <c r="AP907"/>
  <c r="BC907"/>
  <c r="E907"/>
  <c r="R907" s="1"/>
  <c r="F906"/>
  <c r="AB412" l="1"/>
  <c r="Z412"/>
  <c r="U412"/>
  <c r="AG411"/>
  <c r="AA412"/>
  <c r="AG412" s="1"/>
  <c r="F907"/>
  <c r="T907" s="1"/>
  <c r="AR906"/>
  <c r="BD907"/>
  <c r="BF907" s="1"/>
  <c r="BA907"/>
  <c r="AU908"/>
  <c r="AN908"/>
  <c r="BC908"/>
  <c r="I908"/>
  <c r="AV908"/>
  <c r="Q908"/>
  <c r="AO908"/>
  <c r="AP908"/>
  <c r="BB908"/>
  <c r="E908"/>
  <c r="R908" s="1"/>
  <c r="A909"/>
  <c r="AS909"/>
  <c r="C910"/>
  <c r="B909"/>
  <c r="D909"/>
  <c r="AK907"/>
  <c r="AJ907"/>
  <c r="AL907"/>
  <c r="K907"/>
  <c r="AT907"/>
  <c r="AW907"/>
  <c r="AY907" s="1"/>
  <c r="T906"/>
  <c r="S907" s="1"/>
  <c r="H906"/>
  <c r="BE907"/>
  <c r="BG907" s="1"/>
  <c r="AX907"/>
  <c r="AZ907" s="1"/>
  <c r="O906"/>
  <c r="Y906" s="1"/>
  <c r="W906"/>
  <c r="AH412" l="1"/>
  <c r="P413"/>
  <c r="AF412"/>
  <c r="H907"/>
  <c r="S908"/>
  <c r="AR907"/>
  <c r="AL908"/>
  <c r="AK908"/>
  <c r="AJ908"/>
  <c r="BE908"/>
  <c r="BG908" s="1"/>
  <c r="A910"/>
  <c r="C911"/>
  <c r="D910"/>
  <c r="F909" s="1"/>
  <c r="T909" s="1"/>
  <c r="B910"/>
  <c r="AS910"/>
  <c r="O907"/>
  <c r="Y907" s="1"/>
  <c r="W907"/>
  <c r="AP909"/>
  <c r="BB909"/>
  <c r="AV909"/>
  <c r="AU909"/>
  <c r="AO909"/>
  <c r="BC909"/>
  <c r="AN909"/>
  <c r="I909"/>
  <c r="Q909"/>
  <c r="E909"/>
  <c r="R909" s="1"/>
  <c r="BD908"/>
  <c r="BF908" s="1"/>
  <c r="BA908"/>
  <c r="AX908"/>
  <c r="AZ908" s="1"/>
  <c r="AT908"/>
  <c r="K908"/>
  <c r="AW908"/>
  <c r="AY908" s="1"/>
  <c r="AR908" s="1"/>
  <c r="F908"/>
  <c r="AB413" l="1"/>
  <c r="AA413"/>
  <c r="U413"/>
  <c r="Z413" s="1"/>
  <c r="O908"/>
  <c r="Y908" s="1"/>
  <c r="W908"/>
  <c r="AJ909"/>
  <c r="AK909"/>
  <c r="AL909"/>
  <c r="BE909"/>
  <c r="BG909" s="1"/>
  <c r="BD909"/>
  <c r="BF909" s="1"/>
  <c r="BA909"/>
  <c r="AX909"/>
  <c r="AZ909" s="1"/>
  <c r="AO910"/>
  <c r="BC910"/>
  <c r="AN910"/>
  <c r="BB910"/>
  <c r="AU910"/>
  <c r="AV910"/>
  <c r="I910"/>
  <c r="Q910"/>
  <c r="AP910"/>
  <c r="E910"/>
  <c r="R910" s="1"/>
  <c r="H909"/>
  <c r="C912"/>
  <c r="A911"/>
  <c r="B911"/>
  <c r="D911"/>
  <c r="AS911"/>
  <c r="S910"/>
  <c r="T908"/>
  <c r="S909" s="1"/>
  <c r="H908"/>
  <c r="AT909"/>
  <c r="K909"/>
  <c r="AY909"/>
  <c r="AW909"/>
  <c r="AG413" l="1"/>
  <c r="AA414"/>
  <c r="AG414" s="1"/>
  <c r="P414"/>
  <c r="U414" s="1"/>
  <c r="AF413"/>
  <c r="Z414"/>
  <c r="AH413"/>
  <c r="AB414"/>
  <c r="F910"/>
  <c r="H910" s="1"/>
  <c r="BA910"/>
  <c r="BD910"/>
  <c r="BF910" s="1"/>
  <c r="AN911"/>
  <c r="AU911"/>
  <c r="AV911"/>
  <c r="AP911"/>
  <c r="Q911"/>
  <c r="BB911"/>
  <c r="AO911"/>
  <c r="I911"/>
  <c r="BC911"/>
  <c r="E911"/>
  <c r="R911" s="1"/>
  <c r="AJ910"/>
  <c r="AK910"/>
  <c r="AL910"/>
  <c r="AX910"/>
  <c r="AZ910" s="1"/>
  <c r="BE910"/>
  <c r="BG910" s="1"/>
  <c r="O909"/>
  <c r="Y909" s="1"/>
  <c r="W909"/>
  <c r="B912"/>
  <c r="AS912"/>
  <c r="C913"/>
  <c r="A912"/>
  <c r="D912"/>
  <c r="AW910"/>
  <c r="AY910" s="1"/>
  <c r="K910"/>
  <c r="AT910"/>
  <c r="AR909"/>
  <c r="AH414" l="1"/>
  <c r="U415"/>
  <c r="AB415" s="1"/>
  <c r="AH415" s="1"/>
  <c r="AF414"/>
  <c r="P415"/>
  <c r="T910"/>
  <c r="S911" s="1"/>
  <c r="AR910"/>
  <c r="BE911"/>
  <c r="BG911" s="1"/>
  <c r="D913"/>
  <c r="AS913"/>
  <c r="B913"/>
  <c r="A913"/>
  <c r="C914"/>
  <c r="AK911"/>
  <c r="AL911"/>
  <c r="AJ911"/>
  <c r="BD911"/>
  <c r="BF911" s="1"/>
  <c r="BA911"/>
  <c r="K911"/>
  <c r="AT911"/>
  <c r="AW911"/>
  <c r="AY911" s="1"/>
  <c r="F911"/>
  <c r="O910"/>
  <c r="Y910" s="1"/>
  <c r="W910"/>
  <c r="AV912"/>
  <c r="AU912"/>
  <c r="AP912"/>
  <c r="AN912"/>
  <c r="I912"/>
  <c r="Q912"/>
  <c r="BB912"/>
  <c r="AO912"/>
  <c r="BC912"/>
  <c r="E912"/>
  <c r="R912" s="1"/>
  <c r="AX911"/>
  <c r="AZ911" s="1"/>
  <c r="AA415" l="1"/>
  <c r="AG415" s="1"/>
  <c r="Z415"/>
  <c r="AX912"/>
  <c r="AZ912" s="1"/>
  <c r="BE912"/>
  <c r="BG912" s="1"/>
  <c r="O911"/>
  <c r="Y911" s="1"/>
  <c r="W911"/>
  <c r="Q913"/>
  <c r="I913"/>
  <c r="AO913"/>
  <c r="AN913"/>
  <c r="BC913"/>
  <c r="AP913"/>
  <c r="AU913"/>
  <c r="BB913"/>
  <c r="AV913"/>
  <c r="E913"/>
  <c r="AR911"/>
  <c r="AL912"/>
  <c r="AJ912"/>
  <c r="AK912"/>
  <c r="AW912"/>
  <c r="AY912" s="1"/>
  <c r="AT912"/>
  <c r="K912"/>
  <c r="BA912"/>
  <c r="BD912"/>
  <c r="BF912" s="1"/>
  <c r="T911"/>
  <c r="S912" s="1"/>
  <c r="H911"/>
  <c r="AS914"/>
  <c r="D914"/>
  <c r="C915"/>
  <c r="A914"/>
  <c r="R913"/>
  <c r="B914"/>
  <c r="F913" s="1"/>
  <c r="F912"/>
  <c r="P416" l="1"/>
  <c r="U416" s="1"/>
  <c r="AB416" s="1"/>
  <c r="AH416" s="1"/>
  <c r="AF415"/>
  <c r="Z416"/>
  <c r="T913"/>
  <c r="S914" s="1"/>
  <c r="H913"/>
  <c r="AX913"/>
  <c r="AZ913" s="1"/>
  <c r="BE913"/>
  <c r="BG913" s="1"/>
  <c r="AR912"/>
  <c r="O912"/>
  <c r="Y912" s="1"/>
  <c r="W912"/>
  <c r="BD913"/>
  <c r="BF913" s="1"/>
  <c r="BA913"/>
  <c r="AJ913"/>
  <c r="AL913"/>
  <c r="AK913"/>
  <c r="T912"/>
  <c r="S913" s="1"/>
  <c r="H912"/>
  <c r="D915"/>
  <c r="B915"/>
  <c r="A915"/>
  <c r="C916"/>
  <c r="BB914"/>
  <c r="I914"/>
  <c r="AO914"/>
  <c r="BC914"/>
  <c r="AP914"/>
  <c r="AU914"/>
  <c r="AV914"/>
  <c r="AN914"/>
  <c r="Q914"/>
  <c r="E914"/>
  <c r="AW913"/>
  <c r="AY913" s="1"/>
  <c r="AR913" s="1"/>
  <c r="AT913"/>
  <c r="K913"/>
  <c r="AA416" l="1"/>
  <c r="P417" s="1"/>
  <c r="AF416"/>
  <c r="BE914"/>
  <c r="BG914" s="1"/>
  <c r="D916"/>
  <c r="AS916"/>
  <c r="B916"/>
  <c r="A916"/>
  <c r="C917"/>
  <c r="F914"/>
  <c r="AX914"/>
  <c r="AZ914" s="1"/>
  <c r="AP915"/>
  <c r="BC915"/>
  <c r="AV915"/>
  <c r="I915"/>
  <c r="AN915"/>
  <c r="AO915"/>
  <c r="BB915"/>
  <c r="AU915"/>
  <c r="Q915"/>
  <c r="E915"/>
  <c r="R915" s="1"/>
  <c r="O913"/>
  <c r="Y913" s="1"/>
  <c r="W913"/>
  <c r="BA914"/>
  <c r="BD914"/>
  <c r="BF914" s="1"/>
  <c r="AK914"/>
  <c r="AJ914"/>
  <c r="AL914"/>
  <c r="K914"/>
  <c r="AW914"/>
  <c r="AY914" s="1"/>
  <c r="AT914"/>
  <c r="AS915"/>
  <c r="R914"/>
  <c r="AG416" l="1"/>
  <c r="AA417"/>
  <c r="U417"/>
  <c r="Z417" s="1"/>
  <c r="AB417"/>
  <c r="F915"/>
  <c r="T915" s="1"/>
  <c r="N915" s="1"/>
  <c r="BD915"/>
  <c r="BF915" s="1"/>
  <c r="BA915"/>
  <c r="S916"/>
  <c r="AW915"/>
  <c r="AT915"/>
  <c r="K915"/>
  <c r="AY915"/>
  <c r="O914"/>
  <c r="Y914" s="1"/>
  <c r="W914"/>
  <c r="G904"/>
  <c r="G905" s="1"/>
  <c r="G906" s="1"/>
  <c r="G907" s="1"/>
  <c r="G908" s="1"/>
  <c r="G909" s="1"/>
  <c r="G910" s="1"/>
  <c r="G911" s="1"/>
  <c r="G912" s="1"/>
  <c r="G913" s="1"/>
  <c r="G914" s="1"/>
  <c r="G915" s="1"/>
  <c r="T914"/>
  <c r="S915" s="1"/>
  <c r="H914"/>
  <c r="AU916"/>
  <c r="Q916"/>
  <c r="BC916"/>
  <c r="BB916"/>
  <c r="AV916"/>
  <c r="I916"/>
  <c r="AO916"/>
  <c r="AP916"/>
  <c r="AN916"/>
  <c r="E916"/>
  <c r="H915"/>
  <c r="AX915"/>
  <c r="AZ915" s="1"/>
  <c r="AJ915"/>
  <c r="AK915"/>
  <c r="AL915"/>
  <c r="BE915"/>
  <c r="BG915" s="1"/>
  <c r="D917"/>
  <c r="AS917"/>
  <c r="C918"/>
  <c r="A917"/>
  <c r="B917"/>
  <c r="AR914"/>
  <c r="AG417" l="1"/>
  <c r="AF417"/>
  <c r="P418"/>
  <c r="Z418" s="1"/>
  <c r="AH417"/>
  <c r="U418"/>
  <c r="AA418" s="1"/>
  <c r="AB418"/>
  <c r="L915"/>
  <c r="M915"/>
  <c r="AX916"/>
  <c r="AZ916" s="1"/>
  <c r="O915"/>
  <c r="Y915" s="1"/>
  <c r="W915"/>
  <c r="V915"/>
  <c r="AT916"/>
  <c r="K916"/>
  <c r="AY916"/>
  <c r="AW916"/>
  <c r="AU917"/>
  <c r="Q917"/>
  <c r="BB917"/>
  <c r="AN917"/>
  <c r="AO917"/>
  <c r="AP917"/>
  <c r="I917"/>
  <c r="AV917"/>
  <c r="BC917"/>
  <c r="E917"/>
  <c r="AL916"/>
  <c r="AK916"/>
  <c r="AJ916"/>
  <c r="A918"/>
  <c r="AS918"/>
  <c r="B918"/>
  <c r="C919"/>
  <c r="D918"/>
  <c r="BE916"/>
  <c r="BG916" s="1"/>
  <c r="BD916"/>
  <c r="BF916" s="1"/>
  <c r="BA916"/>
  <c r="F916"/>
  <c r="AR915"/>
  <c r="R916"/>
  <c r="F917" l="1"/>
  <c r="T917" s="1"/>
  <c r="P419"/>
  <c r="AF418"/>
  <c r="AG418"/>
  <c r="AH418"/>
  <c r="U419"/>
  <c r="Z419" s="1"/>
  <c r="AK917"/>
  <c r="AJ917"/>
  <c r="AL917"/>
  <c r="T916"/>
  <c r="S917" s="1"/>
  <c r="H916"/>
  <c r="AP918"/>
  <c r="AO918"/>
  <c r="I918"/>
  <c r="AN918"/>
  <c r="AV918"/>
  <c r="AU918"/>
  <c r="BB918"/>
  <c r="Q918"/>
  <c r="BC918"/>
  <c r="E918"/>
  <c r="R918" s="1"/>
  <c r="AZ917"/>
  <c r="AX917"/>
  <c r="R917"/>
  <c r="BE917"/>
  <c r="BG917" s="1"/>
  <c r="AW917"/>
  <c r="AY917" s="1"/>
  <c r="K917"/>
  <c r="AT917"/>
  <c r="S918"/>
  <c r="O916"/>
  <c r="Y916" s="1"/>
  <c r="W916"/>
  <c r="C920"/>
  <c r="A919"/>
  <c r="AS919"/>
  <c r="B919"/>
  <c r="D919"/>
  <c r="BD917"/>
  <c r="BF917" s="1"/>
  <c r="BA917"/>
  <c r="H917"/>
  <c r="AR916"/>
  <c r="AB419" l="1"/>
  <c r="AH419" s="1"/>
  <c r="AF419"/>
  <c r="AA419"/>
  <c r="F918"/>
  <c r="H918" s="1"/>
  <c r="O917"/>
  <c r="Y917" s="1"/>
  <c r="W917"/>
  <c r="B920"/>
  <c r="A920"/>
  <c r="C921"/>
  <c r="D920"/>
  <c r="AS920"/>
  <c r="BE918"/>
  <c r="BG918" s="1"/>
  <c r="AX918"/>
  <c r="AZ918" s="1"/>
  <c r="AR917"/>
  <c r="BD918"/>
  <c r="BF918" s="1"/>
  <c r="BA918"/>
  <c r="BC919"/>
  <c r="AU919"/>
  <c r="BB919"/>
  <c r="AO919"/>
  <c r="AN919"/>
  <c r="AV919"/>
  <c r="AP919"/>
  <c r="Q919"/>
  <c r="I919"/>
  <c r="E919"/>
  <c r="AL918"/>
  <c r="AJ918"/>
  <c r="AK918"/>
  <c r="K918"/>
  <c r="AW918"/>
  <c r="AY918" s="1"/>
  <c r="AT918"/>
  <c r="AG419" l="1"/>
  <c r="P420"/>
  <c r="T918"/>
  <c r="S919" s="1"/>
  <c r="AR918"/>
  <c r="O918"/>
  <c r="Y918" s="1"/>
  <c r="W918"/>
  <c r="AL919"/>
  <c r="AJ919"/>
  <c r="AK919"/>
  <c r="AX919"/>
  <c r="AZ919" s="1"/>
  <c r="AT919"/>
  <c r="K919"/>
  <c r="AW919"/>
  <c r="AY919" s="1"/>
  <c r="R919"/>
  <c r="BD919"/>
  <c r="BF919" s="1"/>
  <c r="BA919"/>
  <c r="AU920"/>
  <c r="Q920"/>
  <c r="AV920"/>
  <c r="AP920"/>
  <c r="AO920"/>
  <c r="I920"/>
  <c r="BB920"/>
  <c r="AN920"/>
  <c r="BC920"/>
  <c r="E920"/>
  <c r="R920" s="1"/>
  <c r="BE919"/>
  <c r="BG919" s="1"/>
  <c r="C922"/>
  <c r="A921"/>
  <c r="AS921"/>
  <c r="D921"/>
  <c r="B921"/>
  <c r="F919"/>
  <c r="AA420" l="1"/>
  <c r="U420"/>
  <c r="Z420" s="1"/>
  <c r="AB420"/>
  <c r="AR919"/>
  <c r="AK920"/>
  <c r="AL920"/>
  <c r="AJ920"/>
  <c r="AS922"/>
  <c r="D922"/>
  <c r="C923"/>
  <c r="B922"/>
  <c r="A922"/>
  <c r="BD920"/>
  <c r="BF920" s="1"/>
  <c r="BA920"/>
  <c r="AX920"/>
  <c r="AZ920" s="1"/>
  <c r="T919"/>
  <c r="S920" s="1"/>
  <c r="H919"/>
  <c r="AV921"/>
  <c r="AU921"/>
  <c r="AO921"/>
  <c r="I921"/>
  <c r="Q921"/>
  <c r="BC921"/>
  <c r="AP921"/>
  <c r="AN921"/>
  <c r="BB921"/>
  <c r="E921"/>
  <c r="R921" s="1"/>
  <c r="BE920"/>
  <c r="BG920" s="1"/>
  <c r="K920"/>
  <c r="AT920"/>
  <c r="AW920"/>
  <c r="AY920" s="1"/>
  <c r="AR920" s="1"/>
  <c r="O919"/>
  <c r="Y919" s="1"/>
  <c r="W919"/>
  <c r="F920"/>
  <c r="AG420" l="1"/>
  <c r="AF420"/>
  <c r="P421"/>
  <c r="U421" s="1"/>
  <c r="AA421" s="1"/>
  <c r="Z421"/>
  <c r="AH420"/>
  <c r="AB421"/>
  <c r="F921"/>
  <c r="T921" s="1"/>
  <c r="S922" s="1"/>
  <c r="T920"/>
  <c r="S921" s="1"/>
  <c r="H920"/>
  <c r="BD921"/>
  <c r="BF921" s="1"/>
  <c r="BA921"/>
  <c r="AX921"/>
  <c r="AZ921" s="1"/>
  <c r="D923"/>
  <c r="AS923"/>
  <c r="C924"/>
  <c r="B923"/>
  <c r="A923"/>
  <c r="O920"/>
  <c r="Y920" s="1"/>
  <c r="W920"/>
  <c r="AK921"/>
  <c r="AL921"/>
  <c r="AJ921"/>
  <c r="BE921"/>
  <c r="BG921" s="1"/>
  <c r="AW921"/>
  <c r="AY921" s="1"/>
  <c r="AT921"/>
  <c r="K921"/>
  <c r="AN922"/>
  <c r="BB922"/>
  <c r="AU922"/>
  <c r="BC922"/>
  <c r="I922"/>
  <c r="AO922"/>
  <c r="AP922"/>
  <c r="Q922"/>
  <c r="AV922"/>
  <c r="E922"/>
  <c r="R922" s="1"/>
  <c r="AF421" l="1"/>
  <c r="P422"/>
  <c r="U422" s="1"/>
  <c r="AA422" s="1"/>
  <c r="AH421"/>
  <c r="AG421"/>
  <c r="F922"/>
  <c r="T922" s="1"/>
  <c r="AR921"/>
  <c r="H921"/>
  <c r="S923"/>
  <c r="O921"/>
  <c r="Y921" s="1"/>
  <c r="W921"/>
  <c r="AO923"/>
  <c r="AN923"/>
  <c r="AP923"/>
  <c r="BB923"/>
  <c r="AU923"/>
  <c r="Q923"/>
  <c r="I923"/>
  <c r="AV923"/>
  <c r="BC923"/>
  <c r="E923"/>
  <c r="R923" s="1"/>
  <c r="AW922"/>
  <c r="AY922" s="1"/>
  <c r="AT922"/>
  <c r="K922"/>
  <c r="BE922"/>
  <c r="BG922" s="1"/>
  <c r="B924"/>
  <c r="D924"/>
  <c r="AS924"/>
  <c r="C925"/>
  <c r="A924"/>
  <c r="AX922"/>
  <c r="AZ922" s="1"/>
  <c r="AJ922"/>
  <c r="AL922"/>
  <c r="AK922"/>
  <c r="BD922"/>
  <c r="BF922" s="1"/>
  <c r="BA922"/>
  <c r="AB422" l="1"/>
  <c r="N423" s="1"/>
  <c r="Z422"/>
  <c r="AF422" s="1"/>
  <c r="AG422"/>
  <c r="M423"/>
  <c r="H922"/>
  <c r="F923"/>
  <c r="H923" s="1"/>
  <c r="AS925"/>
  <c r="D925"/>
  <c r="A925"/>
  <c r="C926"/>
  <c r="B925"/>
  <c r="AX923"/>
  <c r="AZ923" s="1"/>
  <c r="BD923"/>
  <c r="BF923" s="1"/>
  <c r="BA923"/>
  <c r="BE923"/>
  <c r="BG923" s="1"/>
  <c r="K923"/>
  <c r="AW923"/>
  <c r="AY923" s="1"/>
  <c r="AT923"/>
  <c r="AR922"/>
  <c r="AJ923"/>
  <c r="AL923"/>
  <c r="AK923"/>
  <c r="O922"/>
  <c r="Y922" s="1"/>
  <c r="W922"/>
  <c r="BC924"/>
  <c r="BB924"/>
  <c r="AO924"/>
  <c r="AN924"/>
  <c r="Q924"/>
  <c r="AV924"/>
  <c r="AU924"/>
  <c r="I924"/>
  <c r="AP924"/>
  <c r="E924"/>
  <c r="R924" s="1"/>
  <c r="L423" l="1"/>
  <c r="P423"/>
  <c r="X423" s="1"/>
  <c r="AH422"/>
  <c r="F924"/>
  <c r="T924" s="1"/>
  <c r="S925"/>
  <c r="T923"/>
  <c r="S924" s="1"/>
  <c r="AR923"/>
  <c r="BD924"/>
  <c r="BF924" s="1"/>
  <c r="BA924"/>
  <c r="BE924"/>
  <c r="BG924" s="1"/>
  <c r="AK924"/>
  <c r="AJ924"/>
  <c r="AL924"/>
  <c r="AX924"/>
  <c r="AZ924" s="1"/>
  <c r="AN925"/>
  <c r="Q925"/>
  <c r="AP925"/>
  <c r="AU925"/>
  <c r="AV925"/>
  <c r="AO925"/>
  <c r="I925"/>
  <c r="BC925"/>
  <c r="BB925"/>
  <c r="E925"/>
  <c r="R925" s="1"/>
  <c r="AT924"/>
  <c r="K924"/>
  <c r="AW924"/>
  <c r="AY924" s="1"/>
  <c r="O923"/>
  <c r="Y923" s="1"/>
  <c r="W923"/>
  <c r="AS926"/>
  <c r="C927"/>
  <c r="B926"/>
  <c r="A926"/>
  <c r="D926"/>
  <c r="H924"/>
  <c r="U423" l="1"/>
  <c r="Z423" s="1"/>
  <c r="AF423" s="1"/>
  <c r="AB423"/>
  <c r="AH423" s="1"/>
  <c r="AA423"/>
  <c r="AG423" s="1"/>
  <c r="F925"/>
  <c r="H925" s="1"/>
  <c r="AN926"/>
  <c r="AP926"/>
  <c r="BC926"/>
  <c r="AV926"/>
  <c r="BB926"/>
  <c r="I926"/>
  <c r="AU926"/>
  <c r="Q926"/>
  <c r="AO926"/>
  <c r="E926"/>
  <c r="AK925"/>
  <c r="AJ925"/>
  <c r="AL925"/>
  <c r="D927"/>
  <c r="C928"/>
  <c r="B927"/>
  <c r="A927"/>
  <c r="AS927" s="1"/>
  <c r="R926"/>
  <c r="O924"/>
  <c r="Y924" s="1"/>
  <c r="W924"/>
  <c r="BE925"/>
  <c r="BG925" s="1"/>
  <c r="AW925"/>
  <c r="AY925" s="1"/>
  <c r="K925"/>
  <c r="AT925"/>
  <c r="BD925"/>
  <c r="BF925" s="1"/>
  <c r="BA925"/>
  <c r="AX925"/>
  <c r="AZ925" s="1"/>
  <c r="AR924"/>
  <c r="P424" l="1"/>
  <c r="F926"/>
  <c r="H926" s="1"/>
  <c r="T925"/>
  <c r="S926" s="1"/>
  <c r="AR925"/>
  <c r="T926"/>
  <c r="S927" s="1"/>
  <c r="O925"/>
  <c r="Y925" s="1"/>
  <c r="W925"/>
  <c r="AO927"/>
  <c r="AV927"/>
  <c r="AN927"/>
  <c r="BB927"/>
  <c r="AU927"/>
  <c r="I927"/>
  <c r="BC927"/>
  <c r="Q927"/>
  <c r="AP927"/>
  <c r="E927"/>
  <c r="R927" s="1"/>
  <c r="AL926"/>
  <c r="AK926"/>
  <c r="AJ926"/>
  <c r="D928"/>
  <c r="A928"/>
  <c r="AS928"/>
  <c r="C929"/>
  <c r="B928"/>
  <c r="F927" s="1"/>
  <c r="T927" s="1"/>
  <c r="AX926"/>
  <c r="AZ926" s="1"/>
  <c r="AT926"/>
  <c r="K926"/>
  <c r="AW926"/>
  <c r="AY926" s="1"/>
  <c r="BE926"/>
  <c r="BG926" s="1"/>
  <c r="BD926"/>
  <c r="BF926" s="1"/>
  <c r="BA926"/>
  <c r="AA424" l="1"/>
  <c r="AG424" s="1"/>
  <c r="U424"/>
  <c r="Z424" s="1"/>
  <c r="AF424" s="1"/>
  <c r="AB424"/>
  <c r="P425" s="1"/>
  <c r="AR926"/>
  <c r="O926"/>
  <c r="Y926" s="1"/>
  <c r="W926"/>
  <c r="I928"/>
  <c r="AU928"/>
  <c r="AV928"/>
  <c r="AO928"/>
  <c r="BB928"/>
  <c r="AP928"/>
  <c r="Q928"/>
  <c r="AN928"/>
  <c r="BC928"/>
  <c r="E928"/>
  <c r="BD927"/>
  <c r="BF927" s="1"/>
  <c r="BA927"/>
  <c r="K927"/>
  <c r="AT927"/>
  <c r="AW927"/>
  <c r="AY927" s="1"/>
  <c r="H927"/>
  <c r="L927"/>
  <c r="N927"/>
  <c r="M927"/>
  <c r="S928"/>
  <c r="AS929"/>
  <c r="C930"/>
  <c r="D929"/>
  <c r="R928"/>
  <c r="B929"/>
  <c r="A929"/>
  <c r="AL927"/>
  <c r="AK927"/>
  <c r="AJ927"/>
  <c r="AX927"/>
  <c r="AZ927" s="1"/>
  <c r="G916"/>
  <c r="G917" s="1"/>
  <c r="G918" s="1"/>
  <c r="G919" s="1"/>
  <c r="G920" s="1"/>
  <c r="G921" s="1"/>
  <c r="G922" s="1"/>
  <c r="G923" s="1"/>
  <c r="G924" s="1"/>
  <c r="G925" s="1"/>
  <c r="G926" s="1"/>
  <c r="G927" s="1"/>
  <c r="BG927"/>
  <c r="BE927"/>
  <c r="AH424" l="1"/>
  <c r="AB425"/>
  <c r="AA425"/>
  <c r="U425"/>
  <c r="Z425" s="1"/>
  <c r="F928"/>
  <c r="T928" s="1"/>
  <c r="S929" s="1"/>
  <c r="AR927"/>
  <c r="BE928"/>
  <c r="BG928" s="1"/>
  <c r="BD928"/>
  <c r="BF928" s="1"/>
  <c r="BA928"/>
  <c r="O927"/>
  <c r="Y927" s="1"/>
  <c r="W927"/>
  <c r="V927"/>
  <c r="AJ928"/>
  <c r="AL928"/>
  <c r="AK928"/>
  <c r="AW928"/>
  <c r="AY928" s="1"/>
  <c r="AT928"/>
  <c r="K928"/>
  <c r="Q929"/>
  <c r="I929"/>
  <c r="AO929"/>
  <c r="AP929"/>
  <c r="AV929"/>
  <c r="AU929"/>
  <c r="BC929"/>
  <c r="AN929"/>
  <c r="BB929"/>
  <c r="E929"/>
  <c r="R929" s="1"/>
  <c r="B930"/>
  <c r="A930"/>
  <c r="AS930"/>
  <c r="C931"/>
  <c r="D930"/>
  <c r="AX928"/>
  <c r="AZ928" s="1"/>
  <c r="AH425" l="1"/>
  <c r="AG425"/>
  <c r="P426"/>
  <c r="AF425"/>
  <c r="H928"/>
  <c r="F929"/>
  <c r="H929" s="1"/>
  <c r="AU930"/>
  <c r="BB930"/>
  <c r="AO930"/>
  <c r="AN930"/>
  <c r="I930"/>
  <c r="AV930"/>
  <c r="AP930"/>
  <c r="BC930"/>
  <c r="Q930"/>
  <c r="E930"/>
  <c r="R930" s="1"/>
  <c r="AL929"/>
  <c r="AJ929"/>
  <c r="AK929"/>
  <c r="AW929"/>
  <c r="AY929" s="1"/>
  <c r="AT929"/>
  <c r="K929"/>
  <c r="O928"/>
  <c r="W928"/>
  <c r="BA929"/>
  <c r="BD929"/>
  <c r="BF929" s="1"/>
  <c r="AX929"/>
  <c r="AZ929" s="1"/>
  <c r="C932"/>
  <c r="AS931"/>
  <c r="B931"/>
  <c r="A931"/>
  <c r="D931"/>
  <c r="BE929"/>
  <c r="BG929" s="1"/>
  <c r="AR928"/>
  <c r="AB426" l="1"/>
  <c r="AA426"/>
  <c r="U426"/>
  <c r="Z426" s="1"/>
  <c r="AR929"/>
  <c r="T929"/>
  <c r="S930" s="1"/>
  <c r="AJ930"/>
  <c r="AL930"/>
  <c r="AK930"/>
  <c r="AX930"/>
  <c r="AZ930" s="1"/>
  <c r="BD930"/>
  <c r="BF930" s="1"/>
  <c r="BA930"/>
  <c r="AV931"/>
  <c r="AU931"/>
  <c r="BB931"/>
  <c r="AO931"/>
  <c r="AN931"/>
  <c r="AP931"/>
  <c r="BC931"/>
  <c r="I931"/>
  <c r="Q931"/>
  <c r="E931"/>
  <c r="R931" s="1"/>
  <c r="D932"/>
  <c r="C933"/>
  <c r="A932"/>
  <c r="AS932"/>
  <c r="B932"/>
  <c r="F931" s="1"/>
  <c r="T931" s="1"/>
  <c r="AW930"/>
  <c r="AY930" s="1"/>
  <c r="K930"/>
  <c r="AT930"/>
  <c r="F930"/>
  <c r="O929"/>
  <c r="W929"/>
  <c r="BE930"/>
  <c r="BG930" s="1"/>
  <c r="Y928"/>
  <c r="AH426" l="1"/>
  <c r="AG426"/>
  <c r="AF426"/>
  <c r="P427"/>
  <c r="U427" s="1"/>
  <c r="AA427" s="1"/>
  <c r="AG427" s="1"/>
  <c r="Z427"/>
  <c r="Y929"/>
  <c r="B933"/>
  <c r="AS933"/>
  <c r="A933"/>
  <c r="D933"/>
  <c r="C934"/>
  <c r="T930"/>
  <c r="S931" s="1"/>
  <c r="H930"/>
  <c r="AX931"/>
  <c r="AZ931" s="1"/>
  <c r="AR930"/>
  <c r="AP932"/>
  <c r="BC932"/>
  <c r="AN932"/>
  <c r="AV932"/>
  <c r="BB932"/>
  <c r="I932"/>
  <c r="AU932"/>
  <c r="AO932"/>
  <c r="Q932"/>
  <c r="E932"/>
  <c r="R932" s="1"/>
  <c r="AL931"/>
  <c r="AJ931"/>
  <c r="AK931"/>
  <c r="AW931"/>
  <c r="AY931" s="1"/>
  <c r="AR931" s="1"/>
  <c r="AT931"/>
  <c r="K931"/>
  <c r="S932"/>
  <c r="H931"/>
  <c r="O930"/>
  <c r="W930"/>
  <c r="BE931"/>
  <c r="BG931" s="1"/>
  <c r="BA931"/>
  <c r="BD931"/>
  <c r="BF931" s="1"/>
  <c r="Y930"/>
  <c r="AB427" l="1"/>
  <c r="AF427"/>
  <c r="AX932"/>
  <c r="AZ932" s="1"/>
  <c r="O931"/>
  <c r="W931"/>
  <c r="BD932"/>
  <c r="BF932" s="1"/>
  <c r="BA932"/>
  <c r="Y931"/>
  <c r="AK932"/>
  <c r="AJ932"/>
  <c r="AL932"/>
  <c r="BE932"/>
  <c r="BG932" s="1"/>
  <c r="C935"/>
  <c r="A934"/>
  <c r="B934"/>
  <c r="D934"/>
  <c r="AS934"/>
  <c r="K932"/>
  <c r="AT932"/>
  <c r="AW932"/>
  <c r="AY932" s="1"/>
  <c r="AN933"/>
  <c r="AU933"/>
  <c r="AP933"/>
  <c r="AO933"/>
  <c r="BC933"/>
  <c r="BB933"/>
  <c r="I933"/>
  <c r="AV933"/>
  <c r="Q933"/>
  <c r="E933"/>
  <c r="R933" s="1"/>
  <c r="F932"/>
  <c r="AH427" l="1"/>
  <c r="P428"/>
  <c r="D935"/>
  <c r="C936"/>
  <c r="A935"/>
  <c r="AS935"/>
  <c r="B935"/>
  <c r="F934" s="1"/>
  <c r="T934" s="1"/>
  <c r="BE933"/>
  <c r="BG933" s="1"/>
  <c r="AN934"/>
  <c r="AU934"/>
  <c r="AP934"/>
  <c r="I934"/>
  <c r="Q934"/>
  <c r="AV934"/>
  <c r="AO934"/>
  <c r="BC934"/>
  <c r="BB934"/>
  <c r="E934"/>
  <c r="AX933"/>
  <c r="AZ933" s="1"/>
  <c r="BA933"/>
  <c r="BD933"/>
  <c r="BF933" s="1"/>
  <c r="AW933"/>
  <c r="AY933" s="1"/>
  <c r="K933"/>
  <c r="AT933"/>
  <c r="O932"/>
  <c r="Y932" s="1"/>
  <c r="W932"/>
  <c r="AJ933"/>
  <c r="AK933"/>
  <c r="AL933"/>
  <c r="T932"/>
  <c r="S933" s="1"/>
  <c r="H932"/>
  <c r="AR932"/>
  <c r="F933"/>
  <c r="U428" l="1"/>
  <c r="AA428" s="1"/>
  <c r="AR933"/>
  <c r="AJ934"/>
  <c r="AK934"/>
  <c r="AL934"/>
  <c r="AX934"/>
  <c r="AZ934" s="1"/>
  <c r="K934"/>
  <c r="AW934"/>
  <c r="AY934" s="1"/>
  <c r="AT934"/>
  <c r="A936"/>
  <c r="B936"/>
  <c r="AS936"/>
  <c r="C937"/>
  <c r="D936"/>
  <c r="H934"/>
  <c r="R934"/>
  <c r="T933"/>
  <c r="S934" s="1"/>
  <c r="H933"/>
  <c r="AV935"/>
  <c r="Q935"/>
  <c r="AU935"/>
  <c r="AN935"/>
  <c r="BC935"/>
  <c r="AO935"/>
  <c r="I935"/>
  <c r="AP935"/>
  <c r="BB935"/>
  <c r="E935"/>
  <c r="S935"/>
  <c r="BE934"/>
  <c r="BG934" s="1"/>
  <c r="O933"/>
  <c r="Y933" s="1"/>
  <c r="W933"/>
  <c r="BD934"/>
  <c r="BF934" s="1"/>
  <c r="BA934"/>
  <c r="AG428" l="1"/>
  <c r="Z428"/>
  <c r="AB428"/>
  <c r="F935"/>
  <c r="T935" s="1"/>
  <c r="S936" s="1"/>
  <c r="AR934"/>
  <c r="H935"/>
  <c r="AT935"/>
  <c r="K935"/>
  <c r="AW935"/>
  <c r="AY935" s="1"/>
  <c r="AJ935"/>
  <c r="AL935"/>
  <c r="AK935"/>
  <c r="R935"/>
  <c r="C938"/>
  <c r="D937"/>
  <c r="AS937"/>
  <c r="B937"/>
  <c r="A937"/>
  <c r="AN936"/>
  <c r="Q936"/>
  <c r="BB936"/>
  <c r="I936"/>
  <c r="BC936"/>
  <c r="AP936"/>
  <c r="AV936"/>
  <c r="AU936"/>
  <c r="AO936"/>
  <c r="E936"/>
  <c r="O934"/>
  <c r="Y934" s="1"/>
  <c r="W934"/>
  <c r="BD935"/>
  <c r="BF935" s="1"/>
  <c r="BA935"/>
  <c r="BE935"/>
  <c r="BG935" s="1"/>
  <c r="AX935"/>
  <c r="AZ935" s="1"/>
  <c r="P429" l="1"/>
  <c r="AF428"/>
  <c r="AH428"/>
  <c r="F936"/>
  <c r="T936" s="1"/>
  <c r="S937" s="1"/>
  <c r="AR935"/>
  <c r="BE936"/>
  <c r="BG936" s="1"/>
  <c r="O935"/>
  <c r="Y935" s="1"/>
  <c r="W935"/>
  <c r="AK936"/>
  <c r="AJ936"/>
  <c r="AL936"/>
  <c r="AX936"/>
  <c r="AZ936" s="1"/>
  <c r="BA936"/>
  <c r="BD936"/>
  <c r="BF936" s="1"/>
  <c r="AS938"/>
  <c r="A938"/>
  <c r="D938"/>
  <c r="C939"/>
  <c r="B938"/>
  <c r="K936"/>
  <c r="AW936"/>
  <c r="AY936" s="1"/>
  <c r="AT936"/>
  <c r="I937"/>
  <c r="AO937"/>
  <c r="Q937"/>
  <c r="BB937"/>
  <c r="BC937"/>
  <c r="AV937"/>
  <c r="AU937"/>
  <c r="AN937"/>
  <c r="AP937"/>
  <c r="E937"/>
  <c r="R937" s="1"/>
  <c r="H936"/>
  <c r="R936"/>
  <c r="U429" l="1"/>
  <c r="AA429" s="1"/>
  <c r="AR936"/>
  <c r="BE937"/>
  <c r="BG937" s="1"/>
  <c r="O936"/>
  <c r="Y936" s="1"/>
  <c r="W936"/>
  <c r="AK937"/>
  <c r="AJ937"/>
  <c r="AL937"/>
  <c r="AX937"/>
  <c r="AZ937" s="1"/>
  <c r="D939"/>
  <c r="C940"/>
  <c r="A939"/>
  <c r="AS939" s="1"/>
  <c r="B939"/>
  <c r="F938" s="1"/>
  <c r="T938" s="1"/>
  <c r="AW937"/>
  <c r="AY937" s="1"/>
  <c r="K937"/>
  <c r="AT937"/>
  <c r="BD937"/>
  <c r="BF937" s="1"/>
  <c r="BA937"/>
  <c r="AN938"/>
  <c r="AP938"/>
  <c r="BB938"/>
  <c r="AU938"/>
  <c r="AV938"/>
  <c r="AO938"/>
  <c r="BC938"/>
  <c r="Q938"/>
  <c r="I938"/>
  <c r="E938"/>
  <c r="R938" s="1"/>
  <c r="F937"/>
  <c r="Z429" l="1"/>
  <c r="AB429"/>
  <c r="AG429"/>
  <c r="AR937"/>
  <c r="T937"/>
  <c r="S938" s="1"/>
  <c r="H937"/>
  <c r="BE938"/>
  <c r="BG938" s="1"/>
  <c r="BA938"/>
  <c r="BD938"/>
  <c r="BF938" s="1"/>
  <c r="O937"/>
  <c r="Y937" s="1"/>
  <c r="W937"/>
  <c r="A940"/>
  <c r="D940"/>
  <c r="C941"/>
  <c r="AS940"/>
  <c r="B940"/>
  <c r="AX938"/>
  <c r="AZ938" s="1"/>
  <c r="I939"/>
  <c r="AO939"/>
  <c r="AP939"/>
  <c r="AV939"/>
  <c r="AN939"/>
  <c r="AU939"/>
  <c r="BC939"/>
  <c r="BB939"/>
  <c r="Q939"/>
  <c r="E939"/>
  <c r="R939" s="1"/>
  <c r="K938"/>
  <c r="AT938"/>
  <c r="AW938"/>
  <c r="AY938" s="1"/>
  <c r="AL938"/>
  <c r="AK938"/>
  <c r="AJ938"/>
  <c r="S939"/>
  <c r="H938"/>
  <c r="AF429" l="1"/>
  <c r="AH429"/>
  <c r="P430"/>
  <c r="AR938"/>
  <c r="BE939"/>
  <c r="BG939" s="1"/>
  <c r="D941"/>
  <c r="A941"/>
  <c r="B941"/>
  <c r="C942"/>
  <c r="AS941"/>
  <c r="G928"/>
  <c r="G929" s="1"/>
  <c r="G930" s="1"/>
  <c r="G931" s="1"/>
  <c r="G932" s="1"/>
  <c r="G933" s="1"/>
  <c r="G934" s="1"/>
  <c r="G935" s="1"/>
  <c r="G936" s="1"/>
  <c r="G937" s="1"/>
  <c r="G938" s="1"/>
  <c r="G939" s="1"/>
  <c r="O938"/>
  <c r="Y938" s="1"/>
  <c r="W938"/>
  <c r="BD939"/>
  <c r="BF939" s="1"/>
  <c r="BA939"/>
  <c r="AX939"/>
  <c r="AZ939" s="1"/>
  <c r="AJ939"/>
  <c r="AK939"/>
  <c r="AL939"/>
  <c r="AW939"/>
  <c r="AY939" s="1"/>
  <c r="K939"/>
  <c r="AT939"/>
  <c r="AO940"/>
  <c r="AN940"/>
  <c r="BB940"/>
  <c r="AV940"/>
  <c r="AP940"/>
  <c r="AU940"/>
  <c r="Q940"/>
  <c r="BC940"/>
  <c r="I940"/>
  <c r="E940"/>
  <c r="R940" s="1"/>
  <c r="F939"/>
  <c r="Z430" l="1"/>
  <c r="AB430"/>
  <c r="U430"/>
  <c r="AA430"/>
  <c r="AR939"/>
  <c r="F940"/>
  <c r="T940" s="1"/>
  <c r="O939"/>
  <c r="Y939" s="1"/>
  <c r="W939"/>
  <c r="V939"/>
  <c r="AO941"/>
  <c r="BC941"/>
  <c r="AN941"/>
  <c r="I941"/>
  <c r="BB941"/>
  <c r="Q941"/>
  <c r="AP941"/>
  <c r="AU941"/>
  <c r="AV941"/>
  <c r="E941"/>
  <c r="AW940"/>
  <c r="AY940" s="1"/>
  <c r="AT940"/>
  <c r="K940"/>
  <c r="BD940"/>
  <c r="BF940" s="1"/>
  <c r="BA940"/>
  <c r="D942"/>
  <c r="R941"/>
  <c r="B942"/>
  <c r="C943"/>
  <c r="A942"/>
  <c r="AS942"/>
  <c r="AJ940"/>
  <c r="AK940"/>
  <c r="AL940"/>
  <c r="T939"/>
  <c r="H939"/>
  <c r="BE940"/>
  <c r="BG940" s="1"/>
  <c r="AX940"/>
  <c r="AZ940" s="1"/>
  <c r="AG430" l="1"/>
  <c r="P431"/>
  <c r="AF430"/>
  <c r="AH430"/>
  <c r="U431"/>
  <c r="Z431" s="1"/>
  <c r="H940"/>
  <c r="S941"/>
  <c r="L939"/>
  <c r="N939"/>
  <c r="M939"/>
  <c r="S940"/>
  <c r="AW941"/>
  <c r="AY941" s="1"/>
  <c r="AT941"/>
  <c r="K941"/>
  <c r="D943"/>
  <c r="AS943"/>
  <c r="A943"/>
  <c r="B943"/>
  <c r="C944"/>
  <c r="AX941"/>
  <c r="AZ941" s="1"/>
  <c r="BD941"/>
  <c r="BF941" s="1"/>
  <c r="BA941"/>
  <c r="AR940"/>
  <c r="BB942"/>
  <c r="AO942"/>
  <c r="AV942"/>
  <c r="Q942"/>
  <c r="I942"/>
  <c r="BC942"/>
  <c r="AP942"/>
  <c r="AN942"/>
  <c r="AU942"/>
  <c r="E942"/>
  <c r="R942" s="1"/>
  <c r="O940"/>
  <c r="Y940" s="1"/>
  <c r="W940"/>
  <c r="AL941"/>
  <c r="AJ941"/>
  <c r="AK941"/>
  <c r="BE941"/>
  <c r="BG941" s="1"/>
  <c r="F941"/>
  <c r="AA431" l="1"/>
  <c r="AG431" s="1"/>
  <c r="AB431"/>
  <c r="AH431" s="1"/>
  <c r="AF431"/>
  <c r="AW942"/>
  <c r="AY942" s="1"/>
  <c r="AT942"/>
  <c r="K942"/>
  <c r="BD942"/>
  <c r="BF942" s="1"/>
  <c r="BA942"/>
  <c r="T941"/>
  <c r="S942" s="1"/>
  <c r="H941"/>
  <c r="AJ942"/>
  <c r="AK942"/>
  <c r="AL942"/>
  <c r="D944"/>
  <c r="A944"/>
  <c r="AS944"/>
  <c r="B944"/>
  <c r="F943" s="1"/>
  <c r="C945"/>
  <c r="AR941"/>
  <c r="BE942"/>
  <c r="BG942" s="1"/>
  <c r="AX942"/>
  <c r="AZ942" s="1"/>
  <c r="AU943"/>
  <c r="AO943"/>
  <c r="AN943"/>
  <c r="AV943"/>
  <c r="Q943"/>
  <c r="I943"/>
  <c r="BC943"/>
  <c r="AP943"/>
  <c r="BB943"/>
  <c r="E943"/>
  <c r="R943" s="1"/>
  <c r="F942"/>
  <c r="O941"/>
  <c r="Y941" s="1"/>
  <c r="W941"/>
  <c r="P432" l="1"/>
  <c r="U432" s="1"/>
  <c r="AR942"/>
  <c r="T943"/>
  <c r="H943"/>
  <c r="O942"/>
  <c r="Y942" s="1"/>
  <c r="W942"/>
  <c r="BE943"/>
  <c r="BG943" s="1"/>
  <c r="T942"/>
  <c r="S943" s="1"/>
  <c r="H942"/>
  <c r="BD943"/>
  <c r="BF943" s="1"/>
  <c r="BA943"/>
  <c r="K943"/>
  <c r="AW943"/>
  <c r="AY943" s="1"/>
  <c r="AT943"/>
  <c r="C946"/>
  <c r="B945"/>
  <c r="AS945"/>
  <c r="D945"/>
  <c r="A945"/>
  <c r="AX943"/>
  <c r="AZ943" s="1"/>
  <c r="AL943"/>
  <c r="AK943"/>
  <c r="AJ943"/>
  <c r="Q944"/>
  <c r="BB944"/>
  <c r="BC944"/>
  <c r="I944"/>
  <c r="AP944"/>
  <c r="AN944"/>
  <c r="AV944"/>
  <c r="AU944"/>
  <c r="AO944"/>
  <c r="E944"/>
  <c r="R944" s="1"/>
  <c r="Z432" l="1"/>
  <c r="AF432" s="1"/>
  <c r="AB432"/>
  <c r="F944"/>
  <c r="T944" s="1"/>
  <c r="S945" s="1"/>
  <c r="AA432"/>
  <c r="AH432"/>
  <c r="AG432"/>
  <c r="S944"/>
  <c r="BA944"/>
  <c r="BD944"/>
  <c r="BF944" s="1"/>
  <c r="AS946"/>
  <c r="C947"/>
  <c r="D946"/>
  <c r="A946"/>
  <c r="B946"/>
  <c r="K944"/>
  <c r="AT944"/>
  <c r="AW944"/>
  <c r="AY944" s="1"/>
  <c r="Q945"/>
  <c r="I945"/>
  <c r="BC945"/>
  <c r="AP945"/>
  <c r="AO945"/>
  <c r="AV945"/>
  <c r="AN945"/>
  <c r="BB945"/>
  <c r="AU945"/>
  <c r="E945"/>
  <c r="R945" s="1"/>
  <c r="AR943"/>
  <c r="AK944"/>
  <c r="AJ944"/>
  <c r="AL944"/>
  <c r="AX944"/>
  <c r="AZ944" s="1"/>
  <c r="BE944"/>
  <c r="BG944" s="1"/>
  <c r="O943"/>
  <c r="Y943" s="1"/>
  <c r="W943"/>
  <c r="H944"/>
  <c r="P433" l="1"/>
  <c r="U433" s="1"/>
  <c r="F945"/>
  <c r="H945" s="1"/>
  <c r="AR944"/>
  <c r="BA945"/>
  <c r="BD945"/>
  <c r="BF945" s="1"/>
  <c r="AW945"/>
  <c r="AY945" s="1"/>
  <c r="AT945"/>
  <c r="K945"/>
  <c r="O944"/>
  <c r="Y944" s="1"/>
  <c r="W944"/>
  <c r="C948"/>
  <c r="AS947"/>
  <c r="B947"/>
  <c r="D947"/>
  <c r="A947"/>
  <c r="BE945"/>
  <c r="BG945" s="1"/>
  <c r="AL945"/>
  <c r="AJ945"/>
  <c r="AK945"/>
  <c r="AX945"/>
  <c r="AZ945" s="1"/>
  <c r="AP946"/>
  <c r="AV946"/>
  <c r="BB946"/>
  <c r="AN946"/>
  <c r="AO946"/>
  <c r="BC946"/>
  <c r="I946"/>
  <c r="AU946"/>
  <c r="Q946"/>
  <c r="E946"/>
  <c r="R946" s="1"/>
  <c r="Z433" l="1"/>
  <c r="P434" s="1"/>
  <c r="AA433"/>
  <c r="AG433" s="1"/>
  <c r="AB433"/>
  <c r="F946"/>
  <c r="T946" s="1"/>
  <c r="S947"/>
  <c r="T945"/>
  <c r="S946" s="1"/>
  <c r="AK946"/>
  <c r="AL946"/>
  <c r="AJ946"/>
  <c r="BE946"/>
  <c r="BG946" s="1"/>
  <c r="AX946"/>
  <c r="AZ946" s="1"/>
  <c r="A948"/>
  <c r="AS948"/>
  <c r="B948"/>
  <c r="C949"/>
  <c r="D948"/>
  <c r="AW946"/>
  <c r="AY946" s="1"/>
  <c r="K946"/>
  <c r="AT946"/>
  <c r="BA946"/>
  <c r="BD946"/>
  <c r="BF946" s="1"/>
  <c r="Q947"/>
  <c r="AV947"/>
  <c r="AO947"/>
  <c r="AU947"/>
  <c r="BB947"/>
  <c r="BC947"/>
  <c r="AN947"/>
  <c r="I947"/>
  <c r="AP947"/>
  <c r="E947"/>
  <c r="R947" s="1"/>
  <c r="O945"/>
  <c r="Y945" s="1"/>
  <c r="W945"/>
  <c r="AR945"/>
  <c r="AB434" l="1"/>
  <c r="U434"/>
  <c r="Z434" s="1"/>
  <c r="AH433"/>
  <c r="H946"/>
  <c r="AA434"/>
  <c r="AG434" s="1"/>
  <c r="AF433"/>
  <c r="O946"/>
  <c r="Y946" s="1"/>
  <c r="W946"/>
  <c r="BD947"/>
  <c r="BF947" s="1"/>
  <c r="BA947"/>
  <c r="AL947"/>
  <c r="AK947"/>
  <c r="AJ947"/>
  <c r="BE947"/>
  <c r="BG947" s="1"/>
  <c r="AX947"/>
  <c r="AZ947" s="1"/>
  <c r="AS949"/>
  <c r="A949"/>
  <c r="D949"/>
  <c r="B949"/>
  <c r="F948" s="1"/>
  <c r="C950"/>
  <c r="AP948"/>
  <c r="AV948"/>
  <c r="Q948"/>
  <c r="AN948"/>
  <c r="AU948"/>
  <c r="BC948"/>
  <c r="I948"/>
  <c r="AO948"/>
  <c r="BB948"/>
  <c r="E948"/>
  <c r="AR946"/>
  <c r="AW947"/>
  <c r="AY947" s="1"/>
  <c r="AT947"/>
  <c r="K947"/>
  <c r="F947"/>
  <c r="AB435" l="1"/>
  <c r="AH435" s="1"/>
  <c r="N435"/>
  <c r="P435"/>
  <c r="X435" s="1"/>
  <c r="M435"/>
  <c r="AH434"/>
  <c r="AA435"/>
  <c r="AG435" s="1"/>
  <c r="U435"/>
  <c r="L435"/>
  <c r="AF434"/>
  <c r="Z435"/>
  <c r="P436" s="1"/>
  <c r="T948"/>
  <c r="H948"/>
  <c r="O947"/>
  <c r="Y947" s="1"/>
  <c r="W947"/>
  <c r="AL948"/>
  <c r="AK948"/>
  <c r="AJ948"/>
  <c r="BE948"/>
  <c r="BG948" s="1"/>
  <c r="AX948"/>
  <c r="AZ948" s="1"/>
  <c r="R948"/>
  <c r="T947"/>
  <c r="S948" s="1"/>
  <c r="H947"/>
  <c r="AS950"/>
  <c r="C951"/>
  <c r="D950"/>
  <c r="A950"/>
  <c r="B950"/>
  <c r="AO949"/>
  <c r="AN949"/>
  <c r="Q949"/>
  <c r="AP949"/>
  <c r="I949"/>
  <c r="BB949"/>
  <c r="AU949"/>
  <c r="BC949"/>
  <c r="AV949"/>
  <c r="E949"/>
  <c r="R949" s="1"/>
  <c r="BD948"/>
  <c r="BF948" s="1"/>
  <c r="BA948"/>
  <c r="AW948"/>
  <c r="AY948" s="1"/>
  <c r="AT948"/>
  <c r="K948"/>
  <c r="AR947"/>
  <c r="AF435" l="1"/>
  <c r="S949"/>
  <c r="AR948"/>
  <c r="AB436"/>
  <c r="U436"/>
  <c r="AJ949"/>
  <c r="AL949"/>
  <c r="AK949"/>
  <c r="BD949"/>
  <c r="BF949" s="1"/>
  <c r="BA949"/>
  <c r="I950"/>
  <c r="AU950"/>
  <c r="BB950"/>
  <c r="AP950"/>
  <c r="BC950"/>
  <c r="AO950"/>
  <c r="AN950"/>
  <c r="Q950"/>
  <c r="AV950"/>
  <c r="E950"/>
  <c r="R950" s="1"/>
  <c r="BE949"/>
  <c r="BG949" s="1"/>
  <c r="C952"/>
  <c r="D951"/>
  <c r="A951"/>
  <c r="AS951" s="1"/>
  <c r="B951"/>
  <c r="AW949"/>
  <c r="AY949" s="1"/>
  <c r="AT949"/>
  <c r="K949"/>
  <c r="O948"/>
  <c r="Y948" s="1"/>
  <c r="W948"/>
  <c r="AX949"/>
  <c r="AZ949" s="1"/>
  <c r="F949"/>
  <c r="AH436" l="1"/>
  <c r="AA436"/>
  <c r="Z436"/>
  <c r="AR949"/>
  <c r="O949"/>
  <c r="Y949" s="1"/>
  <c r="W949"/>
  <c r="BD950"/>
  <c r="BF950" s="1"/>
  <c r="BA950"/>
  <c r="T949"/>
  <c r="S950" s="1"/>
  <c r="H949"/>
  <c r="AX950"/>
  <c r="AZ950" s="1"/>
  <c r="BE950"/>
  <c r="BG950" s="1"/>
  <c r="F950"/>
  <c r="AO951"/>
  <c r="BC951"/>
  <c r="AU951"/>
  <c r="AV951"/>
  <c r="AP951"/>
  <c r="BB951"/>
  <c r="Q951"/>
  <c r="I951"/>
  <c r="AN951"/>
  <c r="E951"/>
  <c r="R951" s="1"/>
  <c r="AS952"/>
  <c r="D952"/>
  <c r="C953"/>
  <c r="A952"/>
  <c r="B952"/>
  <c r="AL950"/>
  <c r="AJ950"/>
  <c r="AK950"/>
  <c r="K950"/>
  <c r="AW950"/>
  <c r="AY950" s="1"/>
  <c r="AR950" s="1"/>
  <c r="AT950"/>
  <c r="P437" l="1"/>
  <c r="AF436"/>
  <c r="AG436"/>
  <c r="O950"/>
  <c r="Y950" s="1"/>
  <c r="W950"/>
  <c r="G940"/>
  <c r="G941" s="1"/>
  <c r="G942" s="1"/>
  <c r="G943" s="1"/>
  <c r="G944" s="1"/>
  <c r="G945" s="1"/>
  <c r="G946" s="1"/>
  <c r="G947" s="1"/>
  <c r="G948" s="1"/>
  <c r="G949" s="1"/>
  <c r="G950" s="1"/>
  <c r="G951" s="1"/>
  <c r="AX951"/>
  <c r="AZ951" s="1"/>
  <c r="T950"/>
  <c r="S951" s="1"/>
  <c r="H950"/>
  <c r="C954"/>
  <c r="A953"/>
  <c r="B953"/>
  <c r="F952" s="1"/>
  <c r="D953"/>
  <c r="AS953"/>
  <c r="AT951"/>
  <c r="AY951"/>
  <c r="AW951"/>
  <c r="K951"/>
  <c r="BB952"/>
  <c r="I952"/>
  <c r="Q952"/>
  <c r="AV952"/>
  <c r="AU952"/>
  <c r="AP952"/>
  <c r="AO952"/>
  <c r="AN952"/>
  <c r="BC952"/>
  <c r="E952"/>
  <c r="R952" s="1"/>
  <c r="AL951"/>
  <c r="AJ951"/>
  <c r="AK951"/>
  <c r="BD951"/>
  <c r="BF951" s="1"/>
  <c r="BA951"/>
  <c r="BE951"/>
  <c r="BG951" s="1"/>
  <c r="F951"/>
  <c r="AB437" l="1"/>
  <c r="U437"/>
  <c r="T952"/>
  <c r="S953" s="1"/>
  <c r="H952"/>
  <c r="AX952"/>
  <c r="AZ952" s="1"/>
  <c r="BD952"/>
  <c r="BF952" s="1"/>
  <c r="BA952"/>
  <c r="O951"/>
  <c r="Y951" s="1"/>
  <c r="W951"/>
  <c r="V951"/>
  <c r="AV953"/>
  <c r="BC953"/>
  <c r="AU953"/>
  <c r="AP953"/>
  <c r="AO953"/>
  <c r="BB953"/>
  <c r="Q953"/>
  <c r="I953"/>
  <c r="AN953"/>
  <c r="E953"/>
  <c r="BE952"/>
  <c r="BG952" s="1"/>
  <c r="AW952"/>
  <c r="AY952" s="1"/>
  <c r="K952"/>
  <c r="AT952"/>
  <c r="T951"/>
  <c r="H951"/>
  <c r="AL952"/>
  <c r="AK952"/>
  <c r="AJ952"/>
  <c r="C955"/>
  <c r="D954"/>
  <c r="A954"/>
  <c r="B954"/>
  <c r="AS954"/>
  <c r="AR951"/>
  <c r="AH437" l="1"/>
  <c r="Z437"/>
  <c r="AA437"/>
  <c r="AR952"/>
  <c r="AT953"/>
  <c r="AW953"/>
  <c r="AY953" s="1"/>
  <c r="K953"/>
  <c r="AS955"/>
  <c r="B955"/>
  <c r="A955"/>
  <c r="D955"/>
  <c r="C956"/>
  <c r="BA953"/>
  <c r="BD953"/>
  <c r="BF953" s="1"/>
  <c r="AO954"/>
  <c r="I954"/>
  <c r="AN954"/>
  <c r="BC954"/>
  <c r="AV954"/>
  <c r="AU954"/>
  <c r="AP954"/>
  <c r="Q954"/>
  <c r="BB954"/>
  <c r="E954"/>
  <c r="R954" s="1"/>
  <c r="F953"/>
  <c r="O952"/>
  <c r="Y952" s="1"/>
  <c r="W952"/>
  <c r="AJ953"/>
  <c r="AL953"/>
  <c r="AK953"/>
  <c r="BE953"/>
  <c r="BG953" s="1"/>
  <c r="L951"/>
  <c r="M951"/>
  <c r="N951"/>
  <c r="S952"/>
  <c r="AX953"/>
  <c r="AZ953" s="1"/>
  <c r="R953"/>
  <c r="AF437" l="1"/>
  <c r="P438"/>
  <c r="AG437"/>
  <c r="F954"/>
  <c r="T954" s="1"/>
  <c r="AR953"/>
  <c r="T953"/>
  <c r="S954" s="1"/>
  <c r="H953"/>
  <c r="S955"/>
  <c r="BE954"/>
  <c r="BG954" s="1"/>
  <c r="BD954"/>
  <c r="BF954" s="1"/>
  <c r="BA954"/>
  <c r="AX954"/>
  <c r="AZ954" s="1"/>
  <c r="AS956"/>
  <c r="C957"/>
  <c r="B956"/>
  <c r="A956"/>
  <c r="D956"/>
  <c r="AK954"/>
  <c r="AL954"/>
  <c r="AJ954"/>
  <c r="AW954"/>
  <c r="AY954" s="1"/>
  <c r="AT954"/>
  <c r="K954"/>
  <c r="BB955"/>
  <c r="AV955"/>
  <c r="I955"/>
  <c r="AU955"/>
  <c r="AP955"/>
  <c r="Q955"/>
  <c r="BC955"/>
  <c r="AN955"/>
  <c r="AO955"/>
  <c r="E955"/>
  <c r="R955" s="1"/>
  <c r="O953"/>
  <c r="Y953" s="1"/>
  <c r="W953"/>
  <c r="AB438" l="1"/>
  <c r="U438"/>
  <c r="AR954"/>
  <c r="F955"/>
  <c r="T955" s="1"/>
  <c r="S956" s="1"/>
  <c r="H954"/>
  <c r="O954"/>
  <c r="Y954" s="1"/>
  <c r="W954"/>
  <c r="BD955"/>
  <c r="BF955" s="1"/>
  <c r="BA955"/>
  <c r="C958"/>
  <c r="D957"/>
  <c r="AS957"/>
  <c r="B957"/>
  <c r="A957"/>
  <c r="AL955"/>
  <c r="AK955"/>
  <c r="AJ955"/>
  <c r="AX955"/>
  <c r="AZ955" s="1"/>
  <c r="BE955"/>
  <c r="BG955" s="1"/>
  <c r="BB956"/>
  <c r="AP956"/>
  <c r="Q956"/>
  <c r="AV956"/>
  <c r="AO956"/>
  <c r="I956"/>
  <c r="AN956"/>
  <c r="AU956"/>
  <c r="BC956"/>
  <c r="E956"/>
  <c r="H955"/>
  <c r="K955"/>
  <c r="AW955"/>
  <c r="AY955" s="1"/>
  <c r="AT955"/>
  <c r="AH438" l="1"/>
  <c r="Z438"/>
  <c r="AA438"/>
  <c r="F956"/>
  <c r="T956" s="1"/>
  <c r="S957" s="1"/>
  <c r="O955"/>
  <c r="Y955" s="1"/>
  <c r="W955"/>
  <c r="AW956"/>
  <c r="AY956" s="1"/>
  <c r="AT956"/>
  <c r="K956"/>
  <c r="AX956"/>
  <c r="AZ956" s="1"/>
  <c r="AP957"/>
  <c r="Q957"/>
  <c r="I957"/>
  <c r="BC957"/>
  <c r="AU957"/>
  <c r="AN957"/>
  <c r="BB957"/>
  <c r="AO957"/>
  <c r="AV957"/>
  <c r="E957"/>
  <c r="C959"/>
  <c r="B958"/>
  <c r="AS958"/>
  <c r="D958"/>
  <c r="A958"/>
  <c r="H956"/>
  <c r="BE956"/>
  <c r="BG956" s="1"/>
  <c r="BD956"/>
  <c r="BF956" s="1"/>
  <c r="BA956"/>
  <c r="AL956"/>
  <c r="AJ956"/>
  <c r="AK956"/>
  <c r="AR955"/>
  <c r="R956"/>
  <c r="AF438" l="1"/>
  <c r="P439"/>
  <c r="AG438"/>
  <c r="F957"/>
  <c r="T957" s="1"/>
  <c r="S958" s="1"/>
  <c r="O956"/>
  <c r="Y956" s="1"/>
  <c r="W956"/>
  <c r="BD957"/>
  <c r="BF957" s="1"/>
  <c r="BA957"/>
  <c r="AP958"/>
  <c r="Q958"/>
  <c r="AU958"/>
  <c r="BB958"/>
  <c r="AO958"/>
  <c r="BC958"/>
  <c r="AN958"/>
  <c r="I958"/>
  <c r="AV958"/>
  <c r="E958"/>
  <c r="R958" s="1"/>
  <c r="BE957"/>
  <c r="BG957" s="1"/>
  <c r="AR956"/>
  <c r="AX957"/>
  <c r="AZ957" s="1"/>
  <c r="K957"/>
  <c r="AW957"/>
  <c r="AY957" s="1"/>
  <c r="AT957"/>
  <c r="AL957"/>
  <c r="AK957"/>
  <c r="AJ957"/>
  <c r="A959"/>
  <c r="C960"/>
  <c r="AS959"/>
  <c r="D959"/>
  <c r="B959"/>
  <c r="R957"/>
  <c r="AB439" l="1"/>
  <c r="U439"/>
  <c r="H957"/>
  <c r="AR957"/>
  <c r="I959"/>
  <c r="AV959"/>
  <c r="BC959"/>
  <c r="AP959"/>
  <c r="AO959"/>
  <c r="BB959"/>
  <c r="AN959"/>
  <c r="Q959"/>
  <c r="AU959"/>
  <c r="E959"/>
  <c r="R959" s="1"/>
  <c r="BD958"/>
  <c r="BF958" s="1"/>
  <c r="BA958"/>
  <c r="F958"/>
  <c r="B960"/>
  <c r="C961"/>
  <c r="AS960"/>
  <c r="A960"/>
  <c r="D960"/>
  <c r="AX958"/>
  <c r="AZ958" s="1"/>
  <c r="AL958"/>
  <c r="AJ958"/>
  <c r="AK958"/>
  <c r="BE958"/>
  <c r="BG958" s="1"/>
  <c r="O957"/>
  <c r="Y957" s="1"/>
  <c r="W957"/>
  <c r="AT958"/>
  <c r="K958"/>
  <c r="AW958"/>
  <c r="AY958" s="1"/>
  <c r="AH439" l="1"/>
  <c r="AA439"/>
  <c r="Z439"/>
  <c r="AR958"/>
  <c r="AS961"/>
  <c r="D961"/>
  <c r="F960" s="1"/>
  <c r="T960" s="1"/>
  <c r="A961"/>
  <c r="B961"/>
  <c r="C962"/>
  <c r="T958"/>
  <c r="S959" s="1"/>
  <c r="H958"/>
  <c r="BE959"/>
  <c r="BG959" s="1"/>
  <c r="AW959"/>
  <c r="AY959" s="1"/>
  <c r="AT959"/>
  <c r="K959"/>
  <c r="F959"/>
  <c r="O958"/>
  <c r="Y958" s="1"/>
  <c r="W958"/>
  <c r="Q960"/>
  <c r="AV960"/>
  <c r="AU960"/>
  <c r="BC960"/>
  <c r="AP960"/>
  <c r="BB960"/>
  <c r="AN960"/>
  <c r="I960"/>
  <c r="AO960"/>
  <c r="E960"/>
  <c r="R960" s="1"/>
  <c r="AL959"/>
  <c r="AK959"/>
  <c r="AJ959"/>
  <c r="BA959"/>
  <c r="BD959"/>
  <c r="BF959" s="1"/>
  <c r="AX959"/>
  <c r="AZ959" s="1"/>
  <c r="AF439" l="1"/>
  <c r="P440"/>
  <c r="U440" s="1"/>
  <c r="AB440" s="1"/>
  <c r="Z440"/>
  <c r="AG439"/>
  <c r="AA440"/>
  <c r="H960"/>
  <c r="BE960"/>
  <c r="BG960" s="1"/>
  <c r="B962"/>
  <c r="AS962"/>
  <c r="D962"/>
  <c r="F961" s="1"/>
  <c r="C963"/>
  <c r="A962"/>
  <c r="S961"/>
  <c r="AR959"/>
  <c r="BB961"/>
  <c r="AP961"/>
  <c r="AO961"/>
  <c r="AU961"/>
  <c r="I961"/>
  <c r="BC961"/>
  <c r="AN961"/>
  <c r="Q961"/>
  <c r="AV961"/>
  <c r="E961"/>
  <c r="R961" s="1"/>
  <c r="K960"/>
  <c r="AW960"/>
  <c r="AY960" s="1"/>
  <c r="AT960"/>
  <c r="O959"/>
  <c r="Y959" s="1"/>
  <c r="W959"/>
  <c r="T959"/>
  <c r="S960" s="1"/>
  <c r="H959"/>
  <c r="AK960"/>
  <c r="AJ960"/>
  <c r="AL960"/>
  <c r="BD960"/>
  <c r="BF960" s="1"/>
  <c r="BA960"/>
  <c r="AX960"/>
  <c r="AZ960" s="1"/>
  <c r="AG440" l="1"/>
  <c r="AH440"/>
  <c r="P441"/>
  <c r="AF440"/>
  <c r="T961"/>
  <c r="S962" s="1"/>
  <c r="H961"/>
  <c r="AX961"/>
  <c r="AZ961" s="1"/>
  <c r="BA961"/>
  <c r="BF961"/>
  <c r="BD961"/>
  <c r="C964"/>
  <c r="B963"/>
  <c r="A963"/>
  <c r="AS963" s="1"/>
  <c r="D963"/>
  <c r="AW961"/>
  <c r="AY961" s="1"/>
  <c r="K961"/>
  <c r="AT961"/>
  <c r="AK961"/>
  <c r="AJ961"/>
  <c r="AL961"/>
  <c r="BE961"/>
  <c r="BG961" s="1"/>
  <c r="I962"/>
  <c r="AN962"/>
  <c r="BC962"/>
  <c r="AU962"/>
  <c r="AP962"/>
  <c r="AV962"/>
  <c r="Q962"/>
  <c r="BB962"/>
  <c r="AO962"/>
  <c r="E962"/>
  <c r="R962" s="1"/>
  <c r="AR960"/>
  <c r="O960"/>
  <c r="Y960" s="1"/>
  <c r="W960"/>
  <c r="AA441" l="1"/>
  <c r="U441"/>
  <c r="Z441" s="1"/>
  <c r="AB441"/>
  <c r="F962"/>
  <c r="T962" s="1"/>
  <c r="S963" s="1"/>
  <c r="AR961"/>
  <c r="BD962"/>
  <c r="BF962" s="1"/>
  <c r="BA962"/>
  <c r="AW962"/>
  <c r="AY962" s="1"/>
  <c r="K962"/>
  <c r="AT962"/>
  <c r="O961"/>
  <c r="Y961" s="1"/>
  <c r="W961"/>
  <c r="H962"/>
  <c r="AJ962"/>
  <c r="AL962"/>
  <c r="AK962"/>
  <c r="AX962"/>
  <c r="AZ962" s="1"/>
  <c r="AN963"/>
  <c r="AO963"/>
  <c r="AP963"/>
  <c r="AV963"/>
  <c r="BC963"/>
  <c r="Q963"/>
  <c r="I963"/>
  <c r="BB963"/>
  <c r="AU963"/>
  <c r="E963"/>
  <c r="AS964"/>
  <c r="C965"/>
  <c r="A964"/>
  <c r="D964"/>
  <c r="B964"/>
  <c r="BE962"/>
  <c r="BG962" s="1"/>
  <c r="AG441" l="1"/>
  <c r="AF441"/>
  <c r="P442"/>
  <c r="AH441"/>
  <c r="U442"/>
  <c r="Z442" s="1"/>
  <c r="AR962"/>
  <c r="BB964"/>
  <c r="AV964"/>
  <c r="AO964"/>
  <c r="AP964"/>
  <c r="I964"/>
  <c r="BC964"/>
  <c r="Q964"/>
  <c r="AN964"/>
  <c r="AU964"/>
  <c r="E964"/>
  <c r="R964" s="1"/>
  <c r="BE963"/>
  <c r="BG963" s="1"/>
  <c r="AJ963"/>
  <c r="AK963"/>
  <c r="AL963"/>
  <c r="O962"/>
  <c r="Y962" s="1"/>
  <c r="W962"/>
  <c r="R963"/>
  <c r="AW963"/>
  <c r="AY963" s="1"/>
  <c r="AT963"/>
  <c r="K963"/>
  <c r="G952"/>
  <c r="G953" s="1"/>
  <c r="G954" s="1"/>
  <c r="G955" s="1"/>
  <c r="G956" s="1"/>
  <c r="G957" s="1"/>
  <c r="G958" s="1"/>
  <c r="G959" s="1"/>
  <c r="G960" s="1"/>
  <c r="G961" s="1"/>
  <c r="G962" s="1"/>
  <c r="G963" s="1"/>
  <c r="D965"/>
  <c r="C966"/>
  <c r="AS965"/>
  <c r="B965"/>
  <c r="A965"/>
  <c r="BD963"/>
  <c r="BF963" s="1"/>
  <c r="BA963"/>
  <c r="AX963"/>
  <c r="AZ963" s="1"/>
  <c r="F963"/>
  <c r="AB442" l="1"/>
  <c r="AA442"/>
  <c r="AG442" s="1"/>
  <c r="AF442"/>
  <c r="T963"/>
  <c r="H963"/>
  <c r="BB965"/>
  <c r="BC965"/>
  <c r="AO965"/>
  <c r="AN965"/>
  <c r="AV965"/>
  <c r="I965"/>
  <c r="AP965"/>
  <c r="AU965"/>
  <c r="Q965"/>
  <c r="E965"/>
  <c r="D966"/>
  <c r="A966"/>
  <c r="C967"/>
  <c r="B966"/>
  <c r="AS966"/>
  <c r="K964"/>
  <c r="AT964"/>
  <c r="AW964"/>
  <c r="AY964" s="1"/>
  <c r="BA964"/>
  <c r="BD964"/>
  <c r="BF964" s="1"/>
  <c r="F964"/>
  <c r="AL964"/>
  <c r="AK964"/>
  <c r="AJ964"/>
  <c r="BE964"/>
  <c r="BG964" s="1"/>
  <c r="AX964"/>
  <c r="AZ964" s="1"/>
  <c r="O963"/>
  <c r="Y963" s="1"/>
  <c r="W963"/>
  <c r="V963"/>
  <c r="AR963"/>
  <c r="U443" l="1"/>
  <c r="AB443" s="1"/>
  <c r="AH443" s="1"/>
  <c r="P443"/>
  <c r="AH442"/>
  <c r="T964"/>
  <c r="S965" s="1"/>
  <c r="H964"/>
  <c r="O964"/>
  <c r="W964"/>
  <c r="AO966"/>
  <c r="AN966"/>
  <c r="BC966"/>
  <c r="AV966"/>
  <c r="AP966"/>
  <c r="AU966"/>
  <c r="I966"/>
  <c r="Q966"/>
  <c r="BB966"/>
  <c r="E966"/>
  <c r="R966" s="1"/>
  <c r="AX965"/>
  <c r="AZ965" s="1"/>
  <c r="BA965"/>
  <c r="BD965"/>
  <c r="BF965" s="1"/>
  <c r="N963"/>
  <c r="L963"/>
  <c r="M963"/>
  <c r="S964"/>
  <c r="B967"/>
  <c r="D967"/>
  <c r="A967"/>
  <c r="AS967"/>
  <c r="C968"/>
  <c r="AJ965"/>
  <c r="AK965"/>
  <c r="AL965"/>
  <c r="BE965"/>
  <c r="BG965" s="1"/>
  <c r="AR964"/>
  <c r="F965"/>
  <c r="AW965"/>
  <c r="AY965" s="1"/>
  <c r="AR965" s="1"/>
  <c r="K965"/>
  <c r="AT965"/>
  <c r="R965"/>
  <c r="AA443" l="1"/>
  <c r="AG443" s="1"/>
  <c r="Z443"/>
  <c r="F966"/>
  <c r="H966" s="1"/>
  <c r="O965"/>
  <c r="W965"/>
  <c r="AX966"/>
  <c r="AZ966" s="1"/>
  <c r="T965"/>
  <c r="S966" s="1"/>
  <c r="H965"/>
  <c r="AV967"/>
  <c r="Q967"/>
  <c r="AP967"/>
  <c r="AO967"/>
  <c r="BC967"/>
  <c r="BB967"/>
  <c r="I967"/>
  <c r="AU967"/>
  <c r="AN967"/>
  <c r="E967"/>
  <c r="R967" s="1"/>
  <c r="AL966"/>
  <c r="AK966"/>
  <c r="AJ966"/>
  <c r="K966"/>
  <c r="AY966"/>
  <c r="AW966"/>
  <c r="AT966"/>
  <c r="Y964"/>
  <c r="Y965" s="1"/>
  <c r="BG966"/>
  <c r="BE966"/>
  <c r="B968"/>
  <c r="AS968"/>
  <c r="C969"/>
  <c r="D968"/>
  <c r="A968"/>
  <c r="BD966"/>
  <c r="BF966" s="1"/>
  <c r="BA966"/>
  <c r="AF443" l="1"/>
  <c r="P444"/>
  <c r="AR966"/>
  <c r="T966"/>
  <c r="S967" s="1"/>
  <c r="BB968"/>
  <c r="AN968"/>
  <c r="AV968"/>
  <c r="AU968"/>
  <c r="Q968"/>
  <c r="AO968"/>
  <c r="AP968"/>
  <c r="I968"/>
  <c r="BC968"/>
  <c r="E968"/>
  <c r="AW967"/>
  <c r="AY967" s="1"/>
  <c r="AT967"/>
  <c r="K967"/>
  <c r="BE967"/>
  <c r="BG967" s="1"/>
  <c r="AX967"/>
  <c r="AZ967" s="1"/>
  <c r="O966"/>
  <c r="Y966" s="1"/>
  <c r="W966"/>
  <c r="B969"/>
  <c r="C970"/>
  <c r="AS969"/>
  <c r="R968"/>
  <c r="A969"/>
  <c r="D969"/>
  <c r="AK967"/>
  <c r="AL967"/>
  <c r="AJ967"/>
  <c r="BD967"/>
  <c r="BF967" s="1"/>
  <c r="BA967"/>
  <c r="F967"/>
  <c r="U444" l="1"/>
  <c r="AB444"/>
  <c r="AH444" s="1"/>
  <c r="O967"/>
  <c r="W967"/>
  <c r="T967"/>
  <c r="S968" s="1"/>
  <c r="H967"/>
  <c r="BB969"/>
  <c r="AN969"/>
  <c r="I969"/>
  <c r="Q969"/>
  <c r="BC969"/>
  <c r="AP969"/>
  <c r="AU969"/>
  <c r="AV969"/>
  <c r="AO969"/>
  <c r="E969"/>
  <c r="R969" s="1"/>
  <c r="AX968"/>
  <c r="AZ968" s="1"/>
  <c r="Y967"/>
  <c r="F968"/>
  <c r="A970"/>
  <c r="D970"/>
  <c r="AS970"/>
  <c r="B970"/>
  <c r="C971"/>
  <c r="AT968"/>
  <c r="AW968"/>
  <c r="AY968" s="1"/>
  <c r="K968"/>
  <c r="BE968"/>
  <c r="BG968" s="1"/>
  <c r="BF968"/>
  <c r="BD968"/>
  <c r="BA968"/>
  <c r="AJ968"/>
  <c r="AK968"/>
  <c r="AL968"/>
  <c r="AR967"/>
  <c r="AA444" l="1"/>
  <c r="AG444" s="1"/>
  <c r="Z444"/>
  <c r="F969"/>
  <c r="T969" s="1"/>
  <c r="AW969"/>
  <c r="AY969" s="1"/>
  <c r="AT969"/>
  <c r="K969"/>
  <c r="I970"/>
  <c r="BB970"/>
  <c r="AO970"/>
  <c r="AU970"/>
  <c r="AV970"/>
  <c r="Q970"/>
  <c r="AN970"/>
  <c r="BC970"/>
  <c r="AP970"/>
  <c r="E970"/>
  <c r="R970" s="1"/>
  <c r="AX969"/>
  <c r="AZ969" s="1"/>
  <c r="AR968"/>
  <c r="O968"/>
  <c r="Y968" s="1"/>
  <c r="W968"/>
  <c r="B971"/>
  <c r="D971"/>
  <c r="C972"/>
  <c r="AS971"/>
  <c r="A971"/>
  <c r="T968"/>
  <c r="S969" s="1"/>
  <c r="H968"/>
  <c r="BE969"/>
  <c r="BG969" s="1"/>
  <c r="BD969"/>
  <c r="BF969" s="1"/>
  <c r="BA969"/>
  <c r="AJ969"/>
  <c r="AL969"/>
  <c r="AK969"/>
  <c r="AF444" l="1"/>
  <c r="P445"/>
  <c r="S970"/>
  <c r="H969"/>
  <c r="A972"/>
  <c r="B972"/>
  <c r="AS972"/>
  <c r="C973"/>
  <c r="D972"/>
  <c r="F971" s="1"/>
  <c r="T971" s="1"/>
  <c r="AL970"/>
  <c r="AJ970"/>
  <c r="AK970"/>
  <c r="BA970"/>
  <c r="BD970"/>
  <c r="BF970" s="1"/>
  <c r="AR969"/>
  <c r="AV971"/>
  <c r="BB971"/>
  <c r="AU971"/>
  <c r="Q971"/>
  <c r="AO971"/>
  <c r="AP971"/>
  <c r="I971"/>
  <c r="AN971"/>
  <c r="BC971"/>
  <c r="E971"/>
  <c r="R971" s="1"/>
  <c r="BE970"/>
  <c r="BG970" s="1"/>
  <c r="AW970"/>
  <c r="AY970" s="1"/>
  <c r="AT970"/>
  <c r="K970"/>
  <c r="F970"/>
  <c r="AX970"/>
  <c r="AZ970" s="1"/>
  <c r="O969"/>
  <c r="Y969" s="1"/>
  <c r="W969"/>
  <c r="U445" l="1"/>
  <c r="AA445" s="1"/>
  <c r="AG445" s="1"/>
  <c r="T970"/>
  <c r="S971" s="1"/>
  <c r="H970"/>
  <c r="O970"/>
  <c r="Y970" s="1"/>
  <c r="W970"/>
  <c r="BE971"/>
  <c r="BG971" s="1"/>
  <c r="AX971"/>
  <c r="AZ971" s="1"/>
  <c r="C974"/>
  <c r="D973"/>
  <c r="A973"/>
  <c r="AS973"/>
  <c r="B973"/>
  <c r="BC972"/>
  <c r="BB972"/>
  <c r="AN972"/>
  <c r="AV972"/>
  <c r="Q972"/>
  <c r="AO972"/>
  <c r="AU972"/>
  <c r="I972"/>
  <c r="AP972"/>
  <c r="E972"/>
  <c r="S972"/>
  <c r="AL971"/>
  <c r="AK971"/>
  <c r="AJ971"/>
  <c r="BD971"/>
  <c r="BF971" s="1"/>
  <c r="BA971"/>
  <c r="AW971"/>
  <c r="AY971" s="1"/>
  <c r="AT971"/>
  <c r="K971"/>
  <c r="AR970"/>
  <c r="H971"/>
  <c r="Z445" l="1"/>
  <c r="P446" s="1"/>
  <c r="AB445"/>
  <c r="AH445" s="1"/>
  <c r="F972"/>
  <c r="T972" s="1"/>
  <c r="S973" s="1"/>
  <c r="AR971"/>
  <c r="AL972"/>
  <c r="AJ972"/>
  <c r="AK972"/>
  <c r="BA972"/>
  <c r="BD972"/>
  <c r="BF972" s="1"/>
  <c r="O971"/>
  <c r="Y971" s="1"/>
  <c r="W971"/>
  <c r="BE972"/>
  <c r="BG972" s="1"/>
  <c r="Q973"/>
  <c r="AO973"/>
  <c r="AU973"/>
  <c r="AV973"/>
  <c r="I973"/>
  <c r="AN973"/>
  <c r="BB973"/>
  <c r="BC973"/>
  <c r="AP973"/>
  <c r="E973"/>
  <c r="R973" s="1"/>
  <c r="R972"/>
  <c r="D974"/>
  <c r="A974"/>
  <c r="B974"/>
  <c r="C975"/>
  <c r="AS974"/>
  <c r="AW972"/>
  <c r="AY972" s="1"/>
  <c r="AT972"/>
  <c r="K972"/>
  <c r="AX972"/>
  <c r="AZ972" s="1"/>
  <c r="H972"/>
  <c r="U446" l="1"/>
  <c r="AB446" s="1"/>
  <c r="AF445"/>
  <c r="AR972"/>
  <c r="F973"/>
  <c r="H973" s="1"/>
  <c r="BA973"/>
  <c r="BD973"/>
  <c r="BF973" s="1"/>
  <c r="K973"/>
  <c r="AW973"/>
  <c r="AY973" s="1"/>
  <c r="AT973"/>
  <c r="O972"/>
  <c r="Y972" s="1"/>
  <c r="W972"/>
  <c r="BB974"/>
  <c r="Q974"/>
  <c r="AU974"/>
  <c r="AO974"/>
  <c r="AP974"/>
  <c r="I974"/>
  <c r="BC974"/>
  <c r="AV974"/>
  <c r="AN974"/>
  <c r="E974"/>
  <c r="R974" s="1"/>
  <c r="AX973"/>
  <c r="AZ973" s="1"/>
  <c r="A975"/>
  <c r="C976"/>
  <c r="B975"/>
  <c r="D975"/>
  <c r="AK973"/>
  <c r="AL973"/>
  <c r="AJ973"/>
  <c r="BE973"/>
  <c r="BG973" s="1"/>
  <c r="AA446" l="1"/>
  <c r="AG446" s="1"/>
  <c r="Z446"/>
  <c r="L447" s="1"/>
  <c r="AH446"/>
  <c r="N447"/>
  <c r="M447"/>
  <c r="T973"/>
  <c r="S974" s="1"/>
  <c r="F974"/>
  <c r="H974" s="1"/>
  <c r="BE974"/>
  <c r="BG974" s="1"/>
  <c r="AT974"/>
  <c r="K974"/>
  <c r="AW974"/>
  <c r="AY974" s="1"/>
  <c r="AR973"/>
  <c r="I975"/>
  <c r="BC975"/>
  <c r="AV975"/>
  <c r="Q975"/>
  <c r="AP975"/>
  <c r="BB975"/>
  <c r="AO975"/>
  <c r="AU975"/>
  <c r="AN975"/>
  <c r="E975"/>
  <c r="R975" s="1"/>
  <c r="C977"/>
  <c r="D976"/>
  <c r="AS976"/>
  <c r="B976"/>
  <c r="A976"/>
  <c r="AX974"/>
  <c r="AZ974" s="1"/>
  <c r="BD974"/>
  <c r="BF974" s="1"/>
  <c r="BA974"/>
  <c r="AJ974"/>
  <c r="AL974"/>
  <c r="AK974"/>
  <c r="O973"/>
  <c r="Y973" s="1"/>
  <c r="W973"/>
  <c r="AS975"/>
  <c r="P447" l="1"/>
  <c r="AF446"/>
  <c r="T974"/>
  <c r="S975" s="1"/>
  <c r="F975"/>
  <c r="H975" s="1"/>
  <c r="G964"/>
  <c r="G965" s="1"/>
  <c r="G966" s="1"/>
  <c r="G967" s="1"/>
  <c r="G968" s="1"/>
  <c r="G969" s="1"/>
  <c r="G970" s="1"/>
  <c r="G971" s="1"/>
  <c r="G972" s="1"/>
  <c r="G973" s="1"/>
  <c r="G974" s="1"/>
  <c r="G975" s="1"/>
  <c r="C978"/>
  <c r="D977"/>
  <c r="AS977"/>
  <c r="A977"/>
  <c r="B977"/>
  <c r="AX975"/>
  <c r="AZ975" s="1"/>
  <c r="AL975"/>
  <c r="AK975"/>
  <c r="AJ975"/>
  <c r="BD975"/>
  <c r="BF975" s="1"/>
  <c r="BA975"/>
  <c r="BE975"/>
  <c r="BG975" s="1"/>
  <c r="AP976"/>
  <c r="AU976"/>
  <c r="AO976"/>
  <c r="BB976"/>
  <c r="I976"/>
  <c r="Q976"/>
  <c r="AN976"/>
  <c r="AV976"/>
  <c r="BC976"/>
  <c r="E976"/>
  <c r="K975"/>
  <c r="AW975"/>
  <c r="AY975" s="1"/>
  <c r="AT975"/>
  <c r="AR974"/>
  <c r="O974"/>
  <c r="Y974" s="1"/>
  <c r="W974"/>
  <c r="X447" l="1"/>
  <c r="U447"/>
  <c r="AA447" s="1"/>
  <c r="AB447"/>
  <c r="AH447" s="1"/>
  <c r="Z447"/>
  <c r="AF447" s="1"/>
  <c r="AG447"/>
  <c r="AR975"/>
  <c r="T975"/>
  <c r="L975" s="1"/>
  <c r="AX976"/>
  <c r="AZ976" s="1"/>
  <c r="S976"/>
  <c r="BD976"/>
  <c r="BF976" s="1"/>
  <c r="BA976"/>
  <c r="BE976"/>
  <c r="BG976" s="1"/>
  <c r="AO977"/>
  <c r="BB977"/>
  <c r="AV977"/>
  <c r="I977"/>
  <c r="AU977"/>
  <c r="AN977"/>
  <c r="AP977"/>
  <c r="Q977"/>
  <c r="BC977"/>
  <c r="E977"/>
  <c r="R977" s="1"/>
  <c r="A978"/>
  <c r="AS978"/>
  <c r="B978"/>
  <c r="C979"/>
  <c r="D978"/>
  <c r="AK976"/>
  <c r="AL976"/>
  <c r="AJ976"/>
  <c r="AW976"/>
  <c r="AY976" s="1"/>
  <c r="K976"/>
  <c r="AT976"/>
  <c r="F976"/>
  <c r="O975"/>
  <c r="Y975" s="1"/>
  <c r="W975"/>
  <c r="V975"/>
  <c r="R976"/>
  <c r="P448" l="1"/>
  <c r="U448" s="1"/>
  <c r="AB448" s="1"/>
  <c r="F977"/>
  <c r="T977" s="1"/>
  <c r="S978" s="1"/>
  <c r="M975"/>
  <c r="N975"/>
  <c r="C980"/>
  <c r="AS979"/>
  <c r="B979"/>
  <c r="A979"/>
  <c r="D979"/>
  <c r="AJ977"/>
  <c r="AL977"/>
  <c r="AK977"/>
  <c r="BD977"/>
  <c r="BF977" s="1"/>
  <c r="BA977"/>
  <c r="AR976"/>
  <c r="AN978"/>
  <c r="BB978"/>
  <c r="Q978"/>
  <c r="AO978"/>
  <c r="AU978"/>
  <c r="AV978"/>
  <c r="BC978"/>
  <c r="AP978"/>
  <c r="I978"/>
  <c r="E978"/>
  <c r="R978" s="1"/>
  <c r="AX977"/>
  <c r="AZ977" s="1"/>
  <c r="T976"/>
  <c r="S977" s="1"/>
  <c r="H976"/>
  <c r="O976"/>
  <c r="Y976" s="1"/>
  <c r="W976"/>
  <c r="BE977"/>
  <c r="BG977" s="1"/>
  <c r="AT977"/>
  <c r="K977"/>
  <c r="AW977"/>
  <c r="AY977" s="1"/>
  <c r="H977" l="1"/>
  <c r="AH448"/>
  <c r="Z448"/>
  <c r="AA448"/>
  <c r="F978"/>
  <c r="T978" s="1"/>
  <c r="S979" s="1"/>
  <c r="AW978"/>
  <c r="AY978" s="1"/>
  <c r="AT978"/>
  <c r="K978"/>
  <c r="AJ978"/>
  <c r="AL978"/>
  <c r="AK978"/>
  <c r="AZ978"/>
  <c r="AX978"/>
  <c r="BD978"/>
  <c r="BF978" s="1"/>
  <c r="BA978"/>
  <c r="BE978"/>
  <c r="BG978" s="1"/>
  <c r="Q979"/>
  <c r="BB979"/>
  <c r="AU979"/>
  <c r="AV979"/>
  <c r="I979"/>
  <c r="BC979"/>
  <c r="AO979"/>
  <c r="AN979"/>
  <c r="AP979"/>
  <c r="E979"/>
  <c r="R979" s="1"/>
  <c r="O977"/>
  <c r="Y977" s="1"/>
  <c r="W977"/>
  <c r="AS980"/>
  <c r="D980"/>
  <c r="B980"/>
  <c r="C981"/>
  <c r="A980"/>
  <c r="AR977"/>
  <c r="P449" l="1"/>
  <c r="AF448"/>
  <c r="AG448"/>
  <c r="H978"/>
  <c r="F979"/>
  <c r="H979" s="1"/>
  <c r="O978"/>
  <c r="Y978" s="1"/>
  <c r="W978"/>
  <c r="AX979"/>
  <c r="AZ979" s="1"/>
  <c r="AS981"/>
  <c r="A981"/>
  <c r="D981"/>
  <c r="C982"/>
  <c r="B981"/>
  <c r="Q980"/>
  <c r="AV980"/>
  <c r="AU980"/>
  <c r="AP980"/>
  <c r="AN980"/>
  <c r="I980"/>
  <c r="BB980"/>
  <c r="AO980"/>
  <c r="BC980"/>
  <c r="E980"/>
  <c r="R980" s="1"/>
  <c r="AK979"/>
  <c r="AL979"/>
  <c r="AJ979"/>
  <c r="BE979"/>
  <c r="BG979" s="1"/>
  <c r="BA979"/>
  <c r="BD979"/>
  <c r="BF979" s="1"/>
  <c r="AR978"/>
  <c r="K979"/>
  <c r="AW979"/>
  <c r="AY979" s="1"/>
  <c r="AR979" s="1"/>
  <c r="AT979"/>
  <c r="T979" l="1"/>
  <c r="S980" s="1"/>
  <c r="AB449"/>
  <c r="U449"/>
  <c r="F980"/>
  <c r="H980" s="1"/>
  <c r="BE980"/>
  <c r="BG980" s="1"/>
  <c r="O979"/>
  <c r="Y979" s="1"/>
  <c r="W979"/>
  <c r="BD980"/>
  <c r="BF980" s="1"/>
  <c r="BA980"/>
  <c r="AW980"/>
  <c r="AY980" s="1"/>
  <c r="K980"/>
  <c r="AT980"/>
  <c r="AJ980"/>
  <c r="AL980"/>
  <c r="AK980"/>
  <c r="AX980"/>
  <c r="AZ980" s="1"/>
  <c r="A982"/>
  <c r="D982"/>
  <c r="B982"/>
  <c r="AS982"/>
  <c r="C983"/>
  <c r="BB981"/>
  <c r="AP981"/>
  <c r="AV981"/>
  <c r="Q981"/>
  <c r="AN981"/>
  <c r="AU981"/>
  <c r="BC981"/>
  <c r="AO981"/>
  <c r="I981"/>
  <c r="E981"/>
  <c r="R981" s="1"/>
  <c r="F981" l="1"/>
  <c r="T981" s="1"/>
  <c r="AH449"/>
  <c r="Z449"/>
  <c r="AA449"/>
  <c r="S982"/>
  <c r="T980"/>
  <c r="S981" s="1"/>
  <c r="AW981"/>
  <c r="AY981" s="1"/>
  <c r="K981"/>
  <c r="AT981"/>
  <c r="AS983"/>
  <c r="A983"/>
  <c r="B983"/>
  <c r="C984"/>
  <c r="D983"/>
  <c r="O980"/>
  <c r="Y980" s="1"/>
  <c r="W980"/>
  <c r="AR980"/>
  <c r="BD981"/>
  <c r="BF981" s="1"/>
  <c r="BA981"/>
  <c r="AU982"/>
  <c r="BC982"/>
  <c r="BB982"/>
  <c r="AO982"/>
  <c r="AP982"/>
  <c r="I982"/>
  <c r="AN982"/>
  <c r="Q982"/>
  <c r="AV982"/>
  <c r="E982"/>
  <c r="R982" s="1"/>
  <c r="AJ981"/>
  <c r="AK981"/>
  <c r="AL981"/>
  <c r="BE981"/>
  <c r="BG981" s="1"/>
  <c r="AX981"/>
  <c r="AZ981" s="1"/>
  <c r="H981"/>
  <c r="P450" l="1"/>
  <c r="AF449"/>
  <c r="AG449"/>
  <c r="AR981"/>
  <c r="BA982"/>
  <c r="BD982"/>
  <c r="BF982" s="1"/>
  <c r="B984"/>
  <c r="AS984"/>
  <c r="D984"/>
  <c r="C985"/>
  <c r="A984"/>
  <c r="F982"/>
  <c r="AX982"/>
  <c r="AZ982" s="1"/>
  <c r="AT982"/>
  <c r="AW982"/>
  <c r="AY982" s="1"/>
  <c r="K982"/>
  <c r="AL982"/>
  <c r="AJ982"/>
  <c r="AK982"/>
  <c r="BE982"/>
  <c r="BG982" s="1"/>
  <c r="AO983"/>
  <c r="AU983"/>
  <c r="Q983"/>
  <c r="BB983"/>
  <c r="I983"/>
  <c r="AP983"/>
  <c r="AV983"/>
  <c r="BC983"/>
  <c r="AN983"/>
  <c r="E983"/>
  <c r="O981"/>
  <c r="Y981" s="1"/>
  <c r="W981"/>
  <c r="U450" l="1"/>
  <c r="AR982"/>
  <c r="F983"/>
  <c r="T983" s="1"/>
  <c r="AL983"/>
  <c r="AJ983"/>
  <c r="AK983"/>
  <c r="BE983"/>
  <c r="BG983" s="1"/>
  <c r="BD983"/>
  <c r="BF983" s="1"/>
  <c r="BA983"/>
  <c r="AO984"/>
  <c r="AU984"/>
  <c r="BC984"/>
  <c r="BB984"/>
  <c r="AN984"/>
  <c r="AV984"/>
  <c r="I984"/>
  <c r="Q984"/>
  <c r="AP984"/>
  <c r="E984"/>
  <c r="R984" s="1"/>
  <c r="R983"/>
  <c r="S984"/>
  <c r="AW983"/>
  <c r="AY983" s="1"/>
  <c r="AT983"/>
  <c r="K983"/>
  <c r="T982"/>
  <c r="S983" s="1"/>
  <c r="H982"/>
  <c r="H983"/>
  <c r="AX983"/>
  <c r="AZ983" s="1"/>
  <c r="O982"/>
  <c r="Y982" s="1"/>
  <c r="W982"/>
  <c r="AS985"/>
  <c r="C986"/>
  <c r="D985"/>
  <c r="B985"/>
  <c r="A985"/>
  <c r="Z450" l="1"/>
  <c r="AA450"/>
  <c r="AB450"/>
  <c r="AR983"/>
  <c r="O983"/>
  <c r="Y983" s="1"/>
  <c r="W983"/>
  <c r="AU985"/>
  <c r="AP985"/>
  <c r="BB985"/>
  <c r="AN985"/>
  <c r="AV985"/>
  <c r="BC985"/>
  <c r="AO985"/>
  <c r="I985"/>
  <c r="Q985"/>
  <c r="E985"/>
  <c r="R985" s="1"/>
  <c r="AJ984"/>
  <c r="AL984"/>
  <c r="AK984"/>
  <c r="AX984"/>
  <c r="AZ984" s="1"/>
  <c r="AW984"/>
  <c r="AY984" s="1"/>
  <c r="K984"/>
  <c r="AT984"/>
  <c r="D986"/>
  <c r="AS986"/>
  <c r="A986"/>
  <c r="B986"/>
  <c r="C987"/>
  <c r="BE984"/>
  <c r="BG984" s="1"/>
  <c r="F984"/>
  <c r="BA984"/>
  <c r="BD984"/>
  <c r="BF984" s="1"/>
  <c r="AG450" l="1"/>
  <c r="AF450"/>
  <c r="P451"/>
  <c r="U451" s="1"/>
  <c r="Z451" s="1"/>
  <c r="AH450"/>
  <c r="AB451"/>
  <c r="F985"/>
  <c r="H985" s="1"/>
  <c r="AR984"/>
  <c r="O984"/>
  <c r="Y984" s="1"/>
  <c r="W984"/>
  <c r="AX985"/>
  <c r="AZ985" s="1"/>
  <c r="AW985"/>
  <c r="AY985" s="1"/>
  <c r="K985"/>
  <c r="AT985"/>
  <c r="T984"/>
  <c r="S985" s="1"/>
  <c r="H984"/>
  <c r="AJ985"/>
  <c r="AL985"/>
  <c r="AK985"/>
  <c r="BE985"/>
  <c r="BG985" s="1"/>
  <c r="D987"/>
  <c r="C988"/>
  <c r="A987"/>
  <c r="AS987" s="1"/>
  <c r="B987"/>
  <c r="AO986"/>
  <c r="AP986"/>
  <c r="Q986"/>
  <c r="AV986"/>
  <c r="I986"/>
  <c r="BC986"/>
  <c r="AU986"/>
  <c r="BB986"/>
  <c r="AN986"/>
  <c r="E986"/>
  <c r="R986" s="1"/>
  <c r="BD985"/>
  <c r="BF985" s="1"/>
  <c r="BA985"/>
  <c r="AH451" l="1"/>
  <c r="AA451"/>
  <c r="P452" s="1"/>
  <c r="AF451"/>
  <c r="F986"/>
  <c r="T986" s="1"/>
  <c r="T985"/>
  <c r="S986" s="1"/>
  <c r="AR985"/>
  <c r="BD986"/>
  <c r="BF986" s="1"/>
  <c r="BA986"/>
  <c r="AX986"/>
  <c r="AZ986" s="1"/>
  <c r="H986"/>
  <c r="AW986"/>
  <c r="AY986" s="1"/>
  <c r="K986"/>
  <c r="AT986"/>
  <c r="O985"/>
  <c r="Y985" s="1"/>
  <c r="W985"/>
  <c r="AO987"/>
  <c r="AP987"/>
  <c r="AV987"/>
  <c r="BC987"/>
  <c r="I987"/>
  <c r="AN987"/>
  <c r="BB987"/>
  <c r="Q987"/>
  <c r="AU987"/>
  <c r="E987"/>
  <c r="R987" s="1"/>
  <c r="AL986"/>
  <c r="AK986"/>
  <c r="AJ986"/>
  <c r="BE986"/>
  <c r="BG986" s="1"/>
  <c r="A988"/>
  <c r="D988"/>
  <c r="C989"/>
  <c r="B988"/>
  <c r="AS988"/>
  <c r="U452" l="1"/>
  <c r="AB452" s="1"/>
  <c r="AG451"/>
  <c r="S987"/>
  <c r="AW987"/>
  <c r="AY987" s="1"/>
  <c r="K987"/>
  <c r="AT987"/>
  <c r="AK987"/>
  <c r="AL987"/>
  <c r="AJ987"/>
  <c r="AR986"/>
  <c r="C990"/>
  <c r="B989"/>
  <c r="D989"/>
  <c r="AS989"/>
  <c r="A989"/>
  <c r="BD987"/>
  <c r="BF987" s="1"/>
  <c r="BA987"/>
  <c r="AX987"/>
  <c r="AZ987" s="1"/>
  <c r="G976"/>
  <c r="G977" s="1"/>
  <c r="G978" s="1"/>
  <c r="G979" s="1"/>
  <c r="G980" s="1"/>
  <c r="G981" s="1"/>
  <c r="G982" s="1"/>
  <c r="G983" s="1"/>
  <c r="G984" s="1"/>
  <c r="G985" s="1"/>
  <c r="G986" s="1"/>
  <c r="G987" s="1"/>
  <c r="BC988"/>
  <c r="Q988"/>
  <c r="AV988"/>
  <c r="AN988"/>
  <c r="BB988"/>
  <c r="AO988"/>
  <c r="I988"/>
  <c r="AU988"/>
  <c r="AP988"/>
  <c r="E988"/>
  <c r="BE987"/>
  <c r="BG987" s="1"/>
  <c r="O986"/>
  <c r="Y986" s="1"/>
  <c r="W986"/>
  <c r="F987"/>
  <c r="Z452" l="1"/>
  <c r="AF452" s="1"/>
  <c r="AA452"/>
  <c r="AG452" s="1"/>
  <c r="AH452"/>
  <c r="F988"/>
  <c r="T988" s="1"/>
  <c r="AR987"/>
  <c r="AT988"/>
  <c r="AW988"/>
  <c r="AY988" s="1"/>
  <c r="K988"/>
  <c r="T987"/>
  <c r="H987"/>
  <c r="BD988"/>
  <c r="BF988" s="1"/>
  <c r="BA988"/>
  <c r="BE988"/>
  <c r="BG988" s="1"/>
  <c r="C991"/>
  <c r="AS990"/>
  <c r="B990"/>
  <c r="D990"/>
  <c r="A990"/>
  <c r="AX988"/>
  <c r="AZ988" s="1"/>
  <c r="AL988"/>
  <c r="AK988"/>
  <c r="AJ988"/>
  <c r="I989"/>
  <c r="AV989"/>
  <c r="AU989"/>
  <c r="AO989"/>
  <c r="AP989"/>
  <c r="BB989"/>
  <c r="BC989"/>
  <c r="Q989"/>
  <c r="AN989"/>
  <c r="E989"/>
  <c r="R989" s="1"/>
  <c r="K404" i="3"/>
  <c r="I344"/>
  <c r="K344"/>
  <c r="M344"/>
  <c r="M404"/>
  <c r="G149"/>
  <c r="K345"/>
  <c r="K406"/>
  <c r="K346"/>
  <c r="I346"/>
  <c r="I406"/>
  <c r="I404"/>
  <c r="M347"/>
  <c r="M405"/>
  <c r="M345"/>
  <c r="I407"/>
  <c r="M346"/>
  <c r="I405"/>
  <c r="L149"/>
  <c r="M343"/>
  <c r="I149"/>
  <c r="I345"/>
  <c r="M407"/>
  <c r="K405"/>
  <c r="M406"/>
  <c r="K149"/>
  <c r="I347"/>
  <c r="I343"/>
  <c r="H149"/>
  <c r="K343"/>
  <c r="M402"/>
  <c r="L150"/>
  <c r="K347"/>
  <c r="K407"/>
  <c r="H154"/>
  <c r="M348"/>
  <c r="J149"/>
  <c r="E149" s="1"/>
  <c r="K150"/>
  <c r="K403"/>
  <c r="H150"/>
  <c r="F150"/>
  <c r="I403"/>
  <c r="K348"/>
  <c r="M403"/>
  <c r="I402"/>
  <c r="J150"/>
  <c r="E150" s="1"/>
  <c r="I150"/>
  <c r="K402"/>
  <c r="F149"/>
  <c r="I151"/>
  <c r="G151"/>
  <c r="K350"/>
  <c r="I348"/>
  <c r="L152"/>
  <c r="J152"/>
  <c r="E152" s="1"/>
  <c r="K152"/>
  <c r="I155"/>
  <c r="K408"/>
  <c r="F152"/>
  <c r="K154"/>
  <c r="L151"/>
  <c r="I408"/>
  <c r="I154"/>
  <c r="I152"/>
  <c r="M408"/>
  <c r="G152"/>
  <c r="F151"/>
  <c r="H152"/>
  <c r="K151"/>
  <c r="G150"/>
  <c r="H151"/>
  <c r="J151"/>
  <c r="E151" s="1"/>
  <c r="M349"/>
  <c r="I349"/>
  <c r="H155"/>
  <c r="M410"/>
  <c r="G154"/>
  <c r="K153"/>
  <c r="H153"/>
  <c r="K349"/>
  <c r="F154"/>
  <c r="I409"/>
  <c r="I153"/>
  <c r="J153"/>
  <c r="E153" s="1"/>
  <c r="G153"/>
  <c r="L153"/>
  <c r="L154"/>
  <c r="K410"/>
  <c r="K409"/>
  <c r="M409"/>
  <c r="L157"/>
  <c r="J154"/>
  <c r="E154" s="1"/>
  <c r="F153"/>
  <c r="I350"/>
  <c r="M350"/>
  <c r="I410"/>
  <c r="K157"/>
  <c r="F155"/>
  <c r="K156"/>
  <c r="H157"/>
  <c r="K155"/>
  <c r="J155"/>
  <c r="E155" s="1"/>
  <c r="G155"/>
  <c r="F157"/>
  <c r="K158"/>
  <c r="F156"/>
  <c r="J157"/>
  <c r="E157" s="1"/>
  <c r="K411"/>
  <c r="L156"/>
  <c r="I156"/>
  <c r="G156"/>
  <c r="I157"/>
  <c r="I411"/>
  <c r="L155"/>
  <c r="J156"/>
  <c r="E156" s="1"/>
  <c r="M351"/>
  <c r="K351"/>
  <c r="I351"/>
  <c r="M411"/>
  <c r="H156"/>
  <c r="G157"/>
  <c r="I354"/>
  <c r="K412"/>
  <c r="L158"/>
  <c r="I158"/>
  <c r="G158"/>
  <c r="H158"/>
  <c r="M412"/>
  <c r="J158"/>
  <c r="E158" s="1"/>
  <c r="I352"/>
  <c r="M352"/>
  <c r="F158"/>
  <c r="K352"/>
  <c r="I412"/>
  <c r="I159"/>
  <c r="K353"/>
  <c r="K413"/>
  <c r="F159"/>
  <c r="M413"/>
  <c r="G159"/>
  <c r="K159"/>
  <c r="I160"/>
  <c r="I413"/>
  <c r="J159"/>
  <c r="E159" s="1"/>
  <c r="J162"/>
  <c r="E162" s="1"/>
  <c r="K415"/>
  <c r="I414"/>
  <c r="H159"/>
  <c r="L159"/>
  <c r="G160"/>
  <c r="I353"/>
  <c r="I415"/>
  <c r="L160"/>
  <c r="F160"/>
  <c r="G161"/>
  <c r="I161"/>
  <c r="M414"/>
  <c r="M353"/>
  <c r="F161"/>
  <c r="K160"/>
  <c r="H161"/>
  <c r="F162"/>
  <c r="J161"/>
  <c r="E161" s="1"/>
  <c r="K354"/>
  <c r="K414"/>
  <c r="J160"/>
  <c r="E160" s="1"/>
  <c r="H160"/>
  <c r="M354"/>
  <c r="M415"/>
  <c r="L161"/>
  <c r="G163"/>
  <c r="L164"/>
  <c r="K161"/>
  <c r="K355"/>
  <c r="K162"/>
  <c r="M355"/>
  <c r="G162"/>
  <c r="H163"/>
  <c r="L162"/>
  <c r="H162"/>
  <c r="M416"/>
  <c r="I162"/>
  <c r="G164"/>
  <c r="K163"/>
  <c r="L163"/>
  <c r="F164"/>
  <c r="I416"/>
  <c r="J163"/>
  <c r="E163" s="1"/>
  <c r="I355"/>
  <c r="K416"/>
  <c r="H165"/>
  <c r="I164"/>
  <c r="J164"/>
  <c r="E164" s="1"/>
  <c r="H164"/>
  <c r="I163"/>
  <c r="F163"/>
  <c r="K165"/>
  <c r="M356"/>
  <c r="G165"/>
  <c r="L165"/>
  <c r="K164"/>
  <c r="J165"/>
  <c r="E165" s="1"/>
  <c r="I356"/>
  <c r="H166"/>
  <c r="I165"/>
  <c r="K356"/>
  <c r="F165"/>
  <c r="I167"/>
  <c r="L167"/>
  <c r="J166"/>
  <c r="E166" s="1"/>
  <c r="G166"/>
  <c r="M357"/>
  <c r="K357"/>
  <c r="K166"/>
  <c r="I357"/>
  <c r="L166"/>
  <c r="F166"/>
  <c r="F168"/>
  <c r="I166"/>
  <c r="G168"/>
  <c r="J167"/>
  <c r="E167" s="1"/>
  <c r="L168"/>
  <c r="J168"/>
  <c r="E168" s="1"/>
  <c r="H167"/>
  <c r="K170"/>
  <c r="G167"/>
  <c r="J169"/>
  <c r="E169" s="1"/>
  <c r="H168"/>
  <c r="K167"/>
  <c r="H169"/>
  <c r="F167"/>
  <c r="J170"/>
  <c r="E170" s="1"/>
  <c r="G171"/>
  <c r="I169"/>
  <c r="L171"/>
  <c r="I168"/>
  <c r="G169"/>
  <c r="L169"/>
  <c r="K168"/>
  <c r="F169"/>
  <c r="K169"/>
  <c r="F172"/>
  <c r="I170"/>
  <c r="H170"/>
  <c r="K174"/>
  <c r="G170"/>
  <c r="K173"/>
  <c r="F170"/>
  <c r="G172"/>
  <c r="H171"/>
  <c r="L170"/>
  <c r="J171"/>
  <c r="E171" s="1"/>
  <c r="L174"/>
  <c r="L172"/>
  <c r="K172"/>
  <c r="K177"/>
  <c r="I175"/>
  <c r="H172"/>
  <c r="J172"/>
  <c r="E172" s="1"/>
  <c r="H173"/>
  <c r="K171"/>
  <c r="I171"/>
  <c r="K175"/>
  <c r="I172"/>
  <c r="F173"/>
  <c r="I173"/>
  <c r="G177"/>
  <c r="F171"/>
  <c r="L173"/>
  <c r="J173"/>
  <c r="E173" s="1"/>
  <c r="F175"/>
  <c r="H174"/>
  <c r="I174"/>
  <c r="L175"/>
  <c r="J175"/>
  <c r="E175" s="1"/>
  <c r="J174"/>
  <c r="E174" s="1"/>
  <c r="H175"/>
  <c r="G173"/>
  <c r="G174"/>
  <c r="F177"/>
  <c r="H177"/>
  <c r="K178"/>
  <c r="G175"/>
  <c r="F174"/>
  <c r="I177"/>
  <c r="H176"/>
  <c r="L177"/>
  <c r="J176"/>
  <c r="E176" s="1"/>
  <c r="G176"/>
  <c r="I176"/>
  <c r="F176"/>
  <c r="F179"/>
  <c r="J177"/>
  <c r="E177" s="1"/>
  <c r="K176"/>
  <c r="L176"/>
  <c r="L178"/>
  <c r="J178"/>
  <c r="E178" s="1"/>
  <c r="F178"/>
  <c r="J179"/>
  <c r="E179" s="1"/>
  <c r="G178"/>
  <c r="I179"/>
  <c r="L181"/>
  <c r="L179"/>
  <c r="K182"/>
  <c r="I178"/>
  <c r="H178"/>
  <c r="K179"/>
  <c r="H179"/>
  <c r="I180"/>
  <c r="J181"/>
  <c r="E181" s="1"/>
  <c r="K180"/>
  <c r="H181"/>
  <c r="L180"/>
  <c r="G179"/>
  <c r="F181"/>
  <c r="K181"/>
  <c r="G180"/>
  <c r="J180"/>
  <c r="E180" s="1"/>
  <c r="H180"/>
  <c r="I181"/>
  <c r="F180"/>
  <c r="G181"/>
  <c r="H186"/>
  <c r="K183"/>
  <c r="J182"/>
  <c r="E182" s="1"/>
  <c r="G182"/>
  <c r="I183"/>
  <c r="H182"/>
  <c r="L182"/>
  <c r="F183"/>
  <c r="I182"/>
  <c r="G183"/>
  <c r="H185"/>
  <c r="L183"/>
  <c r="H183"/>
  <c r="J183"/>
  <c r="E183" s="1"/>
  <c r="F182"/>
  <c r="F186"/>
  <c r="I185"/>
  <c r="G185"/>
  <c r="K188"/>
  <c r="I186"/>
  <c r="K184"/>
  <c r="G184"/>
  <c r="F184"/>
  <c r="I184"/>
  <c r="L184"/>
  <c r="J184"/>
  <c r="E184" s="1"/>
  <c r="K185"/>
  <c r="J185"/>
  <c r="E185" s="1"/>
  <c r="K187"/>
  <c r="F185"/>
  <c r="L185"/>
  <c r="H184"/>
  <c r="H187"/>
  <c r="L187"/>
  <c r="L186"/>
  <c r="I189"/>
  <c r="G187"/>
  <c r="J187"/>
  <c r="E187" s="1"/>
  <c r="G186"/>
  <c r="F187"/>
  <c r="I187"/>
  <c r="K186"/>
  <c r="J186"/>
  <c r="E186" s="1"/>
  <c r="F188"/>
  <c r="H190"/>
  <c r="F190"/>
  <c r="J190"/>
  <c r="E190" s="1"/>
  <c r="G188"/>
  <c r="K190"/>
  <c r="G189"/>
  <c r="H188"/>
  <c r="L188"/>
  <c r="F191"/>
  <c r="L189"/>
  <c r="I188"/>
  <c r="I192"/>
  <c r="K189"/>
  <c r="J188"/>
  <c r="E188" s="1"/>
  <c r="F189"/>
  <c r="H189"/>
  <c r="J191"/>
  <c r="E191" s="1"/>
  <c r="I190"/>
  <c r="G190"/>
  <c r="J189"/>
  <c r="E189" s="1"/>
  <c r="L190"/>
  <c r="H191"/>
  <c r="G194"/>
  <c r="I191"/>
  <c r="H193"/>
  <c r="L191"/>
  <c r="I195"/>
  <c r="K191"/>
  <c r="J192"/>
  <c r="E192" s="1"/>
  <c r="L192"/>
  <c r="F196"/>
  <c r="L195"/>
  <c r="K192"/>
  <c r="G191"/>
  <c r="F197"/>
  <c r="G195"/>
  <c r="I193"/>
  <c r="G192"/>
  <c r="H192"/>
  <c r="F192"/>
  <c r="J193"/>
  <c r="E193" s="1"/>
  <c r="L194"/>
  <c r="F193"/>
  <c r="G193"/>
  <c r="K193"/>
  <c r="H195"/>
  <c r="H194"/>
  <c r="I194"/>
  <c r="J195"/>
  <c r="E195" s="1"/>
  <c r="J196"/>
  <c r="E196" s="1"/>
  <c r="F194"/>
  <c r="K194"/>
  <c r="G196"/>
  <c r="K199"/>
  <c r="L193"/>
  <c r="L196"/>
  <c r="I196"/>
  <c r="J197"/>
  <c r="E197" s="1"/>
  <c r="G197"/>
  <c r="K197"/>
  <c r="L197"/>
  <c r="K196"/>
  <c r="L198"/>
  <c r="J194"/>
  <c r="E194" s="1"/>
  <c r="H196"/>
  <c r="F195"/>
  <c r="H197"/>
  <c r="I197"/>
  <c r="K195"/>
  <c r="F198"/>
  <c r="K201"/>
  <c r="F201"/>
  <c r="J199"/>
  <c r="E199" s="1"/>
  <c r="I199"/>
  <c r="I198"/>
  <c r="H199"/>
  <c r="K198"/>
  <c r="G198"/>
  <c r="J198"/>
  <c r="E198" s="1"/>
  <c r="H198"/>
  <c r="F200"/>
  <c r="H201"/>
  <c r="G201"/>
  <c r="K200"/>
  <c r="J200"/>
  <c r="E200" s="1"/>
  <c r="L199"/>
  <c r="J201"/>
  <c r="E201" s="1"/>
  <c r="L201"/>
  <c r="I201"/>
  <c r="H200"/>
  <c r="I200"/>
  <c r="L200"/>
  <c r="F203"/>
  <c r="G200"/>
  <c r="F199"/>
  <c r="G199"/>
  <c r="K203"/>
  <c r="H202"/>
  <c r="I203"/>
  <c r="J202"/>
  <c r="E202" s="1"/>
  <c r="I202"/>
  <c r="H203"/>
  <c r="L203"/>
  <c r="J203"/>
  <c r="E203" s="1"/>
  <c r="G203"/>
  <c r="F202"/>
  <c r="K202"/>
  <c r="G202"/>
  <c r="L202"/>
  <c r="J213"/>
  <c r="E213" s="1"/>
  <c r="K213"/>
  <c r="H213"/>
  <c r="G213"/>
  <c r="I213"/>
  <c r="L213"/>
  <c r="F213"/>
  <c r="O987" i="1"/>
  <c r="Y987" s="1"/>
  <c r="W987"/>
  <c r="V987"/>
  <c r="R988"/>
  <c r="S989"/>
  <c r="P453" l="1"/>
  <c r="U453" s="1"/>
  <c r="AB453" s="1"/>
  <c r="H988"/>
  <c r="F989"/>
  <c r="T989" s="1"/>
  <c r="S990" s="1"/>
  <c r="AR988"/>
  <c r="AS991"/>
  <c r="C992"/>
  <c r="B991"/>
  <c r="D991"/>
  <c r="A991"/>
  <c r="O988"/>
  <c r="W988"/>
  <c r="Q990"/>
  <c r="AV990"/>
  <c r="I990"/>
  <c r="AN990"/>
  <c r="BC990"/>
  <c r="AO990"/>
  <c r="AU990"/>
  <c r="AP990"/>
  <c r="BB990"/>
  <c r="E990"/>
  <c r="N987"/>
  <c r="L987"/>
  <c r="M987"/>
  <c r="S988"/>
  <c r="AK989"/>
  <c r="AL989"/>
  <c r="AJ989"/>
  <c r="BA989"/>
  <c r="BD989"/>
  <c r="BF989" s="1"/>
  <c r="AX989"/>
  <c r="AZ989" s="1"/>
  <c r="BE989"/>
  <c r="BG989" s="1"/>
  <c r="AW989"/>
  <c r="AY989" s="1"/>
  <c r="AT989"/>
  <c r="K989"/>
  <c r="AH453" l="1"/>
  <c r="Z453"/>
  <c r="AA453"/>
  <c r="H989"/>
  <c r="F990"/>
  <c r="H990" s="1"/>
  <c r="AJ990"/>
  <c r="AK990"/>
  <c r="AL990"/>
  <c r="AX990"/>
  <c r="AZ990" s="1"/>
  <c r="R990"/>
  <c r="Y988"/>
  <c r="AW990"/>
  <c r="AY990" s="1"/>
  <c r="K990"/>
  <c r="AT990"/>
  <c r="AN991"/>
  <c r="AO991"/>
  <c r="AP991"/>
  <c r="Q991"/>
  <c r="AV991"/>
  <c r="AU991"/>
  <c r="I991"/>
  <c r="BC991"/>
  <c r="BB991"/>
  <c r="E991"/>
  <c r="R991" s="1"/>
  <c r="C993"/>
  <c r="A992"/>
  <c r="B992"/>
  <c r="D992"/>
  <c r="AS992"/>
  <c r="AR989"/>
  <c r="O989"/>
  <c r="W989"/>
  <c r="BA990"/>
  <c r="BD990"/>
  <c r="BF990" s="1"/>
  <c r="BE990"/>
  <c r="BG990" s="1"/>
  <c r="P454" l="1"/>
  <c r="U454" s="1"/>
  <c r="AB454" s="1"/>
  <c r="AF453"/>
  <c r="Z454"/>
  <c r="AG453"/>
  <c r="AA454"/>
  <c r="F991"/>
  <c r="T991" s="1"/>
  <c r="S992" s="1"/>
  <c r="T990"/>
  <c r="S991" s="1"/>
  <c r="AR990"/>
  <c r="BD991"/>
  <c r="BF991" s="1"/>
  <c r="BA991"/>
  <c r="AX991"/>
  <c r="AZ991" s="1"/>
  <c r="AK991"/>
  <c r="AJ991"/>
  <c r="AL991"/>
  <c r="AW991"/>
  <c r="AY991" s="1"/>
  <c r="AR991" s="1"/>
  <c r="AT991"/>
  <c r="K991"/>
  <c r="A993"/>
  <c r="AS993"/>
  <c r="C994"/>
  <c r="D993"/>
  <c r="B993"/>
  <c r="O990"/>
  <c r="W990"/>
  <c r="BE991"/>
  <c r="BG991" s="1"/>
  <c r="AV992"/>
  <c r="Q992"/>
  <c r="BC992"/>
  <c r="I992"/>
  <c r="BB992"/>
  <c r="AP992"/>
  <c r="AO992"/>
  <c r="AU992"/>
  <c r="AN992"/>
  <c r="E992"/>
  <c r="Y989"/>
  <c r="AH454" l="1"/>
  <c r="AG454"/>
  <c r="AF454"/>
  <c r="P455"/>
  <c r="H991"/>
  <c r="Y990"/>
  <c r="AW992"/>
  <c r="AY992" s="1"/>
  <c r="K992"/>
  <c r="AT992"/>
  <c r="O991"/>
  <c r="Y991" s="1"/>
  <c r="W991"/>
  <c r="BD992"/>
  <c r="BF992" s="1"/>
  <c r="BA992"/>
  <c r="AX992"/>
  <c r="AZ992" s="1"/>
  <c r="B994"/>
  <c r="D994"/>
  <c r="AS994"/>
  <c r="C995"/>
  <c r="A994"/>
  <c r="AJ992"/>
  <c r="AK992"/>
  <c r="AL992"/>
  <c r="BE992"/>
  <c r="BG992" s="1"/>
  <c r="AO993"/>
  <c r="BB993"/>
  <c r="AV993"/>
  <c r="BC993"/>
  <c r="I993"/>
  <c r="AP993"/>
  <c r="AN993"/>
  <c r="AU993"/>
  <c r="Q993"/>
  <c r="E993"/>
  <c r="R993" s="1"/>
  <c r="R992"/>
  <c r="F992"/>
  <c r="AB455" l="1"/>
  <c r="U455"/>
  <c r="AR992"/>
  <c r="BE993"/>
  <c r="BG993" s="1"/>
  <c r="AJ993"/>
  <c r="AK993"/>
  <c r="AL993"/>
  <c r="BD993"/>
  <c r="BF993" s="1"/>
  <c r="BA993"/>
  <c r="O992"/>
  <c r="Y992" s="1"/>
  <c r="W992"/>
  <c r="AX993"/>
  <c r="AZ993" s="1"/>
  <c r="B995"/>
  <c r="C996"/>
  <c r="A995"/>
  <c r="AS995"/>
  <c r="D995"/>
  <c r="K993"/>
  <c r="AW993"/>
  <c r="AY993" s="1"/>
  <c r="AR993" s="1"/>
  <c r="AT993"/>
  <c r="AP994"/>
  <c r="AN994"/>
  <c r="Q994"/>
  <c r="BB994"/>
  <c r="AO994"/>
  <c r="AV994"/>
  <c r="AU994"/>
  <c r="I994"/>
  <c r="BC994"/>
  <c r="E994"/>
  <c r="F993"/>
  <c r="T992"/>
  <c r="S993" s="1"/>
  <c r="H992"/>
  <c r="AH455" l="1"/>
  <c r="Z455"/>
  <c r="AA455"/>
  <c r="D996"/>
  <c r="A996"/>
  <c r="AS996"/>
  <c r="C997"/>
  <c r="B996"/>
  <c r="F995" s="1"/>
  <c r="AW994"/>
  <c r="AY994" s="1"/>
  <c r="AT994"/>
  <c r="K994"/>
  <c r="AV995"/>
  <c r="AN995"/>
  <c r="I995"/>
  <c r="AU995"/>
  <c r="BB995"/>
  <c r="AO995"/>
  <c r="AP995"/>
  <c r="BC995"/>
  <c r="Q995"/>
  <c r="E995"/>
  <c r="R995" s="1"/>
  <c r="F994"/>
  <c r="AL994"/>
  <c r="AJ994"/>
  <c r="AK994"/>
  <c r="AX994"/>
  <c r="AZ994" s="1"/>
  <c r="T993"/>
  <c r="S994" s="1"/>
  <c r="H993"/>
  <c r="BD994"/>
  <c r="BF994" s="1"/>
  <c r="BA994"/>
  <c r="BE994"/>
  <c r="BG994" s="1"/>
  <c r="O993"/>
  <c r="Y993" s="1"/>
  <c r="W993"/>
  <c r="R994"/>
  <c r="AF455" l="1"/>
  <c r="P456"/>
  <c r="AG455"/>
  <c r="T995"/>
  <c r="H995"/>
  <c r="T994"/>
  <c r="S995" s="1"/>
  <c r="H994"/>
  <c r="O994"/>
  <c r="Y994" s="1"/>
  <c r="W994"/>
  <c r="BG995"/>
  <c r="BE995"/>
  <c r="AW995"/>
  <c r="AY995" s="1"/>
  <c r="K995"/>
  <c r="AT995"/>
  <c r="AV996"/>
  <c r="Q996"/>
  <c r="BB996"/>
  <c r="I996"/>
  <c r="AP996"/>
  <c r="BC996"/>
  <c r="AU996"/>
  <c r="AN996"/>
  <c r="AO996"/>
  <c r="E996"/>
  <c r="R996" s="1"/>
  <c r="AR994"/>
  <c r="BD995"/>
  <c r="BF995" s="1"/>
  <c r="BA995"/>
  <c r="AX995"/>
  <c r="AZ995" s="1"/>
  <c r="AJ995"/>
  <c r="AL995"/>
  <c r="AK995"/>
  <c r="C998"/>
  <c r="B997"/>
  <c r="D997"/>
  <c r="A997"/>
  <c r="AS997"/>
  <c r="S996"/>
  <c r="U456" l="1"/>
  <c r="AB456"/>
  <c r="F996"/>
  <c r="H996" s="1"/>
  <c r="AR995"/>
  <c r="AJ996"/>
  <c r="AL996"/>
  <c r="AK996"/>
  <c r="BE996"/>
  <c r="BG996" s="1"/>
  <c r="O995"/>
  <c r="Y995" s="1"/>
  <c r="W995"/>
  <c r="BC997"/>
  <c r="AV997"/>
  <c r="Q997"/>
  <c r="I997"/>
  <c r="AN997"/>
  <c r="AO997"/>
  <c r="AP997"/>
  <c r="BB997"/>
  <c r="AU997"/>
  <c r="E997"/>
  <c r="R997" s="1"/>
  <c r="C999"/>
  <c r="B998"/>
  <c r="A998"/>
  <c r="D998"/>
  <c r="AS998"/>
  <c r="K996"/>
  <c r="AT996"/>
  <c r="AW996"/>
  <c r="AY996" s="1"/>
  <c r="BD996"/>
  <c r="BF996" s="1"/>
  <c r="BA996"/>
  <c r="AX996"/>
  <c r="AZ996" s="1"/>
  <c r="Z456" l="1"/>
  <c r="AA456"/>
  <c r="AH456"/>
  <c r="T996"/>
  <c r="S997" s="1"/>
  <c r="AR996"/>
  <c r="F997"/>
  <c r="H997" s="1"/>
  <c r="BD997"/>
  <c r="BF997" s="1"/>
  <c r="BA997"/>
  <c r="O996"/>
  <c r="Y996" s="1"/>
  <c r="W996"/>
  <c r="AU998"/>
  <c r="I998"/>
  <c r="AO998"/>
  <c r="BC998"/>
  <c r="AP998"/>
  <c r="BB998"/>
  <c r="AN998"/>
  <c r="Q998"/>
  <c r="AV998"/>
  <c r="E998"/>
  <c r="AW997"/>
  <c r="AY997" s="1"/>
  <c r="K997"/>
  <c r="AT997"/>
  <c r="D999"/>
  <c r="C1000"/>
  <c r="B999"/>
  <c r="A999"/>
  <c r="BE997"/>
  <c r="BG997" s="1"/>
  <c r="AJ997"/>
  <c r="AL997"/>
  <c r="AK997"/>
  <c r="AX997"/>
  <c r="AZ997" s="1"/>
  <c r="P457" l="1"/>
  <c r="AF456"/>
  <c r="AG456"/>
  <c r="F998"/>
  <c r="T998" s="1"/>
  <c r="S999" s="1"/>
  <c r="T997"/>
  <c r="S998" s="1"/>
  <c r="AO999"/>
  <c r="I999"/>
  <c r="Q999"/>
  <c r="AV999"/>
  <c r="AP999"/>
  <c r="BC999"/>
  <c r="AN999"/>
  <c r="AU999"/>
  <c r="BB999"/>
  <c r="E999"/>
  <c r="C1001"/>
  <c r="B1000"/>
  <c r="D1000"/>
  <c r="R999"/>
  <c r="A1000"/>
  <c r="AS1000"/>
  <c r="AX998"/>
  <c r="AZ998" s="1"/>
  <c r="AT998"/>
  <c r="K998"/>
  <c r="AW998"/>
  <c r="AY998" s="1"/>
  <c r="AK998"/>
  <c r="AL998"/>
  <c r="AJ998"/>
  <c r="BD998"/>
  <c r="BF998" s="1"/>
  <c r="BA998"/>
  <c r="H998"/>
  <c r="AR997"/>
  <c r="AS999"/>
  <c r="R998"/>
  <c r="O997"/>
  <c r="Y997" s="1"/>
  <c r="W997"/>
  <c r="BE998"/>
  <c r="BG998" s="1"/>
  <c r="U457" l="1"/>
  <c r="AB457" s="1"/>
  <c r="O998"/>
  <c r="Y998" s="1"/>
  <c r="W998"/>
  <c r="G988"/>
  <c r="G989" s="1"/>
  <c r="G990" s="1"/>
  <c r="G991" s="1"/>
  <c r="G992" s="1"/>
  <c r="G993" s="1"/>
  <c r="G994" s="1"/>
  <c r="G995" s="1"/>
  <c r="G996" s="1"/>
  <c r="G997" s="1"/>
  <c r="G998" s="1"/>
  <c r="G999" s="1"/>
  <c r="AW999"/>
  <c r="AY999" s="1"/>
  <c r="AT999"/>
  <c r="K999"/>
  <c r="AX999"/>
  <c r="AZ999" s="1"/>
  <c r="BA999"/>
  <c r="BD999"/>
  <c r="BF999" s="1"/>
  <c r="AL999"/>
  <c r="AK999"/>
  <c r="AJ999"/>
  <c r="BE999"/>
  <c r="BG999" s="1"/>
  <c r="AR998"/>
  <c r="AV1000"/>
  <c r="I1000"/>
  <c r="AN1000"/>
  <c r="AP1000"/>
  <c r="AO1000"/>
  <c r="Q1000"/>
  <c r="BB1000"/>
  <c r="BC1000"/>
  <c r="AU1000"/>
  <c r="E1000"/>
  <c r="R1000" s="1"/>
  <c r="B1001"/>
  <c r="A1001"/>
  <c r="D1001"/>
  <c r="AS1001"/>
  <c r="C1002"/>
  <c r="F999"/>
  <c r="Z457" l="1"/>
  <c r="AA457"/>
  <c r="AH457"/>
  <c r="F1000"/>
  <c r="H1000" s="1"/>
  <c r="BA1000"/>
  <c r="BD1000"/>
  <c r="BF1000" s="1"/>
  <c r="BB1001"/>
  <c r="BC1001"/>
  <c r="AP1001"/>
  <c r="I1001"/>
  <c r="AV1001"/>
  <c r="Q1001"/>
  <c r="AN1001"/>
  <c r="AO1001"/>
  <c r="AU1001"/>
  <c r="E1001"/>
  <c r="R1001" s="1"/>
  <c r="BE1000"/>
  <c r="BG1000" s="1"/>
  <c r="O999"/>
  <c r="Y999" s="1"/>
  <c r="W999"/>
  <c r="V999"/>
  <c r="AR999"/>
  <c r="AT1000"/>
  <c r="AW1000"/>
  <c r="AY1000" s="1"/>
  <c r="K1000"/>
  <c r="AX1000"/>
  <c r="AZ1000" s="1"/>
  <c r="AL1000"/>
  <c r="AJ1000"/>
  <c r="AK1000"/>
  <c r="T999"/>
  <c r="H999"/>
  <c r="C1003"/>
  <c r="B1002"/>
  <c r="AS1002"/>
  <c r="A1002"/>
  <c r="D1002"/>
  <c r="AF457" l="1"/>
  <c r="P458"/>
  <c r="AG457"/>
  <c r="T1000"/>
  <c r="S1001" s="1"/>
  <c r="AO1002"/>
  <c r="BC1002"/>
  <c r="AP1002"/>
  <c r="AU1002"/>
  <c r="I1002"/>
  <c r="Q1002"/>
  <c r="AV1002"/>
  <c r="AN1002"/>
  <c r="BB1002"/>
  <c r="E1002"/>
  <c r="R1002" s="1"/>
  <c r="D1003"/>
  <c r="C1004"/>
  <c r="A1003"/>
  <c r="AS1003"/>
  <c r="B1003"/>
  <c r="N999"/>
  <c r="L999"/>
  <c r="M999"/>
  <c r="S1000"/>
  <c r="AT1001"/>
  <c r="K1001"/>
  <c r="AW1001"/>
  <c r="AY1001" s="1"/>
  <c r="AZ1001"/>
  <c r="AX1001"/>
  <c r="BD1001"/>
  <c r="BF1001" s="1"/>
  <c r="BA1001"/>
  <c r="AR1000"/>
  <c r="F1001"/>
  <c r="O1000"/>
  <c r="Y1000" s="1"/>
  <c r="W1000"/>
  <c r="AJ1001"/>
  <c r="AK1001"/>
  <c r="AL1001"/>
  <c r="BE1001"/>
  <c r="BG1001" s="1"/>
  <c r="U458" l="1"/>
  <c r="AB458" s="1"/>
  <c r="AR1001"/>
  <c r="F1002"/>
  <c r="H1002" s="1"/>
  <c r="AX1002"/>
  <c r="AZ1002" s="1"/>
  <c r="O1001"/>
  <c r="Y1001" s="1"/>
  <c r="W1001"/>
  <c r="BD1002"/>
  <c r="BF1002" s="1"/>
  <c r="BA1002"/>
  <c r="T1001"/>
  <c r="S1002" s="1"/>
  <c r="H1001"/>
  <c r="AW1002"/>
  <c r="AY1002" s="1"/>
  <c r="K1002"/>
  <c r="AT1002"/>
  <c r="AS1004"/>
  <c r="A1004"/>
  <c r="C1005"/>
  <c r="D1004"/>
  <c r="B1004"/>
  <c r="Q1003"/>
  <c r="AU1003"/>
  <c r="I1003"/>
  <c r="BC1003"/>
  <c r="AO1003"/>
  <c r="AN1003"/>
  <c r="AP1003"/>
  <c r="AV1003"/>
  <c r="BB1003"/>
  <c r="E1003"/>
  <c r="AJ1002"/>
  <c r="AK1002"/>
  <c r="AL1002"/>
  <c r="BE1002"/>
  <c r="BG1002" s="1"/>
  <c r="Z458" l="1"/>
  <c r="AA458"/>
  <c r="N459"/>
  <c r="AH458"/>
  <c r="T1002"/>
  <c r="S1003" s="1"/>
  <c r="F1003"/>
  <c r="T1003" s="1"/>
  <c r="S1004" s="1"/>
  <c r="AR1002"/>
  <c r="AL1003"/>
  <c r="AK1003"/>
  <c r="AJ1003"/>
  <c r="AT1003"/>
  <c r="K1003"/>
  <c r="AW1003"/>
  <c r="AY1003" s="1"/>
  <c r="R1003"/>
  <c r="AX1003"/>
  <c r="AZ1003" s="1"/>
  <c r="BE1003"/>
  <c r="BG1003" s="1"/>
  <c r="I1004"/>
  <c r="AV1004"/>
  <c r="AP1004"/>
  <c r="BB1004"/>
  <c r="AN1004"/>
  <c r="BC1004"/>
  <c r="Q1004"/>
  <c r="AO1004"/>
  <c r="AU1004"/>
  <c r="E1004"/>
  <c r="R1004" s="1"/>
  <c r="O1002"/>
  <c r="Y1002" s="1"/>
  <c r="W1002"/>
  <c r="BD1003"/>
  <c r="BF1003" s="1"/>
  <c r="BA1003"/>
  <c r="AS1005"/>
  <c r="A1005"/>
  <c r="C1006"/>
  <c r="D1005"/>
  <c r="B1005"/>
  <c r="P459" l="1"/>
  <c r="AF458"/>
  <c r="L459"/>
  <c r="AG458"/>
  <c r="M459"/>
  <c r="H1003"/>
  <c r="AR1003"/>
  <c r="AW1004"/>
  <c r="AY1004" s="1"/>
  <c r="AT1004"/>
  <c r="K1004"/>
  <c r="C1007"/>
  <c r="D1006"/>
  <c r="A1006"/>
  <c r="B1006"/>
  <c r="AS1006"/>
  <c r="O1003"/>
  <c r="Y1003" s="1"/>
  <c r="W1003"/>
  <c r="AJ1004"/>
  <c r="AK1004"/>
  <c r="AL1004"/>
  <c r="AX1004"/>
  <c r="AZ1004" s="1"/>
  <c r="BE1004"/>
  <c r="BG1004" s="1"/>
  <c r="BC1005"/>
  <c r="AP1005"/>
  <c r="AV1005"/>
  <c r="AU1005"/>
  <c r="I1005"/>
  <c r="BB1005"/>
  <c r="AN1005"/>
  <c r="AO1005"/>
  <c r="Q1005"/>
  <c r="E1005"/>
  <c r="BA1004"/>
  <c r="BD1004"/>
  <c r="BF1004" s="1"/>
  <c r="F1004"/>
  <c r="X459" l="1"/>
  <c r="AB459"/>
  <c r="U459"/>
  <c r="F1005"/>
  <c r="T1005" s="1"/>
  <c r="AR1004"/>
  <c r="AJ1005"/>
  <c r="AL1005"/>
  <c r="AK1005"/>
  <c r="AO1006"/>
  <c r="BC1006"/>
  <c r="AN1006"/>
  <c r="Q1006"/>
  <c r="I1006"/>
  <c r="AP1006"/>
  <c r="AV1006"/>
  <c r="AU1006"/>
  <c r="BB1006"/>
  <c r="E1006"/>
  <c r="R1006" s="1"/>
  <c r="BE1005"/>
  <c r="BG1005" s="1"/>
  <c r="R1005"/>
  <c r="BA1005"/>
  <c r="BD1005"/>
  <c r="BF1005" s="1"/>
  <c r="C1008"/>
  <c r="A1007"/>
  <c r="AS1007"/>
  <c r="D1007"/>
  <c r="B1007"/>
  <c r="AX1005"/>
  <c r="AZ1005" s="1"/>
  <c r="S1006"/>
  <c r="H1005"/>
  <c r="T1004"/>
  <c r="S1005" s="1"/>
  <c r="H1004"/>
  <c r="AT1005"/>
  <c r="K1005"/>
  <c r="AW1005"/>
  <c r="AY1005" s="1"/>
  <c r="O1004"/>
  <c r="Y1004" s="1"/>
  <c r="W1004"/>
  <c r="AH459" l="1"/>
  <c r="Z459"/>
  <c r="AA459"/>
  <c r="AJ1006"/>
  <c r="AK1006"/>
  <c r="AL1006"/>
  <c r="BE1006"/>
  <c r="BG1006" s="1"/>
  <c r="AR1005"/>
  <c r="C1009"/>
  <c r="AS1008"/>
  <c r="B1008"/>
  <c r="F1007" s="1"/>
  <c r="A1008"/>
  <c r="D1008"/>
  <c r="BC1007"/>
  <c r="AO1007"/>
  <c r="AU1007"/>
  <c r="AP1007"/>
  <c r="BB1007"/>
  <c r="I1007"/>
  <c r="AV1007"/>
  <c r="AN1007"/>
  <c r="Q1007"/>
  <c r="E1007"/>
  <c r="AX1006"/>
  <c r="AZ1006" s="1"/>
  <c r="F1006"/>
  <c r="O1005"/>
  <c r="Y1005" s="1"/>
  <c r="W1005"/>
  <c r="AW1006"/>
  <c r="K1006"/>
  <c r="AT1006"/>
  <c r="AY1006"/>
  <c r="BD1006"/>
  <c r="BF1006" s="1"/>
  <c r="BA1006"/>
  <c r="AF459" l="1"/>
  <c r="P460"/>
  <c r="AG459"/>
  <c r="T1007"/>
  <c r="H1007"/>
  <c r="O1006"/>
  <c r="Y1006" s="1"/>
  <c r="W1006"/>
  <c r="AT1007"/>
  <c r="AW1007"/>
  <c r="AY1007" s="1"/>
  <c r="K1007"/>
  <c r="T1006"/>
  <c r="S1007" s="1"/>
  <c r="H1006"/>
  <c r="AJ1007"/>
  <c r="AL1007"/>
  <c r="AK1007"/>
  <c r="AR1006"/>
  <c r="R1007"/>
  <c r="S1008"/>
  <c r="AV1008"/>
  <c r="I1008"/>
  <c r="AN1008"/>
  <c r="Q1008"/>
  <c r="BB1008"/>
  <c r="AP1008"/>
  <c r="AU1008"/>
  <c r="BC1008"/>
  <c r="AO1008"/>
  <c r="E1008"/>
  <c r="AX1007"/>
  <c r="AZ1007" s="1"/>
  <c r="BA1007"/>
  <c r="BD1007"/>
  <c r="BF1007" s="1"/>
  <c r="BE1007"/>
  <c r="BG1007" s="1"/>
  <c r="A1009"/>
  <c r="B1009"/>
  <c r="D1009"/>
  <c r="AS1009"/>
  <c r="C1010"/>
  <c r="R1008"/>
  <c r="U460" l="1"/>
  <c r="AB460"/>
  <c r="AR1007"/>
  <c r="AT1008"/>
  <c r="AW1008"/>
  <c r="AY1008" s="1"/>
  <c r="K1008"/>
  <c r="BE1008"/>
  <c r="BG1008" s="1"/>
  <c r="BD1008"/>
  <c r="BA1008"/>
  <c r="BF1008"/>
  <c r="AX1008"/>
  <c r="AZ1008" s="1"/>
  <c r="AS1010"/>
  <c r="C1011"/>
  <c r="B1010"/>
  <c r="A1010"/>
  <c r="D1010"/>
  <c r="AU1009"/>
  <c r="Q1009"/>
  <c r="AN1009"/>
  <c r="I1009"/>
  <c r="BB1009"/>
  <c r="BC1009"/>
  <c r="AP1009"/>
  <c r="AO1009"/>
  <c r="AV1009"/>
  <c r="E1009"/>
  <c r="AJ1008"/>
  <c r="AL1008"/>
  <c r="AK1008"/>
  <c r="F1008"/>
  <c r="O1007"/>
  <c r="Y1007" s="1"/>
  <c r="W1007"/>
  <c r="AA460" l="1"/>
  <c r="Z460"/>
  <c r="AH460"/>
  <c r="AR1008"/>
  <c r="AK1009"/>
  <c r="AJ1009"/>
  <c r="AL1009"/>
  <c r="BE1009"/>
  <c r="BG1009" s="1"/>
  <c r="AX1009"/>
  <c r="AZ1009" s="1"/>
  <c r="BD1009"/>
  <c r="BF1009" s="1"/>
  <c r="BA1009"/>
  <c r="K1009"/>
  <c r="AW1009"/>
  <c r="AY1009" s="1"/>
  <c r="AT1009"/>
  <c r="A1011"/>
  <c r="D1011"/>
  <c r="B1011"/>
  <c r="C1012"/>
  <c r="T1008"/>
  <c r="S1009" s="1"/>
  <c r="H1008"/>
  <c r="AO1010"/>
  <c r="Q1010"/>
  <c r="BB1010"/>
  <c r="AV1010"/>
  <c r="AN1010"/>
  <c r="AP1010"/>
  <c r="BC1010"/>
  <c r="I1010"/>
  <c r="AU1010"/>
  <c r="E1010"/>
  <c r="R1010" s="1"/>
  <c r="R1009"/>
  <c r="F1009"/>
  <c r="O1008"/>
  <c r="Y1008" s="1"/>
  <c r="W1008"/>
  <c r="AG460" l="1"/>
  <c r="P461"/>
  <c r="AF460"/>
  <c r="BE1010"/>
  <c r="BG1010" s="1"/>
  <c r="BA1010"/>
  <c r="BD1010"/>
  <c r="BF1010" s="1"/>
  <c r="T1009"/>
  <c r="S1010" s="1"/>
  <c r="H1009"/>
  <c r="AX1010"/>
  <c r="AZ1010" s="1"/>
  <c r="F1010"/>
  <c r="AW1010"/>
  <c r="AY1010" s="1"/>
  <c r="AT1010"/>
  <c r="K1010"/>
  <c r="C1013"/>
  <c r="AS1012"/>
  <c r="B1012"/>
  <c r="A1012"/>
  <c r="D1012"/>
  <c r="Q1011"/>
  <c r="AP1011"/>
  <c r="AV1011"/>
  <c r="BC1011"/>
  <c r="AO1011"/>
  <c r="I1011"/>
  <c r="BB1011"/>
  <c r="AU1011"/>
  <c r="AN1011"/>
  <c r="E1011"/>
  <c r="O1009"/>
  <c r="Y1009" s="1"/>
  <c r="W1009"/>
  <c r="AL1010"/>
  <c r="AJ1010"/>
  <c r="AK1010"/>
  <c r="AS1011"/>
  <c r="AR1009"/>
  <c r="AA461" l="1"/>
  <c r="U461"/>
  <c r="Z461" s="1"/>
  <c r="AB461"/>
  <c r="AR1010"/>
  <c r="K1011"/>
  <c r="AT1011"/>
  <c r="AW1011"/>
  <c r="AY1011" s="1"/>
  <c r="G1000"/>
  <c r="G1001" s="1"/>
  <c r="G1002" s="1"/>
  <c r="G1003" s="1"/>
  <c r="G1004" s="1"/>
  <c r="G1005" s="1"/>
  <c r="G1006" s="1"/>
  <c r="G1007" s="1"/>
  <c r="G1008" s="1"/>
  <c r="G1009" s="1"/>
  <c r="G1010" s="1"/>
  <c r="G1011" s="1"/>
  <c r="F1011"/>
  <c r="BE1011"/>
  <c r="BG1011" s="1"/>
  <c r="O1010"/>
  <c r="Y1010" s="1"/>
  <c r="W1010"/>
  <c r="T1010"/>
  <c r="S1011" s="1"/>
  <c r="H1010"/>
  <c r="AK1011"/>
  <c r="AJ1011"/>
  <c r="AL1011"/>
  <c r="BA1011"/>
  <c r="BD1011"/>
  <c r="BF1011" s="1"/>
  <c r="AX1011"/>
  <c r="AZ1011" s="1"/>
  <c r="BB1012"/>
  <c r="AN1012"/>
  <c r="AV1012"/>
  <c r="I1012"/>
  <c r="BC1012"/>
  <c r="Q1012"/>
  <c r="AP1012"/>
  <c r="AU1012"/>
  <c r="AO1012"/>
  <c r="E1012"/>
  <c r="R1012" s="1"/>
  <c r="AS1013"/>
  <c r="A1013"/>
  <c r="C1014"/>
  <c r="D1013"/>
  <c r="B1013"/>
  <c r="R1011"/>
  <c r="AG461" l="1"/>
  <c r="P462"/>
  <c r="U462" s="1"/>
  <c r="AF461"/>
  <c r="AH461"/>
  <c r="F1012"/>
  <c r="T1012" s="1"/>
  <c r="AR1011"/>
  <c r="C1015"/>
  <c r="D1014"/>
  <c r="A1014"/>
  <c r="B1014"/>
  <c r="AS1014"/>
  <c r="BD1012"/>
  <c r="BF1012" s="1"/>
  <c r="BA1012"/>
  <c r="AK1012"/>
  <c r="AL1012"/>
  <c r="AJ1012"/>
  <c r="O1011"/>
  <c r="Y1011" s="1"/>
  <c r="W1011"/>
  <c r="V1011"/>
  <c r="AX1012"/>
  <c r="AZ1012" s="1"/>
  <c r="T1011"/>
  <c r="H1011"/>
  <c r="BE1012"/>
  <c r="BG1012" s="1"/>
  <c r="BC1013"/>
  <c r="AP1013"/>
  <c r="AO1013"/>
  <c r="AU1013"/>
  <c r="AV1013"/>
  <c r="I1013"/>
  <c r="AN1013"/>
  <c r="Q1013"/>
  <c r="BB1013"/>
  <c r="E1013"/>
  <c r="K1012"/>
  <c r="AT1012"/>
  <c r="AW1012"/>
  <c r="AY1012" s="1"/>
  <c r="Z462" l="1"/>
  <c r="AF462" s="1"/>
  <c r="AB462"/>
  <c r="AA462"/>
  <c r="P463" s="1"/>
  <c r="AH462"/>
  <c r="S1013"/>
  <c r="F1013"/>
  <c r="T1013" s="1"/>
  <c r="S1014" s="1"/>
  <c r="H1012"/>
  <c r="AR1012"/>
  <c r="M1011"/>
  <c r="L1011"/>
  <c r="N1011"/>
  <c r="S1012"/>
  <c r="AL1013"/>
  <c r="AJ1013"/>
  <c r="AK1013"/>
  <c r="R1013"/>
  <c r="O1012"/>
  <c r="Y1012" s="1"/>
  <c r="W1012"/>
  <c r="K1013"/>
  <c r="AT1013"/>
  <c r="AW1013"/>
  <c r="AY1013" s="1"/>
  <c r="AO1014"/>
  <c r="BB1014"/>
  <c r="AP1014"/>
  <c r="AV1014"/>
  <c r="BC1014"/>
  <c r="AN1014"/>
  <c r="Q1014"/>
  <c r="I1014"/>
  <c r="AU1014"/>
  <c r="E1014"/>
  <c r="R1014" s="1"/>
  <c r="BD1013"/>
  <c r="BF1013" s="1"/>
  <c r="BA1013"/>
  <c r="AX1013"/>
  <c r="AZ1013" s="1"/>
  <c r="BE1013"/>
  <c r="BG1013" s="1"/>
  <c r="B1015"/>
  <c r="D1015"/>
  <c r="AS1015"/>
  <c r="A1015"/>
  <c r="C1016"/>
  <c r="AG462" l="1"/>
  <c r="U463"/>
  <c r="Z463"/>
  <c r="AF463" s="1"/>
  <c r="AB463"/>
  <c r="AH463" s="1"/>
  <c r="AA463"/>
  <c r="AG463" s="1"/>
  <c r="H1013"/>
  <c r="AR1013"/>
  <c r="BC1015"/>
  <c r="Q1015"/>
  <c r="AN1015"/>
  <c r="BB1015"/>
  <c r="AU1015"/>
  <c r="AO1015"/>
  <c r="I1015"/>
  <c r="AV1015"/>
  <c r="AP1015"/>
  <c r="E1015"/>
  <c r="R1015" s="1"/>
  <c r="K1014"/>
  <c r="AT1014"/>
  <c r="AW1014"/>
  <c r="AY1014" s="1"/>
  <c r="BE1014"/>
  <c r="BG1014" s="1"/>
  <c r="AS1016"/>
  <c r="A1016"/>
  <c r="B1016"/>
  <c r="D1016"/>
  <c r="C1017"/>
  <c r="AX1014"/>
  <c r="AZ1014" s="1"/>
  <c r="F1014"/>
  <c r="O1013"/>
  <c r="Y1013" s="1"/>
  <c r="W1013"/>
  <c r="AL1014"/>
  <c r="AK1014"/>
  <c r="AJ1014"/>
  <c r="BA1014"/>
  <c r="BD1014"/>
  <c r="BF1014" s="1"/>
  <c r="P464" l="1"/>
  <c r="F1015"/>
  <c r="T1015" s="1"/>
  <c r="AX1015"/>
  <c r="AZ1015" s="1"/>
  <c r="BA1015"/>
  <c r="BD1015"/>
  <c r="BF1015" s="1"/>
  <c r="B1017"/>
  <c r="C1018"/>
  <c r="A1017"/>
  <c r="D1017"/>
  <c r="AS1017"/>
  <c r="AU1016"/>
  <c r="AO1016"/>
  <c r="AV1016"/>
  <c r="BB1016"/>
  <c r="AP1016"/>
  <c r="AN1016"/>
  <c r="Q1016"/>
  <c r="I1016"/>
  <c r="BC1016"/>
  <c r="E1016"/>
  <c r="AT1015"/>
  <c r="K1015"/>
  <c r="AW1015"/>
  <c r="AY1015" s="1"/>
  <c r="BE1015"/>
  <c r="BG1015" s="1"/>
  <c r="S1016"/>
  <c r="H1015"/>
  <c r="AR1014"/>
  <c r="T1014"/>
  <c r="S1015" s="1"/>
  <c r="H1014"/>
  <c r="AK1015"/>
  <c r="AL1015"/>
  <c r="AJ1015"/>
  <c r="O1014"/>
  <c r="Y1014" s="1"/>
  <c r="W1014"/>
  <c r="U464" l="1"/>
  <c r="AB464" s="1"/>
  <c r="P465" s="1"/>
  <c r="Z464"/>
  <c r="AF464" s="1"/>
  <c r="AA464"/>
  <c r="AG464" s="1"/>
  <c r="AH464"/>
  <c r="U465"/>
  <c r="AB465"/>
  <c r="AR1015"/>
  <c r="AL1016"/>
  <c r="AK1016"/>
  <c r="AJ1016"/>
  <c r="O1015"/>
  <c r="Y1015" s="1"/>
  <c r="W1015"/>
  <c r="AX1016"/>
  <c r="AZ1016" s="1"/>
  <c r="F1016"/>
  <c r="BA1016"/>
  <c r="BF1016"/>
  <c r="BD1016"/>
  <c r="AS1018"/>
  <c r="C1019"/>
  <c r="B1018"/>
  <c r="A1018"/>
  <c r="D1018"/>
  <c r="R1016"/>
  <c r="BE1016"/>
  <c r="BG1016" s="1"/>
  <c r="K1016"/>
  <c r="AT1016"/>
  <c r="AW1016"/>
  <c r="AY1016" s="1"/>
  <c r="BC1017"/>
  <c r="AO1017"/>
  <c r="AU1017"/>
  <c r="AN1017"/>
  <c r="BB1017"/>
  <c r="Q1017"/>
  <c r="AP1017"/>
  <c r="AV1017"/>
  <c r="I1017"/>
  <c r="E1017"/>
  <c r="R1017" s="1"/>
  <c r="AA465" l="1"/>
  <c r="AG465" s="1"/>
  <c r="Z465"/>
  <c r="AF465" s="1"/>
  <c r="AH465"/>
  <c r="AR1016"/>
  <c r="BE1017"/>
  <c r="BG1017" s="1"/>
  <c r="BD1017"/>
  <c r="BF1017" s="1"/>
  <c r="BA1017"/>
  <c r="O1016"/>
  <c r="Y1016" s="1"/>
  <c r="W1016"/>
  <c r="AO1018"/>
  <c r="BC1018"/>
  <c r="BB1018"/>
  <c r="AN1018"/>
  <c r="Q1018"/>
  <c r="AU1018"/>
  <c r="I1018"/>
  <c r="AP1018"/>
  <c r="AV1018"/>
  <c r="E1018"/>
  <c r="R1018" s="1"/>
  <c r="AJ1017"/>
  <c r="AL1017"/>
  <c r="AK1017"/>
  <c r="AW1017"/>
  <c r="AY1017" s="1"/>
  <c r="K1017"/>
  <c r="AT1017"/>
  <c r="AS1019"/>
  <c r="D1019"/>
  <c r="C1020"/>
  <c r="A1019"/>
  <c r="B1019"/>
  <c r="T1016"/>
  <c r="S1017" s="1"/>
  <c r="H1016"/>
  <c r="F1017"/>
  <c r="AX1017"/>
  <c r="AZ1017" s="1"/>
  <c r="P466" l="1"/>
  <c r="F1018"/>
  <c r="T1018" s="1"/>
  <c r="T1017"/>
  <c r="S1018" s="1"/>
  <c r="H1017"/>
  <c r="B1020"/>
  <c r="A1020"/>
  <c r="AS1020"/>
  <c r="C1021"/>
  <c r="D1020"/>
  <c r="AX1018"/>
  <c r="AZ1018" s="1"/>
  <c r="BB1019"/>
  <c r="I1019"/>
  <c r="AO1019"/>
  <c r="BC1019"/>
  <c r="AU1019"/>
  <c r="AP1019"/>
  <c r="AN1019"/>
  <c r="Q1019"/>
  <c r="AV1019"/>
  <c r="E1019"/>
  <c r="AK1018"/>
  <c r="AL1018"/>
  <c r="AJ1018"/>
  <c r="AW1018"/>
  <c r="AY1018" s="1"/>
  <c r="AT1018"/>
  <c r="K1018"/>
  <c r="BE1018"/>
  <c r="BG1018" s="1"/>
  <c r="AR1017"/>
  <c r="H1018"/>
  <c r="F1019"/>
  <c r="T1019" s="1"/>
  <c r="S1020" s="1"/>
  <c r="O1017"/>
  <c r="Y1017" s="1"/>
  <c r="W1017"/>
  <c r="BA1018"/>
  <c r="BD1018"/>
  <c r="BF1018" s="1"/>
  <c r="S1019"/>
  <c r="U466" l="1"/>
  <c r="Z466" s="1"/>
  <c r="AB466"/>
  <c r="AH466" s="1"/>
  <c r="AA466"/>
  <c r="AG466" s="1"/>
  <c r="AR1018"/>
  <c r="AJ1019"/>
  <c r="AK1019"/>
  <c r="AL1019"/>
  <c r="R1019"/>
  <c r="AV1020"/>
  <c r="I1020"/>
  <c r="AP1020"/>
  <c r="BB1020"/>
  <c r="AN1020"/>
  <c r="AU1020"/>
  <c r="Q1020"/>
  <c r="AO1020"/>
  <c r="BC1020"/>
  <c r="E1020"/>
  <c r="R1020" s="1"/>
  <c r="O1018"/>
  <c r="Y1018" s="1"/>
  <c r="W1018"/>
  <c r="BE1019"/>
  <c r="BG1019" s="1"/>
  <c r="AX1019"/>
  <c r="AZ1019" s="1"/>
  <c r="AT1019"/>
  <c r="K1019"/>
  <c r="AW1019"/>
  <c r="AY1019" s="1"/>
  <c r="BD1019"/>
  <c r="BF1019" s="1"/>
  <c r="BA1019"/>
  <c r="C1022"/>
  <c r="A1021"/>
  <c r="AS1021"/>
  <c r="D1021"/>
  <c r="B1021"/>
  <c r="H1019"/>
  <c r="P467" l="1"/>
  <c r="AF466"/>
  <c r="F1020"/>
  <c r="T1020" s="1"/>
  <c r="S1021" s="1"/>
  <c r="D1022"/>
  <c r="AS1022"/>
  <c r="A1022"/>
  <c r="C1023"/>
  <c r="B1022"/>
  <c r="O1019"/>
  <c r="Y1019" s="1"/>
  <c r="W1019"/>
  <c r="F1021"/>
  <c r="T1021" s="1"/>
  <c r="S1022" s="1"/>
  <c r="BB1021"/>
  <c r="BC1021"/>
  <c r="AP1021"/>
  <c r="AV1021"/>
  <c r="AU1021"/>
  <c r="AN1021"/>
  <c r="I1021"/>
  <c r="Q1021"/>
  <c r="AO1021"/>
  <c r="E1021"/>
  <c r="BD1020"/>
  <c r="BF1020" s="1"/>
  <c r="BA1020"/>
  <c r="AR1019"/>
  <c r="BE1020"/>
  <c r="BG1020" s="1"/>
  <c r="AX1020"/>
  <c r="AZ1020" s="1"/>
  <c r="AK1020"/>
  <c r="AJ1020"/>
  <c r="AL1020"/>
  <c r="AW1020"/>
  <c r="AY1020" s="1"/>
  <c r="AT1020"/>
  <c r="K1020"/>
  <c r="U467" l="1"/>
  <c r="Z467" s="1"/>
  <c r="AA467"/>
  <c r="AG467" s="1"/>
  <c r="AB467"/>
  <c r="AH467" s="1"/>
  <c r="H1020"/>
  <c r="BE1021"/>
  <c r="BG1021" s="1"/>
  <c r="AX1021"/>
  <c r="AZ1021" s="1"/>
  <c r="BB1022"/>
  <c r="AO1022"/>
  <c r="I1022"/>
  <c r="BC1022"/>
  <c r="Q1022"/>
  <c r="AV1022"/>
  <c r="AP1022"/>
  <c r="AU1022"/>
  <c r="AN1022"/>
  <c r="E1022"/>
  <c r="AR1020"/>
  <c r="H1021"/>
  <c r="AW1021"/>
  <c r="AY1021" s="1"/>
  <c r="K1021"/>
  <c r="AT1021"/>
  <c r="BD1021"/>
  <c r="BF1021" s="1"/>
  <c r="BA1021"/>
  <c r="C1024"/>
  <c r="B1023"/>
  <c r="D1023"/>
  <c r="A1023"/>
  <c r="AS1023" s="1"/>
  <c r="O1020"/>
  <c r="Y1020" s="1"/>
  <c r="W1020"/>
  <c r="AK1021"/>
  <c r="AJ1021"/>
  <c r="AL1021"/>
  <c r="R1021"/>
  <c r="AF467" l="1"/>
  <c r="P468"/>
  <c r="F1022"/>
  <c r="T1022" s="1"/>
  <c r="S1023" s="1"/>
  <c r="AR1021"/>
  <c r="B1024"/>
  <c r="D1024"/>
  <c r="C1025"/>
  <c r="A1024"/>
  <c r="AS1024"/>
  <c r="O1021"/>
  <c r="Y1021" s="1"/>
  <c r="W1021"/>
  <c r="AJ1022"/>
  <c r="AK1022"/>
  <c r="AL1022"/>
  <c r="AZ1022"/>
  <c r="AX1022"/>
  <c r="I1023"/>
  <c r="Q1023"/>
  <c r="AO1023"/>
  <c r="BC1023"/>
  <c r="AV1023"/>
  <c r="BB1023"/>
  <c r="AN1023"/>
  <c r="AU1023"/>
  <c r="AP1023"/>
  <c r="E1023"/>
  <c r="R1023" s="1"/>
  <c r="AT1022"/>
  <c r="K1022"/>
  <c r="AW1022"/>
  <c r="AY1022" s="1"/>
  <c r="BE1022"/>
  <c r="BG1022" s="1"/>
  <c r="R1022"/>
  <c r="BD1022"/>
  <c r="BF1022" s="1"/>
  <c r="BA1022"/>
  <c r="AB468" l="1"/>
  <c r="U468"/>
  <c r="H1022"/>
  <c r="O1022"/>
  <c r="Y1022" s="1"/>
  <c r="W1022"/>
  <c r="K1023"/>
  <c r="AT1023"/>
  <c r="AW1023"/>
  <c r="AY1023" s="1"/>
  <c r="AX1023"/>
  <c r="AZ1023" s="1"/>
  <c r="C1026"/>
  <c r="A1025"/>
  <c r="D1025"/>
  <c r="AS1025"/>
  <c r="B1025"/>
  <c r="AR1022"/>
  <c r="BE1023"/>
  <c r="BG1023" s="1"/>
  <c r="AJ1023"/>
  <c r="AL1023"/>
  <c r="AK1023"/>
  <c r="BA1023"/>
  <c r="BD1023"/>
  <c r="BF1023" s="1"/>
  <c r="AO1024"/>
  <c r="AN1024"/>
  <c r="AV1024"/>
  <c r="AP1024"/>
  <c r="BC1024"/>
  <c r="BB1024"/>
  <c r="I1024"/>
  <c r="AU1024"/>
  <c r="Q1024"/>
  <c r="E1024"/>
  <c r="F1023"/>
  <c r="G1012"/>
  <c r="G1013" s="1"/>
  <c r="G1014" s="1"/>
  <c r="G1015" s="1"/>
  <c r="G1016" s="1"/>
  <c r="G1017" s="1"/>
  <c r="G1018" s="1"/>
  <c r="G1019" s="1"/>
  <c r="G1020" s="1"/>
  <c r="G1021" s="1"/>
  <c r="G1022" s="1"/>
  <c r="G1023" s="1"/>
  <c r="AH468" l="1"/>
  <c r="Z468"/>
  <c r="AA468"/>
  <c r="AG468" s="1"/>
  <c r="F1024"/>
  <c r="T1024" s="1"/>
  <c r="AR1023"/>
  <c r="AW1024"/>
  <c r="AY1024" s="1"/>
  <c r="K1024"/>
  <c r="AT1024"/>
  <c r="O1023"/>
  <c r="Y1023" s="1"/>
  <c r="W1023"/>
  <c r="V1023"/>
  <c r="AL1024"/>
  <c r="AJ1024"/>
  <c r="AK1024"/>
  <c r="T1023"/>
  <c r="H1023"/>
  <c r="BE1024"/>
  <c r="BG1024" s="1"/>
  <c r="S1025"/>
  <c r="H1024"/>
  <c r="R1024"/>
  <c r="B1026"/>
  <c r="C1027"/>
  <c r="AS1026"/>
  <c r="A1026"/>
  <c r="D1026"/>
  <c r="BA1024"/>
  <c r="BD1024"/>
  <c r="BF1024" s="1"/>
  <c r="AX1024"/>
  <c r="AZ1024" s="1"/>
  <c r="F1025"/>
  <c r="T1025" s="1"/>
  <c r="S1026" s="1"/>
  <c r="AP1025"/>
  <c r="AN1025"/>
  <c r="Q1025"/>
  <c r="BB1025"/>
  <c r="AV1025"/>
  <c r="AO1025"/>
  <c r="AU1025"/>
  <c r="BC1025"/>
  <c r="I1025"/>
  <c r="E1025"/>
  <c r="P469" l="1"/>
  <c r="AF468"/>
  <c r="AR1024"/>
  <c r="BA1025"/>
  <c r="BD1025"/>
  <c r="BF1025" s="1"/>
  <c r="AK1025"/>
  <c r="AL1025"/>
  <c r="AJ1025"/>
  <c r="L1023"/>
  <c r="N1023"/>
  <c r="M1023"/>
  <c r="S1024"/>
  <c r="BE1025"/>
  <c r="BG1025" s="1"/>
  <c r="AW1025"/>
  <c r="AY1025" s="1"/>
  <c r="K1025"/>
  <c r="AT1025"/>
  <c r="R1025"/>
  <c r="H1025"/>
  <c r="O1024"/>
  <c r="W1024"/>
  <c r="AO1026"/>
  <c r="AP1026"/>
  <c r="BB1026"/>
  <c r="AV1026"/>
  <c r="Q1026"/>
  <c r="BC1026"/>
  <c r="I1026"/>
  <c r="AU1026"/>
  <c r="AN1026"/>
  <c r="E1026"/>
  <c r="R1026" s="1"/>
  <c r="AX1025"/>
  <c r="AZ1025" s="1"/>
  <c r="A1027"/>
  <c r="B1027"/>
  <c r="C1028"/>
  <c r="D1027"/>
  <c r="AS1027"/>
  <c r="U469" l="1"/>
  <c r="AB469"/>
  <c r="AR1025"/>
  <c r="AN1027"/>
  <c r="BC1027"/>
  <c r="AP1027"/>
  <c r="AU1027"/>
  <c r="BB1027"/>
  <c r="I1027"/>
  <c r="Q1027"/>
  <c r="AV1027"/>
  <c r="AO1027"/>
  <c r="E1027"/>
  <c r="R1027" s="1"/>
  <c r="BA1026"/>
  <c r="BD1026"/>
  <c r="BF1026" s="1"/>
  <c r="K1026"/>
  <c r="AT1026"/>
  <c r="AW1026"/>
  <c r="AY1026" s="1"/>
  <c r="AX1026"/>
  <c r="AZ1026" s="1"/>
  <c r="F1026"/>
  <c r="Y1024"/>
  <c r="BE1026"/>
  <c r="BG1026" s="1"/>
  <c r="O1025"/>
  <c r="W1025"/>
  <c r="B1028"/>
  <c r="D1028"/>
  <c r="C1029"/>
  <c r="A1028"/>
  <c r="AS1028"/>
  <c r="AL1026"/>
  <c r="AJ1026"/>
  <c r="AK1026"/>
  <c r="AA469" l="1"/>
  <c r="Z469"/>
  <c r="AH469"/>
  <c r="BD1027"/>
  <c r="BF1027" s="1"/>
  <c r="BA1027"/>
  <c r="Y1025"/>
  <c r="AJ1027"/>
  <c r="AL1027"/>
  <c r="AK1027"/>
  <c r="BE1027"/>
  <c r="BG1027" s="1"/>
  <c r="AR1026"/>
  <c r="F1027"/>
  <c r="A1029"/>
  <c r="C1030"/>
  <c r="AS1029"/>
  <c r="B1029"/>
  <c r="D1029"/>
  <c r="T1026"/>
  <c r="S1027" s="1"/>
  <c r="H1026"/>
  <c r="AP1028"/>
  <c r="BC1028"/>
  <c r="AV1028"/>
  <c r="AO1028"/>
  <c r="I1028"/>
  <c r="BB1028"/>
  <c r="AN1028"/>
  <c r="Q1028"/>
  <c r="AU1028"/>
  <c r="E1028"/>
  <c r="R1028" s="1"/>
  <c r="O1026"/>
  <c r="W1026"/>
  <c r="AX1027"/>
  <c r="AZ1027" s="1"/>
  <c r="AT1027"/>
  <c r="K1027"/>
  <c r="AW1027"/>
  <c r="AY1027" s="1"/>
  <c r="AG469" l="1"/>
  <c r="AF469"/>
  <c r="P470"/>
  <c r="AR1027"/>
  <c r="AX1028"/>
  <c r="AZ1028" s="1"/>
  <c r="AW1028"/>
  <c r="AY1028" s="1"/>
  <c r="AT1028"/>
  <c r="K1028"/>
  <c r="BC1029"/>
  <c r="BB1029"/>
  <c r="AN1029"/>
  <c r="I1029"/>
  <c r="AU1029"/>
  <c r="AO1029"/>
  <c r="AP1029"/>
  <c r="AV1029"/>
  <c r="Q1029"/>
  <c r="E1029"/>
  <c r="R1029" s="1"/>
  <c r="T1027"/>
  <c r="S1028" s="1"/>
  <c r="H1027"/>
  <c r="O1027"/>
  <c r="W1027"/>
  <c r="AK1028"/>
  <c r="AJ1028"/>
  <c r="AL1028"/>
  <c r="BA1028"/>
  <c r="BF1028"/>
  <c r="BD1028"/>
  <c r="BE1028"/>
  <c r="BG1028" s="1"/>
  <c r="B1030"/>
  <c r="A1030"/>
  <c r="C1031"/>
  <c r="D1030"/>
  <c r="AS1030"/>
  <c r="Y1026"/>
  <c r="Y1027" s="1"/>
  <c r="F1028"/>
  <c r="U470" l="1"/>
  <c r="AB470"/>
  <c r="O1028"/>
  <c r="Y1028" s="1"/>
  <c r="W1028"/>
  <c r="C1032"/>
  <c r="A1031"/>
  <c r="AS1031"/>
  <c r="D1031"/>
  <c r="B1031"/>
  <c r="AW1029"/>
  <c r="AY1029" s="1"/>
  <c r="AT1029"/>
  <c r="K1029"/>
  <c r="BE1029"/>
  <c r="BG1029" s="1"/>
  <c r="T1028"/>
  <c r="S1029" s="1"/>
  <c r="H1028"/>
  <c r="AP1030"/>
  <c r="I1030"/>
  <c r="BC1030"/>
  <c r="AU1030"/>
  <c r="BB1030"/>
  <c r="Q1030"/>
  <c r="AO1030"/>
  <c r="AV1030"/>
  <c r="AN1030"/>
  <c r="E1030"/>
  <c r="R1030" s="1"/>
  <c r="AK1029"/>
  <c r="AJ1029"/>
  <c r="AL1029"/>
  <c r="BA1029"/>
  <c r="BF1029"/>
  <c r="BD1029"/>
  <c r="AR1028"/>
  <c r="AX1029"/>
  <c r="AZ1029" s="1"/>
  <c r="F1029"/>
  <c r="Z470" l="1"/>
  <c r="AA470"/>
  <c r="AH470"/>
  <c r="N471"/>
  <c r="F1030"/>
  <c r="T1030" s="1"/>
  <c r="C1033"/>
  <c r="D1032"/>
  <c r="A1032"/>
  <c r="AS1032"/>
  <c r="B1032"/>
  <c r="AX1030"/>
  <c r="AZ1030" s="1"/>
  <c r="K1030"/>
  <c r="AT1030"/>
  <c r="AW1030"/>
  <c r="AY1030" s="1"/>
  <c r="O1029"/>
  <c r="Y1029" s="1"/>
  <c r="W1029"/>
  <c r="AV1031"/>
  <c r="AU1031"/>
  <c r="AP1031"/>
  <c r="AO1031"/>
  <c r="AN1031"/>
  <c r="Q1031"/>
  <c r="BC1031"/>
  <c r="I1031"/>
  <c r="BB1031"/>
  <c r="E1031"/>
  <c r="R1031" s="1"/>
  <c r="AR1029"/>
  <c r="BE1030"/>
  <c r="BG1030" s="1"/>
  <c r="BA1030"/>
  <c r="BD1030"/>
  <c r="BF1030" s="1"/>
  <c r="T1029"/>
  <c r="S1030" s="1"/>
  <c r="H1029"/>
  <c r="AK1030"/>
  <c r="AJ1030"/>
  <c r="AL1030"/>
  <c r="AF470" l="1"/>
  <c r="L471"/>
  <c r="P471"/>
  <c r="AG470"/>
  <c r="M471"/>
  <c r="F1031"/>
  <c r="T1031" s="1"/>
  <c r="AR1030"/>
  <c r="S1032"/>
  <c r="S1031"/>
  <c r="H1030"/>
  <c r="AX1031"/>
  <c r="AZ1031" s="1"/>
  <c r="C1034"/>
  <c r="A1033"/>
  <c r="AS1033"/>
  <c r="B1033"/>
  <c r="D1033"/>
  <c r="O1030"/>
  <c r="Y1030" s="1"/>
  <c r="W1030"/>
  <c r="BD1031"/>
  <c r="BF1031" s="1"/>
  <c r="BA1031"/>
  <c r="AK1031"/>
  <c r="AJ1031"/>
  <c r="AL1031"/>
  <c r="K1031"/>
  <c r="AT1031"/>
  <c r="AW1031"/>
  <c r="AY1031" s="1"/>
  <c r="BE1031"/>
  <c r="BG1031" s="1"/>
  <c r="AO1032"/>
  <c r="BB1032"/>
  <c r="AN1032"/>
  <c r="AU1032"/>
  <c r="AP1032"/>
  <c r="BC1032"/>
  <c r="I1032"/>
  <c r="AV1032"/>
  <c r="Q1032"/>
  <c r="E1032"/>
  <c r="R1032" s="1"/>
  <c r="H1031" l="1"/>
  <c r="X471"/>
  <c r="AB471"/>
  <c r="U471"/>
  <c r="AR1031"/>
  <c r="AL1032"/>
  <c r="AJ1032"/>
  <c r="AK1032"/>
  <c r="BE1032"/>
  <c r="BG1032" s="1"/>
  <c r="BA1032"/>
  <c r="BD1032"/>
  <c r="BF1032" s="1"/>
  <c r="F1032"/>
  <c r="AX1032"/>
  <c r="AZ1032" s="1"/>
  <c r="AW1032"/>
  <c r="AY1032" s="1"/>
  <c r="K1032"/>
  <c r="AT1032"/>
  <c r="AS1034"/>
  <c r="D1034"/>
  <c r="C1035"/>
  <c r="B1034"/>
  <c r="A1034"/>
  <c r="O1031"/>
  <c r="Y1031" s="1"/>
  <c r="W1031"/>
  <c r="AU1033"/>
  <c r="AV1033"/>
  <c r="I1033"/>
  <c r="AP1033"/>
  <c r="AO1033"/>
  <c r="BB1033"/>
  <c r="BC1033"/>
  <c r="AN1033"/>
  <c r="Q1033"/>
  <c r="E1033"/>
  <c r="AH471" l="1"/>
  <c r="Z471"/>
  <c r="AA471"/>
  <c r="F1033"/>
  <c r="H1033" s="1"/>
  <c r="AR1032"/>
  <c r="AU1034"/>
  <c r="AO1034"/>
  <c r="AP1034"/>
  <c r="AV1034"/>
  <c r="BB1034"/>
  <c r="AN1034"/>
  <c r="I1034"/>
  <c r="Q1034"/>
  <c r="BC1034"/>
  <c r="E1034"/>
  <c r="T1032"/>
  <c r="S1033" s="1"/>
  <c r="H1032"/>
  <c r="A1035"/>
  <c r="C1036"/>
  <c r="D1035"/>
  <c r="B1035"/>
  <c r="AS1035"/>
  <c r="R1034"/>
  <c r="AL1033"/>
  <c r="AJ1033"/>
  <c r="AK1033"/>
  <c r="O1032"/>
  <c r="Y1032" s="1"/>
  <c r="W1032"/>
  <c r="K1033"/>
  <c r="AW1033"/>
  <c r="AY1033" s="1"/>
  <c r="AT1033"/>
  <c r="BD1033"/>
  <c r="BF1033" s="1"/>
  <c r="BA1033"/>
  <c r="AX1033"/>
  <c r="AZ1033" s="1"/>
  <c r="BE1033"/>
  <c r="BG1033" s="1"/>
  <c r="R1033"/>
  <c r="AG471" l="1"/>
  <c r="AF471"/>
  <c r="P472"/>
  <c r="T1033"/>
  <c r="S1034" s="1"/>
  <c r="F1034"/>
  <c r="T1034" s="1"/>
  <c r="S1035" s="1"/>
  <c r="D1036"/>
  <c r="C1037"/>
  <c r="B1036"/>
  <c r="AS1036"/>
  <c r="A1036"/>
  <c r="O1033"/>
  <c r="Y1033" s="1"/>
  <c r="W1033"/>
  <c r="BE1034"/>
  <c r="BG1034" s="1"/>
  <c r="BA1034"/>
  <c r="BD1034"/>
  <c r="BF1034" s="1"/>
  <c r="AT1034"/>
  <c r="AW1034"/>
  <c r="AY1034" s="1"/>
  <c r="K1034"/>
  <c r="AL1034"/>
  <c r="AJ1034"/>
  <c r="AK1034"/>
  <c r="BC1035"/>
  <c r="AP1035"/>
  <c r="AN1035"/>
  <c r="AU1035"/>
  <c r="BB1035"/>
  <c r="I1035"/>
  <c r="AO1035"/>
  <c r="Q1035"/>
  <c r="AV1035"/>
  <c r="E1035"/>
  <c r="R1035" s="1"/>
  <c r="AR1033"/>
  <c r="AX1034"/>
  <c r="AZ1034" s="1"/>
  <c r="U472" l="1"/>
  <c r="AB472" s="1"/>
  <c r="H1034"/>
  <c r="F1035"/>
  <c r="H1035" s="1"/>
  <c r="AR1034"/>
  <c r="BE1035"/>
  <c r="BG1035" s="1"/>
  <c r="O1034"/>
  <c r="Y1034" s="1"/>
  <c r="W1034"/>
  <c r="Q1036"/>
  <c r="AP1036"/>
  <c r="I1036"/>
  <c r="AO1036"/>
  <c r="BB1036"/>
  <c r="AN1036"/>
  <c r="BC1036"/>
  <c r="AU1036"/>
  <c r="AV1036"/>
  <c r="E1036"/>
  <c r="B1037"/>
  <c r="AS1037"/>
  <c r="D1037"/>
  <c r="C1038"/>
  <c r="A1037"/>
  <c r="AX1035"/>
  <c r="AZ1035" s="1"/>
  <c r="BA1035"/>
  <c r="BD1035"/>
  <c r="BF1035" s="1"/>
  <c r="AL1035"/>
  <c r="AK1035"/>
  <c r="AJ1035"/>
  <c r="AW1035"/>
  <c r="AY1035" s="1"/>
  <c r="AT1035"/>
  <c r="K1035"/>
  <c r="G1024"/>
  <c r="G1025" s="1"/>
  <c r="G1026" s="1"/>
  <c r="G1027" s="1"/>
  <c r="G1028" s="1"/>
  <c r="G1029" s="1"/>
  <c r="G1030" s="1"/>
  <c r="G1031" s="1"/>
  <c r="G1032" s="1"/>
  <c r="G1033" s="1"/>
  <c r="G1034" s="1"/>
  <c r="G1035" s="1"/>
  <c r="F1036" l="1"/>
  <c r="T1036" s="1"/>
  <c r="AA472"/>
  <c r="Z472"/>
  <c r="AH472"/>
  <c r="S1037"/>
  <c r="T1035"/>
  <c r="AR1035"/>
  <c r="O1035"/>
  <c r="Y1035" s="1"/>
  <c r="W1035"/>
  <c r="V1035"/>
  <c r="AJ1036"/>
  <c r="AK1036"/>
  <c r="AL1036"/>
  <c r="A1038"/>
  <c r="C1039"/>
  <c r="B1038"/>
  <c r="AS1038"/>
  <c r="D1038"/>
  <c r="BE1036"/>
  <c r="BG1036" s="1"/>
  <c r="R1036"/>
  <c r="BC1037"/>
  <c r="I1037"/>
  <c r="AV1037"/>
  <c r="Q1037"/>
  <c r="AN1037"/>
  <c r="AP1037"/>
  <c r="BB1037"/>
  <c r="AO1037"/>
  <c r="AU1037"/>
  <c r="E1037"/>
  <c r="AT1036"/>
  <c r="AW1036"/>
  <c r="AY1036" s="1"/>
  <c r="K1036"/>
  <c r="H1036"/>
  <c r="AX1036"/>
  <c r="AZ1036" s="1"/>
  <c r="BD1036"/>
  <c r="BF1036" s="1"/>
  <c r="BA1036"/>
  <c r="AG472" l="1"/>
  <c r="AF472"/>
  <c r="P473"/>
  <c r="S1036"/>
  <c r="M1035"/>
  <c r="N1035"/>
  <c r="L1035"/>
  <c r="F1037"/>
  <c r="T1037" s="1"/>
  <c r="S1038" s="1"/>
  <c r="O1036"/>
  <c r="W1036"/>
  <c r="AW1037"/>
  <c r="AY1037" s="1"/>
  <c r="K1037"/>
  <c r="AT1037"/>
  <c r="BE1037"/>
  <c r="BG1037" s="1"/>
  <c r="AV1038"/>
  <c r="I1038"/>
  <c r="AP1038"/>
  <c r="BB1038"/>
  <c r="AU1038"/>
  <c r="BC1038"/>
  <c r="AO1038"/>
  <c r="AN1038"/>
  <c r="Q1038"/>
  <c r="E1038"/>
  <c r="Y1036"/>
  <c r="AK1037"/>
  <c r="AL1037"/>
  <c r="AJ1037"/>
  <c r="C1040"/>
  <c r="B1039"/>
  <c r="AS1039"/>
  <c r="D1039"/>
  <c r="A1039"/>
  <c r="AR1036"/>
  <c r="R1037"/>
  <c r="BA1037"/>
  <c r="BD1037"/>
  <c r="BF1037" s="1"/>
  <c r="AX1037"/>
  <c r="AZ1037" s="1"/>
  <c r="U473" l="1"/>
  <c r="AB473"/>
  <c r="H1037"/>
  <c r="F1038"/>
  <c r="T1038" s="1"/>
  <c r="S1039" s="1"/>
  <c r="AR1037"/>
  <c r="AP1039"/>
  <c r="AV1039"/>
  <c r="Q1039"/>
  <c r="BB1039"/>
  <c r="AO1039"/>
  <c r="BC1039"/>
  <c r="AU1039"/>
  <c r="AN1039"/>
  <c r="I1039"/>
  <c r="E1039"/>
  <c r="AK1038"/>
  <c r="AL1038"/>
  <c r="AJ1038"/>
  <c r="R1038"/>
  <c r="D1040"/>
  <c r="A1040"/>
  <c r="C1041"/>
  <c r="B1040"/>
  <c r="AS1040"/>
  <c r="AX1038"/>
  <c r="AZ1038" s="1"/>
  <c r="BE1038"/>
  <c r="BG1038" s="1"/>
  <c r="BD1038"/>
  <c r="BF1038" s="1"/>
  <c r="BA1038"/>
  <c r="O1037"/>
  <c r="Y1037" s="1"/>
  <c r="W1037"/>
  <c r="AW1038"/>
  <c r="K1038"/>
  <c r="AT1038"/>
  <c r="AY1038"/>
  <c r="AA473" l="1"/>
  <c r="Z473"/>
  <c r="AH473"/>
  <c r="H1038"/>
  <c r="AR1038"/>
  <c r="C1042"/>
  <c r="D1041"/>
  <c r="AS1041"/>
  <c r="B1041"/>
  <c r="A1041"/>
  <c r="AK1039"/>
  <c r="AL1039"/>
  <c r="AJ1039"/>
  <c r="BE1039"/>
  <c r="BG1039" s="1"/>
  <c r="AX1039"/>
  <c r="AZ1039" s="1"/>
  <c r="AT1039"/>
  <c r="K1039"/>
  <c r="AW1039"/>
  <c r="AY1039" s="1"/>
  <c r="R1039"/>
  <c r="F1039"/>
  <c r="O1038"/>
  <c r="Y1038" s="1"/>
  <c r="W1038"/>
  <c r="AN1040"/>
  <c r="I1040"/>
  <c r="AP1040"/>
  <c r="BC1040"/>
  <c r="AV1040"/>
  <c r="AO1040"/>
  <c r="Q1040"/>
  <c r="AU1040"/>
  <c r="BB1040"/>
  <c r="E1040"/>
  <c r="R1040" s="1"/>
  <c r="BD1039"/>
  <c r="BF1039" s="1"/>
  <c r="BA1039"/>
  <c r="AG473" l="1"/>
  <c r="P474"/>
  <c r="AF473"/>
  <c r="F1040"/>
  <c r="T1040" s="1"/>
  <c r="AR1039"/>
  <c r="BD1040"/>
  <c r="BF1040" s="1"/>
  <c r="BA1040"/>
  <c r="AX1040"/>
  <c r="AZ1040" s="1"/>
  <c r="T1039"/>
  <c r="S1040" s="1"/>
  <c r="H1039"/>
  <c r="D1042"/>
  <c r="B1042"/>
  <c r="A1042"/>
  <c r="AS1042"/>
  <c r="C1043"/>
  <c r="S1041"/>
  <c r="AO1041"/>
  <c r="Q1041"/>
  <c r="AV1041"/>
  <c r="I1041"/>
  <c r="AP1041"/>
  <c r="AN1041"/>
  <c r="AU1041"/>
  <c r="BB1041"/>
  <c r="BC1041"/>
  <c r="E1041"/>
  <c r="O1039"/>
  <c r="Y1039" s="1"/>
  <c r="W1039"/>
  <c r="AJ1040"/>
  <c r="AL1040"/>
  <c r="AK1040"/>
  <c r="AT1040"/>
  <c r="K1040"/>
  <c r="AW1040"/>
  <c r="AY1040" s="1"/>
  <c r="BE1040"/>
  <c r="BG1040" s="1"/>
  <c r="U474" l="1"/>
  <c r="AB474"/>
  <c r="H1040"/>
  <c r="AR1040"/>
  <c r="F1041"/>
  <c r="H1041" s="1"/>
  <c r="BB1042"/>
  <c r="Q1042"/>
  <c r="AP1042"/>
  <c r="AN1042"/>
  <c r="AU1042"/>
  <c r="AO1042"/>
  <c r="I1042"/>
  <c r="BC1042"/>
  <c r="AV1042"/>
  <c r="E1042"/>
  <c r="R1042" s="1"/>
  <c r="O1040"/>
  <c r="Y1040" s="1"/>
  <c r="W1040"/>
  <c r="AW1041"/>
  <c r="AY1041" s="1"/>
  <c r="K1041"/>
  <c r="AT1041"/>
  <c r="AX1041"/>
  <c r="AZ1041" s="1"/>
  <c r="BA1041"/>
  <c r="BD1041"/>
  <c r="BF1041" s="1"/>
  <c r="BE1041"/>
  <c r="BG1041" s="1"/>
  <c r="AS1043"/>
  <c r="C1044"/>
  <c r="A1043"/>
  <c r="B1043"/>
  <c r="D1043"/>
  <c r="AL1041"/>
  <c r="AK1041"/>
  <c r="AJ1041"/>
  <c r="R1041"/>
  <c r="Z474" l="1"/>
  <c r="AA474"/>
  <c r="AH474"/>
  <c r="F1042"/>
  <c r="T1042" s="1"/>
  <c r="S1043"/>
  <c r="T1041"/>
  <c r="S1042" s="1"/>
  <c r="O1041"/>
  <c r="Y1041" s="1"/>
  <c r="W1041"/>
  <c r="BC1043"/>
  <c r="Q1043"/>
  <c r="AN1043"/>
  <c r="AP1043"/>
  <c r="BB1043"/>
  <c r="AV1043"/>
  <c r="I1043"/>
  <c r="AU1043"/>
  <c r="AO1043"/>
  <c r="E1043"/>
  <c r="R1043" s="1"/>
  <c r="AL1042"/>
  <c r="AJ1042"/>
  <c r="AK1042"/>
  <c r="BE1042"/>
  <c r="BG1042" s="1"/>
  <c r="D1044"/>
  <c r="AS1044"/>
  <c r="B1044"/>
  <c r="A1044"/>
  <c r="C1045"/>
  <c r="AX1042"/>
  <c r="AZ1042" s="1"/>
  <c r="K1042"/>
  <c r="AT1042"/>
  <c r="AW1042"/>
  <c r="AY1042" s="1"/>
  <c r="BD1042"/>
  <c r="BF1042" s="1"/>
  <c r="BA1042"/>
  <c r="AR1041"/>
  <c r="AF474" l="1"/>
  <c r="P475"/>
  <c r="AG474"/>
  <c r="H1042"/>
  <c r="AR1042"/>
  <c r="BE1043"/>
  <c r="BG1043" s="1"/>
  <c r="D1045"/>
  <c r="A1045"/>
  <c r="AS1045"/>
  <c r="B1045"/>
  <c r="C1046"/>
  <c r="AL1043"/>
  <c r="AJ1043"/>
  <c r="AK1043"/>
  <c r="AX1043"/>
  <c r="AZ1043" s="1"/>
  <c r="F1043"/>
  <c r="K1043"/>
  <c r="AW1043"/>
  <c r="AY1043" s="1"/>
  <c r="AT1043"/>
  <c r="AO1044"/>
  <c r="Q1044"/>
  <c r="AP1044"/>
  <c r="AV1044"/>
  <c r="BC1044"/>
  <c r="I1044"/>
  <c r="BB1044"/>
  <c r="AU1044"/>
  <c r="AN1044"/>
  <c r="E1044"/>
  <c r="R1044" s="1"/>
  <c r="BA1043"/>
  <c r="BD1043"/>
  <c r="BF1043" s="1"/>
  <c r="O1042"/>
  <c r="Y1042" s="1"/>
  <c r="W1042"/>
  <c r="U475" l="1"/>
  <c r="AB475"/>
  <c r="K1044"/>
  <c r="AT1044"/>
  <c r="AW1044"/>
  <c r="AY1044" s="1"/>
  <c r="AX1044"/>
  <c r="AZ1044" s="1"/>
  <c r="T1043"/>
  <c r="S1044" s="1"/>
  <c r="H1043"/>
  <c r="F1044"/>
  <c r="O1043"/>
  <c r="Y1043" s="1"/>
  <c r="W1043"/>
  <c r="AK1044"/>
  <c r="AJ1044"/>
  <c r="AL1044"/>
  <c r="AS1046"/>
  <c r="C1047"/>
  <c r="B1046"/>
  <c r="A1046"/>
  <c r="D1046"/>
  <c r="AO1045"/>
  <c r="BB1045"/>
  <c r="AN1045"/>
  <c r="I1045"/>
  <c r="BC1045"/>
  <c r="Q1045"/>
  <c r="AU1045"/>
  <c r="AP1045"/>
  <c r="AV1045"/>
  <c r="E1045"/>
  <c r="R1045" s="1"/>
  <c r="AR1043"/>
  <c r="BE1044"/>
  <c r="BG1044" s="1"/>
  <c r="BA1044"/>
  <c r="BD1044"/>
  <c r="BF1044" s="1"/>
  <c r="Z475" l="1"/>
  <c r="AA475"/>
  <c r="AH475"/>
  <c r="AR1044"/>
  <c r="AJ1045"/>
  <c r="AL1045"/>
  <c r="AK1045"/>
  <c r="BD1045"/>
  <c r="BF1045" s="1"/>
  <c r="BA1045"/>
  <c r="O1044"/>
  <c r="Y1044" s="1"/>
  <c r="W1044"/>
  <c r="T1044"/>
  <c r="S1045" s="1"/>
  <c r="H1044"/>
  <c r="AX1045"/>
  <c r="AZ1045" s="1"/>
  <c r="BE1045"/>
  <c r="BG1045" s="1"/>
  <c r="A1047"/>
  <c r="C1048"/>
  <c r="D1047"/>
  <c r="B1047"/>
  <c r="AT1045"/>
  <c r="AW1045"/>
  <c r="AY1045" s="1"/>
  <c r="K1045"/>
  <c r="BB1046"/>
  <c r="Q1046"/>
  <c r="AU1046"/>
  <c r="I1046"/>
  <c r="BC1046"/>
  <c r="AN1046"/>
  <c r="AP1046"/>
  <c r="AO1046"/>
  <c r="AV1046"/>
  <c r="E1046"/>
  <c r="R1046" s="1"/>
  <c r="F1045"/>
  <c r="AF475" l="1"/>
  <c r="P476"/>
  <c r="AG475"/>
  <c r="T1045"/>
  <c r="S1046" s="1"/>
  <c r="H1045"/>
  <c r="O1045"/>
  <c r="W1045"/>
  <c r="Q1047"/>
  <c r="AU1047"/>
  <c r="AN1047"/>
  <c r="AP1047"/>
  <c r="BB1047"/>
  <c r="AV1047"/>
  <c r="BC1047"/>
  <c r="AO1047"/>
  <c r="I1047"/>
  <c r="E1047"/>
  <c r="R1047" s="1"/>
  <c r="AX1046"/>
  <c r="AZ1046" s="1"/>
  <c r="BE1046"/>
  <c r="BG1046" s="1"/>
  <c r="BD1046"/>
  <c r="BF1046" s="1"/>
  <c r="BA1046"/>
  <c r="A1048"/>
  <c r="D1048"/>
  <c r="B1048"/>
  <c r="C1049"/>
  <c r="AS1048"/>
  <c r="AR1045"/>
  <c r="AJ1046"/>
  <c r="AL1046"/>
  <c r="AK1046"/>
  <c r="AW1046"/>
  <c r="AY1046" s="1"/>
  <c r="AT1046"/>
  <c r="K1046"/>
  <c r="Y1045"/>
  <c r="AS1047"/>
  <c r="F1046"/>
  <c r="U476" l="1"/>
  <c r="AR1046"/>
  <c r="F1047"/>
  <c r="T1047" s="1"/>
  <c r="BE1047"/>
  <c r="BG1047" s="1"/>
  <c r="T1046"/>
  <c r="S1047" s="1"/>
  <c r="H1046"/>
  <c r="O1046"/>
  <c r="Y1046" s="1"/>
  <c r="W1046"/>
  <c r="AN1048"/>
  <c r="BB1048"/>
  <c r="I1048"/>
  <c r="AP1048"/>
  <c r="AV1048"/>
  <c r="AU1048"/>
  <c r="Q1048"/>
  <c r="AO1048"/>
  <c r="BC1048"/>
  <c r="E1048"/>
  <c r="AK1047"/>
  <c r="AJ1047"/>
  <c r="AL1047"/>
  <c r="AX1047"/>
  <c r="AZ1047" s="1"/>
  <c r="K1047"/>
  <c r="AT1047"/>
  <c r="AW1047"/>
  <c r="AY1047" s="1"/>
  <c r="AR1047" s="1"/>
  <c r="G1036"/>
  <c r="G1037" s="1"/>
  <c r="G1038" s="1"/>
  <c r="G1039" s="1"/>
  <c r="G1040" s="1"/>
  <c r="G1041" s="1"/>
  <c r="G1042" s="1"/>
  <c r="G1043" s="1"/>
  <c r="G1044" s="1"/>
  <c r="G1045" s="1"/>
  <c r="G1046" s="1"/>
  <c r="G1047" s="1"/>
  <c r="D1049"/>
  <c r="B1049"/>
  <c r="A1049"/>
  <c r="R1048"/>
  <c r="AS1049"/>
  <c r="C1050"/>
  <c r="BF1047"/>
  <c r="BD1047"/>
  <c r="BA1047"/>
  <c r="AA476" l="1"/>
  <c r="Z476"/>
  <c r="AB476"/>
  <c r="H1047"/>
  <c r="AS1050"/>
  <c r="C1051"/>
  <c r="D1050"/>
  <c r="A1050"/>
  <c r="B1050"/>
  <c r="AN1049"/>
  <c r="AO1049"/>
  <c r="BB1049"/>
  <c r="I1049"/>
  <c r="AV1049"/>
  <c r="BC1049"/>
  <c r="AP1049"/>
  <c r="AU1049"/>
  <c r="Q1049"/>
  <c r="E1049"/>
  <c r="R1049" s="1"/>
  <c r="O1047"/>
  <c r="Y1047" s="1"/>
  <c r="W1047"/>
  <c r="V1047"/>
  <c r="BE1048"/>
  <c r="BG1048" s="1"/>
  <c r="AX1048"/>
  <c r="AZ1048" s="1"/>
  <c r="F1048"/>
  <c r="L1047"/>
  <c r="M1047"/>
  <c r="N1047"/>
  <c r="S1048"/>
  <c r="AK1048"/>
  <c r="AJ1048"/>
  <c r="AL1048"/>
  <c r="AW1048"/>
  <c r="AY1048" s="1"/>
  <c r="AT1048"/>
  <c r="K1048"/>
  <c r="BD1048"/>
  <c r="BF1048" s="1"/>
  <c r="BA1048"/>
  <c r="P477" l="1"/>
  <c r="U477" s="1"/>
  <c r="AF476"/>
  <c r="AG476"/>
  <c r="AH476"/>
  <c r="AB477"/>
  <c r="AH477" s="1"/>
  <c r="AX1049"/>
  <c r="AZ1049" s="1"/>
  <c r="AJ1049"/>
  <c r="AK1049"/>
  <c r="AL1049"/>
  <c r="BE1049"/>
  <c r="BG1049" s="1"/>
  <c r="C1052"/>
  <c r="AS1051"/>
  <c r="D1051"/>
  <c r="A1051"/>
  <c r="B1051"/>
  <c r="AR1048"/>
  <c r="T1048"/>
  <c r="S1049" s="1"/>
  <c r="H1048"/>
  <c r="BA1049"/>
  <c r="BD1049"/>
  <c r="BF1049" s="1"/>
  <c r="O1048"/>
  <c r="Y1048" s="1"/>
  <c r="W1048"/>
  <c r="K1049"/>
  <c r="AW1049"/>
  <c r="AY1049" s="1"/>
  <c r="AT1049"/>
  <c r="I1050"/>
  <c r="BB1050"/>
  <c r="AN1050"/>
  <c r="AP1050"/>
  <c r="AU1050"/>
  <c r="AO1050"/>
  <c r="BC1050"/>
  <c r="AV1050"/>
  <c r="Q1050"/>
  <c r="E1050"/>
  <c r="F1049"/>
  <c r="AA477" l="1"/>
  <c r="Z477"/>
  <c r="AR1049"/>
  <c r="F1050"/>
  <c r="H1050" s="1"/>
  <c r="AX1050"/>
  <c r="AZ1050" s="1"/>
  <c r="O1049"/>
  <c r="Y1049" s="1"/>
  <c r="W1049"/>
  <c r="AL1050"/>
  <c r="AK1050"/>
  <c r="AJ1050"/>
  <c r="BD1050"/>
  <c r="BF1050" s="1"/>
  <c r="BA1050"/>
  <c r="T1049"/>
  <c r="S1050" s="1"/>
  <c r="H1049"/>
  <c r="BE1050"/>
  <c r="BG1050" s="1"/>
  <c r="AV1051"/>
  <c r="I1051"/>
  <c r="Q1051"/>
  <c r="AO1051"/>
  <c r="BB1051"/>
  <c r="BC1051"/>
  <c r="AP1051"/>
  <c r="AU1051"/>
  <c r="AN1051"/>
  <c r="E1051"/>
  <c r="R1050"/>
  <c r="AT1050"/>
  <c r="AW1050"/>
  <c r="AY1050" s="1"/>
  <c r="K1050"/>
  <c r="D1052"/>
  <c r="C1053"/>
  <c r="A1052"/>
  <c r="AS1052"/>
  <c r="B1052"/>
  <c r="F1051" s="1"/>
  <c r="T1051" s="1"/>
  <c r="AG477" l="1"/>
  <c r="P478"/>
  <c r="AF477"/>
  <c r="T1050"/>
  <c r="S1051" s="1"/>
  <c r="S1052"/>
  <c r="AR1050"/>
  <c r="A1053"/>
  <c r="B1053"/>
  <c r="D1053"/>
  <c r="AS1053"/>
  <c r="C1054"/>
  <c r="K1051"/>
  <c r="AT1051"/>
  <c r="AW1051"/>
  <c r="AY1051" s="1"/>
  <c r="BB1052"/>
  <c r="I1052"/>
  <c r="AN1052"/>
  <c r="AP1052"/>
  <c r="AO1052"/>
  <c r="AV1052"/>
  <c r="BC1052"/>
  <c r="Q1052"/>
  <c r="AU1052"/>
  <c r="E1052"/>
  <c r="R1052" s="1"/>
  <c r="BD1051"/>
  <c r="BF1051" s="1"/>
  <c r="BA1051"/>
  <c r="AX1051"/>
  <c r="AZ1051" s="1"/>
  <c r="H1051"/>
  <c r="AK1051"/>
  <c r="AL1051"/>
  <c r="AJ1051"/>
  <c r="BE1051"/>
  <c r="BG1051" s="1"/>
  <c r="O1050"/>
  <c r="Y1050" s="1"/>
  <c r="W1050"/>
  <c r="R1051"/>
  <c r="U478" l="1"/>
  <c r="Z478" s="1"/>
  <c r="AB478"/>
  <c r="AA478"/>
  <c r="F1052"/>
  <c r="T1052" s="1"/>
  <c r="S1053" s="1"/>
  <c r="AR1051"/>
  <c r="BE1052"/>
  <c r="BG1052" s="1"/>
  <c r="AS1054"/>
  <c r="A1054"/>
  <c r="B1054"/>
  <c r="D1054"/>
  <c r="C1055"/>
  <c r="AU1053"/>
  <c r="I1053"/>
  <c r="AN1053"/>
  <c r="Q1053"/>
  <c r="AV1053"/>
  <c r="BC1053"/>
  <c r="AP1053"/>
  <c r="BB1053"/>
  <c r="AO1053"/>
  <c r="E1053"/>
  <c r="O1051"/>
  <c r="Y1051" s="1"/>
  <c r="W1051"/>
  <c r="K1052"/>
  <c r="AW1052"/>
  <c r="AY1052" s="1"/>
  <c r="AT1052"/>
  <c r="BD1052"/>
  <c r="BF1052" s="1"/>
  <c r="BA1052"/>
  <c r="AL1052"/>
  <c r="AK1052"/>
  <c r="AJ1052"/>
  <c r="AX1052"/>
  <c r="AZ1052" s="1"/>
  <c r="AF478" l="1"/>
  <c r="P479"/>
  <c r="AH478"/>
  <c r="AG478"/>
  <c r="H1052"/>
  <c r="F1053"/>
  <c r="T1053" s="1"/>
  <c r="S1054" s="1"/>
  <c r="O1052"/>
  <c r="Y1052" s="1"/>
  <c r="W1052"/>
  <c r="BD1053"/>
  <c r="BF1053" s="1"/>
  <c r="BA1053"/>
  <c r="C1056"/>
  <c r="AS1055"/>
  <c r="A1055"/>
  <c r="D1055"/>
  <c r="B1055"/>
  <c r="AU1054"/>
  <c r="Q1054"/>
  <c r="AV1054"/>
  <c r="AN1054"/>
  <c r="BC1054"/>
  <c r="BB1054"/>
  <c r="AO1054"/>
  <c r="I1054"/>
  <c r="AP1054"/>
  <c r="E1054"/>
  <c r="R1054" s="1"/>
  <c r="AX1053"/>
  <c r="AZ1053" s="1"/>
  <c r="AW1053"/>
  <c r="AY1053" s="1"/>
  <c r="AT1053"/>
  <c r="K1053"/>
  <c r="AR1052"/>
  <c r="AK1053"/>
  <c r="AJ1053"/>
  <c r="AL1053"/>
  <c r="BE1053"/>
  <c r="BG1053" s="1"/>
  <c r="R1053"/>
  <c r="Z479" l="1"/>
  <c r="U479"/>
  <c r="H1053"/>
  <c r="AR1053"/>
  <c r="F1054"/>
  <c r="T1054" s="1"/>
  <c r="S1055" s="1"/>
  <c r="AX1054"/>
  <c r="AZ1054" s="1"/>
  <c r="A1056"/>
  <c r="B1056"/>
  <c r="AS1056"/>
  <c r="D1056"/>
  <c r="C1057"/>
  <c r="O1053"/>
  <c r="Y1053" s="1"/>
  <c r="W1053"/>
  <c r="BA1054"/>
  <c r="BD1054"/>
  <c r="BF1054" s="1"/>
  <c r="AO1055"/>
  <c r="AN1055"/>
  <c r="BB1055"/>
  <c r="BC1055"/>
  <c r="Q1055"/>
  <c r="AV1055"/>
  <c r="I1055"/>
  <c r="AU1055"/>
  <c r="AP1055"/>
  <c r="E1055"/>
  <c r="R1055" s="1"/>
  <c r="BE1054"/>
  <c r="BG1054" s="1"/>
  <c r="AW1054"/>
  <c r="AY1054" s="1"/>
  <c r="AT1054"/>
  <c r="K1054"/>
  <c r="AL1054"/>
  <c r="AJ1054"/>
  <c r="AK1054"/>
  <c r="AF479" l="1"/>
  <c r="AA479"/>
  <c r="AB479"/>
  <c r="H1054"/>
  <c r="F1055"/>
  <c r="T1055" s="1"/>
  <c r="S1056" s="1"/>
  <c r="O1054"/>
  <c r="Y1054" s="1"/>
  <c r="W1054"/>
  <c r="BA1055"/>
  <c r="BD1055"/>
  <c r="BF1055" s="1"/>
  <c r="AW1055"/>
  <c r="AY1055" s="1"/>
  <c r="K1055"/>
  <c r="AT1055"/>
  <c r="BE1055"/>
  <c r="BG1055" s="1"/>
  <c r="AK1055"/>
  <c r="AJ1055"/>
  <c r="AL1055"/>
  <c r="AX1055"/>
  <c r="AZ1055" s="1"/>
  <c r="AN1056"/>
  <c r="AV1056"/>
  <c r="BC1056"/>
  <c r="AU1056"/>
  <c r="AP1056"/>
  <c r="AO1056"/>
  <c r="I1056"/>
  <c r="Q1056"/>
  <c r="BB1056"/>
  <c r="E1056"/>
  <c r="AR1054"/>
  <c r="AS1057"/>
  <c r="A1057"/>
  <c r="D1057"/>
  <c r="B1057"/>
  <c r="C1058"/>
  <c r="AG479" l="1"/>
  <c r="P480"/>
  <c r="AH479"/>
  <c r="H1055"/>
  <c r="AJ1056"/>
  <c r="AL1056"/>
  <c r="AK1056"/>
  <c r="AX1056"/>
  <c r="AZ1056" s="1"/>
  <c r="C1059"/>
  <c r="AS1058"/>
  <c r="B1058"/>
  <c r="D1058"/>
  <c r="A1058"/>
  <c r="AV1057"/>
  <c r="AP1057"/>
  <c r="AU1057"/>
  <c r="I1057"/>
  <c r="Q1057"/>
  <c r="BC1057"/>
  <c r="AN1057"/>
  <c r="AO1057"/>
  <c r="BB1057"/>
  <c r="E1057"/>
  <c r="R1057" s="1"/>
  <c r="BE1056"/>
  <c r="BG1056" s="1"/>
  <c r="AR1055"/>
  <c r="F1056"/>
  <c r="K1056"/>
  <c r="AW1056"/>
  <c r="AY1056" s="1"/>
  <c r="AT1056"/>
  <c r="O1055"/>
  <c r="Y1055" s="1"/>
  <c r="W1055"/>
  <c r="BD1056"/>
  <c r="BF1056" s="1"/>
  <c r="BA1056"/>
  <c r="R1056"/>
  <c r="Z480" l="1"/>
  <c r="U480"/>
  <c r="AB480" s="1"/>
  <c r="AH480" s="1"/>
  <c r="F1057"/>
  <c r="AA480"/>
  <c r="AF480"/>
  <c r="AR1056"/>
  <c r="T1057"/>
  <c r="S1058" s="1"/>
  <c r="H1057"/>
  <c r="O1056"/>
  <c r="Y1056" s="1"/>
  <c r="W1056"/>
  <c r="AY1057"/>
  <c r="AW1057"/>
  <c r="K1057"/>
  <c r="AT1057"/>
  <c r="B1059"/>
  <c r="F1058" s="1"/>
  <c r="T1058" s="1"/>
  <c r="S1059" s="1"/>
  <c r="A1059"/>
  <c r="AS1059" s="1"/>
  <c r="D1059"/>
  <c r="C1060"/>
  <c r="AN1058"/>
  <c r="AO1058"/>
  <c r="Q1058"/>
  <c r="AU1058"/>
  <c r="AP1058"/>
  <c r="I1058"/>
  <c r="BB1058"/>
  <c r="AV1058"/>
  <c r="BC1058"/>
  <c r="E1058"/>
  <c r="BD1057"/>
  <c r="BF1057" s="1"/>
  <c r="BA1057"/>
  <c r="AX1057"/>
  <c r="AZ1057" s="1"/>
  <c r="T1056"/>
  <c r="S1057" s="1"/>
  <c r="H1056"/>
  <c r="AK1057"/>
  <c r="AJ1057"/>
  <c r="AL1057"/>
  <c r="BE1057"/>
  <c r="BG1057" s="1"/>
  <c r="AG480" l="1"/>
  <c r="P481"/>
  <c r="BE1058"/>
  <c r="BG1058" s="1"/>
  <c r="O1057"/>
  <c r="Y1057" s="1"/>
  <c r="W1057"/>
  <c r="AK1058"/>
  <c r="AJ1058"/>
  <c r="AL1058"/>
  <c r="Q1059"/>
  <c r="AN1059"/>
  <c r="BC1059"/>
  <c r="AO1059"/>
  <c r="BB1059"/>
  <c r="I1059"/>
  <c r="AU1059"/>
  <c r="AP1059"/>
  <c r="AV1059"/>
  <c r="E1059"/>
  <c r="R1059" s="1"/>
  <c r="BA1058"/>
  <c r="BD1058"/>
  <c r="BF1058" s="1"/>
  <c r="AR1057"/>
  <c r="AX1058"/>
  <c r="AZ1058" s="1"/>
  <c r="AW1058"/>
  <c r="AY1058" s="1"/>
  <c r="K1058"/>
  <c r="AT1058"/>
  <c r="A1060"/>
  <c r="C1061"/>
  <c r="B1060"/>
  <c r="AS1060"/>
  <c r="D1060"/>
  <c r="H1058"/>
  <c r="R1058"/>
  <c r="U481" l="1"/>
  <c r="AB481"/>
  <c r="Z481"/>
  <c r="AA481"/>
  <c r="G1048"/>
  <c r="G1049" s="1"/>
  <c r="G1050" s="1"/>
  <c r="G1051" s="1"/>
  <c r="G1052" s="1"/>
  <c r="G1053" s="1"/>
  <c r="G1054" s="1"/>
  <c r="G1055" s="1"/>
  <c r="G1056" s="1"/>
  <c r="G1057" s="1"/>
  <c r="G1058" s="1"/>
  <c r="G1059" s="1"/>
  <c r="AX1059"/>
  <c r="AZ1059" s="1"/>
  <c r="BA1059"/>
  <c r="BD1059"/>
  <c r="BF1059" s="1"/>
  <c r="I1060"/>
  <c r="AV1060"/>
  <c r="AU1060"/>
  <c r="Q1060"/>
  <c r="BB1060"/>
  <c r="AO1060"/>
  <c r="AP1060"/>
  <c r="BC1060"/>
  <c r="AN1060"/>
  <c r="E1060"/>
  <c r="AK1059"/>
  <c r="AJ1059"/>
  <c r="AL1059"/>
  <c r="AR1058"/>
  <c r="F1059"/>
  <c r="O1058"/>
  <c r="Y1058" s="1"/>
  <c r="W1058"/>
  <c r="AW1059"/>
  <c r="AY1059" s="1"/>
  <c r="AT1059"/>
  <c r="K1059"/>
  <c r="BE1059"/>
  <c r="BG1059" s="1"/>
  <c r="AS1061"/>
  <c r="D1061"/>
  <c r="A1061"/>
  <c r="C1062"/>
  <c r="B1061"/>
  <c r="AH481" l="1"/>
  <c r="P482"/>
  <c r="U482" s="1"/>
  <c r="Z482" s="1"/>
  <c r="AF481"/>
  <c r="AG481"/>
  <c r="AA482"/>
  <c r="F1060"/>
  <c r="H1060" s="1"/>
  <c r="AR1059"/>
  <c r="AN1061"/>
  <c r="AU1061"/>
  <c r="AV1061"/>
  <c r="Q1061"/>
  <c r="AO1061"/>
  <c r="BC1061"/>
  <c r="BB1061"/>
  <c r="AP1061"/>
  <c r="I1061"/>
  <c r="E1061"/>
  <c r="R1061" s="1"/>
  <c r="O1059"/>
  <c r="Y1059" s="1"/>
  <c r="W1059"/>
  <c r="V1059"/>
  <c r="T1059"/>
  <c r="H1059"/>
  <c r="AK1060"/>
  <c r="AJ1060"/>
  <c r="AL1060"/>
  <c r="AX1060"/>
  <c r="AZ1060" s="1"/>
  <c r="AS1062"/>
  <c r="D1062"/>
  <c r="B1062"/>
  <c r="A1062"/>
  <c r="C1063"/>
  <c r="AW1060"/>
  <c r="AY1060" s="1"/>
  <c r="K1060"/>
  <c r="AT1060"/>
  <c r="R1060"/>
  <c r="BE1060"/>
  <c r="BG1060" s="1"/>
  <c r="BD1060"/>
  <c r="BF1060" s="1"/>
  <c r="BA1060"/>
  <c r="L483" l="1"/>
  <c r="AF482"/>
  <c r="M483"/>
  <c r="AG482"/>
  <c r="AB482"/>
  <c r="T1060"/>
  <c r="S1061" s="1"/>
  <c r="AR1060"/>
  <c r="F1061"/>
  <c r="H1061" s="1"/>
  <c r="AP1062"/>
  <c r="Q1062"/>
  <c r="I1062"/>
  <c r="AV1062"/>
  <c r="AN1062"/>
  <c r="AU1062"/>
  <c r="BB1062"/>
  <c r="AO1062"/>
  <c r="BC1062"/>
  <c r="E1062"/>
  <c r="R1062" s="1"/>
  <c r="O1060"/>
  <c r="W1060"/>
  <c r="B1063"/>
  <c r="A1063"/>
  <c r="C1064"/>
  <c r="AS1063"/>
  <c r="D1063"/>
  <c r="F1062" s="1"/>
  <c r="T1062" s="1"/>
  <c r="M1059"/>
  <c r="N1059"/>
  <c r="L1059"/>
  <c r="S1060"/>
  <c r="AL1061"/>
  <c r="AK1061"/>
  <c r="AJ1061"/>
  <c r="BG1061"/>
  <c r="BE1061"/>
  <c r="AW1061"/>
  <c r="AY1061" s="1"/>
  <c r="K1061"/>
  <c r="AT1061"/>
  <c r="BA1061"/>
  <c r="BD1061"/>
  <c r="BF1061" s="1"/>
  <c r="AX1061"/>
  <c r="AZ1061" s="1"/>
  <c r="AH482" l="1"/>
  <c r="N483"/>
  <c r="P483"/>
  <c r="U483" s="1"/>
  <c r="S1063"/>
  <c r="T1061"/>
  <c r="S1062" s="1"/>
  <c r="BD1062"/>
  <c r="BF1062" s="1"/>
  <c r="BA1062"/>
  <c r="AX1062"/>
  <c r="AZ1062" s="1"/>
  <c r="Y1060"/>
  <c r="AU1063"/>
  <c r="I1063"/>
  <c r="AV1063"/>
  <c r="AN1063"/>
  <c r="Q1063"/>
  <c r="BB1063"/>
  <c r="AP1063"/>
  <c r="BC1063"/>
  <c r="AO1063"/>
  <c r="E1063"/>
  <c r="R1063" s="1"/>
  <c r="BE1062"/>
  <c r="BG1062" s="1"/>
  <c r="AR1061"/>
  <c r="O1061"/>
  <c r="W1061"/>
  <c r="AS1064"/>
  <c r="C1065"/>
  <c r="A1064"/>
  <c r="B1064"/>
  <c r="D1064"/>
  <c r="AK1062"/>
  <c r="AJ1062"/>
  <c r="AL1062"/>
  <c r="K1062"/>
  <c r="AW1062"/>
  <c r="AY1062" s="1"/>
  <c r="AT1062"/>
  <c r="H1062"/>
  <c r="AB483" l="1"/>
  <c r="X483"/>
  <c r="AA483"/>
  <c r="Z483"/>
  <c r="AR1062"/>
  <c r="AP1064"/>
  <c r="AU1064"/>
  <c r="AO1064"/>
  <c r="BB1064"/>
  <c r="AN1064"/>
  <c r="BC1064"/>
  <c r="I1064"/>
  <c r="AV1064"/>
  <c r="Q1064"/>
  <c r="E1064"/>
  <c r="R1064" s="1"/>
  <c r="AW1063"/>
  <c r="AY1063" s="1"/>
  <c r="K1063"/>
  <c r="AT1063"/>
  <c r="AL1063"/>
  <c r="AJ1063"/>
  <c r="AK1063"/>
  <c r="BA1063"/>
  <c r="BD1063"/>
  <c r="BF1063" s="1"/>
  <c r="A1065"/>
  <c r="AS1065"/>
  <c r="B1065"/>
  <c r="C1066"/>
  <c r="D1065"/>
  <c r="O1062"/>
  <c r="W1062"/>
  <c r="AX1063"/>
  <c r="AZ1063" s="1"/>
  <c r="BE1063"/>
  <c r="BG1063" s="1"/>
  <c r="F1063"/>
  <c r="Y1061"/>
  <c r="AH483" l="1"/>
  <c r="AG483"/>
  <c r="P484"/>
  <c r="AF483"/>
  <c r="Y1062"/>
  <c r="O1063"/>
  <c r="W1063"/>
  <c r="AX1064"/>
  <c r="AZ1064" s="1"/>
  <c r="BD1064"/>
  <c r="BF1064" s="1"/>
  <c r="BA1064"/>
  <c r="T1063"/>
  <c r="S1064" s="1"/>
  <c r="H1063"/>
  <c r="BB1065"/>
  <c r="AP1065"/>
  <c r="AO1065"/>
  <c r="BC1065"/>
  <c r="Q1065"/>
  <c r="I1065"/>
  <c r="AV1065"/>
  <c r="AU1065"/>
  <c r="AN1065"/>
  <c r="E1065"/>
  <c r="R1065" s="1"/>
  <c r="Y1063"/>
  <c r="AL1064"/>
  <c r="AK1064"/>
  <c r="AJ1064"/>
  <c r="BE1064"/>
  <c r="BG1064" s="1"/>
  <c r="K1064"/>
  <c r="AT1064"/>
  <c r="AW1064"/>
  <c r="AY1064" s="1"/>
  <c r="AR1063"/>
  <c r="A1066"/>
  <c r="AS1066"/>
  <c r="D1066"/>
  <c r="B1066"/>
  <c r="C1067"/>
  <c r="F1064"/>
  <c r="AB484" l="1"/>
  <c r="AA484"/>
  <c r="U484"/>
  <c r="Z484" s="1"/>
  <c r="AR1064"/>
  <c r="T1064"/>
  <c r="S1065" s="1"/>
  <c r="H1064"/>
  <c r="D1067"/>
  <c r="A1067"/>
  <c r="B1067"/>
  <c r="AS1067"/>
  <c r="C1068"/>
  <c r="AN1066"/>
  <c r="Q1066"/>
  <c r="AV1066"/>
  <c r="BB1066"/>
  <c r="AP1066"/>
  <c r="I1066"/>
  <c r="AU1066"/>
  <c r="BC1066"/>
  <c r="AO1066"/>
  <c r="E1066"/>
  <c r="R1066" s="1"/>
  <c r="BA1065"/>
  <c r="BD1065"/>
  <c r="BF1065" s="1"/>
  <c r="AK1065"/>
  <c r="AL1065"/>
  <c r="AJ1065"/>
  <c r="F1065"/>
  <c r="AX1065"/>
  <c r="AZ1065" s="1"/>
  <c r="O1064"/>
  <c r="Y1064" s="1"/>
  <c r="W1064"/>
  <c r="AW1065"/>
  <c r="AY1065" s="1"/>
  <c r="AT1065"/>
  <c r="K1065"/>
  <c r="BE1065"/>
  <c r="BG1065" s="1"/>
  <c r="AH484" l="1"/>
  <c r="AG484"/>
  <c r="P485"/>
  <c r="U485" s="1"/>
  <c r="AF484"/>
  <c r="AR1065"/>
  <c r="AT1066"/>
  <c r="AW1066"/>
  <c r="AY1066" s="1"/>
  <c r="K1066"/>
  <c r="AX1066"/>
  <c r="AZ1066" s="1"/>
  <c r="BE1066"/>
  <c r="BG1066" s="1"/>
  <c r="BD1066"/>
  <c r="BF1066" s="1"/>
  <c r="BA1066"/>
  <c r="A1068"/>
  <c r="B1068"/>
  <c r="C1069"/>
  <c r="AS1068"/>
  <c r="D1068"/>
  <c r="AP1067"/>
  <c r="AN1067"/>
  <c r="BB1067"/>
  <c r="AO1067"/>
  <c r="Q1067"/>
  <c r="I1067"/>
  <c r="BC1067"/>
  <c r="AV1067"/>
  <c r="AU1067"/>
  <c r="E1067"/>
  <c r="O1065"/>
  <c r="Y1065" s="1"/>
  <c r="W1065"/>
  <c r="T1065"/>
  <c r="S1066" s="1"/>
  <c r="H1065"/>
  <c r="AL1066"/>
  <c r="AK1066"/>
  <c r="AJ1066"/>
  <c r="F1067"/>
  <c r="T1067" s="1"/>
  <c r="F1066"/>
  <c r="AA485" l="1"/>
  <c r="AB485"/>
  <c r="Z485"/>
  <c r="AR1066"/>
  <c r="O1066"/>
  <c r="Y1066" s="1"/>
  <c r="W1066"/>
  <c r="T1066"/>
  <c r="S1067" s="1"/>
  <c r="H1066"/>
  <c r="AW1067"/>
  <c r="AY1067" s="1"/>
  <c r="AT1067"/>
  <c r="K1067"/>
  <c r="D1069"/>
  <c r="A1069"/>
  <c r="C1070"/>
  <c r="B1069"/>
  <c r="F1068" s="1"/>
  <c r="T1068" s="1"/>
  <c r="S1069" s="1"/>
  <c r="AS1069"/>
  <c r="AJ1067"/>
  <c r="AK1067"/>
  <c r="AL1067"/>
  <c r="S1068"/>
  <c r="H1067"/>
  <c r="R1067"/>
  <c r="BE1067"/>
  <c r="BG1067" s="1"/>
  <c r="BD1067"/>
  <c r="BF1067" s="1"/>
  <c r="BA1067"/>
  <c r="I1068"/>
  <c r="AP1068"/>
  <c r="Q1068"/>
  <c r="AV1068"/>
  <c r="BC1068"/>
  <c r="BB1068"/>
  <c r="AN1068"/>
  <c r="AO1068"/>
  <c r="AU1068"/>
  <c r="E1068"/>
  <c r="R1068" s="1"/>
  <c r="AX1067"/>
  <c r="AZ1067" s="1"/>
  <c r="AG485" l="1"/>
  <c r="AH485"/>
  <c r="U486"/>
  <c r="AB486" s="1"/>
  <c r="P486"/>
  <c r="AF485"/>
  <c r="Z486"/>
  <c r="AR1067"/>
  <c r="AU1069"/>
  <c r="Q1069"/>
  <c r="I1069"/>
  <c r="BC1069"/>
  <c r="AN1069"/>
  <c r="AO1069"/>
  <c r="AP1069"/>
  <c r="BB1069"/>
  <c r="AV1069"/>
  <c r="E1069"/>
  <c r="AX1068"/>
  <c r="AZ1068" s="1"/>
  <c r="BE1068"/>
  <c r="BG1068" s="1"/>
  <c r="AJ1068"/>
  <c r="AL1068"/>
  <c r="AK1068"/>
  <c r="A1070"/>
  <c r="B1070"/>
  <c r="R1069"/>
  <c r="D1070"/>
  <c r="C1071"/>
  <c r="AS1070"/>
  <c r="O1067"/>
  <c r="Y1067" s="1"/>
  <c r="W1067"/>
  <c r="H1068"/>
  <c r="K1068"/>
  <c r="AT1068"/>
  <c r="AY1068"/>
  <c r="AW1068"/>
  <c r="BD1068"/>
  <c r="BF1068" s="1"/>
  <c r="BA1068"/>
  <c r="AF486" l="1"/>
  <c r="AH486"/>
  <c r="AA486"/>
  <c r="F1069"/>
  <c r="T1069" s="1"/>
  <c r="S1070" s="1"/>
  <c r="AK1069"/>
  <c r="AL1069"/>
  <c r="AJ1069"/>
  <c r="AR1068"/>
  <c r="O1068"/>
  <c r="Y1068" s="1"/>
  <c r="W1068"/>
  <c r="D1071"/>
  <c r="A1071"/>
  <c r="AS1071" s="1"/>
  <c r="B1071"/>
  <c r="C1072"/>
  <c r="BB1070"/>
  <c r="AU1070"/>
  <c r="AP1070"/>
  <c r="Q1070"/>
  <c r="AO1070"/>
  <c r="AN1070"/>
  <c r="BC1070"/>
  <c r="I1070"/>
  <c r="AV1070"/>
  <c r="E1070"/>
  <c r="R1070" s="1"/>
  <c r="BD1069"/>
  <c r="BF1069" s="1"/>
  <c r="BA1069"/>
  <c r="BE1069"/>
  <c r="BG1069" s="1"/>
  <c r="AX1069"/>
  <c r="AZ1069" s="1"/>
  <c r="AW1069"/>
  <c r="AY1069" s="1"/>
  <c r="K1069"/>
  <c r="AT1069"/>
  <c r="AG486" l="1"/>
  <c r="P487"/>
  <c r="H1069"/>
  <c r="F1070"/>
  <c r="T1070" s="1"/>
  <c r="S1071" s="1"/>
  <c r="O1069"/>
  <c r="Y1069" s="1"/>
  <c r="W1069"/>
  <c r="D1072"/>
  <c r="A1072"/>
  <c r="AS1072"/>
  <c r="B1072"/>
  <c r="F1071" s="1"/>
  <c r="T1071" s="1"/>
  <c r="C1073"/>
  <c r="AX1070"/>
  <c r="AZ1070" s="1"/>
  <c r="BA1070"/>
  <c r="BD1070"/>
  <c r="BF1070" s="1"/>
  <c r="AR1069"/>
  <c r="AL1070"/>
  <c r="AJ1070"/>
  <c r="AK1070"/>
  <c r="K1070"/>
  <c r="AW1070"/>
  <c r="AY1070" s="1"/>
  <c r="AT1070"/>
  <c r="BB1071"/>
  <c r="I1071"/>
  <c r="AV1071"/>
  <c r="AU1071"/>
  <c r="Q1071"/>
  <c r="AN1071"/>
  <c r="AO1071"/>
  <c r="AP1071"/>
  <c r="BC1071"/>
  <c r="E1071"/>
  <c r="BE1070"/>
  <c r="BG1070" s="1"/>
  <c r="Z487" l="1"/>
  <c r="U487"/>
  <c r="AA487" s="1"/>
  <c r="AB487"/>
  <c r="H1070"/>
  <c r="N1071"/>
  <c r="M1071"/>
  <c r="L1071"/>
  <c r="S1072"/>
  <c r="BD1071"/>
  <c r="BF1071" s="1"/>
  <c r="BA1071"/>
  <c r="AL1071"/>
  <c r="AK1071"/>
  <c r="AJ1071"/>
  <c r="AX1071"/>
  <c r="AZ1071" s="1"/>
  <c r="G1060"/>
  <c r="G1061" s="1"/>
  <c r="G1062" s="1"/>
  <c r="G1063" s="1"/>
  <c r="G1064" s="1"/>
  <c r="G1065" s="1"/>
  <c r="G1066" s="1"/>
  <c r="G1067" s="1"/>
  <c r="G1068" s="1"/>
  <c r="G1069" s="1"/>
  <c r="G1070" s="1"/>
  <c r="G1071" s="1"/>
  <c r="H1071"/>
  <c r="AR1070"/>
  <c r="R1071"/>
  <c r="AT1071"/>
  <c r="AY1071"/>
  <c r="AW1071"/>
  <c r="K1071"/>
  <c r="A1073"/>
  <c r="B1073"/>
  <c r="C1074"/>
  <c r="D1073"/>
  <c r="F1072" s="1"/>
  <c r="AS1073"/>
  <c r="BB1072"/>
  <c r="BC1072"/>
  <c r="AO1072"/>
  <c r="Q1072"/>
  <c r="AU1072"/>
  <c r="AV1072"/>
  <c r="I1072"/>
  <c r="AP1072"/>
  <c r="AN1072"/>
  <c r="E1072"/>
  <c r="R1072" s="1"/>
  <c r="O1070"/>
  <c r="Y1070" s="1"/>
  <c r="W1070"/>
  <c r="BE1071"/>
  <c r="BG1071" s="1"/>
  <c r="AF487" l="1"/>
  <c r="P488"/>
  <c r="AG487"/>
  <c r="AA488"/>
  <c r="AH487"/>
  <c r="U488"/>
  <c r="AB488" s="1"/>
  <c r="T1072"/>
  <c r="S1073" s="1"/>
  <c r="H1072"/>
  <c r="O1071"/>
  <c r="Y1071" s="1"/>
  <c r="W1071"/>
  <c r="V1071"/>
  <c r="AU1073"/>
  <c r="BC1073"/>
  <c r="AO1073"/>
  <c r="BB1073"/>
  <c r="Q1073"/>
  <c r="AN1073"/>
  <c r="AP1073"/>
  <c r="AV1073"/>
  <c r="I1073"/>
  <c r="E1073"/>
  <c r="AJ1072"/>
  <c r="AL1072"/>
  <c r="AK1072"/>
  <c r="AX1072"/>
  <c r="AZ1072" s="1"/>
  <c r="BE1072"/>
  <c r="BG1072" s="1"/>
  <c r="AT1072"/>
  <c r="K1072"/>
  <c r="AW1072"/>
  <c r="AY1072" s="1"/>
  <c r="BA1072"/>
  <c r="BD1072"/>
  <c r="BF1072" s="1"/>
  <c r="C1075"/>
  <c r="AS1074"/>
  <c r="B1074"/>
  <c r="R1073"/>
  <c r="A1074"/>
  <c r="D1074"/>
  <c r="AR1071"/>
  <c r="Z488" l="1"/>
  <c r="AF488" s="1"/>
  <c r="F1073"/>
  <c r="AH488"/>
  <c r="AG488"/>
  <c r="AR1072"/>
  <c r="T1073"/>
  <c r="S1074" s="1"/>
  <c r="H1073"/>
  <c r="BB1074"/>
  <c r="BC1074"/>
  <c r="I1074"/>
  <c r="AV1074"/>
  <c r="AP1074"/>
  <c r="AO1074"/>
  <c r="AU1074"/>
  <c r="AN1074"/>
  <c r="Q1074"/>
  <c r="E1074"/>
  <c r="D1075"/>
  <c r="F1074" s="1"/>
  <c r="T1074" s="1"/>
  <c r="S1075" s="1"/>
  <c r="A1075"/>
  <c r="C1076"/>
  <c r="AS1075"/>
  <c r="R1074"/>
  <c r="B1075"/>
  <c r="AL1073"/>
  <c r="AJ1073"/>
  <c r="AK1073"/>
  <c r="BE1073"/>
  <c r="BG1073" s="1"/>
  <c r="AX1073"/>
  <c r="AZ1073" s="1"/>
  <c r="BA1073"/>
  <c r="BD1073"/>
  <c r="BF1073" s="1"/>
  <c r="O1072"/>
  <c r="Y1072" s="1"/>
  <c r="W1072"/>
  <c r="AT1073"/>
  <c r="K1073"/>
  <c r="AW1073"/>
  <c r="AY1073" s="1"/>
  <c r="P489" l="1"/>
  <c r="AL1074"/>
  <c r="AJ1074"/>
  <c r="AK1074"/>
  <c r="BE1074"/>
  <c r="BG1074" s="1"/>
  <c r="AT1074"/>
  <c r="AW1074"/>
  <c r="AY1074" s="1"/>
  <c r="K1074"/>
  <c r="AP1075"/>
  <c r="I1075"/>
  <c r="AU1075"/>
  <c r="AN1075"/>
  <c r="BB1075"/>
  <c r="AV1075"/>
  <c r="AO1075"/>
  <c r="Q1075"/>
  <c r="BC1075"/>
  <c r="E1075"/>
  <c r="AX1074"/>
  <c r="AZ1074"/>
  <c r="O1073"/>
  <c r="Y1073" s="1"/>
  <c r="W1073"/>
  <c r="C1077"/>
  <c r="B1076"/>
  <c r="AS1076"/>
  <c r="A1076"/>
  <c r="D1076"/>
  <c r="BA1074"/>
  <c r="BD1074"/>
  <c r="BF1074" s="1"/>
  <c r="AR1073"/>
  <c r="H1074"/>
  <c r="AB489" l="1"/>
  <c r="AH489" s="1"/>
  <c r="U489"/>
  <c r="AW1075"/>
  <c r="AY1075" s="1"/>
  <c r="AT1075"/>
  <c r="K1075"/>
  <c r="AJ1075"/>
  <c r="AK1075"/>
  <c r="AL1075"/>
  <c r="AX1075"/>
  <c r="AZ1075" s="1"/>
  <c r="I1076"/>
  <c r="BC1076"/>
  <c r="BB1076"/>
  <c r="AN1076"/>
  <c r="AP1076"/>
  <c r="AU1076"/>
  <c r="Q1076"/>
  <c r="AO1076"/>
  <c r="AV1076"/>
  <c r="E1076"/>
  <c r="R1076" s="1"/>
  <c r="F1075"/>
  <c r="AR1074"/>
  <c r="A1077"/>
  <c r="C1078"/>
  <c r="AS1077"/>
  <c r="B1077"/>
  <c r="D1077"/>
  <c r="BE1075"/>
  <c r="BG1075" s="1"/>
  <c r="BA1075"/>
  <c r="BD1075"/>
  <c r="BF1075" s="1"/>
  <c r="R1075"/>
  <c r="O1074"/>
  <c r="Y1074" s="1"/>
  <c r="W1074"/>
  <c r="Z489" l="1"/>
  <c r="AA489"/>
  <c r="BD1076"/>
  <c r="BF1076" s="1"/>
  <c r="BA1076"/>
  <c r="T1075"/>
  <c r="S1076" s="1"/>
  <c r="H1075"/>
  <c r="AX1076"/>
  <c r="AZ1076" s="1"/>
  <c r="AR1075"/>
  <c r="BC1077"/>
  <c r="Q1077"/>
  <c r="AP1077"/>
  <c r="BB1077"/>
  <c r="AV1077"/>
  <c r="AU1077"/>
  <c r="AN1077"/>
  <c r="AO1077"/>
  <c r="I1077"/>
  <c r="E1077"/>
  <c r="AK1076"/>
  <c r="AL1076"/>
  <c r="AJ1076"/>
  <c r="AW1076"/>
  <c r="AY1076" s="1"/>
  <c r="AT1076"/>
  <c r="K1076"/>
  <c r="BE1076"/>
  <c r="BG1076" s="1"/>
  <c r="F1076"/>
  <c r="C1079"/>
  <c r="D1078"/>
  <c r="AS1078"/>
  <c r="B1078"/>
  <c r="A1078"/>
  <c r="O1075"/>
  <c r="Y1075" s="1"/>
  <c r="W1075"/>
  <c r="AF489" l="1"/>
  <c r="P490"/>
  <c r="AG489"/>
  <c r="T1076"/>
  <c r="S1077" s="1"/>
  <c r="H1076"/>
  <c r="BA1077"/>
  <c r="BD1077"/>
  <c r="BF1077" s="1"/>
  <c r="O1076"/>
  <c r="Y1076" s="1"/>
  <c r="W1076"/>
  <c r="AX1077"/>
  <c r="AZ1077" s="1"/>
  <c r="BE1077"/>
  <c r="BG1077" s="1"/>
  <c r="Q1078"/>
  <c r="BB1078"/>
  <c r="AO1078"/>
  <c r="BC1078"/>
  <c r="I1078"/>
  <c r="AN1078"/>
  <c r="AU1078"/>
  <c r="AV1078"/>
  <c r="AP1078"/>
  <c r="E1078"/>
  <c r="R1078" s="1"/>
  <c r="AL1077"/>
  <c r="AJ1077"/>
  <c r="AK1077"/>
  <c r="AW1077"/>
  <c r="AY1077" s="1"/>
  <c r="AR1077" s="1"/>
  <c r="AT1077"/>
  <c r="K1077"/>
  <c r="AR1076"/>
  <c r="C1080"/>
  <c r="A1079"/>
  <c r="D1079"/>
  <c r="B1079"/>
  <c r="AS1079"/>
  <c r="R1077"/>
  <c r="F1077"/>
  <c r="AB490" l="1"/>
  <c r="U490"/>
  <c r="F1078"/>
  <c r="T1078" s="1"/>
  <c r="D1080"/>
  <c r="B1080"/>
  <c r="A1080"/>
  <c r="C1081"/>
  <c r="AS1080"/>
  <c r="AJ1078"/>
  <c r="AK1078"/>
  <c r="AL1078"/>
  <c r="BD1078"/>
  <c r="BF1078" s="1"/>
  <c r="BA1078"/>
  <c r="T1077"/>
  <c r="S1078" s="1"/>
  <c r="H1077"/>
  <c r="I1079"/>
  <c r="Q1079"/>
  <c r="BC1079"/>
  <c r="AV1079"/>
  <c r="AN1079"/>
  <c r="BB1079"/>
  <c r="AP1079"/>
  <c r="AO1079"/>
  <c r="AU1079"/>
  <c r="E1079"/>
  <c r="R1079" s="1"/>
  <c r="AY1078"/>
  <c r="AW1078"/>
  <c r="K1078"/>
  <c r="AT1078"/>
  <c r="H1078"/>
  <c r="O1077"/>
  <c r="Y1077" s="1"/>
  <c r="W1077"/>
  <c r="AX1078"/>
  <c r="AZ1078" s="1"/>
  <c r="BG1078"/>
  <c r="BE1078"/>
  <c r="S1079"/>
  <c r="AH490" l="1"/>
  <c r="AA490"/>
  <c r="Z490"/>
  <c r="F1079"/>
  <c r="T1079" s="1"/>
  <c r="S1080" s="1"/>
  <c r="AK1079"/>
  <c r="AL1079"/>
  <c r="AJ1079"/>
  <c r="BA1079"/>
  <c r="BD1079"/>
  <c r="BF1079" s="1"/>
  <c r="A1081"/>
  <c r="C1082"/>
  <c r="D1081"/>
  <c r="F1080" s="1"/>
  <c r="T1080" s="1"/>
  <c r="S1081" s="1"/>
  <c r="AS1081"/>
  <c r="B1081"/>
  <c r="O1078"/>
  <c r="Y1078" s="1"/>
  <c r="W1078"/>
  <c r="K1079"/>
  <c r="AW1079"/>
  <c r="AY1079" s="1"/>
  <c r="AT1079"/>
  <c r="I1080"/>
  <c r="AN1080"/>
  <c r="AO1080"/>
  <c r="Q1080"/>
  <c r="BB1080"/>
  <c r="AP1080"/>
  <c r="BC1080"/>
  <c r="AU1080"/>
  <c r="AV1080"/>
  <c r="E1080"/>
  <c r="R1080" s="1"/>
  <c r="BE1079"/>
  <c r="BG1079" s="1"/>
  <c r="AX1079"/>
  <c r="AZ1079" s="1"/>
  <c r="AR1078"/>
  <c r="AF490" l="1"/>
  <c r="P491"/>
  <c r="AG490"/>
  <c r="H1079"/>
  <c r="AR1079"/>
  <c r="AW1080"/>
  <c r="AY1080" s="1"/>
  <c r="K1080"/>
  <c r="AT1080"/>
  <c r="H1080"/>
  <c r="BE1080"/>
  <c r="BG1080" s="1"/>
  <c r="B1082"/>
  <c r="AS1082"/>
  <c r="C1083"/>
  <c r="D1082"/>
  <c r="A1082"/>
  <c r="BD1080"/>
  <c r="BF1080" s="1"/>
  <c r="BA1080"/>
  <c r="O1079"/>
  <c r="Y1079" s="1"/>
  <c r="W1079"/>
  <c r="AX1080"/>
  <c r="AZ1080" s="1"/>
  <c r="AL1080"/>
  <c r="AJ1080"/>
  <c r="AK1080"/>
  <c r="AP1081"/>
  <c r="Q1081"/>
  <c r="AV1081"/>
  <c r="AO1081"/>
  <c r="BB1081"/>
  <c r="AU1081"/>
  <c r="BC1081"/>
  <c r="I1081"/>
  <c r="AN1081"/>
  <c r="E1081"/>
  <c r="AB491" l="1"/>
  <c r="U491"/>
  <c r="F1081"/>
  <c r="T1081" s="1"/>
  <c r="S1082" s="1"/>
  <c r="AR1080"/>
  <c r="AL1081"/>
  <c r="AK1081"/>
  <c r="AJ1081"/>
  <c r="O1080"/>
  <c r="Y1080" s="1"/>
  <c r="W1080"/>
  <c r="AU1082"/>
  <c r="Q1082"/>
  <c r="BC1082"/>
  <c r="AV1082"/>
  <c r="AO1082"/>
  <c r="BB1082"/>
  <c r="AN1082"/>
  <c r="I1082"/>
  <c r="AP1082"/>
  <c r="E1082"/>
  <c r="R1082" s="1"/>
  <c r="K1081"/>
  <c r="AW1081"/>
  <c r="AY1081" s="1"/>
  <c r="AT1081"/>
  <c r="A1083"/>
  <c r="B1083"/>
  <c r="D1083"/>
  <c r="C1084"/>
  <c r="BE1081"/>
  <c r="BG1081" s="1"/>
  <c r="AX1081"/>
  <c r="AZ1081" s="1"/>
  <c r="BA1081"/>
  <c r="BD1081"/>
  <c r="BF1081" s="1"/>
  <c r="R1081"/>
  <c r="AH491" l="1"/>
  <c r="AA491"/>
  <c r="Z491"/>
  <c r="H1081"/>
  <c r="K1082"/>
  <c r="AT1082"/>
  <c r="AW1082"/>
  <c r="AY1082" s="1"/>
  <c r="AR1081"/>
  <c r="O1081"/>
  <c r="Y1081" s="1"/>
  <c r="W1081"/>
  <c r="AX1082"/>
  <c r="AZ1082" s="1"/>
  <c r="AK1082"/>
  <c r="AL1082"/>
  <c r="AJ1082"/>
  <c r="BA1082"/>
  <c r="BD1082"/>
  <c r="BF1082" s="1"/>
  <c r="C1085"/>
  <c r="D1084"/>
  <c r="A1084"/>
  <c r="AS1084"/>
  <c r="B1084"/>
  <c r="AU1083"/>
  <c r="BC1083"/>
  <c r="AP1083"/>
  <c r="I1083"/>
  <c r="Q1083"/>
  <c r="AO1083"/>
  <c r="AN1083"/>
  <c r="AV1083"/>
  <c r="BB1083"/>
  <c r="E1083"/>
  <c r="BE1082"/>
  <c r="BG1082" s="1"/>
  <c r="AS1083"/>
  <c r="F1082"/>
  <c r="P492" l="1"/>
  <c r="AF491"/>
  <c r="AG491"/>
  <c r="AR1082"/>
  <c r="AW1083"/>
  <c r="AY1083" s="1"/>
  <c r="AT1083"/>
  <c r="K1083"/>
  <c r="T1082"/>
  <c r="S1083" s="1"/>
  <c r="H1082"/>
  <c r="AJ1083"/>
  <c r="AK1083"/>
  <c r="AL1083"/>
  <c r="BE1083"/>
  <c r="BG1083" s="1"/>
  <c r="BB1084"/>
  <c r="BC1084"/>
  <c r="AV1084"/>
  <c r="I1084"/>
  <c r="AN1084"/>
  <c r="Q1084"/>
  <c r="AU1084"/>
  <c r="AP1084"/>
  <c r="AO1084"/>
  <c r="E1084"/>
  <c r="R1084" s="1"/>
  <c r="AS1085"/>
  <c r="B1085"/>
  <c r="D1085"/>
  <c r="C1086"/>
  <c r="A1085"/>
  <c r="O1082"/>
  <c r="Y1082" s="1"/>
  <c r="W1082"/>
  <c r="F1083"/>
  <c r="BD1083"/>
  <c r="BF1083" s="1"/>
  <c r="BA1083"/>
  <c r="AZ1083"/>
  <c r="AX1083"/>
  <c r="G1072"/>
  <c r="G1073" s="1"/>
  <c r="G1074" s="1"/>
  <c r="G1075" s="1"/>
  <c r="G1076" s="1"/>
  <c r="G1077" s="1"/>
  <c r="G1078" s="1"/>
  <c r="G1079" s="1"/>
  <c r="G1080" s="1"/>
  <c r="G1081" s="1"/>
  <c r="G1082" s="1"/>
  <c r="G1083" s="1"/>
  <c r="R1083"/>
  <c r="AB492" l="1"/>
  <c r="U492"/>
  <c r="AR1083"/>
  <c r="BA1084"/>
  <c r="BD1084"/>
  <c r="BF1084" s="1"/>
  <c r="BE1084"/>
  <c r="BG1084" s="1"/>
  <c r="AX1084"/>
  <c r="AZ1084" s="1"/>
  <c r="D1086"/>
  <c r="C1087"/>
  <c r="B1086"/>
  <c r="A1086"/>
  <c r="AS1086"/>
  <c r="AK1084"/>
  <c r="AJ1084"/>
  <c r="AL1084"/>
  <c r="T1083"/>
  <c r="H1083"/>
  <c r="AW1084"/>
  <c r="AY1084" s="1"/>
  <c r="AT1084"/>
  <c r="K1084"/>
  <c r="AV1085"/>
  <c r="BC1085"/>
  <c r="BB1085"/>
  <c r="Q1085"/>
  <c r="AP1085"/>
  <c r="AN1085"/>
  <c r="AO1085"/>
  <c r="I1085"/>
  <c r="AU1085"/>
  <c r="E1085"/>
  <c r="O1083"/>
  <c r="Y1083" s="1"/>
  <c r="W1083"/>
  <c r="V1083"/>
  <c r="F1084"/>
  <c r="AH492" l="1"/>
  <c r="Z492"/>
  <c r="AA492"/>
  <c r="AR1084"/>
  <c r="F1085"/>
  <c r="T1085" s="1"/>
  <c r="AT1085"/>
  <c r="K1085"/>
  <c r="AW1085"/>
  <c r="AY1085" s="1"/>
  <c r="AX1085"/>
  <c r="AZ1085" s="1"/>
  <c r="T1084"/>
  <c r="S1085" s="1"/>
  <c r="H1084"/>
  <c r="AL1085"/>
  <c r="AJ1085"/>
  <c r="AK1085"/>
  <c r="BE1085"/>
  <c r="BG1085" s="1"/>
  <c r="R1085"/>
  <c r="BD1085"/>
  <c r="BF1085" s="1"/>
  <c r="BA1085"/>
  <c r="S1086"/>
  <c r="O1084"/>
  <c r="W1084"/>
  <c r="M1083"/>
  <c r="L1083"/>
  <c r="N1083"/>
  <c r="S1084"/>
  <c r="BC1086"/>
  <c r="BB1086"/>
  <c r="AP1086"/>
  <c r="Q1086"/>
  <c r="AU1086"/>
  <c r="AN1086"/>
  <c r="I1086"/>
  <c r="AO1086"/>
  <c r="AV1086"/>
  <c r="E1086"/>
  <c r="A1087"/>
  <c r="C1088"/>
  <c r="B1087"/>
  <c r="AS1087"/>
  <c r="D1087"/>
  <c r="H1085"/>
  <c r="AG492" l="1"/>
  <c r="AF492"/>
  <c r="P493"/>
  <c r="F1086"/>
  <c r="T1086" s="1"/>
  <c r="S1087" s="1"/>
  <c r="K1086"/>
  <c r="AT1086"/>
  <c r="AW1086"/>
  <c r="AY1086" s="1"/>
  <c r="O1085"/>
  <c r="W1085"/>
  <c r="BE1086"/>
  <c r="BG1086" s="1"/>
  <c r="AL1086"/>
  <c r="AJ1086"/>
  <c r="AK1086"/>
  <c r="BD1086"/>
  <c r="BF1086" s="1"/>
  <c r="BA1086"/>
  <c r="AR1085"/>
  <c r="AX1086"/>
  <c r="AZ1086" s="1"/>
  <c r="AP1087"/>
  <c r="AU1087"/>
  <c r="AV1087"/>
  <c r="Q1087"/>
  <c r="AO1087"/>
  <c r="AN1087"/>
  <c r="BC1087"/>
  <c r="BB1087"/>
  <c r="I1087"/>
  <c r="E1087"/>
  <c r="R1086"/>
  <c r="Y1084"/>
  <c r="A1088"/>
  <c r="R1087"/>
  <c r="AS1088"/>
  <c r="C1089"/>
  <c r="D1088"/>
  <c r="B1088"/>
  <c r="AB493" l="1"/>
  <c r="U493"/>
  <c r="Z493" s="1"/>
  <c r="AA493"/>
  <c r="H1086"/>
  <c r="Y1085"/>
  <c r="BA1087"/>
  <c r="BD1087"/>
  <c r="BF1087" s="1"/>
  <c r="AR1086"/>
  <c r="BE1087"/>
  <c r="BG1087" s="1"/>
  <c r="C1090"/>
  <c r="D1089"/>
  <c r="AS1089"/>
  <c r="A1089"/>
  <c r="B1089"/>
  <c r="O1086"/>
  <c r="Y1086" s="1"/>
  <c r="W1086"/>
  <c r="F1087"/>
  <c r="AX1087"/>
  <c r="AZ1087" s="1"/>
  <c r="BB1088"/>
  <c r="AN1088"/>
  <c r="Q1088"/>
  <c r="AP1088"/>
  <c r="AO1088"/>
  <c r="BC1088"/>
  <c r="I1088"/>
  <c r="AV1088"/>
  <c r="AU1088"/>
  <c r="E1088"/>
  <c r="AJ1087"/>
  <c r="AL1087"/>
  <c r="AK1087"/>
  <c r="K1087"/>
  <c r="AW1087"/>
  <c r="AY1087" s="1"/>
  <c r="AT1087"/>
  <c r="AH493" l="1"/>
  <c r="AB494"/>
  <c r="AF493"/>
  <c r="P494"/>
  <c r="U494" s="1"/>
  <c r="Z494"/>
  <c r="AG493"/>
  <c r="AA494"/>
  <c r="AR1087"/>
  <c r="Q1089"/>
  <c r="AN1089"/>
  <c r="I1089"/>
  <c r="AP1089"/>
  <c r="AU1089"/>
  <c r="AO1089"/>
  <c r="BB1089"/>
  <c r="AV1089"/>
  <c r="BC1089"/>
  <c r="E1089"/>
  <c r="R1089" s="1"/>
  <c r="D1090"/>
  <c r="C1091"/>
  <c r="AS1090"/>
  <c r="A1090"/>
  <c r="B1090"/>
  <c r="F1088"/>
  <c r="O1087"/>
  <c r="Y1087" s="1"/>
  <c r="W1087"/>
  <c r="AK1088"/>
  <c r="AJ1088"/>
  <c r="AL1088"/>
  <c r="AX1088"/>
  <c r="AZ1088" s="1"/>
  <c r="AW1088"/>
  <c r="AY1088" s="1"/>
  <c r="K1088"/>
  <c r="AT1088"/>
  <c r="BD1088"/>
  <c r="BF1088" s="1"/>
  <c r="BA1088"/>
  <c r="R1088"/>
  <c r="BE1088"/>
  <c r="BG1088" s="1"/>
  <c r="T1087"/>
  <c r="S1088" s="1"/>
  <c r="H1087"/>
  <c r="Z495" l="1"/>
  <c r="M495"/>
  <c r="AG494"/>
  <c r="AH494"/>
  <c r="N495"/>
  <c r="U495"/>
  <c r="AB495" s="1"/>
  <c r="P495"/>
  <c r="X495" s="1"/>
  <c r="AF494"/>
  <c r="L495"/>
  <c r="AA495"/>
  <c r="AG495" s="1"/>
  <c r="F1089"/>
  <c r="T1089" s="1"/>
  <c r="AR1088"/>
  <c r="T1088"/>
  <c r="S1089" s="1"/>
  <c r="H1088"/>
  <c r="AS1091"/>
  <c r="A1091"/>
  <c r="D1091"/>
  <c r="B1091"/>
  <c r="C1092"/>
  <c r="AX1089"/>
  <c r="AZ1089" s="1"/>
  <c r="BE1089"/>
  <c r="BG1089" s="1"/>
  <c r="AY1089"/>
  <c r="AW1089"/>
  <c r="AT1089"/>
  <c r="K1089"/>
  <c r="H1089"/>
  <c r="AL1089"/>
  <c r="AK1089"/>
  <c r="AJ1089"/>
  <c r="S1090"/>
  <c r="O1088"/>
  <c r="Y1088" s="1"/>
  <c r="W1088"/>
  <c r="AU1090"/>
  <c r="Q1090"/>
  <c r="BC1090"/>
  <c r="AO1090"/>
  <c r="AN1090"/>
  <c r="AV1090"/>
  <c r="BB1090"/>
  <c r="I1090"/>
  <c r="AP1090"/>
  <c r="E1090"/>
  <c r="BD1089"/>
  <c r="BF1089" s="1"/>
  <c r="BA1089"/>
  <c r="P496" l="1"/>
  <c r="AF495"/>
  <c r="AH495"/>
  <c r="AR1089"/>
  <c r="F1090"/>
  <c r="T1090" s="1"/>
  <c r="S1091" s="1"/>
  <c r="D1092"/>
  <c r="C1093"/>
  <c r="B1092"/>
  <c r="A1092"/>
  <c r="AS1092"/>
  <c r="AO1091"/>
  <c r="AV1091"/>
  <c r="I1091"/>
  <c r="Q1091"/>
  <c r="AU1091"/>
  <c r="BC1091"/>
  <c r="AP1091"/>
  <c r="AN1091"/>
  <c r="BB1091"/>
  <c r="E1091"/>
  <c r="R1091" s="1"/>
  <c r="AJ1090"/>
  <c r="AK1090"/>
  <c r="AL1090"/>
  <c r="AX1090"/>
  <c r="AZ1090" s="1"/>
  <c r="O1089"/>
  <c r="W1089"/>
  <c r="K1090"/>
  <c r="AT1090"/>
  <c r="AW1090"/>
  <c r="AY1090" s="1"/>
  <c r="BD1090"/>
  <c r="BF1090" s="1"/>
  <c r="BA1090"/>
  <c r="BE1090"/>
  <c r="BG1090" s="1"/>
  <c r="Y1089"/>
  <c r="R1090"/>
  <c r="AB496" l="1"/>
  <c r="U496"/>
  <c r="AR1090"/>
  <c r="H1090"/>
  <c r="BC1092"/>
  <c r="I1092"/>
  <c r="AP1092"/>
  <c r="Q1092"/>
  <c r="AO1092"/>
  <c r="BB1092"/>
  <c r="AN1092"/>
  <c r="AV1092"/>
  <c r="AU1092"/>
  <c r="E1092"/>
  <c r="AK1091"/>
  <c r="AL1091"/>
  <c r="AJ1091"/>
  <c r="BE1091"/>
  <c r="BG1091" s="1"/>
  <c r="AX1091"/>
  <c r="AZ1091" s="1"/>
  <c r="F1091"/>
  <c r="O1090"/>
  <c r="Y1090" s="1"/>
  <c r="W1090"/>
  <c r="BD1091"/>
  <c r="BF1091" s="1"/>
  <c r="BA1091"/>
  <c r="K1091"/>
  <c r="AW1091"/>
  <c r="AY1091" s="1"/>
  <c r="AT1091"/>
  <c r="AS1093"/>
  <c r="R1092"/>
  <c r="A1093"/>
  <c r="B1093"/>
  <c r="D1093"/>
  <c r="C1094"/>
  <c r="AH496" l="1"/>
  <c r="Z496"/>
  <c r="AA496"/>
  <c r="AR1091"/>
  <c r="O1091"/>
  <c r="Y1091" s="1"/>
  <c r="W1091"/>
  <c r="AV1093"/>
  <c r="AU1093"/>
  <c r="AO1093"/>
  <c r="BB1093"/>
  <c r="Q1093"/>
  <c r="AP1093"/>
  <c r="I1093"/>
  <c r="AN1093"/>
  <c r="BC1093"/>
  <c r="E1093"/>
  <c r="T1091"/>
  <c r="S1092" s="1"/>
  <c r="H1091"/>
  <c r="AX1092"/>
  <c r="AZ1092" s="1"/>
  <c r="AT1092"/>
  <c r="AW1092"/>
  <c r="AY1092" s="1"/>
  <c r="K1092"/>
  <c r="BE1092"/>
  <c r="BG1092" s="1"/>
  <c r="B1094"/>
  <c r="D1094"/>
  <c r="A1094"/>
  <c r="AS1094"/>
  <c r="R1093"/>
  <c r="C1095"/>
  <c r="AJ1092"/>
  <c r="AL1092"/>
  <c r="AK1092"/>
  <c r="BF1092"/>
  <c r="BD1092"/>
  <c r="BA1092"/>
  <c r="F1092"/>
  <c r="AG496" l="1"/>
  <c r="P497"/>
  <c r="AF496"/>
  <c r="AR1092"/>
  <c r="F1093"/>
  <c r="T1093" s="1"/>
  <c r="S1094" s="1"/>
  <c r="O1092"/>
  <c r="Y1092" s="1"/>
  <c r="W1092"/>
  <c r="BA1093"/>
  <c r="BD1093"/>
  <c r="BF1093" s="1"/>
  <c r="A1095"/>
  <c r="AS1095" s="1"/>
  <c r="C1096"/>
  <c r="D1095"/>
  <c r="B1095"/>
  <c r="AV1094"/>
  <c r="Q1094"/>
  <c r="BB1094"/>
  <c r="I1094"/>
  <c r="AU1094"/>
  <c r="BC1094"/>
  <c r="AO1094"/>
  <c r="AN1094"/>
  <c r="AP1094"/>
  <c r="E1094"/>
  <c r="AK1093"/>
  <c r="AJ1093"/>
  <c r="AL1093"/>
  <c r="AT1093"/>
  <c r="AW1093"/>
  <c r="AY1093" s="1"/>
  <c r="K1093"/>
  <c r="T1092"/>
  <c r="S1093" s="1"/>
  <c r="H1092"/>
  <c r="BE1093"/>
  <c r="BG1093" s="1"/>
  <c r="AX1093"/>
  <c r="AZ1093" s="1"/>
  <c r="AB497" l="1"/>
  <c r="U497"/>
  <c r="H1093"/>
  <c r="F1094"/>
  <c r="T1094" s="1"/>
  <c r="S1095" s="1"/>
  <c r="AK1094"/>
  <c r="AJ1094"/>
  <c r="AL1094"/>
  <c r="BE1094"/>
  <c r="BG1094" s="1"/>
  <c r="BD1094"/>
  <c r="BF1094" s="1"/>
  <c r="BA1094"/>
  <c r="AR1093"/>
  <c r="R1094"/>
  <c r="BC1095"/>
  <c r="Q1095"/>
  <c r="AV1095"/>
  <c r="AN1095"/>
  <c r="BB1095"/>
  <c r="AO1095"/>
  <c r="AP1095"/>
  <c r="I1095"/>
  <c r="AU1095"/>
  <c r="E1095"/>
  <c r="R1095" s="1"/>
  <c r="O1093"/>
  <c r="Y1093" s="1"/>
  <c r="W1093"/>
  <c r="AW1094"/>
  <c r="AY1094" s="1"/>
  <c r="K1094"/>
  <c r="AT1094"/>
  <c r="AX1094"/>
  <c r="AZ1094" s="1"/>
  <c r="B1096"/>
  <c r="C1097"/>
  <c r="D1096"/>
  <c r="AS1096"/>
  <c r="A1096"/>
  <c r="AH497" l="1"/>
  <c r="AA497"/>
  <c r="Z497"/>
  <c r="H1094"/>
  <c r="F1095"/>
  <c r="H1095" s="1"/>
  <c r="AT1095"/>
  <c r="AW1095"/>
  <c r="AY1095" s="1"/>
  <c r="K1095"/>
  <c r="BA1095"/>
  <c r="BD1095"/>
  <c r="BF1095" s="1"/>
  <c r="BE1095"/>
  <c r="BG1095" s="1"/>
  <c r="Q1096"/>
  <c r="BC1096"/>
  <c r="AP1096"/>
  <c r="AN1096"/>
  <c r="BB1096"/>
  <c r="AU1096"/>
  <c r="I1096"/>
  <c r="AO1096"/>
  <c r="AV1096"/>
  <c r="E1096"/>
  <c r="R1096" s="1"/>
  <c r="AS1097"/>
  <c r="C1098"/>
  <c r="B1097"/>
  <c r="D1097"/>
  <c r="A1097"/>
  <c r="AK1095"/>
  <c r="AJ1095"/>
  <c r="AL1095"/>
  <c r="AR1094"/>
  <c r="O1094"/>
  <c r="Y1094" s="1"/>
  <c r="W1094"/>
  <c r="AX1095"/>
  <c r="AZ1095" s="1"/>
  <c r="G1084"/>
  <c r="G1085" s="1"/>
  <c r="G1086" s="1"/>
  <c r="G1087" s="1"/>
  <c r="G1088" s="1"/>
  <c r="G1089" s="1"/>
  <c r="G1090" s="1"/>
  <c r="G1091" s="1"/>
  <c r="G1092" s="1"/>
  <c r="G1093" s="1"/>
  <c r="G1094" s="1"/>
  <c r="G1095" s="1"/>
  <c r="AF497" l="1"/>
  <c r="P498"/>
  <c r="AG497"/>
  <c r="T1095"/>
  <c r="M1095" s="1"/>
  <c r="AR1095"/>
  <c r="AO1097"/>
  <c r="AN1097"/>
  <c r="AP1097"/>
  <c r="I1097"/>
  <c r="BB1097"/>
  <c r="Q1097"/>
  <c r="AU1097"/>
  <c r="AV1097"/>
  <c r="BC1097"/>
  <c r="E1097"/>
  <c r="R1097" s="1"/>
  <c r="S1096"/>
  <c r="AJ1096"/>
  <c r="AK1096"/>
  <c r="AL1096"/>
  <c r="BG1096"/>
  <c r="BE1096"/>
  <c r="A1098"/>
  <c r="B1098"/>
  <c r="D1098"/>
  <c r="C1099"/>
  <c r="AS1098"/>
  <c r="AX1096"/>
  <c r="AZ1096" s="1"/>
  <c r="BA1096"/>
  <c r="BD1096"/>
  <c r="BF1096" s="1"/>
  <c r="F1096"/>
  <c r="O1095"/>
  <c r="Y1095" s="1"/>
  <c r="W1095"/>
  <c r="V1095"/>
  <c r="AW1096"/>
  <c r="AY1096" s="1"/>
  <c r="K1096"/>
  <c r="AT1096"/>
  <c r="AB498" l="1"/>
  <c r="U498"/>
  <c r="L1095"/>
  <c r="N1095"/>
  <c r="F1097"/>
  <c r="T1097" s="1"/>
  <c r="AR1096"/>
  <c r="AJ1097"/>
  <c r="AK1097"/>
  <c r="AL1097"/>
  <c r="D1099"/>
  <c r="C1100"/>
  <c r="AS1099"/>
  <c r="B1099"/>
  <c r="A1099"/>
  <c r="O1096"/>
  <c r="W1096"/>
  <c r="AP1098"/>
  <c r="BC1098"/>
  <c r="Q1098"/>
  <c r="AN1098"/>
  <c r="I1098"/>
  <c r="AO1098"/>
  <c r="BB1098"/>
  <c r="AU1098"/>
  <c r="AV1098"/>
  <c r="E1098"/>
  <c r="R1098" s="1"/>
  <c r="AT1097"/>
  <c r="AY1097"/>
  <c r="AW1097"/>
  <c r="K1097"/>
  <c r="T1096"/>
  <c r="S1097" s="1"/>
  <c r="H1096"/>
  <c r="AX1097"/>
  <c r="AZ1097" s="1"/>
  <c r="BE1097"/>
  <c r="BG1097" s="1"/>
  <c r="BA1097"/>
  <c r="BF1097"/>
  <c r="BD1097"/>
  <c r="Z498" l="1"/>
  <c r="AA498"/>
  <c r="AH498"/>
  <c r="F1098"/>
  <c r="T1098" s="1"/>
  <c r="H1097"/>
  <c r="S1099"/>
  <c r="AR1097"/>
  <c r="S1098"/>
  <c r="AX1098"/>
  <c r="AZ1098" s="1"/>
  <c r="A1100"/>
  <c r="C1101"/>
  <c r="AS1100"/>
  <c r="D1100"/>
  <c r="B1100"/>
  <c r="AW1098"/>
  <c r="AY1098" s="1"/>
  <c r="AT1098"/>
  <c r="K1098"/>
  <c r="O1097"/>
  <c r="W1097"/>
  <c r="AK1098"/>
  <c r="AJ1098"/>
  <c r="AL1098"/>
  <c r="AN1099"/>
  <c r="BB1099"/>
  <c r="AP1099"/>
  <c r="AO1099"/>
  <c r="AV1099"/>
  <c r="I1099"/>
  <c r="Q1099"/>
  <c r="BC1099"/>
  <c r="AU1099"/>
  <c r="E1099"/>
  <c r="BE1098"/>
  <c r="BG1098" s="1"/>
  <c r="BA1098"/>
  <c r="BD1098"/>
  <c r="BF1098" s="1"/>
  <c r="H1098"/>
  <c r="Y1096"/>
  <c r="AF498" l="1"/>
  <c r="Z499"/>
  <c r="P499"/>
  <c r="U499" s="1"/>
  <c r="AB499" s="1"/>
  <c r="AG498"/>
  <c r="AA499"/>
  <c r="Y1097"/>
  <c r="F1099"/>
  <c r="T1099" s="1"/>
  <c r="S1100" s="1"/>
  <c r="AJ1099"/>
  <c r="AK1099"/>
  <c r="AL1099"/>
  <c r="BD1099"/>
  <c r="BF1099" s="1"/>
  <c r="BA1099"/>
  <c r="D1101"/>
  <c r="B1101"/>
  <c r="A1101"/>
  <c r="C1102"/>
  <c r="AS1101"/>
  <c r="AR1098"/>
  <c r="O1098"/>
  <c r="Y1098" s="1"/>
  <c r="W1098"/>
  <c r="AT1099"/>
  <c r="K1099"/>
  <c r="AW1099"/>
  <c r="AY1099" s="1"/>
  <c r="AX1099"/>
  <c r="AZ1099" s="1"/>
  <c r="R1099"/>
  <c r="BE1099"/>
  <c r="BG1099" s="1"/>
  <c r="BB1100"/>
  <c r="AN1100"/>
  <c r="BC1100"/>
  <c r="AO1100"/>
  <c r="AV1100"/>
  <c r="AP1100"/>
  <c r="AU1100"/>
  <c r="Q1100"/>
  <c r="I1100"/>
  <c r="E1100"/>
  <c r="AH499" l="1"/>
  <c r="AG499"/>
  <c r="P500"/>
  <c r="AF499"/>
  <c r="H1099"/>
  <c r="AR1099"/>
  <c r="AX1100"/>
  <c r="AZ1100" s="1"/>
  <c r="BA1100"/>
  <c r="BD1100"/>
  <c r="BF1100" s="1"/>
  <c r="AK1100"/>
  <c r="AJ1100"/>
  <c r="AL1100"/>
  <c r="AN1101"/>
  <c r="BC1101"/>
  <c r="BB1101"/>
  <c r="AV1101"/>
  <c r="Q1101"/>
  <c r="I1101"/>
  <c r="AU1101"/>
  <c r="AO1101"/>
  <c r="AP1101"/>
  <c r="E1101"/>
  <c r="R1101" s="1"/>
  <c r="BE1100"/>
  <c r="BG1100" s="1"/>
  <c r="O1099"/>
  <c r="Y1099" s="1"/>
  <c r="W1099"/>
  <c r="D1102"/>
  <c r="B1102"/>
  <c r="C1103"/>
  <c r="AS1102"/>
  <c r="A1102"/>
  <c r="K1100"/>
  <c r="AT1100"/>
  <c r="AW1100"/>
  <c r="AY1100" s="1"/>
  <c r="AR1100" s="1"/>
  <c r="R1100"/>
  <c r="F1100"/>
  <c r="AA500" l="1"/>
  <c r="Z500"/>
  <c r="AB500"/>
  <c r="U500"/>
  <c r="F1101"/>
  <c r="T1101" s="1"/>
  <c r="T1100"/>
  <c r="S1101" s="1"/>
  <c r="H1100"/>
  <c r="AK1101"/>
  <c r="AL1101"/>
  <c r="AJ1101"/>
  <c r="BE1101"/>
  <c r="BG1101" s="1"/>
  <c r="S1102"/>
  <c r="A1103"/>
  <c r="B1103"/>
  <c r="AS1103"/>
  <c r="C1104"/>
  <c r="D1103"/>
  <c r="AW1101"/>
  <c r="AY1101" s="1"/>
  <c r="AT1101"/>
  <c r="K1101"/>
  <c r="O1100"/>
  <c r="Y1100" s="1"/>
  <c r="W1100"/>
  <c r="BA1101"/>
  <c r="BF1101"/>
  <c r="BD1101"/>
  <c r="AX1101"/>
  <c r="AZ1101" s="1"/>
  <c r="AP1102"/>
  <c r="I1102"/>
  <c r="AN1102"/>
  <c r="BB1102"/>
  <c r="AV1102"/>
  <c r="AU1102"/>
  <c r="Q1102"/>
  <c r="BC1102"/>
  <c r="AO1102"/>
  <c r="E1102"/>
  <c r="R1102" s="1"/>
  <c r="AG500" l="1"/>
  <c r="AF500"/>
  <c r="P501"/>
  <c r="U501" s="1"/>
  <c r="Z501"/>
  <c r="AH500"/>
  <c r="AB501"/>
  <c r="AH501" s="1"/>
  <c r="H1101"/>
  <c r="F1102"/>
  <c r="T1102" s="1"/>
  <c r="S1103" s="1"/>
  <c r="BE1102"/>
  <c r="BG1102" s="1"/>
  <c r="BD1102"/>
  <c r="BF1102" s="1"/>
  <c r="BA1102"/>
  <c r="O1101"/>
  <c r="Y1101" s="1"/>
  <c r="W1101"/>
  <c r="AO1103"/>
  <c r="Q1103"/>
  <c r="BB1103"/>
  <c r="BC1103"/>
  <c r="AV1103"/>
  <c r="AN1103"/>
  <c r="I1103"/>
  <c r="AU1103"/>
  <c r="AP1103"/>
  <c r="E1103"/>
  <c r="R1103" s="1"/>
  <c r="AX1102"/>
  <c r="AZ1102" s="1"/>
  <c r="AL1102"/>
  <c r="AJ1102"/>
  <c r="AK1102"/>
  <c r="AT1102"/>
  <c r="K1102"/>
  <c r="AW1102"/>
  <c r="AY1102" s="1"/>
  <c r="AR1101"/>
  <c r="A1104"/>
  <c r="C1105"/>
  <c r="B1104"/>
  <c r="AS1104"/>
  <c r="D1104"/>
  <c r="AA501" l="1"/>
  <c r="AF501"/>
  <c r="H1102"/>
  <c r="F1103"/>
  <c r="T1103" s="1"/>
  <c r="S1104" s="1"/>
  <c r="AR1102"/>
  <c r="BC1104"/>
  <c r="I1104"/>
  <c r="AV1104"/>
  <c r="AU1104"/>
  <c r="Q1104"/>
  <c r="AP1104"/>
  <c r="AO1104"/>
  <c r="BB1104"/>
  <c r="AN1104"/>
  <c r="E1104"/>
  <c r="R1104" s="1"/>
  <c r="AX1103"/>
  <c r="AZ1103" s="1"/>
  <c r="K1103"/>
  <c r="AT1103"/>
  <c r="AW1103"/>
  <c r="AY1103" s="1"/>
  <c r="BE1103"/>
  <c r="BG1103" s="1"/>
  <c r="A1105"/>
  <c r="C1106"/>
  <c r="AS1105"/>
  <c r="B1105"/>
  <c r="D1105"/>
  <c r="AL1103"/>
  <c r="AK1103"/>
  <c r="AJ1103"/>
  <c r="O1102"/>
  <c r="Y1102" s="1"/>
  <c r="W1102"/>
  <c r="BA1103"/>
  <c r="BD1103"/>
  <c r="BF1103" s="1"/>
  <c r="AG501" l="1"/>
  <c r="P502"/>
  <c r="AR1103"/>
  <c r="H1103"/>
  <c r="BD1104"/>
  <c r="BF1104" s="1"/>
  <c r="BA1104"/>
  <c r="AT1104"/>
  <c r="K1104"/>
  <c r="AW1104"/>
  <c r="AY1104" s="1"/>
  <c r="A1106"/>
  <c r="C1107"/>
  <c r="B1106"/>
  <c r="F1105" s="1"/>
  <c r="T1105" s="1"/>
  <c r="D1106"/>
  <c r="AS1106"/>
  <c r="O1103"/>
  <c r="Y1103" s="1"/>
  <c r="W1103"/>
  <c r="BE1104"/>
  <c r="BG1104" s="1"/>
  <c r="AX1104"/>
  <c r="AZ1104" s="1"/>
  <c r="BB1105"/>
  <c r="AV1105"/>
  <c r="Q1105"/>
  <c r="AN1105"/>
  <c r="AU1105"/>
  <c r="I1105"/>
  <c r="AP1105"/>
  <c r="AO1105"/>
  <c r="BC1105"/>
  <c r="E1105"/>
  <c r="AL1104"/>
  <c r="AJ1104"/>
  <c r="AK1104"/>
  <c r="F1104"/>
  <c r="U502" l="1"/>
  <c r="AB502"/>
  <c r="Z502"/>
  <c r="AA502"/>
  <c r="AW1105"/>
  <c r="AY1105" s="1"/>
  <c r="AT1105"/>
  <c r="K1105"/>
  <c r="S1106"/>
  <c r="BE1105"/>
  <c r="BG1105" s="1"/>
  <c r="BD1105"/>
  <c r="BF1105" s="1"/>
  <c r="BA1105"/>
  <c r="B1107"/>
  <c r="C1108"/>
  <c r="D1107"/>
  <c r="A1107"/>
  <c r="T1104"/>
  <c r="S1105" s="1"/>
  <c r="H1104"/>
  <c r="AL1105"/>
  <c r="AJ1105"/>
  <c r="AK1105"/>
  <c r="AX1105"/>
  <c r="AZ1105" s="1"/>
  <c r="AN1106"/>
  <c r="I1106"/>
  <c r="AP1106"/>
  <c r="BC1106"/>
  <c r="BB1106"/>
  <c r="Q1106"/>
  <c r="AV1106"/>
  <c r="AO1106"/>
  <c r="AU1106"/>
  <c r="E1106"/>
  <c r="R1106" s="1"/>
  <c r="AR1104"/>
  <c r="H1105"/>
  <c r="O1104"/>
  <c r="Y1104" s="1"/>
  <c r="W1104"/>
  <c r="R1105"/>
  <c r="AH502" l="1"/>
  <c r="P503"/>
  <c r="U503" s="1"/>
  <c r="AF502"/>
  <c r="AG502"/>
  <c r="AR1105"/>
  <c r="BE1106"/>
  <c r="BG1106" s="1"/>
  <c r="AW1106"/>
  <c r="AY1106" s="1"/>
  <c r="K1106"/>
  <c r="AT1106"/>
  <c r="BD1106"/>
  <c r="BF1106" s="1"/>
  <c r="BA1106"/>
  <c r="Q1107"/>
  <c r="AN1107"/>
  <c r="AV1107"/>
  <c r="I1107"/>
  <c r="AU1107"/>
  <c r="BB1107"/>
  <c r="AP1107"/>
  <c r="BC1107"/>
  <c r="AO1107"/>
  <c r="E1107"/>
  <c r="R1107" s="1"/>
  <c r="C1109"/>
  <c r="D1108"/>
  <c r="AS1108"/>
  <c r="A1108"/>
  <c r="B1108"/>
  <c r="O1105"/>
  <c r="Y1105" s="1"/>
  <c r="W1105"/>
  <c r="AL1106"/>
  <c r="AJ1106"/>
  <c r="AK1106"/>
  <c r="AX1106"/>
  <c r="AZ1106" s="1"/>
  <c r="AS1107"/>
  <c r="F1106"/>
  <c r="Z503" l="1"/>
  <c r="AB503"/>
  <c r="AA503"/>
  <c r="G1096"/>
  <c r="G1097" s="1"/>
  <c r="G1098" s="1"/>
  <c r="G1099" s="1"/>
  <c r="G1100" s="1"/>
  <c r="G1101" s="1"/>
  <c r="G1102" s="1"/>
  <c r="G1103" s="1"/>
  <c r="G1104" s="1"/>
  <c r="G1105" s="1"/>
  <c r="G1106" s="1"/>
  <c r="G1107" s="1"/>
  <c r="BE1107"/>
  <c r="BG1107" s="1"/>
  <c r="T1106"/>
  <c r="S1107" s="1"/>
  <c r="H1106"/>
  <c r="K1107"/>
  <c r="AW1107"/>
  <c r="AY1107" s="1"/>
  <c r="AT1107"/>
  <c r="AJ1107"/>
  <c r="AL1107"/>
  <c r="AK1107"/>
  <c r="BD1107"/>
  <c r="BF1107" s="1"/>
  <c r="BA1107"/>
  <c r="AR1106"/>
  <c r="BC1108"/>
  <c r="I1108"/>
  <c r="BB1108"/>
  <c r="Q1108"/>
  <c r="AU1108"/>
  <c r="AO1108"/>
  <c r="AP1108"/>
  <c r="AV1108"/>
  <c r="AN1108"/>
  <c r="E1108"/>
  <c r="R1108" s="1"/>
  <c r="D1109"/>
  <c r="B1109"/>
  <c r="A1109"/>
  <c r="C1110"/>
  <c r="AS1109"/>
  <c r="AX1107"/>
  <c r="AZ1107" s="1"/>
  <c r="O1106"/>
  <c r="Y1106" s="1"/>
  <c r="W1106"/>
  <c r="F1107"/>
  <c r="P504" l="1"/>
  <c r="AF503"/>
  <c r="AH503"/>
  <c r="AG503"/>
  <c r="AR1107"/>
  <c r="BE1108"/>
  <c r="BG1108" s="1"/>
  <c r="O1107"/>
  <c r="Y1107" s="1"/>
  <c r="W1107"/>
  <c r="V1107"/>
  <c r="F1108"/>
  <c r="A1110"/>
  <c r="C1111"/>
  <c r="D1110"/>
  <c r="AS1110"/>
  <c r="B1110"/>
  <c r="AW1108"/>
  <c r="AY1108" s="1"/>
  <c r="AT1108"/>
  <c r="K1108"/>
  <c r="T1107"/>
  <c r="H1107"/>
  <c r="Q1109"/>
  <c r="AV1109"/>
  <c r="AO1109"/>
  <c r="BC1109"/>
  <c r="AN1109"/>
  <c r="AP1109"/>
  <c r="AU1109"/>
  <c r="I1109"/>
  <c r="BB1109"/>
  <c r="E1109"/>
  <c r="AL1108"/>
  <c r="AJ1108"/>
  <c r="AK1108"/>
  <c r="BA1108"/>
  <c r="BD1108"/>
  <c r="BF1108" s="1"/>
  <c r="AX1108"/>
  <c r="AZ1108" s="1"/>
  <c r="U504" l="1"/>
  <c r="O1108"/>
  <c r="Y1108" s="1"/>
  <c r="W1108"/>
  <c r="AL1109"/>
  <c r="AJ1109"/>
  <c r="AK1109"/>
  <c r="AX1109"/>
  <c r="AZ1109" s="1"/>
  <c r="B1111"/>
  <c r="AS1111"/>
  <c r="C1112"/>
  <c r="A1111"/>
  <c r="D1111"/>
  <c r="K1109"/>
  <c r="AT1109"/>
  <c r="AW1109"/>
  <c r="AY1109" s="1"/>
  <c r="L1107"/>
  <c r="M1107"/>
  <c r="N1107"/>
  <c r="S1108"/>
  <c r="AR1108"/>
  <c r="F1109"/>
  <c r="BA1109"/>
  <c r="BF1109"/>
  <c r="BD1109"/>
  <c r="AU1110"/>
  <c r="BB1110"/>
  <c r="AN1110"/>
  <c r="AP1110"/>
  <c r="Q1110"/>
  <c r="I1110"/>
  <c r="AV1110"/>
  <c r="AO1110"/>
  <c r="BC1110"/>
  <c r="E1110"/>
  <c r="BG1109"/>
  <c r="BE1109"/>
  <c r="T1108"/>
  <c r="S1109" s="1"/>
  <c r="H1108"/>
  <c r="R1109"/>
  <c r="Z504" l="1"/>
  <c r="AA504"/>
  <c r="AB504"/>
  <c r="F1110"/>
  <c r="T1110" s="1"/>
  <c r="S1111" s="1"/>
  <c r="AR1109"/>
  <c r="AK1110"/>
  <c r="AL1110"/>
  <c r="AJ1110"/>
  <c r="O1109"/>
  <c r="W1109"/>
  <c r="D1112"/>
  <c r="B1112"/>
  <c r="A1112"/>
  <c r="C1113"/>
  <c r="AS1112"/>
  <c r="AV1111"/>
  <c r="I1111"/>
  <c r="Q1111"/>
  <c r="AO1111"/>
  <c r="AN1111"/>
  <c r="BB1111"/>
  <c r="AP1111"/>
  <c r="BC1111"/>
  <c r="AU1111"/>
  <c r="E1111"/>
  <c r="Y1109"/>
  <c r="BE1110"/>
  <c r="BG1110" s="1"/>
  <c r="AW1110"/>
  <c r="AY1110" s="1"/>
  <c r="K1110"/>
  <c r="AT1110"/>
  <c r="T1109"/>
  <c r="S1110" s="1"/>
  <c r="H1109"/>
  <c r="BD1110"/>
  <c r="BF1110" s="1"/>
  <c r="BA1110"/>
  <c r="AX1110"/>
  <c r="AZ1110" s="1"/>
  <c r="R1110"/>
  <c r="AF504" l="1"/>
  <c r="P505"/>
  <c r="AG504"/>
  <c r="AA505"/>
  <c r="AG505" s="1"/>
  <c r="U505"/>
  <c r="Z505" s="1"/>
  <c r="AH504"/>
  <c r="H1110"/>
  <c r="F1111"/>
  <c r="T1111" s="1"/>
  <c r="S1112" s="1"/>
  <c r="AR1110"/>
  <c r="AL1111"/>
  <c r="AK1111"/>
  <c r="AJ1111"/>
  <c r="BA1111"/>
  <c r="BD1111"/>
  <c r="BF1111" s="1"/>
  <c r="AS1113"/>
  <c r="B1113"/>
  <c r="A1113"/>
  <c r="C1114"/>
  <c r="D1113"/>
  <c r="O1110"/>
  <c r="Y1110" s="1"/>
  <c r="W1110"/>
  <c r="BE1111"/>
  <c r="BG1111" s="1"/>
  <c r="R1111"/>
  <c r="K1111"/>
  <c r="AT1111"/>
  <c r="AW1111"/>
  <c r="AY1111" s="1"/>
  <c r="AX1111"/>
  <c r="AZ1111" s="1"/>
  <c r="AN1112"/>
  <c r="AU1112"/>
  <c r="AO1112"/>
  <c r="AV1112"/>
  <c r="AP1112"/>
  <c r="BC1112"/>
  <c r="Q1112"/>
  <c r="BB1112"/>
  <c r="I1112"/>
  <c r="E1112"/>
  <c r="R1112" s="1"/>
  <c r="AF505" l="1"/>
  <c r="AB505"/>
  <c r="P506" s="1"/>
  <c r="F1112"/>
  <c r="T1112" s="1"/>
  <c r="S1113" s="1"/>
  <c r="H1111"/>
  <c r="O1111"/>
  <c r="Y1111" s="1"/>
  <c r="W1111"/>
  <c r="AR1111"/>
  <c r="BA1112"/>
  <c r="BD1112"/>
  <c r="BF1112" s="1"/>
  <c r="AX1112"/>
  <c r="AZ1112" s="1"/>
  <c r="AO1113"/>
  <c r="AP1113"/>
  <c r="BC1113"/>
  <c r="AV1113"/>
  <c r="Q1113"/>
  <c r="I1113"/>
  <c r="AU1113"/>
  <c r="AN1113"/>
  <c r="BB1113"/>
  <c r="E1113"/>
  <c r="R1113" s="1"/>
  <c r="AL1112"/>
  <c r="AK1112"/>
  <c r="AJ1112"/>
  <c r="BE1112"/>
  <c r="BG1112" s="1"/>
  <c r="AW1112"/>
  <c r="AY1112" s="1"/>
  <c r="K1112"/>
  <c r="AT1112"/>
  <c r="B1114"/>
  <c r="C1115"/>
  <c r="AS1114"/>
  <c r="D1114"/>
  <c r="A1114"/>
  <c r="AA506" l="1"/>
  <c r="Z506"/>
  <c r="AH505"/>
  <c r="U506"/>
  <c r="AB506"/>
  <c r="H1112"/>
  <c r="K1113"/>
  <c r="AT1113"/>
  <c r="AW1113"/>
  <c r="AY1113" s="1"/>
  <c r="BE1113"/>
  <c r="BG1113" s="1"/>
  <c r="AR1112"/>
  <c r="Q1114"/>
  <c r="AV1114"/>
  <c r="BC1114"/>
  <c r="AN1114"/>
  <c r="AP1114"/>
  <c r="AU1114"/>
  <c r="AO1114"/>
  <c r="BB1114"/>
  <c r="I1114"/>
  <c r="E1114"/>
  <c r="O1112"/>
  <c r="Y1112" s="1"/>
  <c r="W1112"/>
  <c r="AX1113"/>
  <c r="AZ1113" s="1"/>
  <c r="A1115"/>
  <c r="B1115"/>
  <c r="AS1115"/>
  <c r="D1115"/>
  <c r="C1116"/>
  <c r="BA1113"/>
  <c r="BD1113"/>
  <c r="BF1113" s="1"/>
  <c r="AL1113"/>
  <c r="AJ1113"/>
  <c r="AK1113"/>
  <c r="F1113"/>
  <c r="AG506" l="1"/>
  <c r="M507"/>
  <c r="L507"/>
  <c r="AF506"/>
  <c r="P507"/>
  <c r="X507" s="1"/>
  <c r="N507"/>
  <c r="AH506"/>
  <c r="U507"/>
  <c r="Z507" s="1"/>
  <c r="O1113"/>
  <c r="Y1113" s="1"/>
  <c r="W1113"/>
  <c r="AL1114"/>
  <c r="AK1114"/>
  <c r="AJ1114"/>
  <c r="BA1114"/>
  <c r="BD1114"/>
  <c r="BF1114" s="1"/>
  <c r="T1113"/>
  <c r="S1114" s="1"/>
  <c r="H1113"/>
  <c r="Q1115"/>
  <c r="AO1115"/>
  <c r="BB1115"/>
  <c r="AU1115"/>
  <c r="AN1115"/>
  <c r="AV1115"/>
  <c r="AP1115"/>
  <c r="I1115"/>
  <c r="BC1115"/>
  <c r="E1115"/>
  <c r="AT1114"/>
  <c r="K1114"/>
  <c r="AW1114"/>
  <c r="AY1114" s="1"/>
  <c r="AX1114"/>
  <c r="AZ1114" s="1"/>
  <c r="C1117"/>
  <c r="D1116"/>
  <c r="AS1116"/>
  <c r="A1116"/>
  <c r="R1115"/>
  <c r="B1116"/>
  <c r="BE1114"/>
  <c r="BG1114" s="1"/>
  <c r="AR1113"/>
  <c r="R1114"/>
  <c r="F1114"/>
  <c r="AF507" l="1"/>
  <c r="AA507"/>
  <c r="AB507"/>
  <c r="T1114"/>
  <c r="S1115" s="1"/>
  <c r="H1114"/>
  <c r="AR1114"/>
  <c r="O1114"/>
  <c r="Y1114" s="1"/>
  <c r="W1114"/>
  <c r="AS1117"/>
  <c r="D1117"/>
  <c r="C1118"/>
  <c r="B1117"/>
  <c r="A1117"/>
  <c r="BE1115"/>
  <c r="BG1115" s="1"/>
  <c r="AL1115"/>
  <c r="AJ1115"/>
  <c r="AK1115"/>
  <c r="AX1115"/>
  <c r="AZ1115" s="1"/>
  <c r="F1115"/>
  <c r="BD1115"/>
  <c r="BF1115" s="1"/>
  <c r="BA1115"/>
  <c r="AP1116"/>
  <c r="I1116"/>
  <c r="BC1116"/>
  <c r="AU1116"/>
  <c r="BB1116"/>
  <c r="AN1116"/>
  <c r="Q1116"/>
  <c r="AV1116"/>
  <c r="AO1116"/>
  <c r="E1116"/>
  <c r="AW1115"/>
  <c r="AY1115" s="1"/>
  <c r="AT1115"/>
  <c r="K1115"/>
  <c r="AG507" l="1"/>
  <c r="P508"/>
  <c r="Z508" s="1"/>
  <c r="AH507"/>
  <c r="U508"/>
  <c r="AA508" s="1"/>
  <c r="AG508" s="1"/>
  <c r="AB508"/>
  <c r="BD1116"/>
  <c r="BF1116" s="1"/>
  <c r="BA1116"/>
  <c r="T1115"/>
  <c r="S1116" s="1"/>
  <c r="H1115"/>
  <c r="C1119"/>
  <c r="B1118"/>
  <c r="D1118"/>
  <c r="AS1118"/>
  <c r="A1118"/>
  <c r="AJ1116"/>
  <c r="AL1116"/>
  <c r="AK1116"/>
  <c r="BE1116"/>
  <c r="BG1116" s="1"/>
  <c r="AR1115"/>
  <c r="F1116"/>
  <c r="R1116"/>
  <c r="O1115"/>
  <c r="Y1115" s="1"/>
  <c r="W1115"/>
  <c r="AX1116"/>
  <c r="AZ1116" s="1"/>
  <c r="AW1116"/>
  <c r="AY1116" s="1"/>
  <c r="AT1116"/>
  <c r="K1116"/>
  <c r="AV1117"/>
  <c r="AO1117"/>
  <c r="AN1117"/>
  <c r="I1117"/>
  <c r="Q1117"/>
  <c r="AP1117"/>
  <c r="BB1117"/>
  <c r="BC1117"/>
  <c r="AU1117"/>
  <c r="E1117"/>
  <c r="AF508" l="1"/>
  <c r="P509"/>
  <c r="AH508"/>
  <c r="U509"/>
  <c r="Z509" s="1"/>
  <c r="AR1116"/>
  <c r="F1117"/>
  <c r="H1117" s="1"/>
  <c r="AL1117"/>
  <c r="AJ1117"/>
  <c r="AK1117"/>
  <c r="AO1118"/>
  <c r="AU1118"/>
  <c r="AN1118"/>
  <c r="BB1118"/>
  <c r="I1118"/>
  <c r="BC1118"/>
  <c r="Q1118"/>
  <c r="AP1118"/>
  <c r="AV1118"/>
  <c r="E1118"/>
  <c r="B1119"/>
  <c r="A1119"/>
  <c r="AS1119" s="1"/>
  <c r="D1119"/>
  <c r="C1120"/>
  <c r="BE1117"/>
  <c r="BG1117" s="1"/>
  <c r="BD1117"/>
  <c r="BF1117" s="1"/>
  <c r="BA1117"/>
  <c r="T1116"/>
  <c r="S1117" s="1"/>
  <c r="H1116"/>
  <c r="O1116"/>
  <c r="Y1116" s="1"/>
  <c r="W1116"/>
  <c r="AW1117"/>
  <c r="AY1117" s="1"/>
  <c r="AT1117"/>
  <c r="K1117"/>
  <c r="AX1117"/>
  <c r="AZ1117" s="1"/>
  <c r="R1117"/>
  <c r="AF509" l="1"/>
  <c r="AA509"/>
  <c r="AB509"/>
  <c r="F1118"/>
  <c r="T1118" s="1"/>
  <c r="S1119"/>
  <c r="T1117"/>
  <c r="S1118" s="1"/>
  <c r="AR1117"/>
  <c r="A1120"/>
  <c r="C1121"/>
  <c r="AS1120"/>
  <c r="D1120"/>
  <c r="B1120"/>
  <c r="BA1118"/>
  <c r="BD1118"/>
  <c r="BF1118" s="1"/>
  <c r="O1117"/>
  <c r="Y1117" s="1"/>
  <c r="W1117"/>
  <c r="AP1119"/>
  <c r="AU1119"/>
  <c r="BC1119"/>
  <c r="BB1119"/>
  <c r="Q1119"/>
  <c r="AN1119"/>
  <c r="AO1119"/>
  <c r="AV1119"/>
  <c r="I1119"/>
  <c r="E1119"/>
  <c r="R1119" s="1"/>
  <c r="AX1118"/>
  <c r="AZ1118" s="1"/>
  <c r="H1118"/>
  <c r="AJ1118"/>
  <c r="AL1118"/>
  <c r="AK1118"/>
  <c r="BE1118"/>
  <c r="BG1118" s="1"/>
  <c r="K1118"/>
  <c r="AW1118"/>
  <c r="AY1118" s="1"/>
  <c r="AT1118"/>
  <c r="R1118"/>
  <c r="AG509" l="1"/>
  <c r="AH509"/>
  <c r="P510"/>
  <c r="F1119"/>
  <c r="T1119" s="1"/>
  <c r="N1119" s="1"/>
  <c r="AR1118"/>
  <c r="O1118"/>
  <c r="Y1118" s="1"/>
  <c r="W1118"/>
  <c r="AX1119"/>
  <c r="AZ1119" s="1"/>
  <c r="BD1119"/>
  <c r="BF1119" s="1"/>
  <c r="BA1119"/>
  <c r="AV1120"/>
  <c r="BB1120"/>
  <c r="AP1120"/>
  <c r="AU1120"/>
  <c r="I1120"/>
  <c r="BC1120"/>
  <c r="AO1120"/>
  <c r="Q1120"/>
  <c r="AN1120"/>
  <c r="E1120"/>
  <c r="R1120" s="1"/>
  <c r="AL1119"/>
  <c r="AJ1119"/>
  <c r="AK1119"/>
  <c r="AT1119"/>
  <c r="AW1119"/>
  <c r="AY1119" s="1"/>
  <c r="K1119"/>
  <c r="G1108"/>
  <c r="G1109" s="1"/>
  <c r="G1110" s="1"/>
  <c r="G1111" s="1"/>
  <c r="G1112" s="1"/>
  <c r="G1113" s="1"/>
  <c r="G1114" s="1"/>
  <c r="G1115" s="1"/>
  <c r="G1116" s="1"/>
  <c r="G1117" s="1"/>
  <c r="G1118" s="1"/>
  <c r="G1119" s="1"/>
  <c r="A1121"/>
  <c r="B1121"/>
  <c r="AS1121"/>
  <c r="D1121"/>
  <c r="C1122"/>
  <c r="S1120"/>
  <c r="BE1119"/>
  <c r="BG1119" s="1"/>
  <c r="U510" l="1"/>
  <c r="AB510" s="1"/>
  <c r="Z510"/>
  <c r="AA510"/>
  <c r="M1119"/>
  <c r="L1119"/>
  <c r="H1119"/>
  <c r="F1120"/>
  <c r="H1120" s="1"/>
  <c r="AX1120"/>
  <c r="AZ1120" s="1"/>
  <c r="AS1122"/>
  <c r="D1122"/>
  <c r="B1122"/>
  <c r="C1123"/>
  <c r="A1122"/>
  <c r="AU1121"/>
  <c r="AO1121"/>
  <c r="BC1121"/>
  <c r="AV1121"/>
  <c r="AN1121"/>
  <c r="I1121"/>
  <c r="Q1121"/>
  <c r="AP1121"/>
  <c r="BB1121"/>
  <c r="E1121"/>
  <c r="AL1120"/>
  <c r="AJ1120"/>
  <c r="AK1120"/>
  <c r="BE1120"/>
  <c r="BG1120" s="1"/>
  <c r="BD1120"/>
  <c r="BF1120" s="1"/>
  <c r="BA1120"/>
  <c r="AR1119"/>
  <c r="O1119"/>
  <c r="Y1119" s="1"/>
  <c r="W1119"/>
  <c r="V1119"/>
  <c r="K1120"/>
  <c r="AT1120"/>
  <c r="AW1120"/>
  <c r="AY1120" s="1"/>
  <c r="AH510" l="1"/>
  <c r="AF510"/>
  <c r="P511"/>
  <c r="U511" s="1"/>
  <c r="AB511" s="1"/>
  <c r="AH511" s="1"/>
  <c r="Z511"/>
  <c r="AG510"/>
  <c r="AA511"/>
  <c r="AG511" s="1"/>
  <c r="T1120"/>
  <c r="S1121" s="1"/>
  <c r="AR1120"/>
  <c r="BA1121"/>
  <c r="BD1121"/>
  <c r="BF1121" s="1"/>
  <c r="AY1121"/>
  <c r="AW1121"/>
  <c r="AT1121"/>
  <c r="K1121"/>
  <c r="AL1121"/>
  <c r="AJ1121"/>
  <c r="AK1121"/>
  <c r="O1120"/>
  <c r="W1120"/>
  <c r="BE1121"/>
  <c r="BG1121" s="1"/>
  <c r="A1123"/>
  <c r="AS1123"/>
  <c r="C1124"/>
  <c r="B1123"/>
  <c r="D1123"/>
  <c r="AX1121"/>
  <c r="AZ1121" s="1"/>
  <c r="AP1122"/>
  <c r="BC1122"/>
  <c r="Q1122"/>
  <c r="AN1122"/>
  <c r="I1122"/>
  <c r="AV1122"/>
  <c r="AO1122"/>
  <c r="AU1122"/>
  <c r="BB1122"/>
  <c r="E1122"/>
  <c r="F1121"/>
  <c r="R1121"/>
  <c r="P512" l="1"/>
  <c r="AF511"/>
  <c r="BD1122"/>
  <c r="BF1122" s="1"/>
  <c r="BA1122"/>
  <c r="K1122"/>
  <c r="AT1122"/>
  <c r="AW1122"/>
  <c r="AY1122" s="1"/>
  <c r="O1121"/>
  <c r="W1121"/>
  <c r="BC1123"/>
  <c r="AO1123"/>
  <c r="AN1123"/>
  <c r="AV1123"/>
  <c r="AP1123"/>
  <c r="BB1123"/>
  <c r="Q1123"/>
  <c r="I1123"/>
  <c r="AU1123"/>
  <c r="E1123"/>
  <c r="R1123" s="1"/>
  <c r="AK1122"/>
  <c r="AL1122"/>
  <c r="AJ1122"/>
  <c r="AX1122"/>
  <c r="AZ1122" s="1"/>
  <c r="BE1122"/>
  <c r="BG1122" s="1"/>
  <c r="R1122"/>
  <c r="T1121"/>
  <c r="S1122" s="1"/>
  <c r="H1121"/>
  <c r="D1124"/>
  <c r="AS1124"/>
  <c r="B1124"/>
  <c r="C1125"/>
  <c r="A1124"/>
  <c r="AR1121"/>
  <c r="F1122"/>
  <c r="Y1120"/>
  <c r="U512" l="1"/>
  <c r="Z512" s="1"/>
  <c r="F1123"/>
  <c r="T1123" s="1"/>
  <c r="Y1121"/>
  <c r="D1125"/>
  <c r="C1126"/>
  <c r="A1125"/>
  <c r="B1125"/>
  <c r="AS1125"/>
  <c r="AR1122"/>
  <c r="AK1123"/>
  <c r="AL1123"/>
  <c r="AJ1123"/>
  <c r="BD1123"/>
  <c r="BF1123" s="1"/>
  <c r="BA1123"/>
  <c r="AX1123"/>
  <c r="AZ1123" s="1"/>
  <c r="T1122"/>
  <c r="S1123" s="1"/>
  <c r="H1122"/>
  <c r="AP1124"/>
  <c r="BC1124"/>
  <c r="AN1124"/>
  <c r="BB1124"/>
  <c r="Q1124"/>
  <c r="AU1124"/>
  <c r="AO1124"/>
  <c r="AV1124"/>
  <c r="I1124"/>
  <c r="E1124"/>
  <c r="R1124" s="1"/>
  <c r="AT1123"/>
  <c r="K1123"/>
  <c r="AW1123"/>
  <c r="AY1123" s="1"/>
  <c r="BE1123"/>
  <c r="BG1123" s="1"/>
  <c r="O1122"/>
  <c r="W1122"/>
  <c r="S1124"/>
  <c r="AF512" l="1"/>
  <c r="AA512"/>
  <c r="P513" s="1"/>
  <c r="Y1122"/>
  <c r="AB512"/>
  <c r="F1124"/>
  <c r="T1124" s="1"/>
  <c r="S1125" s="1"/>
  <c r="H1123"/>
  <c r="AR1123"/>
  <c r="O1123"/>
  <c r="Y1123" s="1"/>
  <c r="W1123"/>
  <c r="AX1124"/>
  <c r="AZ1124" s="1"/>
  <c r="BA1124"/>
  <c r="BD1124"/>
  <c r="BF1124" s="1"/>
  <c r="AL1124"/>
  <c r="AJ1124"/>
  <c r="AK1124"/>
  <c r="AW1124"/>
  <c r="AY1124" s="1"/>
  <c r="K1124"/>
  <c r="AT1124"/>
  <c r="BE1124"/>
  <c r="BG1124" s="1"/>
  <c r="A1126"/>
  <c r="AS1126"/>
  <c r="D1126"/>
  <c r="B1126"/>
  <c r="C1127"/>
  <c r="Q1125"/>
  <c r="AN1125"/>
  <c r="AU1125"/>
  <c r="AP1125"/>
  <c r="BC1125"/>
  <c r="AV1125"/>
  <c r="AO1125"/>
  <c r="BB1125"/>
  <c r="I1125"/>
  <c r="E1125"/>
  <c r="R1125" s="1"/>
  <c r="U513" l="1"/>
  <c r="Z513"/>
  <c r="AG512"/>
  <c r="AA513"/>
  <c r="AH512"/>
  <c r="AB513"/>
  <c r="AH513" s="1"/>
  <c r="H1124"/>
  <c r="AR1124"/>
  <c r="BD1125"/>
  <c r="BF1125" s="1"/>
  <c r="BA1125"/>
  <c r="BE1125"/>
  <c r="BG1125" s="1"/>
  <c r="O1124"/>
  <c r="Y1124" s="1"/>
  <c r="W1124"/>
  <c r="AL1125"/>
  <c r="AK1125"/>
  <c r="AJ1125"/>
  <c r="AX1125"/>
  <c r="AZ1125" s="1"/>
  <c r="AS1127"/>
  <c r="C1128"/>
  <c r="D1127"/>
  <c r="B1127"/>
  <c r="A1127"/>
  <c r="AO1126"/>
  <c r="BB1126"/>
  <c r="I1126"/>
  <c r="Q1126"/>
  <c r="AV1126"/>
  <c r="AP1126"/>
  <c r="AN1126"/>
  <c r="BC1126"/>
  <c r="AU1126"/>
  <c r="E1126"/>
  <c r="R1126" s="1"/>
  <c r="K1125"/>
  <c r="AT1125"/>
  <c r="AW1125"/>
  <c r="AY1125" s="1"/>
  <c r="F1125"/>
  <c r="AG513" l="1"/>
  <c r="P514"/>
  <c r="AF513"/>
  <c r="AR1125"/>
  <c r="O1125"/>
  <c r="Y1125" s="1"/>
  <c r="W1125"/>
  <c r="BE1126"/>
  <c r="BG1126" s="1"/>
  <c r="AP1127"/>
  <c r="AO1127"/>
  <c r="BB1127"/>
  <c r="AU1127"/>
  <c r="I1127"/>
  <c r="Q1127"/>
  <c r="AV1127"/>
  <c r="BC1127"/>
  <c r="AN1127"/>
  <c r="E1127"/>
  <c r="R1127" s="1"/>
  <c r="B1128"/>
  <c r="D1128"/>
  <c r="C1129"/>
  <c r="A1128"/>
  <c r="AS1128"/>
  <c r="BD1126"/>
  <c r="BF1126" s="1"/>
  <c r="BA1126"/>
  <c r="T1125"/>
  <c r="S1126" s="1"/>
  <c r="H1125"/>
  <c r="AW1126"/>
  <c r="AY1126" s="1"/>
  <c r="AT1126"/>
  <c r="K1126"/>
  <c r="AX1126"/>
  <c r="AZ1126" s="1"/>
  <c r="F1126"/>
  <c r="AK1126"/>
  <c r="AJ1126"/>
  <c r="AL1126"/>
  <c r="U514" l="1"/>
  <c r="AB514"/>
  <c r="F1127"/>
  <c r="T1127" s="1"/>
  <c r="AR1126"/>
  <c r="T1126"/>
  <c r="S1127" s="1"/>
  <c r="H1126"/>
  <c r="I1128"/>
  <c r="BC1128"/>
  <c r="Q1128"/>
  <c r="AN1128"/>
  <c r="AP1128"/>
  <c r="AO1128"/>
  <c r="BB1128"/>
  <c r="AU1128"/>
  <c r="AV1128"/>
  <c r="E1128"/>
  <c r="R1128" s="1"/>
  <c r="AX1127"/>
  <c r="AZ1127" s="1"/>
  <c r="BD1127"/>
  <c r="BF1127" s="1"/>
  <c r="BA1127"/>
  <c r="S1128"/>
  <c r="O1126"/>
  <c r="Y1126" s="1"/>
  <c r="W1126"/>
  <c r="B1129"/>
  <c r="A1129"/>
  <c r="C1130"/>
  <c r="D1129"/>
  <c r="AS1129"/>
  <c r="AK1127"/>
  <c r="AL1127"/>
  <c r="AJ1127"/>
  <c r="BE1127"/>
  <c r="BG1127" s="1"/>
  <c r="AT1127"/>
  <c r="AW1127"/>
  <c r="AY1127" s="1"/>
  <c r="K1127"/>
  <c r="AA514" l="1"/>
  <c r="Z514"/>
  <c r="AH514"/>
  <c r="H1127"/>
  <c r="AR1127"/>
  <c r="O1127"/>
  <c r="Y1127" s="1"/>
  <c r="W1127"/>
  <c r="AX1128"/>
  <c r="AZ1128" s="1"/>
  <c r="AW1128"/>
  <c r="AY1128" s="1"/>
  <c r="AT1128"/>
  <c r="K1128"/>
  <c r="Q1129"/>
  <c r="AV1129"/>
  <c r="BC1129"/>
  <c r="BB1129"/>
  <c r="I1129"/>
  <c r="AP1129"/>
  <c r="AN1129"/>
  <c r="AU1129"/>
  <c r="AO1129"/>
  <c r="E1129"/>
  <c r="R1129" s="1"/>
  <c r="AJ1128"/>
  <c r="AL1128"/>
  <c r="AK1128"/>
  <c r="BE1128"/>
  <c r="BG1128" s="1"/>
  <c r="B1130"/>
  <c r="D1130"/>
  <c r="AS1130"/>
  <c r="A1130"/>
  <c r="C1131"/>
  <c r="BA1128"/>
  <c r="BD1128"/>
  <c r="BF1128" s="1"/>
  <c r="F1128"/>
  <c r="AG514" l="1"/>
  <c r="P515"/>
  <c r="U515" s="1"/>
  <c r="AB515" s="1"/>
  <c r="AF514"/>
  <c r="Z515"/>
  <c r="Q1130"/>
  <c r="BC1130"/>
  <c r="BB1130"/>
  <c r="AV1130"/>
  <c r="AO1130"/>
  <c r="AP1130"/>
  <c r="I1130"/>
  <c r="AU1130"/>
  <c r="AN1130"/>
  <c r="E1130"/>
  <c r="BE1129"/>
  <c r="BG1129" s="1"/>
  <c r="AW1129"/>
  <c r="AY1129" s="1"/>
  <c r="AT1129"/>
  <c r="K1129"/>
  <c r="AL1129"/>
  <c r="AK1129"/>
  <c r="AJ1129"/>
  <c r="AX1129"/>
  <c r="AZ1129" s="1"/>
  <c r="O1128"/>
  <c r="Y1128" s="1"/>
  <c r="W1128"/>
  <c r="BD1129"/>
  <c r="BF1129" s="1"/>
  <c r="BA1129"/>
  <c r="AR1128"/>
  <c r="F1129"/>
  <c r="T1128"/>
  <c r="S1129" s="1"/>
  <c r="H1128"/>
  <c r="A1131"/>
  <c r="AS1131" s="1"/>
  <c r="C1132"/>
  <c r="R1130"/>
  <c r="B1131"/>
  <c r="D1131"/>
  <c r="AF515" l="1"/>
  <c r="AA515"/>
  <c r="P516" s="1"/>
  <c r="AH515"/>
  <c r="AR1129"/>
  <c r="C1133"/>
  <c r="D1132"/>
  <c r="AS1132"/>
  <c r="B1132"/>
  <c r="A1132"/>
  <c r="AT1130"/>
  <c r="K1130"/>
  <c r="AW1130"/>
  <c r="AY1130" s="1"/>
  <c r="AX1130"/>
  <c r="AZ1130" s="1"/>
  <c r="T1129"/>
  <c r="S1130" s="1"/>
  <c r="H1129"/>
  <c r="AP1131"/>
  <c r="AO1131"/>
  <c r="AN1131"/>
  <c r="BB1131"/>
  <c r="AU1131"/>
  <c r="Q1131"/>
  <c r="BC1131"/>
  <c r="I1131"/>
  <c r="AV1131"/>
  <c r="E1131"/>
  <c r="R1131" s="1"/>
  <c r="F1130"/>
  <c r="AJ1130"/>
  <c r="AK1130"/>
  <c r="AL1130"/>
  <c r="BE1130"/>
  <c r="BG1130" s="1"/>
  <c r="O1129"/>
  <c r="Y1129" s="1"/>
  <c r="W1129"/>
  <c r="BA1130"/>
  <c r="BD1130"/>
  <c r="BF1130" s="1"/>
  <c r="U516" l="1"/>
  <c r="Z516"/>
  <c r="AB516"/>
  <c r="AG515"/>
  <c r="AA516"/>
  <c r="AG516" s="1"/>
  <c r="AR1130"/>
  <c r="BA1131"/>
  <c r="BD1131"/>
  <c r="BF1131" s="1"/>
  <c r="O1130"/>
  <c r="Y1130" s="1"/>
  <c r="W1130"/>
  <c r="G1120"/>
  <c r="G1121" s="1"/>
  <c r="G1122" s="1"/>
  <c r="G1123" s="1"/>
  <c r="G1124" s="1"/>
  <c r="G1125" s="1"/>
  <c r="G1126" s="1"/>
  <c r="G1127" s="1"/>
  <c r="G1128" s="1"/>
  <c r="G1129" s="1"/>
  <c r="G1130" s="1"/>
  <c r="G1131" s="1"/>
  <c r="A1133"/>
  <c r="B1133"/>
  <c r="C1134"/>
  <c r="D1133"/>
  <c r="AS1133"/>
  <c r="AX1131"/>
  <c r="AZ1131" s="1"/>
  <c r="K1131"/>
  <c r="AW1131"/>
  <c r="AY1131" s="1"/>
  <c r="AT1131"/>
  <c r="AJ1131"/>
  <c r="AL1131"/>
  <c r="AK1131"/>
  <c r="AO1132"/>
  <c r="AV1132"/>
  <c r="AP1132"/>
  <c r="BC1132"/>
  <c r="AU1132"/>
  <c r="BB1132"/>
  <c r="I1132"/>
  <c r="AN1132"/>
  <c r="Q1132"/>
  <c r="E1132"/>
  <c r="R1132" s="1"/>
  <c r="T1130"/>
  <c r="S1131" s="1"/>
  <c r="H1130"/>
  <c r="BE1131"/>
  <c r="BG1131" s="1"/>
  <c r="F1131"/>
  <c r="AF516" l="1"/>
  <c r="P517"/>
  <c r="AH516"/>
  <c r="AR1131"/>
  <c r="BA1132"/>
  <c r="BD1132"/>
  <c r="BF1132" s="1"/>
  <c r="BE1132"/>
  <c r="BG1132" s="1"/>
  <c r="AW1132"/>
  <c r="AY1132" s="1"/>
  <c r="AT1132"/>
  <c r="K1132"/>
  <c r="F1132"/>
  <c r="O1131"/>
  <c r="Y1131" s="1"/>
  <c r="W1131"/>
  <c r="V1131"/>
  <c r="T1131"/>
  <c r="H1131"/>
  <c r="AJ1132"/>
  <c r="AK1132"/>
  <c r="AL1132"/>
  <c r="AX1132"/>
  <c r="AZ1132" s="1"/>
  <c r="A1134"/>
  <c r="D1134"/>
  <c r="AS1134"/>
  <c r="B1134"/>
  <c r="C1135"/>
  <c r="Q1133"/>
  <c r="BB1133"/>
  <c r="AU1133"/>
  <c r="BC1133"/>
  <c r="AV1133"/>
  <c r="AN1133"/>
  <c r="I1133"/>
  <c r="AP1133"/>
  <c r="AO1133"/>
  <c r="E1133"/>
  <c r="R1133" s="1"/>
  <c r="U517" l="1"/>
  <c r="AA517"/>
  <c r="F1133"/>
  <c r="H1133" s="1"/>
  <c r="AT1133"/>
  <c r="AW1133"/>
  <c r="AY1133" s="1"/>
  <c r="K1133"/>
  <c r="AP1134"/>
  <c r="AU1134"/>
  <c r="AO1134"/>
  <c r="AV1134"/>
  <c r="BC1134"/>
  <c r="AN1134"/>
  <c r="BB1134"/>
  <c r="Q1134"/>
  <c r="I1134"/>
  <c r="E1134"/>
  <c r="R1134" s="1"/>
  <c r="O1132"/>
  <c r="Y1132" s="1"/>
  <c r="W1132"/>
  <c r="BE1133"/>
  <c r="BG1133" s="1"/>
  <c r="A1135"/>
  <c r="C1136"/>
  <c r="D1135"/>
  <c r="F1134" s="1"/>
  <c r="T1134" s="1"/>
  <c r="B1135"/>
  <c r="AS1135"/>
  <c r="M1131"/>
  <c r="N1131"/>
  <c r="L1131"/>
  <c r="S1132"/>
  <c r="AX1133"/>
  <c r="AZ1133" s="1"/>
  <c r="AJ1133"/>
  <c r="AK1133"/>
  <c r="AL1133"/>
  <c r="BA1133"/>
  <c r="BD1133"/>
  <c r="BF1133" s="1"/>
  <c r="T1132"/>
  <c r="S1133" s="1"/>
  <c r="H1132"/>
  <c r="AR1132"/>
  <c r="AB517" l="1"/>
  <c r="Z517"/>
  <c r="AG517"/>
  <c r="S1135"/>
  <c r="AR1133"/>
  <c r="T1133"/>
  <c r="S1134" s="1"/>
  <c r="D1136"/>
  <c r="B1136"/>
  <c r="AS1136"/>
  <c r="A1136"/>
  <c r="C1137"/>
  <c r="AJ1134"/>
  <c r="AK1134"/>
  <c r="AL1134"/>
  <c r="AT1134"/>
  <c r="K1134"/>
  <c r="AW1134"/>
  <c r="AY1134" s="1"/>
  <c r="BA1134"/>
  <c r="BD1134"/>
  <c r="BF1134" s="1"/>
  <c r="AX1134"/>
  <c r="AZ1134" s="1"/>
  <c r="O1133"/>
  <c r="Y1133" s="1"/>
  <c r="W1133"/>
  <c r="H1134"/>
  <c r="AP1135"/>
  <c r="BB1135"/>
  <c r="AO1135"/>
  <c r="BC1135"/>
  <c r="AV1135"/>
  <c r="I1135"/>
  <c r="AN1135"/>
  <c r="AU1135"/>
  <c r="Q1135"/>
  <c r="E1135"/>
  <c r="BE1134"/>
  <c r="BG1134" s="1"/>
  <c r="AH517" l="1"/>
  <c r="P518"/>
  <c r="U518" s="1"/>
  <c r="Z518" s="1"/>
  <c r="AF517"/>
  <c r="F1135"/>
  <c r="T1135" s="1"/>
  <c r="S1136" s="1"/>
  <c r="AR1134"/>
  <c r="AW1135"/>
  <c r="AY1135" s="1"/>
  <c r="K1135"/>
  <c r="AT1135"/>
  <c r="BE1135"/>
  <c r="BG1135" s="1"/>
  <c r="AL1135"/>
  <c r="AJ1135"/>
  <c r="AK1135"/>
  <c r="BA1135"/>
  <c r="BD1135"/>
  <c r="BF1135" s="1"/>
  <c r="BB1136"/>
  <c r="I1136"/>
  <c r="AO1136"/>
  <c r="AP1136"/>
  <c r="AU1136"/>
  <c r="Q1136"/>
  <c r="BC1136"/>
  <c r="AV1136"/>
  <c r="AN1136"/>
  <c r="E1136"/>
  <c r="R1136" s="1"/>
  <c r="H1135"/>
  <c r="R1135"/>
  <c r="C1138"/>
  <c r="B1137"/>
  <c r="A1137"/>
  <c r="AS1137"/>
  <c r="D1137"/>
  <c r="AX1135"/>
  <c r="AZ1135" s="1"/>
  <c r="O1134"/>
  <c r="Y1134" s="1"/>
  <c r="W1134"/>
  <c r="L519" l="1"/>
  <c r="AF518"/>
  <c r="AA518"/>
  <c r="P519" s="1"/>
  <c r="AB518"/>
  <c r="F1136"/>
  <c r="T1136" s="1"/>
  <c r="S1137" s="1"/>
  <c r="AR1135"/>
  <c r="BC1137"/>
  <c r="AP1137"/>
  <c r="AO1137"/>
  <c r="Q1137"/>
  <c r="I1137"/>
  <c r="AU1137"/>
  <c r="AV1137"/>
  <c r="BB1137"/>
  <c r="AN1137"/>
  <c r="E1137"/>
  <c r="R1137" s="1"/>
  <c r="AX1136"/>
  <c r="AZ1136" s="1"/>
  <c r="AW1136"/>
  <c r="AY1136" s="1"/>
  <c r="AT1136"/>
  <c r="K1136"/>
  <c r="BD1136"/>
  <c r="BF1136" s="1"/>
  <c r="BA1136"/>
  <c r="H1136"/>
  <c r="O1135"/>
  <c r="Y1135" s="1"/>
  <c r="W1135"/>
  <c r="A1138"/>
  <c r="B1138"/>
  <c r="C1139"/>
  <c r="D1138"/>
  <c r="AS1138"/>
  <c r="AJ1136"/>
  <c r="AK1136"/>
  <c r="AL1136"/>
  <c r="BE1136"/>
  <c r="BG1136" s="1"/>
  <c r="X519" l="1"/>
  <c r="Z519"/>
  <c r="M519"/>
  <c r="AG518"/>
  <c r="AA519"/>
  <c r="AG519" s="1"/>
  <c r="N519"/>
  <c r="AH518"/>
  <c r="U519"/>
  <c r="AB519"/>
  <c r="Q1138"/>
  <c r="AV1138"/>
  <c r="AP1138"/>
  <c r="AU1138"/>
  <c r="AN1138"/>
  <c r="BB1138"/>
  <c r="I1138"/>
  <c r="AO1138"/>
  <c r="BC1138"/>
  <c r="E1138"/>
  <c r="BA1137"/>
  <c r="BD1137"/>
  <c r="BF1137" s="1"/>
  <c r="BE1137"/>
  <c r="BG1137" s="1"/>
  <c r="AS1139"/>
  <c r="C1140"/>
  <c r="R1138"/>
  <c r="B1139"/>
  <c r="A1139"/>
  <c r="D1139"/>
  <c r="AL1137"/>
  <c r="AK1137"/>
  <c r="AJ1137"/>
  <c r="K1137"/>
  <c r="AW1137"/>
  <c r="AY1137" s="1"/>
  <c r="AT1137"/>
  <c r="AR1136"/>
  <c r="F1137"/>
  <c r="O1136"/>
  <c r="Y1136" s="1"/>
  <c r="W1136"/>
  <c r="AX1137"/>
  <c r="AZ1137" s="1"/>
  <c r="AF519" l="1"/>
  <c r="P520"/>
  <c r="Z520"/>
  <c r="AH519"/>
  <c r="U520"/>
  <c r="AA520"/>
  <c r="AB520"/>
  <c r="AT1138"/>
  <c r="AW1138"/>
  <c r="AY1138" s="1"/>
  <c r="K1138"/>
  <c r="B1140"/>
  <c r="D1140"/>
  <c r="C1141"/>
  <c r="AS1140"/>
  <c r="A1140"/>
  <c r="BE1138"/>
  <c r="BG1138" s="1"/>
  <c r="T1137"/>
  <c r="S1138" s="1"/>
  <c r="H1137"/>
  <c r="AU1139"/>
  <c r="BB1139"/>
  <c r="AO1139"/>
  <c r="I1139"/>
  <c r="AN1139"/>
  <c r="AV1139"/>
  <c r="Q1139"/>
  <c r="AP1139"/>
  <c r="BC1139"/>
  <c r="E1139"/>
  <c r="R1139" s="1"/>
  <c r="O1137"/>
  <c r="Y1137" s="1"/>
  <c r="W1137"/>
  <c r="AJ1138"/>
  <c r="AL1138"/>
  <c r="AK1138"/>
  <c r="BD1138"/>
  <c r="BF1138" s="1"/>
  <c r="BA1138"/>
  <c r="AX1138"/>
  <c r="AZ1138" s="1"/>
  <c r="AR1137"/>
  <c r="F1138"/>
  <c r="AG520" l="1"/>
  <c r="P521"/>
  <c r="AF520"/>
  <c r="AA521"/>
  <c r="AG521" s="1"/>
  <c r="AH520"/>
  <c r="U521"/>
  <c r="Z521" s="1"/>
  <c r="AB521"/>
  <c r="AH521" s="1"/>
  <c r="F1139"/>
  <c r="H1139" s="1"/>
  <c r="AR1138"/>
  <c r="AJ1139"/>
  <c r="AL1139"/>
  <c r="AK1139"/>
  <c r="AX1139"/>
  <c r="AZ1139" s="1"/>
  <c r="BD1139"/>
  <c r="BF1139" s="1"/>
  <c r="BA1139"/>
  <c r="C1142"/>
  <c r="B1141"/>
  <c r="AS1141"/>
  <c r="A1141"/>
  <c r="D1141"/>
  <c r="O1138"/>
  <c r="Y1138" s="1"/>
  <c r="W1138"/>
  <c r="T1138"/>
  <c r="S1139" s="1"/>
  <c r="H1138"/>
  <c r="BE1139"/>
  <c r="BG1139" s="1"/>
  <c r="AW1139"/>
  <c r="AY1139" s="1"/>
  <c r="K1139"/>
  <c r="AT1139"/>
  <c r="BB1140"/>
  <c r="BC1140"/>
  <c r="I1140"/>
  <c r="AN1140"/>
  <c r="AU1140"/>
  <c r="AV1140"/>
  <c r="Q1140"/>
  <c r="AO1140"/>
  <c r="AP1140"/>
  <c r="E1140"/>
  <c r="AF521" l="1"/>
  <c r="P522"/>
  <c r="F1140"/>
  <c r="T1140" s="1"/>
  <c r="S1141" s="1"/>
  <c r="T1139"/>
  <c r="S1140" s="1"/>
  <c r="AR1139"/>
  <c r="AT1140"/>
  <c r="K1140"/>
  <c r="AW1140"/>
  <c r="AY1140" s="1"/>
  <c r="BD1140"/>
  <c r="BF1140" s="1"/>
  <c r="BA1140"/>
  <c r="AL1140"/>
  <c r="AK1140"/>
  <c r="AJ1140"/>
  <c r="AX1140"/>
  <c r="AZ1140" s="1"/>
  <c r="BE1140"/>
  <c r="BG1140" s="1"/>
  <c r="O1139"/>
  <c r="Y1139" s="1"/>
  <c r="W1139"/>
  <c r="AU1141"/>
  <c r="Q1141"/>
  <c r="AV1141"/>
  <c r="BB1141"/>
  <c r="AO1141"/>
  <c r="AN1141"/>
  <c r="I1141"/>
  <c r="BC1141"/>
  <c r="AP1141"/>
  <c r="E1141"/>
  <c r="R1141" s="1"/>
  <c r="D1142"/>
  <c r="B1142"/>
  <c r="A1142"/>
  <c r="AS1142"/>
  <c r="C1143"/>
  <c r="R1140"/>
  <c r="U522" l="1"/>
  <c r="AA522"/>
  <c r="H1140"/>
  <c r="F1141"/>
  <c r="H1141" s="1"/>
  <c r="AR1140"/>
  <c r="AN1142"/>
  <c r="AV1142"/>
  <c r="AU1142"/>
  <c r="BB1142"/>
  <c r="I1142"/>
  <c r="AP1142"/>
  <c r="AO1142"/>
  <c r="Q1142"/>
  <c r="BC1142"/>
  <c r="E1142"/>
  <c r="R1142" s="1"/>
  <c r="AW1141"/>
  <c r="AY1141" s="1"/>
  <c r="K1141"/>
  <c r="AT1141"/>
  <c r="AK1141"/>
  <c r="AL1141"/>
  <c r="AJ1141"/>
  <c r="D1143"/>
  <c r="B1143"/>
  <c r="C1144"/>
  <c r="A1143"/>
  <c r="AS1143" s="1"/>
  <c r="AX1141"/>
  <c r="AZ1141" s="1"/>
  <c r="O1140"/>
  <c r="Y1140" s="1"/>
  <c r="W1140"/>
  <c r="BE1141"/>
  <c r="BG1141" s="1"/>
  <c r="BD1141"/>
  <c r="BF1141" s="1"/>
  <c r="BA1141"/>
  <c r="AB522" l="1"/>
  <c r="Z522"/>
  <c r="AG522"/>
  <c r="T1141"/>
  <c r="S1142" s="1"/>
  <c r="O1141"/>
  <c r="Y1141" s="1"/>
  <c r="W1141"/>
  <c r="BA1142"/>
  <c r="BD1142"/>
  <c r="BF1142" s="1"/>
  <c r="AJ1142"/>
  <c r="AK1142"/>
  <c r="AL1142"/>
  <c r="AX1142"/>
  <c r="AZ1142" s="1"/>
  <c r="AR1141"/>
  <c r="C1145"/>
  <c r="AS1144"/>
  <c r="A1144"/>
  <c r="D1144"/>
  <c r="B1144"/>
  <c r="BE1142"/>
  <c r="BG1142" s="1"/>
  <c r="I1143"/>
  <c r="AV1143"/>
  <c r="BB1143"/>
  <c r="AP1143"/>
  <c r="AU1143"/>
  <c r="AN1143"/>
  <c r="BC1143"/>
  <c r="Q1143"/>
  <c r="AO1143"/>
  <c r="E1143"/>
  <c r="AW1142"/>
  <c r="AY1142" s="1"/>
  <c r="AT1142"/>
  <c r="K1142"/>
  <c r="F1142"/>
  <c r="AH522" l="1"/>
  <c r="P523"/>
  <c r="AF522"/>
  <c r="AL1143"/>
  <c r="AK1143"/>
  <c r="AJ1143"/>
  <c r="G1132"/>
  <c r="G1133" s="1"/>
  <c r="G1134" s="1"/>
  <c r="G1135" s="1"/>
  <c r="G1136" s="1"/>
  <c r="G1137" s="1"/>
  <c r="G1138" s="1"/>
  <c r="G1139" s="1"/>
  <c r="G1140" s="1"/>
  <c r="G1141" s="1"/>
  <c r="G1142" s="1"/>
  <c r="G1143" s="1"/>
  <c r="AR1142"/>
  <c r="T1142"/>
  <c r="S1143" s="1"/>
  <c r="H1142"/>
  <c r="F1143"/>
  <c r="O1142"/>
  <c r="Y1142" s="1"/>
  <c r="W1142"/>
  <c r="AX1143"/>
  <c r="AZ1143" s="1"/>
  <c r="BE1143"/>
  <c r="BG1143" s="1"/>
  <c r="BD1143"/>
  <c r="BF1143" s="1"/>
  <c r="BA1143"/>
  <c r="AV1144"/>
  <c r="I1144"/>
  <c r="AP1144"/>
  <c r="Q1144"/>
  <c r="AO1144"/>
  <c r="BB1144"/>
  <c r="AN1144"/>
  <c r="BC1144"/>
  <c r="AU1144"/>
  <c r="E1144"/>
  <c r="R1144" s="1"/>
  <c r="AW1143"/>
  <c r="AY1143" s="1"/>
  <c r="AT1143"/>
  <c r="K1143"/>
  <c r="C1146"/>
  <c r="B1145"/>
  <c r="AS1145"/>
  <c r="D1145"/>
  <c r="A1145"/>
  <c r="R1143"/>
  <c r="AA523" l="1"/>
  <c r="U523"/>
  <c r="AR1143"/>
  <c r="BD1144"/>
  <c r="BF1144" s="1"/>
  <c r="BA1144"/>
  <c r="T1143"/>
  <c r="H1143"/>
  <c r="O1143"/>
  <c r="Y1143" s="1"/>
  <c r="W1143"/>
  <c r="V1143"/>
  <c r="AL1144"/>
  <c r="AJ1144"/>
  <c r="AK1144"/>
  <c r="Q1145"/>
  <c r="I1145"/>
  <c r="BC1145"/>
  <c r="AN1145"/>
  <c r="BB1145"/>
  <c r="AV1145"/>
  <c r="AP1145"/>
  <c r="AU1145"/>
  <c r="AO1145"/>
  <c r="E1145"/>
  <c r="R1145" s="1"/>
  <c r="D1146"/>
  <c r="B1146"/>
  <c r="C1147"/>
  <c r="A1146"/>
  <c r="AS1146"/>
  <c r="K1144"/>
  <c r="AW1144"/>
  <c r="AY1144" s="1"/>
  <c r="AT1144"/>
  <c r="AX1144"/>
  <c r="AZ1144" s="1"/>
  <c r="BE1144"/>
  <c r="BG1144" s="1"/>
  <c r="F1144"/>
  <c r="AG523" l="1"/>
  <c r="AB523"/>
  <c r="Z523"/>
  <c r="F1145"/>
  <c r="T1145" s="1"/>
  <c r="AR1144"/>
  <c r="BE1145"/>
  <c r="BG1145" s="1"/>
  <c r="AT1145"/>
  <c r="AW1145"/>
  <c r="AY1145" s="1"/>
  <c r="K1145"/>
  <c r="AS1147"/>
  <c r="C1148"/>
  <c r="D1147"/>
  <c r="A1147"/>
  <c r="B1147"/>
  <c r="BD1145"/>
  <c r="BF1145" s="1"/>
  <c r="BA1145"/>
  <c r="L1143"/>
  <c r="M1143"/>
  <c r="N1143"/>
  <c r="S1144"/>
  <c r="O1144"/>
  <c r="Y1144" s="1"/>
  <c r="W1144"/>
  <c r="T1144"/>
  <c r="S1145" s="1"/>
  <c r="H1144"/>
  <c r="AN1146"/>
  <c r="AP1146"/>
  <c r="AO1146"/>
  <c r="BB1146"/>
  <c r="AV1146"/>
  <c r="AU1146"/>
  <c r="BC1146"/>
  <c r="Q1146"/>
  <c r="I1146"/>
  <c r="E1146"/>
  <c r="R1146" s="1"/>
  <c r="AL1145"/>
  <c r="AK1145"/>
  <c r="AJ1145"/>
  <c r="AX1145"/>
  <c r="AZ1145" s="1"/>
  <c r="P524" l="1"/>
  <c r="AF523"/>
  <c r="AH523"/>
  <c r="U524"/>
  <c r="Z524" s="1"/>
  <c r="AB524"/>
  <c r="S1146"/>
  <c r="H1145"/>
  <c r="AR1145"/>
  <c r="AX1146"/>
  <c r="AZ1146" s="1"/>
  <c r="AO1147"/>
  <c r="BC1147"/>
  <c r="Q1147"/>
  <c r="AV1147"/>
  <c r="AP1147"/>
  <c r="BB1147"/>
  <c r="I1147"/>
  <c r="AU1147"/>
  <c r="AN1147"/>
  <c r="E1147"/>
  <c r="R1147" s="1"/>
  <c r="AK1146"/>
  <c r="AJ1146"/>
  <c r="AL1146"/>
  <c r="A1148"/>
  <c r="AS1148"/>
  <c r="C1149"/>
  <c r="B1148"/>
  <c r="D1148"/>
  <c r="F1146"/>
  <c r="K1146"/>
  <c r="AT1146"/>
  <c r="AY1146"/>
  <c r="AW1146"/>
  <c r="BG1146"/>
  <c r="BE1146"/>
  <c r="BA1146"/>
  <c r="BD1146"/>
  <c r="BF1146" s="1"/>
  <c r="O1145"/>
  <c r="Y1145" s="1"/>
  <c r="W1145"/>
  <c r="AF524" l="1"/>
  <c r="AA524"/>
  <c r="P525" s="1"/>
  <c r="AH524"/>
  <c r="T1146"/>
  <c r="S1147" s="1"/>
  <c r="H1146"/>
  <c r="AK1147"/>
  <c r="AL1147"/>
  <c r="AJ1147"/>
  <c r="BA1147"/>
  <c r="BD1147"/>
  <c r="BF1147" s="1"/>
  <c r="BE1147"/>
  <c r="BG1147" s="1"/>
  <c r="F1147"/>
  <c r="O1146"/>
  <c r="Y1146" s="1"/>
  <c r="W1146"/>
  <c r="AS1149"/>
  <c r="C1150"/>
  <c r="A1149"/>
  <c r="B1149"/>
  <c r="D1149"/>
  <c r="AU1148"/>
  <c r="AN1148"/>
  <c r="Q1148"/>
  <c r="I1148"/>
  <c r="BC1148"/>
  <c r="AO1148"/>
  <c r="AP1148"/>
  <c r="AV1148"/>
  <c r="BB1148"/>
  <c r="E1148"/>
  <c r="R1148" s="1"/>
  <c r="AT1147"/>
  <c r="AW1147"/>
  <c r="AY1147" s="1"/>
  <c r="K1147"/>
  <c r="AX1147"/>
  <c r="AZ1147" s="1"/>
  <c r="AR1146"/>
  <c r="U525" l="1"/>
  <c r="AB525" s="1"/>
  <c r="Z525"/>
  <c r="AG524"/>
  <c r="AA525"/>
  <c r="AG525" s="1"/>
  <c r="F1148"/>
  <c r="T1148" s="1"/>
  <c r="AX1148"/>
  <c r="AZ1148" s="1"/>
  <c r="BD1148"/>
  <c r="BF1148" s="1"/>
  <c r="BA1148"/>
  <c r="BE1148"/>
  <c r="BG1148" s="1"/>
  <c r="AT1148"/>
  <c r="AW1148"/>
  <c r="AY1148" s="1"/>
  <c r="K1148"/>
  <c r="B1150"/>
  <c r="AS1150"/>
  <c r="D1150"/>
  <c r="C1151"/>
  <c r="A1150"/>
  <c r="T1147"/>
  <c r="S1148" s="1"/>
  <c r="H1147"/>
  <c r="AR1147"/>
  <c r="H1148"/>
  <c r="AU1149"/>
  <c r="BB1149"/>
  <c r="AN1149"/>
  <c r="AP1149"/>
  <c r="AO1149"/>
  <c r="I1149"/>
  <c r="AV1149"/>
  <c r="BC1149"/>
  <c r="Q1149"/>
  <c r="E1149"/>
  <c r="S1149"/>
  <c r="O1147"/>
  <c r="Y1147" s="1"/>
  <c r="W1147"/>
  <c r="AJ1148"/>
  <c r="AL1148"/>
  <c r="AK1148"/>
  <c r="AH525" l="1"/>
  <c r="AF525"/>
  <c r="P526"/>
  <c r="U526" s="1"/>
  <c r="F1149"/>
  <c r="T1149" s="1"/>
  <c r="S1150" s="1"/>
  <c r="AR1148"/>
  <c r="AW1149"/>
  <c r="AY1149" s="1"/>
  <c r="K1149"/>
  <c r="AT1149"/>
  <c r="A1151"/>
  <c r="D1151"/>
  <c r="B1151"/>
  <c r="C1152"/>
  <c r="AS1151"/>
  <c r="AJ1149"/>
  <c r="AL1149"/>
  <c r="AK1149"/>
  <c r="BA1149"/>
  <c r="BD1149"/>
  <c r="BF1149" s="1"/>
  <c r="AU1150"/>
  <c r="BB1150"/>
  <c r="AP1150"/>
  <c r="I1150"/>
  <c r="AO1150"/>
  <c r="AV1150"/>
  <c r="BC1150"/>
  <c r="Q1150"/>
  <c r="AN1150"/>
  <c r="E1150"/>
  <c r="R1150" s="1"/>
  <c r="R1149"/>
  <c r="O1148"/>
  <c r="Y1148" s="1"/>
  <c r="W1148"/>
  <c r="AX1149"/>
  <c r="AZ1149" s="1"/>
  <c r="BE1149"/>
  <c r="BG1149" s="1"/>
  <c r="H1149"/>
  <c r="AA526" l="1"/>
  <c r="AB526"/>
  <c r="Z526"/>
  <c r="F1150"/>
  <c r="T1150" s="1"/>
  <c r="S1151" s="1"/>
  <c r="AR1149"/>
  <c r="AJ1150"/>
  <c r="AL1150"/>
  <c r="AK1150"/>
  <c r="AX1150"/>
  <c r="AZ1150" s="1"/>
  <c r="BD1150"/>
  <c r="BF1150" s="1"/>
  <c r="BA1150"/>
  <c r="H1150"/>
  <c r="O1149"/>
  <c r="Y1149" s="1"/>
  <c r="W1149"/>
  <c r="AW1150"/>
  <c r="K1150"/>
  <c r="AT1150"/>
  <c r="AY1150"/>
  <c r="BE1150"/>
  <c r="BG1150" s="1"/>
  <c r="B1152"/>
  <c r="D1152"/>
  <c r="A1152"/>
  <c r="AS1152"/>
  <c r="C1153"/>
  <c r="I1151"/>
  <c r="BB1151"/>
  <c r="AV1151"/>
  <c r="Q1151"/>
  <c r="BC1151"/>
  <c r="AU1151"/>
  <c r="AP1151"/>
  <c r="AO1151"/>
  <c r="AN1151"/>
  <c r="E1151"/>
  <c r="AG526" l="1"/>
  <c r="AH526"/>
  <c r="AF526"/>
  <c r="P527"/>
  <c r="U527" s="1"/>
  <c r="AR1150"/>
  <c r="A1153"/>
  <c r="AS1153"/>
  <c r="C1154"/>
  <c r="B1153"/>
  <c r="D1153"/>
  <c r="O1150"/>
  <c r="Y1150" s="1"/>
  <c r="W1150"/>
  <c r="BE1151"/>
  <c r="BG1151" s="1"/>
  <c r="Q1152"/>
  <c r="AN1152"/>
  <c r="AU1152"/>
  <c r="AO1152"/>
  <c r="AP1152"/>
  <c r="BC1152"/>
  <c r="BB1152"/>
  <c r="AV1152"/>
  <c r="I1152"/>
  <c r="E1152"/>
  <c r="AJ1151"/>
  <c r="AL1151"/>
  <c r="AK1151"/>
  <c r="K1151"/>
  <c r="AT1151"/>
  <c r="AW1151"/>
  <c r="AY1151" s="1"/>
  <c r="BD1151"/>
  <c r="BF1151" s="1"/>
  <c r="BA1151"/>
  <c r="AX1151"/>
  <c r="AZ1151" s="1"/>
  <c r="R1151"/>
  <c r="F1151"/>
  <c r="Z527" l="1"/>
  <c r="AA527"/>
  <c r="AG527" s="1"/>
  <c r="AB527"/>
  <c r="AR1151"/>
  <c r="AV1153"/>
  <c r="AP1153"/>
  <c r="BC1153"/>
  <c r="BB1153"/>
  <c r="AN1153"/>
  <c r="I1153"/>
  <c r="AO1153"/>
  <c r="Q1153"/>
  <c r="AU1153"/>
  <c r="E1153"/>
  <c r="R1153" s="1"/>
  <c r="O1151"/>
  <c r="Y1151" s="1"/>
  <c r="W1151"/>
  <c r="AJ1152"/>
  <c r="AL1152"/>
  <c r="AK1152"/>
  <c r="BE1152"/>
  <c r="BG1152" s="1"/>
  <c r="BD1152"/>
  <c r="BF1152" s="1"/>
  <c r="BA1152"/>
  <c r="AW1152"/>
  <c r="AY1152" s="1"/>
  <c r="AT1152"/>
  <c r="K1152"/>
  <c r="C1155"/>
  <c r="B1154"/>
  <c r="A1154"/>
  <c r="AS1154"/>
  <c r="D1154"/>
  <c r="T1151"/>
  <c r="S1152" s="1"/>
  <c r="H1151"/>
  <c r="AX1152"/>
  <c r="AZ1152" s="1"/>
  <c r="F1152"/>
  <c r="R1152"/>
  <c r="AF527" l="1"/>
  <c r="P528"/>
  <c r="U528" s="1"/>
  <c r="AA528" s="1"/>
  <c r="Z528"/>
  <c r="AH527"/>
  <c r="AB528"/>
  <c r="F1153"/>
  <c r="T1153" s="1"/>
  <c r="AO1154"/>
  <c r="AV1154"/>
  <c r="BB1154"/>
  <c r="AU1154"/>
  <c r="I1154"/>
  <c r="BC1154"/>
  <c r="AP1154"/>
  <c r="Q1154"/>
  <c r="AN1154"/>
  <c r="E1154"/>
  <c r="R1154" s="1"/>
  <c r="A1155"/>
  <c r="AS1155" s="1"/>
  <c r="D1155"/>
  <c r="B1155"/>
  <c r="C1156"/>
  <c r="BE1153"/>
  <c r="BG1153" s="1"/>
  <c r="AR1152"/>
  <c r="BD1153"/>
  <c r="BF1153" s="1"/>
  <c r="BA1153"/>
  <c r="AL1153"/>
  <c r="AJ1153"/>
  <c r="AK1153"/>
  <c r="T1152"/>
  <c r="S1153" s="1"/>
  <c r="H1152"/>
  <c r="O1152"/>
  <c r="Y1152" s="1"/>
  <c r="W1152"/>
  <c r="AW1153"/>
  <c r="AY1153" s="1"/>
  <c r="K1153"/>
  <c r="AT1153"/>
  <c r="AX1153"/>
  <c r="AZ1153" s="1"/>
  <c r="AH528" l="1"/>
  <c r="AG528"/>
  <c r="AF528"/>
  <c r="P529"/>
  <c r="H1153"/>
  <c r="F1154"/>
  <c r="H1154" s="1"/>
  <c r="AR1153"/>
  <c r="AW1154"/>
  <c r="AY1154" s="1"/>
  <c r="K1154"/>
  <c r="AT1154"/>
  <c r="S1154"/>
  <c r="O1153"/>
  <c r="Y1153" s="1"/>
  <c r="W1153"/>
  <c r="BD1154"/>
  <c r="BF1154" s="1"/>
  <c r="BA1154"/>
  <c r="AS1156"/>
  <c r="B1156"/>
  <c r="A1156"/>
  <c r="C1157"/>
  <c r="D1156"/>
  <c r="AO1155"/>
  <c r="BC1155"/>
  <c r="I1155"/>
  <c r="Q1155"/>
  <c r="BB1155"/>
  <c r="AU1155"/>
  <c r="AV1155"/>
  <c r="AN1155"/>
  <c r="AP1155"/>
  <c r="E1155"/>
  <c r="AJ1154"/>
  <c r="AK1154"/>
  <c r="AL1154"/>
  <c r="BE1154"/>
  <c r="BG1154" s="1"/>
  <c r="AX1154"/>
  <c r="AZ1154" s="1"/>
  <c r="AB529" l="1"/>
  <c r="U529"/>
  <c r="T1154"/>
  <c r="S1155" s="1"/>
  <c r="BD1155"/>
  <c r="BF1155" s="1"/>
  <c r="BA1155"/>
  <c r="AK1155"/>
  <c r="AL1155"/>
  <c r="AJ1155"/>
  <c r="AW1155"/>
  <c r="AY1155" s="1"/>
  <c r="AT1155"/>
  <c r="K1155"/>
  <c r="BE1155"/>
  <c r="BG1155" s="1"/>
  <c r="AP1156"/>
  <c r="BB1156"/>
  <c r="I1156"/>
  <c r="AN1156"/>
  <c r="AU1156"/>
  <c r="AV1156"/>
  <c r="AO1156"/>
  <c r="BC1156"/>
  <c r="Q1156"/>
  <c r="E1156"/>
  <c r="R1156" s="1"/>
  <c r="G1144"/>
  <c r="G1145" s="1"/>
  <c r="G1146" s="1"/>
  <c r="G1147" s="1"/>
  <c r="G1148" s="1"/>
  <c r="G1149" s="1"/>
  <c r="G1150" s="1"/>
  <c r="G1151" s="1"/>
  <c r="G1152" s="1"/>
  <c r="G1153" s="1"/>
  <c r="G1154" s="1"/>
  <c r="G1155" s="1"/>
  <c r="O1154"/>
  <c r="Y1154" s="1"/>
  <c r="W1154"/>
  <c r="F1155"/>
  <c r="R1155"/>
  <c r="AR1154"/>
  <c r="AX1155"/>
  <c r="AZ1155" s="1"/>
  <c r="AS1157"/>
  <c r="B1157"/>
  <c r="A1157"/>
  <c r="D1157"/>
  <c r="C1158"/>
  <c r="AH529" l="1"/>
  <c r="Z529"/>
  <c r="AA529"/>
  <c r="AG529" s="1"/>
  <c r="C1159"/>
  <c r="D1158"/>
  <c r="AS1158"/>
  <c r="B1158"/>
  <c r="F1157" s="1"/>
  <c r="T1157" s="1"/>
  <c r="A1158"/>
  <c r="BE1156"/>
  <c r="BG1156" s="1"/>
  <c r="F1156"/>
  <c r="O1155"/>
  <c r="Y1155" s="1"/>
  <c r="W1155"/>
  <c r="V1155"/>
  <c r="AK1156"/>
  <c r="AL1156"/>
  <c r="AJ1156"/>
  <c r="AX1156"/>
  <c r="AZ1156" s="1"/>
  <c r="BD1156"/>
  <c r="BF1156" s="1"/>
  <c r="BA1156"/>
  <c r="AR1155"/>
  <c r="K1156"/>
  <c r="AT1156"/>
  <c r="AW1156"/>
  <c r="AY1156" s="1"/>
  <c r="BB1157"/>
  <c r="AO1157"/>
  <c r="BC1157"/>
  <c r="AU1157"/>
  <c r="AV1157"/>
  <c r="AP1157"/>
  <c r="I1157"/>
  <c r="Q1157"/>
  <c r="AN1157"/>
  <c r="E1157"/>
  <c r="T1155"/>
  <c r="H1155"/>
  <c r="P530" l="1"/>
  <c r="AF529"/>
  <c r="AR1156"/>
  <c r="S1158"/>
  <c r="T1156"/>
  <c r="S1157" s="1"/>
  <c r="H1156"/>
  <c r="BE1157"/>
  <c r="BG1157" s="1"/>
  <c r="A1159"/>
  <c r="C1160"/>
  <c r="AS1159"/>
  <c r="B1159"/>
  <c r="D1159"/>
  <c r="AX1157"/>
  <c r="AZ1157" s="1"/>
  <c r="L1155"/>
  <c r="M1155"/>
  <c r="N1155"/>
  <c r="S1156"/>
  <c r="AK1157"/>
  <c r="AJ1157"/>
  <c r="AL1157"/>
  <c r="AT1157"/>
  <c r="AW1157"/>
  <c r="AY1157" s="1"/>
  <c r="K1157"/>
  <c r="BB1158"/>
  <c r="AO1158"/>
  <c r="AV1158"/>
  <c r="I1158"/>
  <c r="BC1158"/>
  <c r="AU1158"/>
  <c r="AP1158"/>
  <c r="AN1158"/>
  <c r="Q1158"/>
  <c r="E1158"/>
  <c r="BA1157"/>
  <c r="BD1157"/>
  <c r="BF1157" s="1"/>
  <c r="O1156"/>
  <c r="Y1156" s="1"/>
  <c r="W1156"/>
  <c r="H1157"/>
  <c r="R1157"/>
  <c r="AB530" l="1"/>
  <c r="U530"/>
  <c r="F1158"/>
  <c r="T1158" s="1"/>
  <c r="S1159" s="1"/>
  <c r="AR1157"/>
  <c r="H1158"/>
  <c r="AJ1158"/>
  <c r="AK1158"/>
  <c r="AL1158"/>
  <c r="AW1158"/>
  <c r="AY1158" s="1"/>
  <c r="K1158"/>
  <c r="AT1158"/>
  <c r="AX1158"/>
  <c r="AZ1158" s="1"/>
  <c r="O1157"/>
  <c r="Y1157" s="1"/>
  <c r="W1157"/>
  <c r="AP1159"/>
  <c r="BC1159"/>
  <c r="BB1159"/>
  <c r="Q1159"/>
  <c r="I1159"/>
  <c r="AU1159"/>
  <c r="AV1159"/>
  <c r="AN1159"/>
  <c r="AO1159"/>
  <c r="E1159"/>
  <c r="BE1158"/>
  <c r="BG1158" s="1"/>
  <c r="BA1158"/>
  <c r="BD1158"/>
  <c r="BF1158" s="1"/>
  <c r="C1161"/>
  <c r="AS1160"/>
  <c r="B1160"/>
  <c r="R1159"/>
  <c r="A1160"/>
  <c r="D1160"/>
  <c r="R1158"/>
  <c r="N531" l="1"/>
  <c r="AH530"/>
  <c r="AA530"/>
  <c r="Z530"/>
  <c r="AX1159"/>
  <c r="AZ1159" s="1"/>
  <c r="BA1159"/>
  <c r="BD1159"/>
  <c r="BF1159" s="1"/>
  <c r="AO1160"/>
  <c r="BB1160"/>
  <c r="AV1160"/>
  <c r="AU1160"/>
  <c r="AN1160"/>
  <c r="AP1160"/>
  <c r="I1160"/>
  <c r="BC1160"/>
  <c r="Q1160"/>
  <c r="E1160"/>
  <c r="R1160" s="1"/>
  <c r="D1161"/>
  <c r="AS1161"/>
  <c r="A1161"/>
  <c r="C1162"/>
  <c r="B1161"/>
  <c r="F1160" s="1"/>
  <c r="T1160" s="1"/>
  <c r="AJ1159"/>
  <c r="AK1159"/>
  <c r="AL1159"/>
  <c r="AW1159"/>
  <c r="AY1159" s="1"/>
  <c r="K1159"/>
  <c r="AT1159"/>
  <c r="BE1159"/>
  <c r="BG1159" s="1"/>
  <c r="O1158"/>
  <c r="Y1158" s="1"/>
  <c r="W1158"/>
  <c r="AR1158"/>
  <c r="F1159"/>
  <c r="AG530" l="1"/>
  <c r="M531"/>
  <c r="P531"/>
  <c r="L531"/>
  <c r="AF530"/>
  <c r="AR1159"/>
  <c r="O1159"/>
  <c r="Y1159" s="1"/>
  <c r="W1159"/>
  <c r="AU1161"/>
  <c r="AN1161"/>
  <c r="AP1161"/>
  <c r="AV1161"/>
  <c r="I1161"/>
  <c r="AO1161"/>
  <c r="Q1161"/>
  <c r="BB1161"/>
  <c r="BC1161"/>
  <c r="E1161"/>
  <c r="R1161" s="1"/>
  <c r="AK1160"/>
  <c r="AL1160"/>
  <c r="AJ1160"/>
  <c r="BD1160"/>
  <c r="BF1160" s="1"/>
  <c r="BA1160"/>
  <c r="D1162"/>
  <c r="A1162"/>
  <c r="AS1162"/>
  <c r="B1162"/>
  <c r="C1163"/>
  <c r="AX1160"/>
  <c r="AZ1160" s="1"/>
  <c r="T1159"/>
  <c r="S1160" s="1"/>
  <c r="H1159"/>
  <c r="BE1160"/>
  <c r="BG1160" s="1"/>
  <c r="AW1160"/>
  <c r="AY1160" s="1"/>
  <c r="K1160"/>
  <c r="AT1160"/>
  <c r="S1161"/>
  <c r="H1160"/>
  <c r="X531" l="1"/>
  <c r="AB531"/>
  <c r="U531"/>
  <c r="BE1161"/>
  <c r="BG1161" s="1"/>
  <c r="C1164"/>
  <c r="B1163"/>
  <c r="AS1163"/>
  <c r="D1163"/>
  <c r="A1163"/>
  <c r="AL1161"/>
  <c r="AK1161"/>
  <c r="AJ1161"/>
  <c r="O1160"/>
  <c r="Y1160" s="1"/>
  <c r="W1160"/>
  <c r="AR1160"/>
  <c r="F1161"/>
  <c r="AW1161"/>
  <c r="AY1161" s="1"/>
  <c r="K1161"/>
  <c r="AT1161"/>
  <c r="AN1162"/>
  <c r="AU1162"/>
  <c r="AP1162"/>
  <c r="BC1162"/>
  <c r="Q1162"/>
  <c r="BB1162"/>
  <c r="AV1162"/>
  <c r="AO1162"/>
  <c r="I1162"/>
  <c r="E1162"/>
  <c r="R1162" s="1"/>
  <c r="BD1161"/>
  <c r="BF1161" s="1"/>
  <c r="BA1161"/>
  <c r="AX1161"/>
  <c r="AZ1161" s="1"/>
  <c r="AH531" l="1"/>
  <c r="Z531"/>
  <c r="AA531"/>
  <c r="AR1161"/>
  <c r="BE1162"/>
  <c r="BG1162" s="1"/>
  <c r="T1161"/>
  <c r="S1162" s="1"/>
  <c r="H1161"/>
  <c r="D1164"/>
  <c r="C1165"/>
  <c r="B1164"/>
  <c r="F1163" s="1"/>
  <c r="T1163" s="1"/>
  <c r="A1164"/>
  <c r="AS1164"/>
  <c r="AK1162"/>
  <c r="AJ1162"/>
  <c r="AL1162"/>
  <c r="BD1162"/>
  <c r="BF1162" s="1"/>
  <c r="BA1162"/>
  <c r="AW1162"/>
  <c r="AY1162" s="1"/>
  <c r="AT1162"/>
  <c r="K1162"/>
  <c r="O1161"/>
  <c r="Y1161" s="1"/>
  <c r="W1161"/>
  <c r="AU1163"/>
  <c r="I1163"/>
  <c r="Q1163"/>
  <c r="AN1163"/>
  <c r="BC1163"/>
  <c r="AO1163"/>
  <c r="BB1163"/>
  <c r="AP1163"/>
  <c r="AV1163"/>
  <c r="E1163"/>
  <c r="AX1162"/>
  <c r="AZ1162" s="1"/>
  <c r="F1162"/>
  <c r="AF531" l="1"/>
  <c r="P532"/>
  <c r="AG531"/>
  <c r="AX1163"/>
  <c r="AZ1163" s="1"/>
  <c r="BE1163"/>
  <c r="BG1163" s="1"/>
  <c r="AW1163"/>
  <c r="AY1163" s="1"/>
  <c r="K1163"/>
  <c r="AT1163"/>
  <c r="Q1164"/>
  <c r="I1164"/>
  <c r="BB1164"/>
  <c r="AV1164"/>
  <c r="AU1164"/>
  <c r="AP1164"/>
  <c r="AN1164"/>
  <c r="BC1164"/>
  <c r="AO1164"/>
  <c r="E1164"/>
  <c r="AR1162"/>
  <c r="O1162"/>
  <c r="Y1162" s="1"/>
  <c r="W1162"/>
  <c r="AK1163"/>
  <c r="AJ1163"/>
  <c r="AL1163"/>
  <c r="T1162"/>
  <c r="S1163" s="1"/>
  <c r="H1162"/>
  <c r="BA1163"/>
  <c r="BD1163"/>
  <c r="BF1163" s="1"/>
  <c r="D1165"/>
  <c r="R1164"/>
  <c r="AS1165"/>
  <c r="A1165"/>
  <c r="C1166"/>
  <c r="B1165"/>
  <c r="S1164"/>
  <c r="R1163"/>
  <c r="H1163"/>
  <c r="AB532" l="1"/>
  <c r="U532"/>
  <c r="AR1163"/>
  <c r="BE1164"/>
  <c r="BG1164" s="1"/>
  <c r="AK1164"/>
  <c r="AL1164"/>
  <c r="AJ1164"/>
  <c r="O1163"/>
  <c r="Y1163" s="1"/>
  <c r="W1163"/>
  <c r="AX1164"/>
  <c r="AZ1164" s="1"/>
  <c r="AT1164"/>
  <c r="AW1164"/>
  <c r="AY1164" s="1"/>
  <c r="K1164"/>
  <c r="AN1165"/>
  <c r="AU1165"/>
  <c r="AO1165"/>
  <c r="AV1165"/>
  <c r="BB1165"/>
  <c r="Q1165"/>
  <c r="AP1165"/>
  <c r="BC1165"/>
  <c r="I1165"/>
  <c r="E1165"/>
  <c r="AS1166"/>
  <c r="C1167"/>
  <c r="D1166"/>
  <c r="B1166"/>
  <c r="A1166"/>
  <c r="BD1164"/>
  <c r="BF1164" s="1"/>
  <c r="BA1164"/>
  <c r="F1164"/>
  <c r="AH532" l="1"/>
  <c r="Z532"/>
  <c r="AA532"/>
  <c r="AL1165"/>
  <c r="AJ1165"/>
  <c r="AK1165"/>
  <c r="AT1165"/>
  <c r="K1165"/>
  <c r="AW1165"/>
  <c r="AY1165" s="1"/>
  <c r="AN1166"/>
  <c r="Q1166"/>
  <c r="AP1166"/>
  <c r="AV1166"/>
  <c r="AU1166"/>
  <c r="AO1166"/>
  <c r="BC1166"/>
  <c r="I1166"/>
  <c r="BB1166"/>
  <c r="E1166"/>
  <c r="C1168"/>
  <c r="D1167"/>
  <c r="B1167"/>
  <c r="A1167"/>
  <c r="BE1165"/>
  <c r="BG1165" s="1"/>
  <c r="AX1165"/>
  <c r="AZ1165" s="1"/>
  <c r="AR1164"/>
  <c r="O1164"/>
  <c r="Y1164" s="1"/>
  <c r="W1164"/>
  <c r="T1164"/>
  <c r="S1165" s="1"/>
  <c r="H1164"/>
  <c r="BA1165"/>
  <c r="BD1165"/>
  <c r="BF1165" s="1"/>
  <c r="F1165"/>
  <c r="R1165"/>
  <c r="P533" l="1"/>
  <c r="AF532"/>
  <c r="AG532"/>
  <c r="AK1166"/>
  <c r="AJ1166"/>
  <c r="AL1166"/>
  <c r="BE1166"/>
  <c r="BG1166" s="1"/>
  <c r="F1166"/>
  <c r="AR1165"/>
  <c r="AO1167"/>
  <c r="I1167"/>
  <c r="AU1167"/>
  <c r="Q1167"/>
  <c r="AN1167"/>
  <c r="AP1167"/>
  <c r="AV1167"/>
  <c r="BC1167"/>
  <c r="BB1167"/>
  <c r="E1167"/>
  <c r="R1167" s="1"/>
  <c r="AX1166"/>
  <c r="AZ1166" s="1"/>
  <c r="AS1167"/>
  <c r="O1165"/>
  <c r="Y1165" s="1"/>
  <c r="W1165"/>
  <c r="B1168"/>
  <c r="D1168"/>
  <c r="A1168"/>
  <c r="T1165"/>
  <c r="S1166" s="1"/>
  <c r="H1165"/>
  <c r="BD1166"/>
  <c r="BF1166" s="1"/>
  <c r="BA1166"/>
  <c r="AW1166"/>
  <c r="AY1166" s="1"/>
  <c r="K1166"/>
  <c r="AT1166"/>
  <c r="R1166"/>
  <c r="U533" l="1"/>
  <c r="Z533" s="1"/>
  <c r="AR1166"/>
  <c r="AV1168"/>
  <c r="BC1168"/>
  <c r="BB1168"/>
  <c r="AU1168"/>
  <c r="AX1167"/>
  <c r="AZ1167" s="1"/>
  <c r="K1167"/>
  <c r="AY1167"/>
  <c r="AW1167"/>
  <c r="AT1167"/>
  <c r="T1166"/>
  <c r="S1167" s="1"/>
  <c r="H1166"/>
  <c r="BE1167"/>
  <c r="BG1167" s="1"/>
  <c r="AK1167"/>
  <c r="AL1167"/>
  <c r="AJ1167"/>
  <c r="O1166"/>
  <c r="Y1166" s="1"/>
  <c r="W1166"/>
  <c r="BD1167"/>
  <c r="BF1167" s="1"/>
  <c r="BA1167"/>
  <c r="F1167"/>
  <c r="G1156"/>
  <c r="G1157" s="1"/>
  <c r="G1158" s="1"/>
  <c r="G1159" s="1"/>
  <c r="G1160" s="1"/>
  <c r="G1161" s="1"/>
  <c r="G1162" s="1"/>
  <c r="G1163" s="1"/>
  <c r="G1164" s="1"/>
  <c r="G1165" s="1"/>
  <c r="G1166" s="1"/>
  <c r="G1167" s="1"/>
  <c r="AF533" l="1"/>
  <c r="AB533"/>
  <c r="AA533"/>
  <c r="O1167"/>
  <c r="Y1167" s="1"/>
  <c r="W1167"/>
  <c r="V1167"/>
  <c r="BD1168"/>
  <c r="BF1168" s="1"/>
  <c r="BA1168"/>
  <c r="AW1168"/>
  <c r="AY1168" s="1"/>
  <c r="AT1168"/>
  <c r="T1167"/>
  <c r="H1167"/>
  <c r="AX1168"/>
  <c r="AZ1168" s="1"/>
  <c r="AR1167"/>
  <c r="BE1168"/>
  <c r="BG1168" s="1"/>
  <c r="AG533" l="1"/>
  <c r="U534"/>
  <c r="Z534" s="1"/>
  <c r="AH533"/>
  <c r="AB534"/>
  <c r="P534"/>
  <c r="E404" i="3"/>
  <c r="E344"/>
  <c r="G404"/>
  <c r="G344"/>
  <c r="E405"/>
  <c r="G405"/>
  <c r="E346"/>
  <c r="E406"/>
  <c r="G345"/>
  <c r="G406"/>
  <c r="G346"/>
  <c r="E345"/>
  <c r="G402"/>
  <c r="G343"/>
  <c r="G403"/>
  <c r="E402"/>
  <c r="E343"/>
  <c r="E403"/>
  <c r="G348"/>
  <c r="E347"/>
  <c r="G407"/>
  <c r="G347"/>
  <c r="E349"/>
  <c r="E348"/>
  <c r="E409"/>
  <c r="E407"/>
  <c r="G409"/>
  <c r="G349"/>
  <c r="G412"/>
  <c r="G410"/>
  <c r="G408"/>
  <c r="E408"/>
  <c r="G350"/>
  <c r="E350"/>
  <c r="E410"/>
  <c r="G413"/>
  <c r="E351"/>
  <c r="G411"/>
  <c r="G351"/>
  <c r="E411"/>
  <c r="E352"/>
  <c r="G352"/>
  <c r="E412"/>
  <c r="E354"/>
  <c r="G414"/>
  <c r="G354"/>
  <c r="E414"/>
  <c r="E413"/>
  <c r="E415"/>
  <c r="G415"/>
  <c r="E353"/>
  <c r="G355"/>
  <c r="G353"/>
  <c r="G416"/>
  <c r="E357"/>
  <c r="E416"/>
  <c r="E355"/>
  <c r="G356"/>
  <c r="G357"/>
  <c r="E356"/>
  <c r="M1167" i="1"/>
  <c r="L1167"/>
  <c r="N1167"/>
  <c r="AH534" l="1"/>
  <c r="AF534"/>
  <c r="AA534"/>
  <c r="AG534" l="1"/>
  <c r="P535"/>
  <c r="U535" l="1"/>
  <c r="AA535" s="1"/>
  <c r="AB535"/>
  <c r="Z535"/>
  <c r="AG535" l="1"/>
  <c r="AH535"/>
  <c r="P536"/>
  <c r="U536" s="1"/>
  <c r="AF535"/>
  <c r="Z536" l="1"/>
  <c r="AB536"/>
  <c r="AA536"/>
  <c r="AF536" l="1"/>
  <c r="P537"/>
  <c r="Z537"/>
  <c r="AH536"/>
  <c r="U537"/>
  <c r="AB537" s="1"/>
  <c r="AG536"/>
  <c r="AA537"/>
  <c r="Z538" l="1"/>
  <c r="AH537"/>
  <c r="U538"/>
  <c r="AA538" s="1"/>
  <c r="AG537"/>
  <c r="P538"/>
  <c r="AB538" s="1"/>
  <c r="AF537"/>
  <c r="AG538" l="1"/>
  <c r="AA539"/>
  <c r="AG539" s="1"/>
  <c r="AF538"/>
  <c r="P539"/>
  <c r="AB539" s="1"/>
  <c r="AH538"/>
  <c r="U539"/>
  <c r="Z539" s="1"/>
  <c r="AH539" l="1"/>
  <c r="P540"/>
  <c r="U540" s="1"/>
  <c r="AF539"/>
  <c r="Z540" l="1"/>
  <c r="AA540"/>
  <c r="AB540"/>
  <c r="AF540" l="1"/>
  <c r="P541"/>
  <c r="AG540"/>
  <c r="AH540"/>
  <c r="U541"/>
  <c r="Z541" s="1"/>
  <c r="AB541"/>
  <c r="AH541" s="1"/>
  <c r="AA541" l="1"/>
  <c r="AF541"/>
  <c r="AG541" l="1"/>
  <c r="P542"/>
  <c r="U542" l="1"/>
  <c r="AA542" s="1"/>
  <c r="AB542"/>
  <c r="Z542"/>
  <c r="AG542" l="1"/>
  <c r="M543"/>
  <c r="AH542"/>
  <c r="N543"/>
  <c r="L543"/>
  <c r="P543"/>
  <c r="X543" s="1"/>
  <c r="AF542"/>
  <c r="U543" l="1"/>
  <c r="Z543" l="1"/>
  <c r="AA543"/>
  <c r="AB543"/>
  <c r="AF543" l="1"/>
  <c r="P544"/>
  <c r="Z544"/>
  <c r="AF544" s="1"/>
  <c r="AG543"/>
  <c r="AA544"/>
  <c r="AH543"/>
  <c r="U544"/>
  <c r="AB544" s="1"/>
  <c r="AH544" l="1"/>
  <c r="U545"/>
  <c r="AB545" s="1"/>
  <c r="P545"/>
  <c r="AA545" s="1"/>
  <c r="AG544"/>
  <c r="Z545"/>
  <c r="AF545" l="1"/>
  <c r="P546"/>
  <c r="U546" s="1"/>
  <c r="AH545"/>
  <c r="AG545"/>
  <c r="Z546" l="1"/>
  <c r="AA546"/>
  <c r="AG546" s="1"/>
  <c r="AB546"/>
  <c r="P547" l="1"/>
  <c r="U547" s="1"/>
  <c r="AA547" s="1"/>
  <c r="AF546"/>
  <c r="Z547"/>
  <c r="AH546"/>
  <c r="AB547"/>
  <c r="AG547" l="1"/>
  <c r="AA548"/>
  <c r="AG548" s="1"/>
  <c r="AH547"/>
  <c r="AB548"/>
  <c r="AH548" s="1"/>
  <c r="P548"/>
  <c r="U548" s="1"/>
  <c r="AF547"/>
  <c r="Z548"/>
  <c r="AF548" l="1"/>
  <c r="P549"/>
  <c r="U549" l="1"/>
  <c r="AB549"/>
  <c r="AH549" s="1"/>
  <c r="Z549" l="1"/>
  <c r="AA549"/>
  <c r="AG549" s="1"/>
  <c r="AF549" l="1"/>
  <c r="P550"/>
  <c r="AB550" l="1"/>
  <c r="AH550" s="1"/>
  <c r="U550"/>
  <c r="Z550" l="1"/>
  <c r="AA550"/>
  <c r="AG550" s="1"/>
  <c r="P551" l="1"/>
  <c r="AF550"/>
  <c r="AB551" l="1"/>
  <c r="AH551" s="1"/>
  <c r="U551"/>
  <c r="Z551" l="1"/>
  <c r="AA551"/>
  <c r="AG551" s="1"/>
  <c r="P552" l="1"/>
  <c r="AF551"/>
  <c r="U552" l="1"/>
  <c r="AB552"/>
  <c r="AH552" s="1"/>
  <c r="AA552" l="1"/>
  <c r="AG552" s="1"/>
  <c r="Z552"/>
  <c r="AF552" l="1"/>
  <c r="P553"/>
  <c r="U553" l="1"/>
  <c r="AB553"/>
  <c r="AA553" l="1"/>
  <c r="Z553"/>
  <c r="AH553"/>
  <c r="AG553" l="1"/>
  <c r="AF553"/>
  <c r="P554"/>
  <c r="U554" l="1"/>
  <c r="AB554"/>
  <c r="AA554"/>
  <c r="Z554"/>
  <c r="N555" l="1"/>
  <c r="AH554"/>
  <c r="AG554"/>
  <c r="M555"/>
  <c r="AF554"/>
  <c r="P555"/>
  <c r="X555" s="1"/>
  <c r="L555"/>
  <c r="U555" l="1"/>
  <c r="Z555" l="1"/>
  <c r="AB555"/>
  <c r="AA555"/>
  <c r="AF555" l="1"/>
  <c r="Z556"/>
  <c r="P556"/>
  <c r="AG555"/>
  <c r="AA556"/>
  <c r="AG556" s="1"/>
  <c r="U556"/>
  <c r="AH555"/>
  <c r="AB556"/>
  <c r="AB557" l="1"/>
  <c r="P557"/>
  <c r="AF556"/>
  <c r="Z557"/>
  <c r="AH556"/>
  <c r="U557"/>
  <c r="AA557"/>
  <c r="AG557" s="1"/>
  <c r="AH557" l="1"/>
  <c r="U558"/>
  <c r="AF557"/>
  <c r="P558"/>
  <c r="AB558" s="1"/>
  <c r="AH558" s="1"/>
  <c r="AA558"/>
  <c r="AG558" s="1"/>
  <c r="Z558"/>
  <c r="P559" s="1"/>
  <c r="AF558" l="1"/>
  <c r="U559"/>
  <c r="AA559"/>
  <c r="Z559" l="1"/>
  <c r="AB559"/>
  <c r="AG559"/>
  <c r="AF559" l="1"/>
  <c r="AH559"/>
  <c r="P560"/>
  <c r="AA560" l="1"/>
  <c r="U560"/>
  <c r="AG560" l="1"/>
  <c r="Z560"/>
  <c r="AB560"/>
  <c r="P561" l="1"/>
  <c r="AF560"/>
  <c r="AH560"/>
  <c r="AA561" l="1"/>
  <c r="AG561" s="1"/>
  <c r="U561"/>
  <c r="AB561" l="1"/>
  <c r="AH561" s="1"/>
  <c r="Z561"/>
  <c r="P562" l="1"/>
  <c r="AF561"/>
  <c r="AB562" l="1"/>
  <c r="AH562" s="1"/>
  <c r="AA562"/>
  <c r="AG562" s="1"/>
  <c r="Z562"/>
  <c r="U562"/>
  <c r="P563" l="1"/>
  <c r="U563" s="1"/>
  <c r="AF562"/>
  <c r="AA563" l="1"/>
  <c r="AG563" s="1"/>
  <c r="Z563"/>
  <c r="AB563"/>
  <c r="AH563" s="1"/>
  <c r="AF563"/>
  <c r="Z564" l="1"/>
  <c r="AF564" s="1"/>
  <c r="P564"/>
  <c r="U564" s="1"/>
  <c r="AB564" s="1"/>
  <c r="AH564" s="1"/>
  <c r="AA564"/>
  <c r="P565" s="1"/>
  <c r="AB565" l="1"/>
  <c r="U565"/>
  <c r="Z565"/>
  <c r="AG564"/>
  <c r="AA565"/>
  <c r="AG565" l="1"/>
  <c r="AH565"/>
  <c r="AF565"/>
  <c r="P566"/>
  <c r="Z566" l="1"/>
  <c r="AA566"/>
  <c r="U566"/>
  <c r="AB566" s="1"/>
  <c r="AG566" l="1"/>
  <c r="M567"/>
  <c r="AA567"/>
  <c r="AF566"/>
  <c r="L567"/>
  <c r="P567"/>
  <c r="X567" s="1"/>
  <c r="Z567"/>
  <c r="AH566"/>
  <c r="N567"/>
  <c r="U567"/>
  <c r="AB567"/>
  <c r="AH567" l="1"/>
  <c r="AF567"/>
  <c r="P568"/>
  <c r="U568" s="1"/>
  <c r="AG567"/>
  <c r="AB568" l="1"/>
  <c r="AA568"/>
  <c r="AG568" s="1"/>
  <c r="Z568"/>
  <c r="P569" l="1"/>
  <c r="U569" s="1"/>
  <c r="AF568"/>
  <c r="AH568"/>
  <c r="AB569" l="1"/>
  <c r="AH569" s="1"/>
  <c r="Z569"/>
  <c r="AF569" s="1"/>
  <c r="AA569"/>
  <c r="AG569" s="1"/>
  <c r="P570" l="1"/>
  <c r="U570" s="1"/>
  <c r="AB570"/>
  <c r="Z570" l="1"/>
  <c r="AF570" s="1"/>
  <c r="AA570"/>
  <c r="AG570" s="1"/>
  <c r="AH570"/>
  <c r="P571" l="1"/>
  <c r="U571" s="1"/>
  <c r="AA571" l="1"/>
  <c r="AB571"/>
  <c r="Z571"/>
  <c r="AG571" l="1"/>
  <c r="AH571"/>
  <c r="P572"/>
  <c r="AF571"/>
  <c r="U572" l="1"/>
  <c r="Z572" s="1"/>
  <c r="AA572"/>
  <c r="AB572"/>
  <c r="AF572" l="1"/>
  <c r="P573"/>
  <c r="U573" s="1"/>
  <c r="Z573" s="1"/>
  <c r="AG572"/>
  <c r="AA573"/>
  <c r="AH572"/>
  <c r="AB573"/>
  <c r="AH573" l="1"/>
  <c r="AF573"/>
  <c r="P574"/>
  <c r="U574" s="1"/>
  <c r="AB574" s="1"/>
  <c r="AG573"/>
  <c r="AA574"/>
  <c r="AG574" l="1"/>
  <c r="AH574"/>
  <c r="Z574"/>
  <c r="AF574" l="1"/>
  <c r="P575"/>
  <c r="AB575" l="1"/>
  <c r="AA575"/>
  <c r="U575"/>
  <c r="Z575" s="1"/>
  <c r="AH575" l="1"/>
  <c r="AG575"/>
  <c r="AF575"/>
  <c r="P576"/>
  <c r="AB576" l="1"/>
  <c r="U576"/>
  <c r="AA576" l="1"/>
  <c r="Z576"/>
  <c r="AH576"/>
  <c r="AG576" l="1"/>
  <c r="P577"/>
  <c r="AF576"/>
  <c r="AA577" l="1"/>
  <c r="U577"/>
  <c r="Z577" s="1"/>
  <c r="AB577"/>
  <c r="AG577" l="1"/>
  <c r="AF577"/>
  <c r="P578"/>
  <c r="Z578"/>
  <c r="AH577"/>
  <c r="U578"/>
  <c r="AA578" s="1"/>
  <c r="AB578"/>
  <c r="AG578" l="1"/>
  <c r="M579"/>
  <c r="L579"/>
  <c r="P579"/>
  <c r="X579" s="1"/>
  <c r="AF578"/>
  <c r="N579"/>
  <c r="AH578"/>
  <c r="U579" l="1"/>
  <c r="AB579" s="1"/>
  <c r="Z579"/>
  <c r="AA579"/>
  <c r="AH579" l="1"/>
  <c r="AF579"/>
  <c r="P580"/>
  <c r="AG579"/>
  <c r="AB580" l="1"/>
  <c r="U580"/>
  <c r="AH580" l="1"/>
  <c r="Z580"/>
  <c r="AA580"/>
  <c r="P581" l="1"/>
  <c r="AF580"/>
  <c r="AG580"/>
  <c r="AB581" l="1"/>
  <c r="U581"/>
  <c r="Z581" l="1"/>
  <c r="AA581"/>
  <c r="AH581"/>
  <c r="AG581" l="1"/>
  <c r="AF581"/>
  <c r="P582"/>
  <c r="U582" l="1"/>
  <c r="AB582"/>
  <c r="AA582" l="1"/>
  <c r="Z582"/>
  <c r="AH582"/>
  <c r="AG582" l="1"/>
  <c r="P583"/>
  <c r="AF582"/>
  <c r="AA583" l="1"/>
  <c r="U583"/>
  <c r="Z583" s="1"/>
  <c r="AB583"/>
  <c r="AG583" l="1"/>
  <c r="P584"/>
  <c r="AF583"/>
  <c r="AH583"/>
  <c r="U584" l="1"/>
  <c r="AA584"/>
  <c r="Z584" l="1"/>
  <c r="AB584"/>
  <c r="AG584"/>
  <c r="AF584" l="1"/>
  <c r="P585"/>
  <c r="AH584"/>
  <c r="U585" l="1"/>
  <c r="AA585"/>
  <c r="Z585" l="1"/>
  <c r="AB585"/>
  <c r="AG585"/>
  <c r="AF585" l="1"/>
  <c r="P586"/>
  <c r="U586" s="1"/>
  <c r="Z586" s="1"/>
  <c r="AH585"/>
  <c r="AF586" l="1"/>
  <c r="AB586"/>
  <c r="AA586"/>
  <c r="AG586" l="1"/>
  <c r="AH586"/>
  <c r="P587"/>
  <c r="U587" l="1"/>
  <c r="AB587" s="1"/>
  <c r="Z587"/>
  <c r="AA587"/>
  <c r="AF587" l="1"/>
  <c r="P588"/>
  <c r="U588" s="1"/>
  <c r="Z588"/>
  <c r="AG587"/>
  <c r="AA588"/>
  <c r="AH587"/>
  <c r="AB588"/>
  <c r="AG588" l="1"/>
  <c r="AH588"/>
  <c r="AF588"/>
  <c r="P589"/>
  <c r="U589" s="1"/>
  <c r="Z589" s="1"/>
  <c r="AF589" l="1"/>
  <c r="AB589"/>
  <c r="AA589"/>
  <c r="P590" l="1"/>
  <c r="U590" s="1"/>
  <c r="AH589"/>
  <c r="AG589"/>
  <c r="AA590" l="1"/>
  <c r="M591" s="1"/>
  <c r="Z590"/>
  <c r="AF590" s="1"/>
  <c r="AB590"/>
  <c r="N591" s="1"/>
  <c r="AG590" l="1"/>
  <c r="L591"/>
  <c r="P591"/>
  <c r="AH590"/>
  <c r="X591" l="1"/>
  <c r="AB591"/>
  <c r="AA591"/>
  <c r="AG591" s="1"/>
  <c r="U591"/>
  <c r="Z591" s="1"/>
  <c r="AH591" l="1"/>
  <c r="AF591"/>
  <c r="P592"/>
  <c r="U592" s="1"/>
  <c r="AA592" l="1"/>
  <c r="AG592" s="1"/>
  <c r="AB592"/>
  <c r="AH592" s="1"/>
  <c r="Z592"/>
  <c r="P593" s="1"/>
  <c r="U593" s="1"/>
  <c r="AF592" l="1"/>
  <c r="AB593"/>
  <c r="AH593" s="1"/>
  <c r="AA593"/>
  <c r="AG593" s="1"/>
  <c r="Z593"/>
  <c r="P594" l="1"/>
  <c r="U594" s="1"/>
  <c r="AF593"/>
  <c r="AB594"/>
  <c r="Z594"/>
  <c r="AA594"/>
  <c r="AF594" l="1"/>
  <c r="P595"/>
  <c r="AG594"/>
  <c r="AA595"/>
  <c r="AH594"/>
  <c r="U595"/>
  <c r="Z595" s="1"/>
  <c r="AB595"/>
  <c r="P596" l="1"/>
  <c r="AF595"/>
  <c r="AH595"/>
  <c r="AG595"/>
  <c r="Z596" l="1"/>
  <c r="AF596" s="1"/>
  <c r="U596"/>
  <c r="AB596" s="1"/>
  <c r="AA596"/>
  <c r="AH596" l="1"/>
  <c r="AG596"/>
  <c r="P597"/>
  <c r="U597" l="1"/>
  <c r="AB597" s="1"/>
  <c r="Z597" l="1"/>
  <c r="AF597" s="1"/>
  <c r="AA597"/>
  <c r="AG597" s="1"/>
  <c r="AH597"/>
  <c r="P598" l="1"/>
  <c r="U598" s="1"/>
  <c r="AB598" s="1"/>
  <c r="AH598" l="1"/>
  <c r="AA598"/>
  <c r="Z598"/>
  <c r="AG598" l="1"/>
  <c r="P599"/>
  <c r="U599" s="1"/>
  <c r="AB599" s="1"/>
  <c r="AF598"/>
  <c r="Z599"/>
  <c r="AF599" l="1"/>
  <c r="AA599"/>
  <c r="P600" s="1"/>
  <c r="AH599"/>
  <c r="Z600" l="1"/>
  <c r="AB600"/>
  <c r="U600"/>
  <c r="AG599"/>
  <c r="AA600"/>
  <c r="AH600" l="1"/>
  <c r="AG600"/>
  <c r="AF600"/>
  <c r="P601"/>
  <c r="U601" s="1"/>
  <c r="AB601" s="1"/>
  <c r="AH601" l="1"/>
  <c r="Z601"/>
  <c r="AA601"/>
  <c r="P602" l="1"/>
  <c r="AF601"/>
  <c r="AG601"/>
  <c r="U602" l="1"/>
  <c r="Z602" s="1"/>
  <c r="L603" l="1"/>
  <c r="AF602"/>
  <c r="AB602"/>
  <c r="AA602"/>
  <c r="AG602" l="1"/>
  <c r="M603"/>
  <c r="AH602"/>
  <c r="N603"/>
  <c r="P603"/>
  <c r="X603" l="1"/>
  <c r="Z603"/>
  <c r="U603"/>
  <c r="AA603" s="1"/>
  <c r="AB603"/>
  <c r="AF603" l="1"/>
  <c r="P604"/>
  <c r="U604" s="1"/>
  <c r="Z604" s="1"/>
  <c r="AG603"/>
  <c r="AA604"/>
  <c r="AH603"/>
  <c r="AB604"/>
  <c r="AF604" l="1"/>
  <c r="P605"/>
  <c r="U605" s="1"/>
  <c r="AA605" s="1"/>
  <c r="AH604"/>
  <c r="AG604"/>
  <c r="AB605" l="1"/>
  <c r="AH605" s="1"/>
  <c r="Z605"/>
  <c r="AF605" s="1"/>
  <c r="AG605"/>
  <c r="P606" l="1"/>
  <c r="U606" l="1"/>
  <c r="Z606" s="1"/>
  <c r="AA606"/>
  <c r="AG606" s="1"/>
  <c r="AB606"/>
  <c r="AH606" s="1"/>
  <c r="AF606" l="1"/>
  <c r="P607"/>
  <c r="U607" l="1"/>
  <c r="Z607" s="1"/>
  <c r="AA607"/>
  <c r="AG607" s="1"/>
  <c r="AB607"/>
  <c r="AH607" s="1"/>
  <c r="AF607" l="1"/>
  <c r="P608"/>
  <c r="U608" l="1"/>
  <c r="Z608" s="1"/>
  <c r="AA608"/>
  <c r="AG608" s="1"/>
  <c r="AB608"/>
  <c r="AH608" s="1"/>
  <c r="AF608" l="1"/>
  <c r="P609"/>
  <c r="U609" s="1"/>
  <c r="Z609" l="1"/>
  <c r="AF609" s="1"/>
  <c r="AA609"/>
  <c r="AB609"/>
  <c r="AH609" s="1"/>
  <c r="AG609" l="1"/>
  <c r="P610"/>
  <c r="U610" l="1"/>
  <c r="AB610"/>
  <c r="Z610" l="1"/>
  <c r="AA610"/>
  <c r="AH610"/>
  <c r="P611" l="1"/>
  <c r="AF610"/>
  <c r="AG610"/>
  <c r="AB611" l="1"/>
  <c r="U611"/>
  <c r="AH611" l="1"/>
  <c r="Z611"/>
  <c r="AA611"/>
  <c r="AG611" s="1"/>
  <c r="AF611" l="1"/>
  <c r="P612"/>
  <c r="U612" l="1"/>
  <c r="AB612"/>
  <c r="AA612" l="1"/>
  <c r="Z612"/>
  <c r="AH612"/>
  <c r="AG612" l="1"/>
  <c r="AF612"/>
  <c r="P613"/>
  <c r="AA613" l="1"/>
  <c r="U613"/>
  <c r="Z613" s="1"/>
  <c r="AB613"/>
  <c r="P614" l="1"/>
  <c r="U614" s="1"/>
  <c r="AB614" s="1"/>
  <c r="AG613"/>
  <c r="AH613"/>
  <c r="AF613"/>
  <c r="AA614" l="1"/>
  <c r="M615" s="1"/>
  <c r="Z614"/>
  <c r="AF614" s="1"/>
  <c r="AH614"/>
  <c r="N615"/>
  <c r="L615" l="1"/>
  <c r="P615"/>
  <c r="X615" s="1"/>
  <c r="AG614"/>
  <c r="AA615"/>
  <c r="U615"/>
  <c r="Z615" s="1"/>
  <c r="AB615"/>
  <c r="AG615" l="1"/>
  <c r="AF615"/>
  <c r="P616"/>
  <c r="AA616" s="1"/>
  <c r="AG616" s="1"/>
  <c r="AH615"/>
  <c r="U616"/>
  <c r="Z616" s="1"/>
  <c r="AB616"/>
  <c r="AH616" s="1"/>
  <c r="AF616" l="1"/>
  <c r="P617"/>
  <c r="U617" s="1"/>
  <c r="AB617" s="1"/>
  <c r="Z617" l="1"/>
  <c r="AA617"/>
  <c r="AH617"/>
  <c r="P618" l="1"/>
  <c r="AF617"/>
  <c r="AG617"/>
  <c r="U618" l="1"/>
  <c r="AB618"/>
  <c r="AA618" l="1"/>
  <c r="AG618" s="1"/>
  <c r="Z618"/>
  <c r="AH618"/>
  <c r="P619" l="1"/>
  <c r="AF618"/>
  <c r="Z619" l="1"/>
  <c r="U619"/>
  <c r="AA619" s="1"/>
  <c r="AB619"/>
  <c r="AG619" l="1"/>
  <c r="AH619"/>
  <c r="P620"/>
  <c r="U620" s="1"/>
  <c r="AF619"/>
  <c r="AA620" l="1"/>
  <c r="Z620"/>
  <c r="AB620"/>
  <c r="AF620" l="1"/>
  <c r="P621"/>
  <c r="AG620"/>
  <c r="AA621"/>
  <c r="AG621" s="1"/>
  <c r="AH620"/>
  <c r="U621"/>
  <c r="Z621" s="1"/>
  <c r="AB621"/>
  <c r="AF621" l="1"/>
  <c r="P622"/>
  <c r="Z622"/>
  <c r="AH621"/>
  <c r="U622"/>
  <c r="AB622" s="1"/>
  <c r="AH622" s="1"/>
  <c r="AA622" l="1"/>
  <c r="P623" s="1"/>
  <c r="AF622"/>
  <c r="U623" l="1"/>
  <c r="Z623"/>
  <c r="P624" s="1"/>
  <c r="U624" s="1"/>
  <c r="AB623"/>
  <c r="AH623" s="1"/>
  <c r="AG622"/>
  <c r="AA623"/>
  <c r="AG623" s="1"/>
  <c r="AF623" l="1"/>
  <c r="Z624"/>
  <c r="AF624" s="1"/>
  <c r="AB624"/>
  <c r="AH624" s="1"/>
  <c r="AA624"/>
  <c r="P625" l="1"/>
  <c r="AG624"/>
  <c r="U625" l="1"/>
  <c r="Z625" s="1"/>
  <c r="AA625"/>
  <c r="AF625" l="1"/>
  <c r="AB625"/>
  <c r="P626" s="1"/>
  <c r="AG625"/>
  <c r="Z626" l="1"/>
  <c r="AA626"/>
  <c r="AH625"/>
  <c r="U626"/>
  <c r="AB626"/>
  <c r="M627" l="1"/>
  <c r="AG626"/>
  <c r="L627"/>
  <c r="AF626"/>
  <c r="P627"/>
  <c r="N627"/>
  <c r="AH626"/>
  <c r="AA627" l="1"/>
  <c r="X627"/>
  <c r="U627"/>
  <c r="Z627" s="1"/>
  <c r="AF627" l="1"/>
  <c r="AG627"/>
  <c r="AB627"/>
  <c r="AH627" l="1"/>
  <c r="P628"/>
  <c r="AA628" l="1"/>
  <c r="U628"/>
  <c r="Z628" s="1"/>
  <c r="AB628"/>
  <c r="AF628" l="1"/>
  <c r="P629"/>
  <c r="U629" s="1"/>
  <c r="Z629" s="1"/>
  <c r="AF629" s="1"/>
  <c r="AH628"/>
  <c r="AG628"/>
  <c r="AA629" l="1"/>
  <c r="AB629"/>
  <c r="AH629" l="1"/>
  <c r="P630"/>
  <c r="AG629"/>
  <c r="Z630" l="1"/>
  <c r="U630"/>
  <c r="AA630" s="1"/>
  <c r="AB630"/>
  <c r="AF630" l="1"/>
  <c r="P631"/>
  <c r="U631" s="1"/>
  <c r="Z631"/>
  <c r="AG630"/>
  <c r="AA631"/>
  <c r="AH630"/>
  <c r="AB631"/>
  <c r="AH631" l="1"/>
  <c r="AG631"/>
  <c r="AF631"/>
  <c r="P632"/>
  <c r="U632" s="1"/>
  <c r="Z632" l="1"/>
  <c r="AA632"/>
  <c r="AB632"/>
  <c r="AF632" l="1"/>
  <c r="P633"/>
  <c r="AG632"/>
  <c r="AH632"/>
  <c r="AB633" l="1"/>
  <c r="U633"/>
  <c r="Z633" s="1"/>
  <c r="AA633"/>
  <c r="AF633" l="1"/>
  <c r="P634"/>
  <c r="U634" s="1"/>
  <c r="Z634"/>
  <c r="AG633"/>
  <c r="AA634"/>
  <c r="AH633"/>
  <c r="AB634"/>
  <c r="AH634" s="1"/>
  <c r="AG634" l="1"/>
  <c r="AF634"/>
  <c r="P635"/>
  <c r="U635" s="1"/>
  <c r="AB635" s="1"/>
  <c r="Z635" l="1"/>
  <c r="AH635"/>
  <c r="AA635"/>
  <c r="AF635" l="1"/>
  <c r="P636"/>
  <c r="AG635"/>
  <c r="U636" l="1"/>
  <c r="AB636"/>
  <c r="AA636" l="1"/>
  <c r="Z636"/>
  <c r="AH636"/>
  <c r="P637" l="1"/>
  <c r="AF636"/>
  <c r="AG636"/>
  <c r="U637" l="1"/>
  <c r="AB637"/>
  <c r="AA637" l="1"/>
  <c r="Z637"/>
  <c r="AH637"/>
  <c r="AG637" l="1"/>
  <c r="AF637"/>
  <c r="P638"/>
  <c r="AB638" l="1"/>
  <c r="U638"/>
  <c r="Z638" s="1"/>
  <c r="AA638"/>
  <c r="AH638" l="1"/>
  <c r="N639"/>
  <c r="P639"/>
  <c r="X639" s="1"/>
  <c r="L639"/>
  <c r="AF638"/>
  <c r="M639"/>
  <c r="AG638"/>
  <c r="U639" l="1"/>
  <c r="AB639"/>
  <c r="AH639" l="1"/>
  <c r="Z639"/>
  <c r="AA639"/>
  <c r="P640" l="1"/>
  <c r="AF639"/>
  <c r="AG639"/>
  <c r="AB640" l="1"/>
  <c r="U640"/>
  <c r="Z640" l="1"/>
  <c r="AA640"/>
  <c r="AH640"/>
  <c r="AG640" l="1"/>
  <c r="P641"/>
  <c r="AF640"/>
  <c r="AA641" l="1"/>
  <c r="Z641"/>
  <c r="U641"/>
  <c r="AB641"/>
  <c r="AG641" l="1"/>
  <c r="P642"/>
  <c r="AA642" s="1"/>
  <c r="AF641"/>
  <c r="AH641"/>
  <c r="U642"/>
  <c r="Z642" s="1"/>
  <c r="AB642"/>
  <c r="AF642" l="1"/>
  <c r="P643"/>
  <c r="AG642"/>
  <c r="AH642"/>
  <c r="U643"/>
  <c r="Z643" s="1"/>
  <c r="AB643"/>
  <c r="AA643" l="1"/>
  <c r="AF643"/>
  <c r="AH643"/>
  <c r="AG643" l="1"/>
  <c r="P644"/>
  <c r="U644" l="1"/>
  <c r="AB644"/>
  <c r="Z644"/>
  <c r="AA644"/>
  <c r="AH644" l="1"/>
  <c r="AF644"/>
  <c r="P645"/>
  <c r="AG644"/>
  <c r="AB645" l="1"/>
  <c r="U645"/>
  <c r="AH645" l="1"/>
  <c r="AA645"/>
  <c r="Z645"/>
  <c r="AG645" l="1"/>
  <c r="AF645"/>
  <c r="P646"/>
  <c r="AB646" l="1"/>
  <c r="U646"/>
  <c r="Z646" s="1"/>
  <c r="AA646"/>
  <c r="AH646" l="1"/>
  <c r="P647"/>
  <c r="AF646"/>
  <c r="AG646"/>
  <c r="AB647" l="1"/>
  <c r="U647"/>
  <c r="AH647" l="1"/>
  <c r="AA647"/>
  <c r="Z647"/>
  <c r="AG647" l="1"/>
  <c r="AF647"/>
  <c r="P648"/>
  <c r="AA648" l="1"/>
  <c r="U648"/>
  <c r="Z648" s="1"/>
  <c r="AB648"/>
  <c r="AG648" l="1"/>
  <c r="P649"/>
  <c r="AF648"/>
  <c r="Z649"/>
  <c r="U649"/>
  <c r="AA649" s="1"/>
  <c r="AH648"/>
  <c r="AB649"/>
  <c r="AG649" l="1"/>
  <c r="AF649"/>
  <c r="P650"/>
  <c r="AH649"/>
  <c r="U650"/>
  <c r="Z650" s="1"/>
  <c r="L651" l="1"/>
  <c r="AF650"/>
  <c r="AB650"/>
  <c r="AA650"/>
  <c r="AH650" l="1"/>
  <c r="N651"/>
  <c r="M651"/>
  <c r="AG650"/>
  <c r="P651"/>
  <c r="X651" l="1"/>
  <c r="Z651"/>
  <c r="U651"/>
  <c r="AA651" s="1"/>
  <c r="AB651"/>
  <c r="P652" l="1"/>
  <c r="AF651"/>
  <c r="AG651"/>
  <c r="AH651"/>
  <c r="U652"/>
  <c r="AA652" s="1"/>
  <c r="AG652" s="1"/>
  <c r="AB652"/>
  <c r="AH652" l="1"/>
  <c r="Z652"/>
  <c r="AF652" l="1"/>
  <c r="P653"/>
  <c r="AB653" l="1"/>
  <c r="U653"/>
  <c r="AH653" l="1"/>
  <c r="AA653"/>
  <c r="Z653"/>
  <c r="AG653" l="1"/>
  <c r="P654"/>
  <c r="AF653"/>
  <c r="AA654" l="1"/>
  <c r="U654"/>
  <c r="Z654" s="1"/>
  <c r="AB654"/>
  <c r="AG654" l="1"/>
  <c r="AH654"/>
  <c r="P655"/>
  <c r="AF654"/>
  <c r="U655" l="1"/>
  <c r="AA655"/>
  <c r="Z655" l="1"/>
  <c r="AB655"/>
  <c r="AG655"/>
  <c r="P656" l="1"/>
  <c r="AF655"/>
  <c r="AH655"/>
  <c r="U656" l="1"/>
  <c r="AA656"/>
  <c r="AG656" l="1"/>
  <c r="Z656"/>
  <c r="AB656"/>
  <c r="AF656" l="1"/>
  <c r="P657"/>
  <c r="Z657"/>
  <c r="AH656"/>
  <c r="U657"/>
  <c r="AB657" s="1"/>
  <c r="AH657" l="1"/>
  <c r="AA657"/>
  <c r="P658" s="1"/>
  <c r="AF657"/>
  <c r="AB658" l="1"/>
  <c r="AG657"/>
  <c r="U658"/>
  <c r="Z658" s="1"/>
  <c r="AF658" l="1"/>
  <c r="AH658"/>
  <c r="AA658"/>
  <c r="P659" l="1"/>
  <c r="AG658"/>
  <c r="AB659" l="1"/>
  <c r="U659"/>
  <c r="AH659" l="1"/>
  <c r="Z659"/>
  <c r="AA659"/>
  <c r="AF659" l="1"/>
  <c r="P660"/>
  <c r="AG659"/>
  <c r="U660" l="1"/>
  <c r="AB660"/>
  <c r="AH660" l="1"/>
  <c r="AA660"/>
  <c r="Z660"/>
  <c r="P661" l="1"/>
  <c r="AF660"/>
  <c r="AG660"/>
  <c r="AB661" l="1"/>
  <c r="U661"/>
  <c r="AA661" s="1"/>
  <c r="Z661" l="1"/>
  <c r="AH661"/>
  <c r="AG661"/>
  <c r="P662" l="1"/>
  <c r="AF661"/>
  <c r="AB662" l="1"/>
  <c r="U662"/>
  <c r="Z662" s="1"/>
  <c r="AA662"/>
  <c r="AH662" l="1"/>
  <c r="N663"/>
  <c r="L663"/>
  <c r="AF662"/>
  <c r="P663"/>
  <c r="X663" s="1"/>
  <c r="M663"/>
  <c r="AG662"/>
  <c r="U663" l="1"/>
  <c r="AB663"/>
  <c r="Z663" l="1"/>
  <c r="AA663"/>
  <c r="AH663"/>
  <c r="AF663" l="1"/>
  <c r="P664"/>
  <c r="AG663"/>
  <c r="U664" l="1"/>
  <c r="AB664"/>
  <c r="Z664" l="1"/>
  <c r="AA664"/>
  <c r="AH664"/>
  <c r="AF664" l="1"/>
  <c r="P665"/>
  <c r="AG664"/>
  <c r="U665" l="1"/>
  <c r="AB665"/>
  <c r="Z665" l="1"/>
  <c r="AA665"/>
  <c r="AH665"/>
  <c r="P666" l="1"/>
  <c r="AF665"/>
  <c r="AG665"/>
  <c r="U666" l="1"/>
  <c r="AB666"/>
  <c r="Z666" l="1"/>
  <c r="AA666"/>
  <c r="AH666"/>
  <c r="AF666" l="1"/>
  <c r="P667"/>
  <c r="AG666"/>
  <c r="AB667" l="1"/>
  <c r="U667"/>
  <c r="AH667" l="1"/>
  <c r="Z667"/>
  <c r="AA667"/>
  <c r="AF667" l="1"/>
  <c r="P668"/>
  <c r="AG667"/>
  <c r="AB668" l="1"/>
  <c r="U668"/>
  <c r="AH668" l="1"/>
  <c r="Z668"/>
  <c r="AA668"/>
  <c r="P669" l="1"/>
  <c r="AF668"/>
  <c r="AG668"/>
  <c r="AB669" l="1"/>
  <c r="U669"/>
  <c r="AH669" l="1"/>
  <c r="Z669"/>
  <c r="AA669"/>
  <c r="P670" l="1"/>
  <c r="AF669"/>
  <c r="AG669"/>
  <c r="AB670" l="1"/>
  <c r="U670"/>
  <c r="AH670" l="1"/>
  <c r="Z670"/>
  <c r="AA670"/>
  <c r="AF670" l="1"/>
  <c r="P671"/>
  <c r="AG670"/>
  <c r="AB671" l="1"/>
  <c r="U671"/>
  <c r="AH671" l="1"/>
  <c r="Z671"/>
  <c r="AA671"/>
  <c r="P672" l="1"/>
  <c r="AF671"/>
  <c r="AG671"/>
  <c r="AB672" l="1"/>
  <c r="U672"/>
  <c r="AH672" l="1"/>
  <c r="Z672"/>
  <c r="AA672"/>
  <c r="AG672" l="1"/>
  <c r="AF672"/>
  <c r="P673"/>
  <c r="U673" l="1"/>
  <c r="AB673"/>
  <c r="AA673" l="1"/>
  <c r="Z673"/>
  <c r="AH673"/>
  <c r="AG673" l="1"/>
  <c r="P674"/>
  <c r="AF673"/>
  <c r="U674" l="1"/>
  <c r="Z674" s="1"/>
  <c r="AB674"/>
  <c r="AA674"/>
  <c r="AF674" l="1"/>
  <c r="L675"/>
  <c r="P675"/>
  <c r="X675" s="1"/>
  <c r="AG674"/>
  <c r="M675"/>
  <c r="N675"/>
  <c r="AH674"/>
  <c r="U675"/>
  <c r="Z675" s="1"/>
  <c r="AB675"/>
  <c r="AF675" l="1"/>
  <c r="AA675"/>
  <c r="P676" s="1"/>
  <c r="AH675"/>
  <c r="U676" l="1"/>
  <c r="Z676"/>
  <c r="AB676"/>
  <c r="AG675"/>
  <c r="AA676"/>
  <c r="AG676" l="1"/>
  <c r="AA677"/>
  <c r="AF676"/>
  <c r="P677"/>
  <c r="U677" s="1"/>
  <c r="Z677" s="1"/>
  <c r="AH676"/>
  <c r="AB677"/>
  <c r="AG677" l="1"/>
  <c r="AH677"/>
  <c r="AF677"/>
  <c r="P678"/>
  <c r="AA678" l="1"/>
  <c r="U678"/>
  <c r="AG678" l="1"/>
  <c r="AB678"/>
  <c r="Z678"/>
  <c r="AH678" l="1"/>
  <c r="AF678"/>
  <c r="P679"/>
  <c r="U679" l="1"/>
  <c r="AA679"/>
  <c r="AB679" l="1"/>
  <c r="Z679"/>
  <c r="AG679"/>
  <c r="AH679" l="1"/>
  <c r="AF679"/>
  <c r="P680"/>
  <c r="AB680" l="1"/>
  <c r="U680"/>
  <c r="Z680" s="1"/>
  <c r="AA680"/>
  <c r="AH680" l="1"/>
  <c r="AF680"/>
  <c r="P681"/>
  <c r="AG680"/>
  <c r="AB681" l="1"/>
  <c r="U681"/>
  <c r="AH681" l="1"/>
  <c r="Z681"/>
  <c r="AA681"/>
  <c r="AF681" l="1"/>
  <c r="P682"/>
  <c r="AG681"/>
  <c r="AB682" l="1"/>
  <c r="U682"/>
  <c r="AH682" l="1"/>
  <c r="Z682"/>
  <c r="AA682"/>
  <c r="AF682" l="1"/>
  <c r="P683"/>
  <c r="AG682"/>
  <c r="AB683" l="1"/>
  <c r="U683"/>
  <c r="AH683" l="1"/>
  <c r="Z683"/>
  <c r="AA683"/>
  <c r="AF683" l="1"/>
  <c r="P684"/>
  <c r="AG683"/>
  <c r="Z684" l="1"/>
  <c r="U684"/>
  <c r="AA684" s="1"/>
  <c r="AB684"/>
  <c r="P685" l="1"/>
  <c r="U685" s="1"/>
  <c r="AF684"/>
  <c r="AG684"/>
  <c r="AA685"/>
  <c r="AH684"/>
  <c r="AB685"/>
  <c r="AG685" l="1"/>
  <c r="AH685"/>
  <c r="Z685"/>
  <c r="AF685" l="1"/>
  <c r="P686"/>
  <c r="AA686" l="1"/>
  <c r="U686"/>
  <c r="AB686" l="1"/>
  <c r="Z686"/>
  <c r="AG686"/>
  <c r="AH686" l="1"/>
  <c r="AF686"/>
  <c r="P687"/>
  <c r="X687" l="1"/>
  <c r="AA687"/>
  <c r="U687"/>
  <c r="AG687" l="1"/>
  <c r="AB687"/>
  <c r="Z687"/>
  <c r="P688" l="1"/>
  <c r="AF687"/>
  <c r="AH687"/>
  <c r="U688" l="1"/>
  <c r="AA688"/>
  <c r="Z688" l="1"/>
  <c r="AB688"/>
  <c r="AG688"/>
  <c r="AF688" l="1"/>
  <c r="P689"/>
  <c r="AH688"/>
  <c r="U689" l="1"/>
  <c r="Z689" l="1"/>
  <c r="AB689"/>
  <c r="AA689"/>
  <c r="AF689" l="1"/>
  <c r="P690"/>
  <c r="U690" s="1"/>
  <c r="AH689"/>
  <c r="AG689"/>
  <c r="AA690" l="1"/>
  <c r="AG690" s="1"/>
  <c r="Z690"/>
  <c r="AB690"/>
  <c r="AH690" s="1"/>
  <c r="P691" l="1"/>
  <c r="Z691" s="1"/>
  <c r="AF691" s="1"/>
  <c r="AB691"/>
  <c r="AH691" s="1"/>
  <c r="U691"/>
  <c r="AF690"/>
  <c r="AA691" l="1"/>
  <c r="AG691" s="1"/>
  <c r="P692" l="1"/>
  <c r="U692" s="1"/>
  <c r="AB692" s="1"/>
  <c r="AH692" l="1"/>
  <c r="Z692"/>
  <c r="AA692"/>
  <c r="AG692" l="1"/>
  <c r="AF692"/>
  <c r="P693"/>
  <c r="AB693" l="1"/>
  <c r="U693"/>
  <c r="AH693" l="1"/>
  <c r="Z693"/>
  <c r="AA693"/>
  <c r="AF693" l="1"/>
  <c r="P694"/>
  <c r="AG693"/>
  <c r="AB694" l="1"/>
  <c r="U694"/>
  <c r="AH694" l="1"/>
  <c r="Z694"/>
  <c r="AA694"/>
  <c r="AG694" l="1"/>
  <c r="P695"/>
  <c r="AF694"/>
  <c r="AB695" l="1"/>
  <c r="U695"/>
  <c r="AH695" l="1"/>
  <c r="Z695"/>
  <c r="AA695"/>
  <c r="AF695" l="1"/>
  <c r="P696"/>
  <c r="AG695"/>
  <c r="AB696" l="1"/>
  <c r="U696"/>
  <c r="AH696" l="1"/>
  <c r="Z696"/>
  <c r="AA696"/>
  <c r="AF696" l="1"/>
  <c r="P697"/>
  <c r="AG696"/>
  <c r="AA697" l="1"/>
  <c r="AB697"/>
  <c r="U697"/>
  <c r="Z697" s="1"/>
  <c r="AG697" l="1"/>
  <c r="AH697"/>
  <c r="AF697"/>
  <c r="P698"/>
  <c r="U698" l="1"/>
  <c r="AA698" l="1"/>
  <c r="Z698"/>
  <c r="AB698"/>
  <c r="AG698" l="1"/>
  <c r="AH698"/>
  <c r="P699"/>
  <c r="AF698"/>
  <c r="U699" l="1"/>
  <c r="X699"/>
  <c r="AA699"/>
  <c r="Z699" l="1"/>
  <c r="AB699"/>
  <c r="AG699"/>
  <c r="AF699" l="1"/>
  <c r="P700"/>
  <c r="AH699"/>
  <c r="AA700" l="1"/>
  <c r="U700"/>
  <c r="AG700" l="1"/>
  <c r="Z700"/>
  <c r="AB700"/>
  <c r="P701" l="1"/>
  <c r="U701" s="1"/>
  <c r="AF700"/>
  <c r="AH700"/>
  <c r="Z701" l="1"/>
  <c r="AF701" s="1"/>
  <c r="AB701"/>
  <c r="AH701" s="1"/>
  <c r="AA701"/>
  <c r="P702" l="1"/>
  <c r="U702" s="1"/>
  <c r="AG701"/>
  <c r="Z702" l="1"/>
  <c r="AB702"/>
  <c r="AH702" s="1"/>
  <c r="AA702"/>
  <c r="AG702" s="1"/>
  <c r="P703" l="1"/>
  <c r="U703" s="1"/>
  <c r="Z703" s="1"/>
  <c r="AF703" s="1"/>
  <c r="AF702"/>
  <c r="AA703"/>
  <c r="AB703"/>
  <c r="AG703" l="1"/>
  <c r="AH703"/>
  <c r="P704"/>
  <c r="Z704" l="1"/>
  <c r="U704"/>
  <c r="AB704" s="1"/>
  <c r="AA704"/>
  <c r="AF704" l="1"/>
  <c r="P705"/>
  <c r="U705" s="1"/>
  <c r="AH704"/>
  <c r="AG704"/>
  <c r="AB705" l="1"/>
  <c r="AH705" s="1"/>
  <c r="AA705"/>
  <c r="AG705" s="1"/>
  <c r="Z705"/>
  <c r="P706" l="1"/>
  <c r="AF705"/>
  <c r="AB706"/>
  <c r="AA706"/>
  <c r="U706"/>
  <c r="Z706" s="1"/>
  <c r="AH706" l="1"/>
  <c r="AB707"/>
  <c r="AG706"/>
  <c r="AA707"/>
  <c r="AG707" s="1"/>
  <c r="P707"/>
  <c r="U707" s="1"/>
  <c r="AF706"/>
  <c r="Z707"/>
  <c r="AF707" l="1"/>
  <c r="P708"/>
  <c r="AH707"/>
  <c r="AA708" l="1"/>
  <c r="U708"/>
  <c r="AG708" l="1"/>
  <c r="Z708"/>
  <c r="AB708"/>
  <c r="AH708" l="1"/>
  <c r="P709"/>
  <c r="AF708"/>
  <c r="U709" l="1"/>
  <c r="AA709"/>
  <c r="AG709" l="1"/>
  <c r="AB709"/>
  <c r="Z709"/>
  <c r="AF709" l="1"/>
  <c r="P710"/>
  <c r="Z710"/>
  <c r="AH709"/>
  <c r="U710"/>
  <c r="AA710" s="1"/>
  <c r="AB710"/>
  <c r="AG710" l="1"/>
  <c r="AF710"/>
  <c r="P711"/>
  <c r="AH710"/>
  <c r="U711"/>
  <c r="Z711" s="1"/>
  <c r="AF711" s="1"/>
  <c r="X711" l="1"/>
  <c r="AB711"/>
  <c r="AA711"/>
  <c r="P712" l="1"/>
  <c r="U712" s="1"/>
  <c r="AG711"/>
  <c r="AH711"/>
  <c r="Z712" l="1"/>
  <c r="AB712"/>
  <c r="AA712"/>
  <c r="AH712" l="1"/>
  <c r="AF712"/>
  <c r="P713"/>
  <c r="U713" s="1"/>
  <c r="AG712"/>
  <c r="AA713" l="1"/>
  <c r="Z713"/>
  <c r="AB713"/>
  <c r="AG713" l="1"/>
  <c r="AH713"/>
  <c r="P714"/>
  <c r="U714" s="1"/>
  <c r="AF713"/>
  <c r="AA714" l="1"/>
  <c r="AB714"/>
  <c r="Z714"/>
  <c r="AG714" l="1"/>
  <c r="AH714"/>
  <c r="U715"/>
  <c r="AB715" s="1"/>
  <c r="P715"/>
  <c r="AF714"/>
  <c r="Z715"/>
  <c r="AH715" l="1"/>
  <c r="AA715"/>
  <c r="AF715"/>
  <c r="AG715" l="1"/>
  <c r="P716"/>
  <c r="AB716" l="1"/>
  <c r="U716"/>
  <c r="AH716" l="1"/>
  <c r="Z716"/>
  <c r="AA716"/>
  <c r="AF716" l="1"/>
  <c r="P717"/>
  <c r="AG716"/>
  <c r="AB717" l="1"/>
  <c r="U717"/>
  <c r="AH717" l="1"/>
  <c r="AA717"/>
  <c r="Z717"/>
  <c r="AG717" l="1"/>
  <c r="AF717"/>
  <c r="P718"/>
  <c r="U718" l="1"/>
  <c r="Z718" s="1"/>
  <c r="AB718"/>
  <c r="AA718"/>
  <c r="AF718" l="1"/>
  <c r="AH718"/>
  <c r="P719"/>
  <c r="AG718"/>
  <c r="Z719" l="1"/>
  <c r="AB719"/>
  <c r="U719"/>
  <c r="AA719" s="1"/>
  <c r="AF719" l="1"/>
  <c r="P720"/>
  <c r="Z720"/>
  <c r="AH719"/>
  <c r="U720"/>
  <c r="AA720" s="1"/>
  <c r="AG720" s="1"/>
  <c r="AB720"/>
  <c r="AG719"/>
  <c r="AH720" l="1"/>
  <c r="P721"/>
  <c r="AF720"/>
  <c r="AB721" l="1"/>
  <c r="AA721"/>
  <c r="U721"/>
  <c r="Z721" s="1"/>
  <c r="AH721" l="1"/>
  <c r="AB722"/>
  <c r="P722"/>
  <c r="U722" s="1"/>
  <c r="AF721"/>
  <c r="Z722"/>
  <c r="AG721"/>
  <c r="AA722"/>
  <c r="AG722" s="1"/>
  <c r="P723" l="1"/>
  <c r="U723" s="1"/>
  <c r="AB723" s="1"/>
  <c r="AF722"/>
  <c r="AH722"/>
  <c r="X723" l="1"/>
  <c r="Z723"/>
  <c r="AA723"/>
  <c r="AH723"/>
  <c r="AF723" l="1"/>
  <c r="P724"/>
  <c r="AG723"/>
  <c r="U724" l="1"/>
  <c r="AB724"/>
  <c r="AA724" l="1"/>
  <c r="Z724"/>
  <c r="AH724"/>
  <c r="AG724" l="1"/>
  <c r="AF724"/>
  <c r="P725"/>
  <c r="U725" l="1"/>
  <c r="AB725"/>
  <c r="Z725" l="1"/>
  <c r="AA725"/>
  <c r="AH725"/>
  <c r="AF725" l="1"/>
  <c r="P726"/>
  <c r="AG725"/>
  <c r="U726" l="1"/>
  <c r="AB726"/>
  <c r="Z726" l="1"/>
  <c r="AA726"/>
  <c r="AH726"/>
  <c r="AF726" l="1"/>
  <c r="P727"/>
  <c r="AG726"/>
  <c r="U727" l="1"/>
  <c r="AB727"/>
  <c r="AH727" l="1"/>
  <c r="Z727"/>
  <c r="AA727"/>
  <c r="AF727" l="1"/>
  <c r="P728"/>
  <c r="AG727"/>
  <c r="U728" l="1"/>
  <c r="AB728"/>
  <c r="Z728" l="1"/>
  <c r="AA728"/>
  <c r="AH728"/>
  <c r="P729" l="1"/>
  <c r="AF728"/>
  <c r="AG728"/>
  <c r="AA729" l="1"/>
  <c r="U729"/>
  <c r="Z729" s="1"/>
  <c r="AB729"/>
  <c r="AG729" l="1"/>
  <c r="AF729"/>
  <c r="P730"/>
  <c r="U730" s="1"/>
  <c r="AA730" s="1"/>
  <c r="AG730" s="1"/>
  <c r="AH729"/>
  <c r="AB730"/>
  <c r="AH730" s="1"/>
  <c r="Z730" l="1"/>
  <c r="P731" l="1"/>
  <c r="AF730"/>
  <c r="U731" l="1"/>
  <c r="Z731" s="1"/>
  <c r="AA731"/>
  <c r="AB731"/>
  <c r="P732" l="1"/>
  <c r="U732" s="1"/>
  <c r="AF731"/>
  <c r="AG731"/>
  <c r="AH731"/>
  <c r="Z732" l="1"/>
  <c r="AA732"/>
  <c r="AG732" s="1"/>
  <c r="AB732"/>
  <c r="AH732"/>
  <c r="P733" l="1"/>
  <c r="U733" s="1"/>
  <c r="AF732"/>
  <c r="AB733" l="1"/>
  <c r="AH733" s="1"/>
  <c r="Z733"/>
  <c r="AA733"/>
  <c r="AG733" s="1"/>
  <c r="P734" l="1"/>
  <c r="AF733"/>
  <c r="AA734" l="1"/>
  <c r="AG734" s="1"/>
  <c r="U734"/>
  <c r="AB734" l="1"/>
  <c r="AH734" s="1"/>
  <c r="Z734"/>
  <c r="P735" l="1"/>
  <c r="AF734"/>
  <c r="U735" l="1"/>
  <c r="AA735"/>
  <c r="X735"/>
  <c r="AB735" l="1"/>
  <c r="Z735"/>
  <c r="AG735"/>
  <c r="AH735" l="1"/>
  <c r="AF735"/>
  <c r="P736"/>
  <c r="U736" s="1"/>
  <c r="AB736" l="1"/>
  <c r="Z736"/>
  <c r="AA736"/>
  <c r="AH736" l="1"/>
  <c r="AB737"/>
  <c r="AF736"/>
  <c r="P737"/>
  <c r="U737" s="1"/>
  <c r="Z737"/>
  <c r="AG736"/>
  <c r="AA737"/>
  <c r="AG737" s="1"/>
  <c r="AF737" l="1"/>
  <c r="P738"/>
  <c r="AH737"/>
  <c r="U738" l="1"/>
  <c r="AA738"/>
  <c r="Z738" l="1"/>
  <c r="AB738"/>
  <c r="AG738"/>
  <c r="P739" l="1"/>
  <c r="AA739" s="1"/>
  <c r="AF738"/>
  <c r="AH738"/>
  <c r="U739"/>
  <c r="Z739" s="1"/>
  <c r="AB739"/>
  <c r="P740" l="1"/>
  <c r="AF739"/>
  <c r="AG739"/>
  <c r="AA740"/>
  <c r="AG740" s="1"/>
  <c r="U740"/>
  <c r="Z740" s="1"/>
  <c r="AH739"/>
  <c r="AB740"/>
  <c r="AH740" s="1"/>
  <c r="AF740" l="1"/>
  <c r="P741"/>
  <c r="U741"/>
  <c r="AB741"/>
  <c r="AH741" s="1"/>
  <c r="Z741"/>
  <c r="AA741"/>
  <c r="P742" l="1"/>
  <c r="AF741"/>
  <c r="AG741"/>
  <c r="U742" l="1"/>
  <c r="AB742"/>
  <c r="Z742" l="1"/>
  <c r="AA742"/>
  <c r="AH742"/>
  <c r="AF742" l="1"/>
  <c r="P743"/>
  <c r="AG742"/>
  <c r="AA743" l="1"/>
  <c r="U743"/>
  <c r="Z743" s="1"/>
  <c r="AB743"/>
  <c r="AG743" l="1"/>
  <c r="AF743"/>
  <c r="P744"/>
  <c r="AH743"/>
  <c r="AA744" l="1"/>
  <c r="AG744" s="1"/>
  <c r="U744"/>
  <c r="Z744" l="1"/>
  <c r="AB744"/>
  <c r="AH744" s="1"/>
  <c r="AF744" l="1"/>
  <c r="P745"/>
  <c r="AA745" l="1"/>
  <c r="AG745" s="1"/>
  <c r="U745"/>
  <c r="Z745" l="1"/>
  <c r="AB745"/>
  <c r="AF745" l="1"/>
  <c r="P746"/>
  <c r="AH745"/>
  <c r="AA746" l="1"/>
  <c r="AG746" s="1"/>
  <c r="U746"/>
  <c r="Z746" l="1"/>
  <c r="AB746"/>
  <c r="AH746" s="1"/>
  <c r="P747" l="1"/>
  <c r="X747" s="1"/>
  <c r="AF746"/>
  <c r="U747"/>
  <c r="Z747"/>
  <c r="AA747"/>
  <c r="AG747" s="1"/>
  <c r="AB747"/>
  <c r="P748" l="1"/>
  <c r="AF747"/>
  <c r="AH747"/>
  <c r="AB748"/>
  <c r="AH748" s="1"/>
  <c r="U748"/>
  <c r="Z748" s="1"/>
  <c r="AA748"/>
  <c r="AG748" s="1"/>
  <c r="P749" l="1"/>
  <c r="U749" s="1"/>
  <c r="AA749" s="1"/>
  <c r="AG749" s="1"/>
  <c r="AF748"/>
  <c r="AB749"/>
  <c r="AH749" s="1"/>
  <c r="Z749"/>
  <c r="AF749" l="1"/>
  <c r="P750"/>
  <c r="AB750" l="1"/>
  <c r="AA750"/>
  <c r="U750"/>
  <c r="Z750" s="1"/>
  <c r="AH750" l="1"/>
  <c r="P751"/>
  <c r="AF750"/>
  <c r="AG750"/>
  <c r="AB751" l="1"/>
  <c r="U751"/>
  <c r="AH751" l="1"/>
  <c r="Z751"/>
  <c r="AA751"/>
  <c r="P752" l="1"/>
  <c r="AF751"/>
  <c r="AG751"/>
  <c r="AB752" l="1"/>
  <c r="U752"/>
  <c r="AA752" s="1"/>
  <c r="Z752"/>
  <c r="AH752" l="1"/>
  <c r="AG752"/>
  <c r="AF752"/>
  <c r="P753"/>
  <c r="U753" s="1"/>
  <c r="Z753"/>
  <c r="AB753" l="1"/>
  <c r="AF753"/>
  <c r="AA753"/>
  <c r="P754" s="1"/>
  <c r="U754" l="1"/>
  <c r="Z754" s="1"/>
  <c r="AH753"/>
  <c r="AB754"/>
  <c r="AG753"/>
  <c r="AA754"/>
  <c r="AF754" l="1"/>
  <c r="P755"/>
  <c r="U755" s="1"/>
  <c r="AH754"/>
  <c r="AG754"/>
  <c r="Z755" l="1"/>
  <c r="AF755" s="1"/>
  <c r="AA755"/>
  <c r="AG755" s="1"/>
  <c r="AB755"/>
  <c r="U756" l="1"/>
  <c r="Z756" s="1"/>
  <c r="AF756" s="1"/>
  <c r="P756"/>
  <c r="AH755"/>
  <c r="AB756"/>
  <c r="AA756"/>
  <c r="P757" s="1"/>
  <c r="U757" l="1"/>
  <c r="Z757"/>
  <c r="AG756"/>
  <c r="AA757"/>
  <c r="AH756"/>
  <c r="AB757"/>
  <c r="AH757" l="1"/>
  <c r="P758"/>
  <c r="U758" s="1"/>
  <c r="AF757"/>
  <c r="AG757"/>
  <c r="Z758" l="1"/>
  <c r="AB758"/>
  <c r="AA758"/>
  <c r="AF758" l="1"/>
  <c r="P759"/>
  <c r="X759" s="1"/>
  <c r="Z759"/>
  <c r="AH758"/>
  <c r="U759"/>
  <c r="AA759" s="1"/>
  <c r="AB759"/>
  <c r="AH759" s="1"/>
  <c r="AG758"/>
  <c r="AB760" l="1"/>
  <c r="AG759"/>
  <c r="AA760"/>
  <c r="P760"/>
  <c r="U760" s="1"/>
  <c r="AF759"/>
  <c r="Z760"/>
  <c r="AG760" l="1"/>
  <c r="AF760"/>
  <c r="P761"/>
  <c r="U761" s="1"/>
  <c r="Z761"/>
  <c r="AH760"/>
  <c r="AB761"/>
  <c r="AA761" l="1"/>
  <c r="AH761"/>
  <c r="AF761"/>
  <c r="AG761" l="1"/>
  <c r="P762"/>
  <c r="U762" l="1"/>
  <c r="AA762" s="1"/>
  <c r="Z762"/>
  <c r="AB762"/>
  <c r="AG762" l="1"/>
  <c r="AF762"/>
  <c r="P763"/>
  <c r="AA763" s="1"/>
  <c r="AH762"/>
  <c r="U763"/>
  <c r="Z763" s="1"/>
  <c r="AB763"/>
  <c r="AG763" l="1"/>
  <c r="AA764"/>
  <c r="P764"/>
  <c r="AF763"/>
  <c r="Z764"/>
  <c r="AH763"/>
  <c r="U764"/>
  <c r="AB764"/>
  <c r="AG764" l="1"/>
  <c r="AH764"/>
  <c r="AF764"/>
  <c r="P765"/>
  <c r="AA765" l="1"/>
  <c r="Z765"/>
  <c r="AB765"/>
  <c r="U765"/>
  <c r="AG765" l="1"/>
  <c r="P766"/>
  <c r="U766" s="1"/>
  <c r="AB766" s="1"/>
  <c r="AF765"/>
  <c r="Z766"/>
  <c r="AF766" s="1"/>
  <c r="AH765"/>
  <c r="AA766" l="1"/>
  <c r="AH766"/>
  <c r="P767" l="1"/>
  <c r="AG766"/>
  <c r="AB767" l="1"/>
  <c r="U767"/>
  <c r="AA767" s="1"/>
  <c r="Z767"/>
  <c r="AH767" l="1"/>
  <c r="AG767"/>
  <c r="P768"/>
  <c r="U768" s="1"/>
  <c r="AF767"/>
  <c r="Z768"/>
  <c r="AF768" l="1"/>
  <c r="AA768"/>
  <c r="AB768"/>
  <c r="P769" l="1"/>
  <c r="AH768"/>
  <c r="AG768"/>
  <c r="AB769" l="1"/>
  <c r="AH769" s="1"/>
  <c r="U769"/>
  <c r="Z769" l="1"/>
  <c r="AA769"/>
  <c r="AG769" s="1"/>
  <c r="P770" l="1"/>
  <c r="AF769"/>
  <c r="U770" l="1"/>
  <c r="AA770"/>
  <c r="AG770" s="1"/>
  <c r="AB770" l="1"/>
  <c r="AH770" s="1"/>
  <c r="Z770"/>
  <c r="AF770" l="1"/>
  <c r="P771"/>
  <c r="AA771" l="1"/>
  <c r="AG771" s="1"/>
  <c r="AB771"/>
  <c r="AH771" s="1"/>
  <c r="X771"/>
  <c r="U771"/>
  <c r="Z771" s="1"/>
  <c r="AB772" l="1"/>
  <c r="AF771"/>
  <c r="P772"/>
  <c r="U772" s="1"/>
  <c r="Z772" s="1"/>
  <c r="AF772" s="1"/>
  <c r="AA772"/>
  <c r="AG772" s="1"/>
  <c r="U773" l="1"/>
  <c r="AB773" s="1"/>
  <c r="AH773" s="1"/>
  <c r="AH772"/>
  <c r="P773"/>
  <c r="AA773" s="1"/>
  <c r="AG773" s="1"/>
  <c r="Z773"/>
  <c r="P774" l="1"/>
  <c r="AF773"/>
  <c r="AB774" l="1"/>
  <c r="U774"/>
  <c r="Z774" s="1"/>
  <c r="AA774"/>
  <c r="P775" l="1"/>
  <c r="U775" s="1"/>
  <c r="AF774"/>
  <c r="AH774"/>
  <c r="AG774"/>
  <c r="Z775" l="1"/>
  <c r="AF775" s="1"/>
  <c r="AA775"/>
  <c r="AG775" s="1"/>
  <c r="AB775"/>
  <c r="AH775" s="1"/>
  <c r="P776" l="1"/>
  <c r="U776" s="1"/>
  <c r="Z776" l="1"/>
  <c r="AB776"/>
  <c r="AH776" s="1"/>
  <c r="AA776"/>
  <c r="AG776" s="1"/>
  <c r="P777" l="1"/>
  <c r="U777" s="1"/>
  <c r="AB777" s="1"/>
  <c r="AF776"/>
  <c r="AH777" l="1"/>
  <c r="AA777"/>
  <c r="Z777"/>
  <c r="AG777" l="1"/>
  <c r="P778"/>
  <c r="AF777"/>
  <c r="U778" l="1"/>
  <c r="Z778" s="1"/>
  <c r="AB778"/>
  <c r="AA778"/>
  <c r="P779" l="1"/>
  <c r="AF778"/>
  <c r="Z779"/>
  <c r="AH778"/>
  <c r="U779"/>
  <c r="AB779"/>
  <c r="AG778"/>
  <c r="AA779"/>
  <c r="AG779" s="1"/>
  <c r="AF779" l="1"/>
  <c r="P780"/>
  <c r="AH779"/>
  <c r="AA780" l="1"/>
  <c r="U780"/>
  <c r="AG780" l="1"/>
  <c r="Z780"/>
  <c r="AB780"/>
  <c r="AF780" l="1"/>
  <c r="P781"/>
  <c r="U781" s="1"/>
  <c r="AH780"/>
  <c r="Z781" l="1"/>
  <c r="AF781" s="1"/>
  <c r="AB781"/>
  <c r="AH781" s="1"/>
  <c r="AA781"/>
  <c r="AG781" l="1"/>
  <c r="P782"/>
  <c r="Z782" l="1"/>
  <c r="U782"/>
  <c r="AA782" s="1"/>
  <c r="AB782"/>
  <c r="AF782" l="1"/>
  <c r="P783"/>
  <c r="X783" s="1"/>
  <c r="AG782"/>
  <c r="AA783"/>
  <c r="AG783" s="1"/>
  <c r="AH782"/>
  <c r="U783"/>
  <c r="Z783" s="1"/>
  <c r="AB783"/>
  <c r="AF783" l="1"/>
  <c r="P784"/>
  <c r="U784" s="1"/>
  <c r="AA784" s="1"/>
  <c r="AH783"/>
  <c r="Z784" l="1"/>
  <c r="AB784"/>
  <c r="AG784"/>
  <c r="P785" l="1"/>
  <c r="AF784"/>
  <c r="AH784"/>
  <c r="U785" l="1"/>
  <c r="AA785"/>
  <c r="Z785" l="1"/>
  <c r="AB785"/>
  <c r="AG785"/>
  <c r="AF785" l="1"/>
  <c r="P786"/>
  <c r="U786" s="1"/>
  <c r="AH785"/>
  <c r="Z786" l="1"/>
  <c r="AF786" s="1"/>
  <c r="AB786"/>
  <c r="AH786" s="1"/>
  <c r="AA786"/>
  <c r="P787" l="1"/>
  <c r="AG786"/>
  <c r="AB787" l="1"/>
  <c r="Z787"/>
  <c r="U787"/>
  <c r="AA787" s="1"/>
  <c r="AF787" l="1"/>
  <c r="P788"/>
  <c r="AG787"/>
  <c r="AH787"/>
  <c r="U788"/>
  <c r="Z788" s="1"/>
  <c r="AB788"/>
  <c r="AA788" l="1"/>
  <c r="AH788"/>
  <c r="AF788"/>
  <c r="AG788" l="1"/>
  <c r="P789"/>
  <c r="AB789" l="1"/>
  <c r="U789"/>
  <c r="AH789" l="1"/>
  <c r="Z789"/>
  <c r="AA789"/>
  <c r="P790" l="1"/>
  <c r="AF789"/>
  <c r="AG789"/>
  <c r="U790" l="1"/>
  <c r="AB790"/>
  <c r="Z790" l="1"/>
  <c r="AA790"/>
  <c r="AH790"/>
  <c r="P791" l="1"/>
  <c r="AF790"/>
  <c r="AG790"/>
  <c r="U791" l="1"/>
  <c r="AB791"/>
  <c r="AH791" l="1"/>
  <c r="AA791"/>
  <c r="Z791"/>
  <c r="AG791" l="1"/>
  <c r="AF791"/>
  <c r="P792"/>
  <c r="AA792" l="1"/>
  <c r="AB792"/>
  <c r="U792"/>
  <c r="Z792" s="1"/>
  <c r="AG792" l="1"/>
  <c r="AH792"/>
  <c r="AF792"/>
  <c r="P793"/>
  <c r="U793" s="1"/>
  <c r="Z793" s="1"/>
  <c r="AF793" l="1"/>
  <c r="AB793"/>
  <c r="AA793"/>
  <c r="P794" l="1"/>
  <c r="U794" s="1"/>
  <c r="AH793"/>
  <c r="AG793"/>
  <c r="Z794" l="1"/>
  <c r="AB794"/>
  <c r="AH794" s="1"/>
  <c r="AA794"/>
  <c r="AG794" s="1"/>
  <c r="P795" l="1"/>
  <c r="X795" s="1"/>
  <c r="AF794"/>
  <c r="U795"/>
  <c r="AA795" s="1"/>
  <c r="AG795" s="1"/>
  <c r="Z795"/>
  <c r="AB795"/>
  <c r="AH795" l="1"/>
  <c r="P796"/>
  <c r="AF795"/>
  <c r="AA796" l="1"/>
  <c r="AB796"/>
  <c r="U796"/>
  <c r="Z796" s="1"/>
  <c r="P797" l="1"/>
  <c r="U797" s="1"/>
  <c r="AG796"/>
  <c r="AH796"/>
  <c r="AF796"/>
  <c r="Z797" l="1"/>
  <c r="AF797" s="1"/>
  <c r="AB797"/>
  <c r="AH797" s="1"/>
  <c r="AA797"/>
  <c r="AG797" l="1"/>
  <c r="P798"/>
  <c r="Z798" l="1"/>
  <c r="AB798"/>
  <c r="U798"/>
  <c r="AA798"/>
  <c r="P799" l="1"/>
  <c r="U799" s="1"/>
  <c r="AF798"/>
  <c r="Z799"/>
  <c r="AH798"/>
  <c r="AB799"/>
  <c r="AG798"/>
  <c r="AA799"/>
  <c r="AH799" l="1"/>
  <c r="P800"/>
  <c r="U800" s="1"/>
  <c r="AG799"/>
  <c r="AF799"/>
  <c r="AB800" l="1"/>
  <c r="AA800"/>
  <c r="Z800"/>
  <c r="AH800" l="1"/>
  <c r="AG800"/>
  <c r="AF800"/>
  <c r="P801"/>
  <c r="AB801" l="1"/>
  <c r="AA801"/>
  <c r="U801"/>
  <c r="Z801" s="1"/>
  <c r="AH801" l="1"/>
  <c r="AF801"/>
  <c r="P802"/>
  <c r="AG801"/>
  <c r="AB802" l="1"/>
  <c r="U802"/>
  <c r="AH802" l="1"/>
  <c r="Z802"/>
  <c r="AA802"/>
  <c r="P803" l="1"/>
  <c r="AF802"/>
  <c r="AG802"/>
  <c r="AB803" l="1"/>
  <c r="U803"/>
  <c r="AH803" l="1"/>
  <c r="Z803"/>
  <c r="AA803"/>
  <c r="AG803" l="1"/>
  <c r="P804"/>
  <c r="AF803"/>
  <c r="AA804" l="1"/>
  <c r="AB804"/>
  <c r="U804"/>
  <c r="Z804" s="1"/>
  <c r="AG804" l="1"/>
  <c r="AH804"/>
  <c r="U805"/>
  <c r="AB805" s="1"/>
  <c r="P805"/>
  <c r="AA805" s="1"/>
  <c r="AF804"/>
  <c r="Z805"/>
  <c r="AH805" l="1"/>
  <c r="AG805"/>
  <c r="AF805"/>
  <c r="P806"/>
  <c r="Z806" l="1"/>
  <c r="AB806"/>
  <c r="U806"/>
  <c r="AA806" s="1"/>
  <c r="AF806" l="1"/>
  <c r="P807"/>
  <c r="X807" s="1"/>
  <c r="AH806"/>
  <c r="AG806"/>
  <c r="U807" l="1"/>
  <c r="Z807" l="1"/>
  <c r="AA807"/>
  <c r="AB807"/>
  <c r="P808" l="1"/>
  <c r="AF807"/>
  <c r="AH807"/>
  <c r="AB808"/>
  <c r="AH808" s="1"/>
  <c r="U808"/>
  <c r="Z808" s="1"/>
  <c r="AA808"/>
  <c r="AG808" s="1"/>
  <c r="AG807"/>
  <c r="AA809" l="1"/>
  <c r="AG809" s="1"/>
  <c r="U809"/>
  <c r="P809"/>
  <c r="AF808"/>
  <c r="AB809"/>
  <c r="Z809"/>
  <c r="AH809" l="1"/>
  <c r="AF809"/>
  <c r="P810"/>
  <c r="U810" s="1"/>
  <c r="Z810" s="1"/>
  <c r="AF810" l="1"/>
  <c r="AA810"/>
  <c r="AB810"/>
  <c r="AG810" l="1"/>
  <c r="P811"/>
  <c r="AH810"/>
  <c r="Z811" l="1"/>
  <c r="AF811" s="1"/>
  <c r="U811"/>
  <c r="AB811" s="1"/>
  <c r="AH811" s="1"/>
  <c r="AA811"/>
  <c r="AG811" l="1"/>
  <c r="P812"/>
  <c r="AB812" l="1"/>
  <c r="U812"/>
  <c r="AA812" s="1"/>
  <c r="Z812"/>
  <c r="AH812" l="1"/>
  <c r="AG812"/>
  <c r="AA813"/>
  <c r="AG813" s="1"/>
  <c r="AF812"/>
  <c r="P813"/>
  <c r="U813" s="1"/>
  <c r="Z813"/>
  <c r="AB813" l="1"/>
  <c r="P814" s="1"/>
  <c r="AF813"/>
  <c r="AA814" l="1"/>
  <c r="Z814"/>
  <c r="AH813"/>
  <c r="U814"/>
  <c r="AB814"/>
  <c r="AG814" l="1"/>
  <c r="P815"/>
  <c r="U815" s="1"/>
  <c r="AF814"/>
  <c r="AH814"/>
  <c r="AA815" l="1"/>
  <c r="Z815"/>
  <c r="AB815"/>
  <c r="AG815" l="1"/>
  <c r="AA816"/>
  <c r="AG816" s="1"/>
  <c r="AF815"/>
  <c r="P816"/>
  <c r="Z816"/>
  <c r="AH815"/>
  <c r="U816"/>
  <c r="AB816"/>
  <c r="AH816" l="1"/>
  <c r="P817"/>
  <c r="AF816"/>
  <c r="Z817" l="1"/>
  <c r="AF817" s="1"/>
  <c r="U817"/>
  <c r="AA817" l="1"/>
  <c r="AG817" s="1"/>
  <c r="AB817"/>
  <c r="AH817" s="1"/>
  <c r="P818" l="1"/>
  <c r="U818" l="1"/>
  <c r="Z818"/>
  <c r="AA818" l="1"/>
  <c r="AB818"/>
  <c r="AF818"/>
  <c r="AG818" l="1"/>
  <c r="AH818"/>
  <c r="P819"/>
  <c r="X819" l="1"/>
  <c r="Z819"/>
  <c r="U819"/>
  <c r="AF819" l="1"/>
  <c r="AA819"/>
  <c r="AB819"/>
  <c r="P820" l="1"/>
  <c r="AG819"/>
  <c r="AA820"/>
  <c r="AG820" s="1"/>
  <c r="AH819"/>
  <c r="U820"/>
  <c r="Z820" s="1"/>
  <c r="AB820"/>
  <c r="AA821" l="1"/>
  <c r="AG821" s="1"/>
  <c r="AF820"/>
  <c r="P821"/>
  <c r="AB821" s="1"/>
  <c r="AH821" s="1"/>
  <c r="Z821"/>
  <c r="AH820"/>
  <c r="U821"/>
  <c r="AF821" l="1"/>
  <c r="P822"/>
  <c r="AB822" l="1"/>
  <c r="AA822"/>
  <c r="AG822" s="1"/>
  <c r="U822"/>
  <c r="Z822" s="1"/>
  <c r="U823" l="1"/>
  <c r="Z823" s="1"/>
  <c r="AH822"/>
  <c r="AB823"/>
  <c r="P823"/>
  <c r="AA823" s="1"/>
  <c r="AG823" s="1"/>
  <c r="AF822"/>
  <c r="P824" l="1"/>
  <c r="AF823"/>
  <c r="AH823"/>
  <c r="AA824" l="1"/>
  <c r="U824"/>
  <c r="AG824" l="1"/>
  <c r="Z824"/>
  <c r="P825" s="1"/>
  <c r="AB824"/>
  <c r="AA825" l="1"/>
  <c r="AH824"/>
  <c r="U825"/>
  <c r="AB825"/>
  <c r="AH825" s="1"/>
  <c r="AF824"/>
  <c r="Z825"/>
  <c r="AA826" l="1"/>
  <c r="AG826" s="1"/>
  <c r="AG825"/>
  <c r="AB826"/>
  <c r="AH826" s="1"/>
  <c r="P826"/>
  <c r="U826" s="1"/>
  <c r="AF825"/>
  <c r="Z826"/>
  <c r="AF826" l="1"/>
  <c r="P827"/>
  <c r="U827" s="1"/>
  <c r="AB827" s="1"/>
  <c r="AH827" s="1"/>
  <c r="AA827" l="1"/>
  <c r="AG827" s="1"/>
  <c r="Z827"/>
  <c r="AF827" l="1"/>
  <c r="P828"/>
  <c r="U828" l="1"/>
  <c r="AB828"/>
  <c r="AH828" s="1"/>
  <c r="AA828" l="1"/>
  <c r="Z828"/>
  <c r="AG828" l="1"/>
  <c r="AF828"/>
  <c r="P829"/>
  <c r="U829" l="1"/>
  <c r="AB829"/>
  <c r="AH829" s="1"/>
  <c r="AA829" l="1"/>
  <c r="AG829" s="1"/>
  <c r="Z829"/>
  <c r="AF829" l="1"/>
  <c r="P830"/>
  <c r="AB830" l="1"/>
  <c r="U830"/>
  <c r="AA830" l="1"/>
  <c r="Z830"/>
  <c r="AH830"/>
  <c r="AF830" l="1"/>
  <c r="P831"/>
  <c r="AG830"/>
  <c r="X831" l="1"/>
  <c r="AB831"/>
  <c r="U831"/>
  <c r="AH831" l="1"/>
  <c r="Z831"/>
  <c r="AA831"/>
  <c r="AG831" l="1"/>
  <c r="P832"/>
  <c r="AF831"/>
  <c r="AB832" l="1"/>
  <c r="U832"/>
  <c r="AH832" l="1"/>
  <c r="Z832"/>
  <c r="AA832"/>
  <c r="AG832" l="1"/>
  <c r="AF832"/>
  <c r="P833"/>
  <c r="AB833" l="1"/>
  <c r="U833"/>
  <c r="AH833" l="1"/>
  <c r="Z833"/>
  <c r="AA833"/>
  <c r="AG833" l="1"/>
  <c r="P834"/>
  <c r="AF833"/>
  <c r="AB834" l="1"/>
  <c r="U834"/>
  <c r="AH834" l="1"/>
  <c r="Z834"/>
  <c r="AA834"/>
  <c r="AF834" l="1"/>
  <c r="P835"/>
  <c r="AG834"/>
  <c r="AB835" l="1"/>
  <c r="U835"/>
  <c r="Z835" l="1"/>
  <c r="AA835"/>
  <c r="AH835"/>
  <c r="P836" l="1"/>
  <c r="AF835"/>
  <c r="AG835"/>
  <c r="U836" l="1"/>
  <c r="AB836"/>
  <c r="Z836" l="1"/>
  <c r="AA836"/>
  <c r="AH836"/>
  <c r="P837" l="1"/>
  <c r="AF836"/>
  <c r="AG836"/>
  <c r="U837" l="1"/>
  <c r="AB837"/>
  <c r="Z837" l="1"/>
  <c r="AA837"/>
  <c r="AH837"/>
  <c r="P838" l="1"/>
  <c r="AF837"/>
  <c r="AG837"/>
  <c r="U838" l="1"/>
  <c r="AB838"/>
  <c r="Z838" l="1"/>
  <c r="AA838"/>
  <c r="AH838"/>
  <c r="AF838" l="1"/>
  <c r="P839"/>
  <c r="AG838"/>
  <c r="U839" l="1"/>
  <c r="AB839"/>
  <c r="Z839" l="1"/>
  <c r="AA839"/>
  <c r="AH839"/>
  <c r="P840" l="1"/>
  <c r="AF839"/>
  <c r="AG839"/>
  <c r="U840" l="1"/>
  <c r="AB840"/>
  <c r="Z840" l="1"/>
  <c r="AA840"/>
  <c r="AH840"/>
  <c r="AF840" l="1"/>
  <c r="P841"/>
  <c r="U841" s="1"/>
  <c r="AB841" s="1"/>
  <c r="Z841"/>
  <c r="AG840"/>
  <c r="AA841"/>
  <c r="AF841" l="1"/>
  <c r="P842"/>
  <c r="AA842"/>
  <c r="AG842" s="1"/>
  <c r="AH841"/>
  <c r="U842"/>
  <c r="Z842" s="1"/>
  <c r="AB842"/>
  <c r="AG841"/>
  <c r="P843" l="1"/>
  <c r="U843" s="1"/>
  <c r="Z843" s="1"/>
  <c r="AF842"/>
  <c r="AH842"/>
  <c r="AF843" l="1"/>
  <c r="X843"/>
  <c r="AB843"/>
  <c r="AA843"/>
  <c r="P844" s="1"/>
  <c r="AA844" l="1"/>
  <c r="Z844"/>
  <c r="U844"/>
  <c r="AH843"/>
  <c r="AB844"/>
  <c r="AG843"/>
  <c r="AH844" l="1"/>
  <c r="AG844"/>
  <c r="AF844"/>
  <c r="P845"/>
  <c r="AB845" l="1"/>
  <c r="U845"/>
  <c r="AH845" l="1"/>
  <c r="AA845"/>
  <c r="Z845"/>
  <c r="P846" l="1"/>
  <c r="AF845"/>
  <c r="AG845"/>
  <c r="AA846" l="1"/>
  <c r="AB846"/>
  <c r="U846"/>
  <c r="Z846" s="1"/>
  <c r="AG846" l="1"/>
  <c r="AH846"/>
  <c r="AF846"/>
  <c r="P847"/>
  <c r="U847" s="1"/>
  <c r="Z847"/>
  <c r="AB847" l="1"/>
  <c r="AF847"/>
  <c r="AA847"/>
  <c r="P848" s="1"/>
  <c r="AG847" l="1"/>
  <c r="AA848"/>
  <c r="AG848" s="1"/>
  <c r="AH847"/>
  <c r="U848"/>
  <c r="Z848" s="1"/>
  <c r="AB848"/>
  <c r="AH848" s="1"/>
  <c r="P849" l="1"/>
  <c r="U849" s="1"/>
  <c r="AF848"/>
  <c r="Z849"/>
  <c r="AF849" s="1"/>
  <c r="AB849"/>
  <c r="AA849"/>
  <c r="P850" l="1"/>
  <c r="U850" s="1"/>
  <c r="AG849"/>
  <c r="AH849"/>
  <c r="AA850" l="1"/>
  <c r="AG850" s="1"/>
  <c r="AB850"/>
  <c r="AH850" s="1"/>
  <c r="Z850"/>
  <c r="P851" l="1"/>
  <c r="AF850"/>
  <c r="AA851" l="1"/>
  <c r="AB851"/>
  <c r="U851"/>
  <c r="Z851" s="1"/>
  <c r="AG851" l="1"/>
  <c r="AH851"/>
  <c r="AF851"/>
  <c r="P852"/>
  <c r="AA852" l="1"/>
  <c r="AB852"/>
  <c r="U852"/>
  <c r="Z852" s="1"/>
  <c r="AG852" l="1"/>
  <c r="AH852"/>
  <c r="AF852"/>
  <c r="P853"/>
  <c r="AB853" l="1"/>
  <c r="Z853"/>
  <c r="U853"/>
  <c r="AA853"/>
  <c r="AH853" l="1"/>
  <c r="AF853"/>
  <c r="P854"/>
  <c r="U854" s="1"/>
  <c r="AG853"/>
  <c r="Z854" l="1"/>
  <c r="AB854"/>
  <c r="AA854"/>
  <c r="AF854" l="1"/>
  <c r="P855"/>
  <c r="X855" s="1"/>
  <c r="AH854"/>
  <c r="U855"/>
  <c r="AA855" s="1"/>
  <c r="AG855" s="1"/>
  <c r="AG854"/>
  <c r="AB855" l="1"/>
  <c r="AH855" s="1"/>
  <c r="Z855"/>
  <c r="AF855" s="1"/>
  <c r="P856" l="1"/>
  <c r="U856" s="1"/>
  <c r="AA856" s="1"/>
  <c r="Z856" l="1"/>
  <c r="AB856"/>
  <c r="AG856"/>
  <c r="AF856" l="1"/>
  <c r="P857"/>
  <c r="AH856"/>
  <c r="U857" l="1"/>
  <c r="AA857"/>
  <c r="AG857" l="1"/>
  <c r="AB857"/>
  <c r="Z857"/>
  <c r="P858" l="1"/>
  <c r="AF857"/>
  <c r="AH857"/>
  <c r="Z858" l="1"/>
  <c r="AB858"/>
  <c r="U858"/>
  <c r="AA858" s="1"/>
  <c r="P859" l="1"/>
  <c r="AF858"/>
  <c r="AH858"/>
  <c r="AG858"/>
  <c r="AB859" l="1"/>
  <c r="U859"/>
  <c r="AH859" l="1"/>
  <c r="Z859"/>
  <c r="AA859"/>
  <c r="P860" l="1"/>
  <c r="AG859"/>
  <c r="AF859"/>
  <c r="U860" l="1"/>
  <c r="AB860"/>
  <c r="AA860"/>
  <c r="Z860"/>
  <c r="AH860" l="1"/>
  <c r="AG860"/>
  <c r="AA861"/>
  <c r="AG861" s="1"/>
  <c r="AF860"/>
  <c r="P861"/>
  <c r="U861" s="1"/>
  <c r="Z861"/>
  <c r="AF861" l="1"/>
  <c r="AB861"/>
  <c r="AH861" l="1"/>
  <c r="P862"/>
  <c r="U862" l="1"/>
  <c r="AB862" s="1"/>
  <c r="Z862"/>
  <c r="AA862"/>
  <c r="AH862" l="1"/>
  <c r="AF862"/>
  <c r="P863"/>
  <c r="U863" s="1"/>
  <c r="AG862"/>
  <c r="AA863" l="1"/>
  <c r="Z863"/>
  <c r="AB863"/>
  <c r="AG863" l="1"/>
  <c r="AF863"/>
  <c r="P864"/>
  <c r="U864" s="1"/>
  <c r="AH863"/>
  <c r="AB864"/>
  <c r="Z864" l="1"/>
  <c r="AA864"/>
  <c r="AH864"/>
  <c r="AF864" l="1"/>
  <c r="P865"/>
  <c r="U865" s="1"/>
  <c r="AB865" s="1"/>
  <c r="Z865"/>
  <c r="AG864"/>
  <c r="AA865"/>
  <c r="AG865" s="1"/>
  <c r="P866" l="1"/>
  <c r="AF865"/>
  <c r="AH865"/>
  <c r="U866" l="1"/>
  <c r="AA866"/>
  <c r="Z866" l="1"/>
  <c r="AB866"/>
  <c r="AG866"/>
  <c r="AF866" l="1"/>
  <c r="P867"/>
  <c r="Z867"/>
  <c r="AH866"/>
  <c r="U867"/>
  <c r="AB867"/>
  <c r="AH867" l="1"/>
  <c r="X867"/>
  <c r="AA867"/>
  <c r="P868" s="1"/>
  <c r="U868" s="1"/>
  <c r="AB868" s="1"/>
  <c r="AF867"/>
  <c r="AH868" l="1"/>
  <c r="Z868"/>
  <c r="AG867"/>
  <c r="AA868"/>
  <c r="P869" l="1"/>
  <c r="AF868"/>
  <c r="AG868"/>
  <c r="AB869" l="1"/>
  <c r="U869"/>
  <c r="AH869" l="1"/>
  <c r="Z869"/>
  <c r="AA869"/>
  <c r="P870" l="1"/>
  <c r="AF869"/>
  <c r="AG869"/>
  <c r="U870" l="1"/>
  <c r="AB870"/>
  <c r="Z870" l="1"/>
  <c r="AA870"/>
  <c r="AH870"/>
  <c r="P871" l="1"/>
  <c r="AF870"/>
  <c r="AG870"/>
  <c r="U871" l="1"/>
  <c r="AB871"/>
  <c r="AA871" l="1"/>
  <c r="Z871"/>
  <c r="AH871"/>
  <c r="AG871" l="1"/>
  <c r="P872"/>
  <c r="AF871"/>
  <c r="U872" l="1"/>
  <c r="Z872" s="1"/>
  <c r="AB872"/>
  <c r="AA872"/>
  <c r="AF872" l="1"/>
  <c r="P873"/>
  <c r="Z873"/>
  <c r="AH872"/>
  <c r="U873"/>
  <c r="AB873"/>
  <c r="AG872"/>
  <c r="AA873"/>
  <c r="AG873" s="1"/>
  <c r="P874" l="1"/>
  <c r="AB874" s="1"/>
  <c r="AF873"/>
  <c r="U874"/>
  <c r="AA874" s="1"/>
  <c r="AG874" s="1"/>
  <c r="AH873"/>
  <c r="Z874"/>
  <c r="AH874" l="1"/>
  <c r="AF874"/>
  <c r="P875"/>
  <c r="U875" s="1"/>
  <c r="Z875" l="1"/>
  <c r="AA875"/>
  <c r="AB875"/>
  <c r="P876" l="1"/>
  <c r="AF875"/>
  <c r="AG875"/>
  <c r="AA876"/>
  <c r="AH875"/>
  <c r="U876"/>
  <c r="Z876" s="1"/>
  <c r="AB876"/>
  <c r="AH876" s="1"/>
  <c r="AG876" l="1"/>
  <c r="AB877"/>
  <c r="AH877" s="1"/>
  <c r="P877"/>
  <c r="U877" s="1"/>
  <c r="AF876"/>
  <c r="Z877" l="1"/>
  <c r="AA877"/>
  <c r="AF877" l="1"/>
  <c r="P878"/>
  <c r="AG877"/>
  <c r="U878" l="1"/>
  <c r="AB878"/>
  <c r="AA878" l="1"/>
  <c r="Z878"/>
  <c r="AH878"/>
  <c r="AG878" l="1"/>
  <c r="AF878"/>
  <c r="P879"/>
  <c r="X879" l="1"/>
  <c r="U879"/>
  <c r="Z879" s="1"/>
  <c r="AB879"/>
  <c r="AA879"/>
  <c r="AF879" l="1"/>
  <c r="P880"/>
  <c r="U880" s="1"/>
  <c r="AH879"/>
  <c r="AG879"/>
  <c r="Z880" l="1"/>
  <c r="AF880" s="1"/>
  <c r="AA880"/>
  <c r="AG880" s="1"/>
  <c r="AB880"/>
  <c r="AH880" s="1"/>
  <c r="P881" l="1"/>
  <c r="U881" s="1"/>
  <c r="Z881"/>
  <c r="AA881"/>
  <c r="AB881"/>
  <c r="AF881" l="1"/>
  <c r="P882"/>
  <c r="AG881"/>
  <c r="AA882"/>
  <c r="U882"/>
  <c r="Z882" s="1"/>
  <c r="AH881"/>
  <c r="AB882"/>
  <c r="AH882" l="1"/>
  <c r="P883"/>
  <c r="U883" s="1"/>
  <c r="AG882"/>
  <c r="AF882"/>
  <c r="AA883" l="1"/>
  <c r="Z883"/>
  <c r="AB883"/>
  <c r="AG883" l="1"/>
  <c r="AH883"/>
  <c r="P884"/>
  <c r="U884" s="1"/>
  <c r="AF883"/>
  <c r="AA884" l="1"/>
  <c r="AB884"/>
  <c r="Z884"/>
  <c r="AG884" l="1"/>
  <c r="AH884"/>
  <c r="P885"/>
  <c r="U885" s="1"/>
  <c r="AF884"/>
  <c r="Z885" l="1"/>
  <c r="AF885" s="1"/>
  <c r="AA885"/>
  <c r="AG885" s="1"/>
  <c r="AB885"/>
  <c r="AH885" s="1"/>
  <c r="P886" l="1"/>
  <c r="U886" s="1"/>
  <c r="Z886" l="1"/>
  <c r="P887" s="1"/>
  <c r="AB886"/>
  <c r="AH886" s="1"/>
  <c r="AA886"/>
  <c r="AG886" s="1"/>
  <c r="U887" l="1"/>
  <c r="AB887" s="1"/>
  <c r="AH887" s="1"/>
  <c r="Z887"/>
  <c r="P888" s="1"/>
  <c r="U888" s="1"/>
  <c r="AA887"/>
  <c r="AG887" s="1"/>
  <c r="AF886"/>
  <c r="AF887" l="1"/>
  <c r="Z888"/>
  <c r="AA888"/>
  <c r="AG888" s="1"/>
  <c r="AB888"/>
  <c r="AF888" l="1"/>
  <c r="P889"/>
  <c r="Z889"/>
  <c r="AH888"/>
  <c r="AB889"/>
  <c r="AH889" s="1"/>
  <c r="U889"/>
  <c r="AA889" s="1"/>
  <c r="AG889" s="1"/>
  <c r="AF889" l="1"/>
  <c r="P890"/>
  <c r="AA890" l="1"/>
  <c r="AG890" s="1"/>
  <c r="U890"/>
  <c r="Z890" l="1"/>
  <c r="AB890"/>
  <c r="P891" l="1"/>
  <c r="AF890"/>
  <c r="Z891"/>
  <c r="AH890"/>
  <c r="U891"/>
  <c r="AB891"/>
  <c r="AH891" s="1"/>
  <c r="X891" l="1"/>
  <c r="AA891"/>
  <c r="P892" s="1"/>
  <c r="AF891"/>
  <c r="U892" l="1"/>
  <c r="AB892"/>
  <c r="Z892"/>
  <c r="AA892"/>
  <c r="AG892" s="1"/>
  <c r="AG891"/>
  <c r="AH892" l="1"/>
  <c r="AF892"/>
  <c r="P893"/>
  <c r="U893" s="1"/>
  <c r="AA893" l="1"/>
  <c r="Z893"/>
  <c r="AB893"/>
  <c r="AG893" l="1"/>
  <c r="AH893"/>
  <c r="AF893"/>
  <c r="P894"/>
  <c r="U894" s="1"/>
  <c r="Z894" l="1"/>
  <c r="AA894"/>
  <c r="AB894"/>
  <c r="AF894" l="1"/>
  <c r="P895"/>
  <c r="AG894"/>
  <c r="AA895"/>
  <c r="AG895" s="1"/>
  <c r="AH894"/>
  <c r="AB895"/>
  <c r="AH895" s="1"/>
  <c r="U895"/>
  <c r="Z895" s="1"/>
  <c r="U896" l="1"/>
  <c r="AF895"/>
  <c r="P896"/>
  <c r="AB896"/>
  <c r="AA896"/>
  <c r="Z896"/>
  <c r="AH896" l="1"/>
  <c r="AG896"/>
  <c r="P897"/>
  <c r="AF896"/>
  <c r="AA897" l="1"/>
  <c r="U897"/>
  <c r="Z897" s="1"/>
  <c r="AB897"/>
  <c r="AG897" l="1"/>
  <c r="P898"/>
  <c r="AF897"/>
  <c r="Z898"/>
  <c r="AH897"/>
  <c r="U898"/>
  <c r="AA898" s="1"/>
  <c r="AB898"/>
  <c r="AG898" l="1"/>
  <c r="AH898"/>
  <c r="AF898"/>
  <c r="P899"/>
  <c r="AA899" l="1"/>
  <c r="U899"/>
  <c r="AG899" l="1"/>
  <c r="AB899"/>
  <c r="Z899"/>
  <c r="AH899" l="1"/>
  <c r="P900"/>
  <c r="AF899"/>
  <c r="U900" l="1"/>
  <c r="AA900"/>
  <c r="AG900" l="1"/>
  <c r="AB900"/>
  <c r="Z900"/>
  <c r="AF900" l="1"/>
  <c r="P901"/>
  <c r="U901" s="1"/>
  <c r="AH900"/>
  <c r="Z901" l="1"/>
  <c r="AF901" s="1"/>
  <c r="AB901"/>
  <c r="AH901" s="1"/>
  <c r="AA901"/>
  <c r="AG901" l="1"/>
  <c r="P902"/>
  <c r="AB902" l="1"/>
  <c r="U902"/>
  <c r="AA902" s="1"/>
  <c r="Z902"/>
  <c r="AG902" l="1"/>
  <c r="AH902"/>
  <c r="AF902"/>
  <c r="P903"/>
  <c r="X903" s="1"/>
  <c r="AA903" l="1"/>
  <c r="U903"/>
  <c r="AG903" l="1"/>
  <c r="Z903"/>
  <c r="AB903"/>
  <c r="P904" l="1"/>
  <c r="AF903"/>
  <c r="AH903"/>
  <c r="U904" l="1"/>
  <c r="AA904"/>
  <c r="AB904" l="1"/>
  <c r="Z904"/>
  <c r="AG904"/>
  <c r="AH904" l="1"/>
  <c r="AF904"/>
  <c r="P905"/>
  <c r="U905" l="1"/>
  <c r="AB905"/>
  <c r="AA905" l="1"/>
  <c r="Z905"/>
  <c r="AH905"/>
  <c r="AG905" l="1"/>
  <c r="AF905"/>
  <c r="P906"/>
  <c r="AA906" l="1"/>
  <c r="U906"/>
  <c r="Z906" s="1"/>
  <c r="AB906"/>
  <c r="AG906" l="1"/>
  <c r="P907"/>
  <c r="AF906"/>
  <c r="AH906"/>
  <c r="AA907" l="1"/>
  <c r="U907"/>
  <c r="AG907" l="1"/>
  <c r="AB907"/>
  <c r="Z907"/>
  <c r="AH907" l="1"/>
  <c r="AF907"/>
  <c r="P908"/>
  <c r="U908" s="1"/>
  <c r="Z908" s="1"/>
  <c r="AF908" l="1"/>
  <c r="AA908"/>
  <c r="AB908"/>
  <c r="AG908" l="1"/>
  <c r="P909"/>
  <c r="AH908"/>
  <c r="Z909" l="1"/>
  <c r="AF909" s="1"/>
  <c r="U909"/>
  <c r="AB909" s="1"/>
  <c r="AH909" s="1"/>
  <c r="AA909"/>
  <c r="AG909" l="1"/>
  <c r="P910"/>
  <c r="AA910" l="1"/>
  <c r="AB910"/>
  <c r="Z910"/>
  <c r="U910"/>
  <c r="AG910" l="1"/>
  <c r="AH910"/>
  <c r="AF910"/>
  <c r="P911"/>
  <c r="AB911" l="1"/>
  <c r="U911"/>
  <c r="Z911" s="1"/>
  <c r="AA911"/>
  <c r="AH911" l="1"/>
  <c r="AG911"/>
  <c r="AF911"/>
  <c r="P912"/>
  <c r="AB912" l="1"/>
  <c r="U912"/>
  <c r="Z912" s="1"/>
  <c r="AA912"/>
  <c r="AH912" l="1"/>
  <c r="AF912"/>
  <c r="P913"/>
  <c r="AG912"/>
  <c r="AB913" l="1"/>
  <c r="U913"/>
  <c r="AH913" l="1"/>
  <c r="Z913"/>
  <c r="AA913"/>
  <c r="AF913" l="1"/>
  <c r="P914"/>
  <c r="AG913"/>
  <c r="AB914" l="1"/>
  <c r="U914"/>
  <c r="Z914" l="1"/>
  <c r="AA914"/>
  <c r="AH914"/>
  <c r="AG914" l="1"/>
  <c r="P915"/>
  <c r="AF914"/>
  <c r="X915" l="1"/>
  <c r="U915"/>
  <c r="Z915" s="1"/>
  <c r="AB915"/>
  <c r="AA915"/>
  <c r="AF915" l="1"/>
  <c r="P916"/>
  <c r="U916" s="1"/>
  <c r="AH915"/>
  <c r="AG915"/>
  <c r="Z916" l="1"/>
  <c r="P917" s="1"/>
  <c r="AA916"/>
  <c r="AG916" s="1"/>
  <c r="AB916"/>
  <c r="AA917" l="1"/>
  <c r="AF916"/>
  <c r="AH916"/>
  <c r="U917"/>
  <c r="Z917" s="1"/>
  <c r="AF917" s="1"/>
  <c r="AB917" l="1"/>
  <c r="AG917"/>
  <c r="AH917" l="1"/>
  <c r="AB918"/>
  <c r="U918"/>
  <c r="Z918" s="1"/>
  <c r="P918"/>
  <c r="AA918" s="1"/>
  <c r="AH918" l="1"/>
  <c r="AF918"/>
  <c r="P919"/>
  <c r="U919" s="1"/>
  <c r="AG918"/>
  <c r="Z919" l="1"/>
  <c r="AA919"/>
  <c r="AB919"/>
  <c r="P920" l="1"/>
  <c r="U920" s="1"/>
  <c r="AF919"/>
  <c r="AG919"/>
  <c r="AH919"/>
  <c r="Z920" l="1"/>
  <c r="AF920" s="1"/>
  <c r="AA920"/>
  <c r="AG920" s="1"/>
  <c r="AB920"/>
  <c r="AH920" s="1"/>
  <c r="P921" l="1"/>
  <c r="AB921" l="1"/>
  <c r="AA921"/>
  <c r="U921"/>
  <c r="Z921" s="1"/>
  <c r="AH921" l="1"/>
  <c r="AG921"/>
  <c r="AA922"/>
  <c r="AG922" s="1"/>
  <c r="AF921"/>
  <c r="P922"/>
  <c r="U922" s="1"/>
  <c r="AB922" l="1"/>
  <c r="Z922"/>
  <c r="AH922" l="1"/>
  <c r="U923"/>
  <c r="AB923"/>
  <c r="AH923" s="1"/>
  <c r="P923"/>
  <c r="AA923" s="1"/>
  <c r="AG923" s="1"/>
  <c r="AF922"/>
  <c r="Z923"/>
  <c r="P924" s="1"/>
  <c r="U924" l="1"/>
  <c r="AB924" s="1"/>
  <c r="AH924" s="1"/>
  <c r="AA924"/>
  <c r="AG924" s="1"/>
  <c r="AF923"/>
  <c r="Z924"/>
  <c r="AF924" l="1"/>
  <c r="P925"/>
  <c r="U925" l="1"/>
  <c r="AB925"/>
  <c r="AA925" l="1"/>
  <c r="Z925"/>
  <c r="AH925"/>
  <c r="AG925" l="1"/>
  <c r="P926"/>
  <c r="AF925"/>
  <c r="U926" l="1"/>
  <c r="AB926"/>
  <c r="AH926" l="1"/>
  <c r="AA926"/>
  <c r="Z926"/>
  <c r="P927" l="1"/>
  <c r="AF926"/>
  <c r="AG926"/>
  <c r="X927" l="1"/>
  <c r="U927"/>
  <c r="AB927" l="1"/>
  <c r="AA927"/>
  <c r="Z927"/>
  <c r="AH927" l="1"/>
  <c r="P928"/>
  <c r="U928" s="1"/>
  <c r="AF927"/>
  <c r="Z928"/>
  <c r="AG927"/>
  <c r="AA928"/>
  <c r="AG928" l="1"/>
  <c r="AF928"/>
  <c r="AB928"/>
  <c r="AH928" l="1"/>
  <c r="P929"/>
  <c r="U929" s="1"/>
  <c r="AA929" s="1"/>
  <c r="AG929" l="1"/>
  <c r="Z929"/>
  <c r="AB929"/>
  <c r="AF929" l="1"/>
  <c r="P930"/>
  <c r="U930" s="1"/>
  <c r="AH929"/>
  <c r="Z930" l="1"/>
  <c r="AB930"/>
  <c r="AH930" s="1"/>
  <c r="AA930"/>
  <c r="P931" l="1"/>
  <c r="U931" s="1"/>
  <c r="AF930"/>
  <c r="AG930"/>
  <c r="Z931" l="1"/>
  <c r="AF931" s="1"/>
  <c r="AB931"/>
  <c r="AH931" s="1"/>
  <c r="AA931"/>
  <c r="P932" l="1"/>
  <c r="U932"/>
  <c r="AB932"/>
  <c r="Z932"/>
  <c r="AG931"/>
  <c r="AA932"/>
  <c r="AG932" l="1"/>
  <c r="AH932"/>
  <c r="AF932"/>
  <c r="P933"/>
  <c r="U933" s="1"/>
  <c r="Z933"/>
  <c r="AB933" l="1"/>
  <c r="AF933"/>
  <c r="AA933"/>
  <c r="AH933" l="1"/>
  <c r="AG933"/>
  <c r="P934"/>
  <c r="AB934" l="1"/>
  <c r="U934"/>
  <c r="Z934"/>
  <c r="AA934"/>
  <c r="AH934" l="1"/>
  <c r="P935"/>
  <c r="U935" s="1"/>
  <c r="AF934"/>
  <c r="Z935"/>
  <c r="AG934"/>
  <c r="AA935"/>
  <c r="AB935" l="1"/>
  <c r="P936" s="1"/>
  <c r="AF935"/>
  <c r="AG935"/>
  <c r="AA936" l="1"/>
  <c r="U936"/>
  <c r="Z936" s="1"/>
  <c r="AH935"/>
  <c r="AB936"/>
  <c r="P937" l="1"/>
  <c r="AG936"/>
  <c r="AF936"/>
  <c r="AH936"/>
  <c r="U937"/>
  <c r="AA937" s="1"/>
  <c r="AB937"/>
  <c r="AG937" l="1"/>
  <c r="AH937"/>
  <c r="Z937"/>
  <c r="P938" l="1"/>
  <c r="AF937"/>
  <c r="U938" l="1"/>
  <c r="Z938" s="1"/>
  <c r="AA938"/>
  <c r="AB938"/>
  <c r="AG938" l="1"/>
  <c r="AH938"/>
  <c r="P939"/>
  <c r="X939" s="1"/>
  <c r="AF938"/>
  <c r="U939" l="1"/>
  <c r="AA939"/>
  <c r="AG939" l="1"/>
  <c r="AB939"/>
  <c r="Z939"/>
  <c r="AF939" l="1"/>
  <c r="P940"/>
  <c r="AH939"/>
  <c r="U940" l="1"/>
  <c r="AA940"/>
  <c r="AG940" l="1"/>
  <c r="Z940"/>
  <c r="AB940"/>
  <c r="AH940" l="1"/>
  <c r="P941"/>
  <c r="AF940"/>
  <c r="AB941" l="1"/>
  <c r="U941"/>
  <c r="Z941"/>
  <c r="AA941"/>
  <c r="AH941" l="1"/>
  <c r="P942"/>
  <c r="AF941"/>
  <c r="AG941"/>
  <c r="AB942" l="1"/>
  <c r="U942"/>
  <c r="Z942" l="1"/>
  <c r="AA942"/>
  <c r="AH942"/>
  <c r="P943" l="1"/>
  <c r="U943" s="1"/>
  <c r="AB943" s="1"/>
  <c r="AF942"/>
  <c r="Z943"/>
  <c r="AG942"/>
  <c r="AA943"/>
  <c r="AG943" s="1"/>
  <c r="AH943" l="1"/>
  <c r="AF943"/>
  <c r="P944"/>
  <c r="AB944" l="1"/>
  <c r="U944"/>
  <c r="AH944" l="1"/>
  <c r="AA944"/>
  <c r="Z944"/>
  <c r="P945" l="1"/>
  <c r="AF944"/>
  <c r="AG944"/>
  <c r="AB945" l="1"/>
  <c r="U945"/>
  <c r="AH945" l="1"/>
  <c r="Z945"/>
  <c r="AA945"/>
  <c r="P946" l="1"/>
  <c r="AF945"/>
  <c r="AG945"/>
  <c r="AB946" l="1"/>
  <c r="U946"/>
  <c r="AH946" l="1"/>
  <c r="Z946"/>
  <c r="AA946"/>
  <c r="AF946" l="1"/>
  <c r="P947"/>
  <c r="AG946"/>
  <c r="Z947" l="1"/>
  <c r="AB947"/>
  <c r="U947"/>
  <c r="AA947" s="1"/>
  <c r="P948" l="1"/>
  <c r="U948" s="1"/>
  <c r="AF947"/>
  <c r="Z948"/>
  <c r="AH947"/>
  <c r="AB948"/>
  <c r="AG947"/>
  <c r="AA948"/>
  <c r="AH948" l="1"/>
  <c r="AF948"/>
  <c r="P949"/>
  <c r="U949" s="1"/>
  <c r="AG948"/>
  <c r="Z949" l="1"/>
  <c r="AA949"/>
  <c r="AB949"/>
  <c r="P950" l="1"/>
  <c r="U950" s="1"/>
  <c r="AF949"/>
  <c r="Z950"/>
  <c r="AG949"/>
  <c r="AA950"/>
  <c r="AH949"/>
  <c r="AB950"/>
  <c r="AH950" l="1"/>
  <c r="AG950"/>
  <c r="AF950"/>
  <c r="P951"/>
  <c r="X951" s="1"/>
  <c r="Z951" l="1"/>
  <c r="AA951"/>
  <c r="U951"/>
  <c r="AB951" s="1"/>
  <c r="AF951" l="1"/>
  <c r="AH951"/>
  <c r="P952"/>
  <c r="AG951"/>
  <c r="U952" l="1"/>
  <c r="AA952" s="1"/>
  <c r="Z952"/>
  <c r="AB952"/>
  <c r="AG952" l="1"/>
  <c r="AF952"/>
  <c r="P953"/>
  <c r="U953" s="1"/>
  <c r="AB953" s="1"/>
  <c r="AH952"/>
  <c r="Z953" l="1"/>
  <c r="AH953"/>
  <c r="AA953"/>
  <c r="AG953" l="1"/>
  <c r="P954"/>
  <c r="AF953"/>
  <c r="AA954" l="1"/>
  <c r="AB954"/>
  <c r="U954"/>
  <c r="Z954" s="1"/>
  <c r="AG954" l="1"/>
  <c r="AH954"/>
  <c r="AF954"/>
  <c r="P955"/>
  <c r="AA955" l="1"/>
  <c r="U955"/>
  <c r="Z955" s="1"/>
  <c r="AB955"/>
  <c r="AG955" l="1"/>
  <c r="P956"/>
  <c r="AF955"/>
  <c r="AH955"/>
  <c r="U956"/>
  <c r="AA956" s="1"/>
  <c r="AB956"/>
  <c r="AH956" l="1"/>
  <c r="AG956"/>
  <c r="Z956"/>
  <c r="P957" l="1"/>
  <c r="AF956"/>
  <c r="Z957" l="1"/>
  <c r="AA957"/>
  <c r="U957"/>
  <c r="AB957" s="1"/>
  <c r="AF957" l="1"/>
  <c r="AH957"/>
  <c r="P958"/>
  <c r="U958" s="1"/>
  <c r="AG957"/>
  <c r="AA958" l="1"/>
  <c r="AB958"/>
  <c r="Z958"/>
  <c r="AG958" l="1"/>
  <c r="AH958"/>
  <c r="AF958"/>
  <c r="P959"/>
  <c r="U959" s="1"/>
  <c r="Z959" s="1"/>
  <c r="AF959" l="1"/>
  <c r="AA959"/>
  <c r="AB959"/>
  <c r="AG959" l="1"/>
  <c r="AH959"/>
  <c r="P960"/>
  <c r="AA960" l="1"/>
  <c r="U960"/>
  <c r="Z960"/>
  <c r="AB960"/>
  <c r="AG960" l="1"/>
  <c r="AF960"/>
  <c r="P961"/>
  <c r="U961" s="1"/>
  <c r="AB961" s="1"/>
  <c r="Z961"/>
  <c r="AH960"/>
  <c r="AF961" l="1"/>
  <c r="AA961"/>
  <c r="AH961"/>
  <c r="AG961" l="1"/>
  <c r="P962"/>
  <c r="U962" l="1"/>
  <c r="Z962"/>
  <c r="AB962"/>
  <c r="AA962"/>
  <c r="AF962" l="1"/>
  <c r="P963"/>
  <c r="X963" s="1"/>
  <c r="AH962"/>
  <c r="AG962"/>
  <c r="U963" l="1"/>
  <c r="Z963" l="1"/>
  <c r="AA963"/>
  <c r="AB963"/>
  <c r="P964" l="1"/>
  <c r="AF963"/>
  <c r="AG963"/>
  <c r="AA964"/>
  <c r="AG964" s="1"/>
  <c r="AB964"/>
  <c r="AH964" s="1"/>
  <c r="U964"/>
  <c r="Z964" s="1"/>
  <c r="AH963"/>
  <c r="AF964" l="1"/>
  <c r="P965"/>
  <c r="U965" l="1"/>
  <c r="AA965"/>
  <c r="AG965" s="1"/>
  <c r="Z965" l="1"/>
  <c r="AB965"/>
  <c r="AF965" l="1"/>
  <c r="P966"/>
  <c r="AA966" s="1"/>
  <c r="AG966" s="1"/>
  <c r="Z966"/>
  <c r="AH965"/>
  <c r="U966"/>
  <c r="AB966" s="1"/>
  <c r="AH966" s="1"/>
  <c r="AF966" l="1"/>
  <c r="P967"/>
  <c r="U967" s="1"/>
  <c r="AA967" l="1"/>
  <c r="AG967" s="1"/>
  <c r="AB967"/>
  <c r="AH967" s="1"/>
  <c r="Z967"/>
  <c r="AF967" s="1"/>
  <c r="P968" l="1"/>
  <c r="U968" s="1"/>
  <c r="AB968" s="1"/>
  <c r="AH968" l="1"/>
  <c r="Z968"/>
  <c r="AA968"/>
  <c r="AG968" l="1"/>
  <c r="AF968"/>
  <c r="P969"/>
  <c r="U969" s="1"/>
  <c r="AB969" s="1"/>
  <c r="Z969"/>
  <c r="AH969" l="1"/>
  <c r="AF969"/>
  <c r="AA969"/>
  <c r="AG969" l="1"/>
  <c r="P970"/>
  <c r="AA970" l="1"/>
  <c r="AB970"/>
  <c r="Z970"/>
  <c r="U970"/>
  <c r="AG970" l="1"/>
  <c r="AH970"/>
  <c r="AF970"/>
  <c r="P971"/>
  <c r="U971" s="1"/>
  <c r="Z971" s="1"/>
  <c r="AF971" l="1"/>
  <c r="AB971"/>
  <c r="AA971"/>
  <c r="P972" s="1"/>
  <c r="AH971" l="1"/>
  <c r="U972"/>
  <c r="Z972" s="1"/>
  <c r="AB972"/>
  <c r="AG971"/>
  <c r="AA972"/>
  <c r="AG972" l="1"/>
  <c r="AF972"/>
  <c r="P973"/>
  <c r="AA973" s="1"/>
  <c r="AH972"/>
  <c r="U973"/>
  <c r="Z973" s="1"/>
  <c r="AB973"/>
  <c r="AG973" l="1"/>
  <c r="P974"/>
  <c r="AA974" s="1"/>
  <c r="AF973"/>
  <c r="Z974"/>
  <c r="AH973"/>
  <c r="U974"/>
  <c r="AB974"/>
  <c r="AG974" l="1"/>
  <c r="AH974"/>
  <c r="P975"/>
  <c r="X975" s="1"/>
  <c r="AF974"/>
  <c r="U975" l="1"/>
  <c r="AA975"/>
  <c r="Z975" l="1"/>
  <c r="AB975"/>
  <c r="AG975"/>
  <c r="P976" l="1"/>
  <c r="U976" s="1"/>
  <c r="AF975"/>
  <c r="AH975"/>
  <c r="Z976" l="1"/>
  <c r="AF976" s="1"/>
  <c r="AB976"/>
  <c r="AH976" s="1"/>
  <c r="AA976"/>
  <c r="P977" l="1"/>
  <c r="U977"/>
  <c r="Z977" s="1"/>
  <c r="AB977"/>
  <c r="AG976"/>
  <c r="AA977"/>
  <c r="AF977" l="1"/>
  <c r="AH977"/>
  <c r="P978"/>
  <c r="AG977"/>
  <c r="AB978" l="1"/>
  <c r="U978"/>
  <c r="AA978" s="1"/>
  <c r="Z978"/>
  <c r="AH978" l="1"/>
  <c r="AG978"/>
  <c r="AF978"/>
  <c r="P979"/>
  <c r="AB979" l="1"/>
  <c r="U979"/>
  <c r="AH979" l="1"/>
  <c r="AA979"/>
  <c r="Z979"/>
  <c r="P980" l="1"/>
  <c r="AF979"/>
  <c r="AG979"/>
  <c r="AB980" l="1"/>
  <c r="U980"/>
  <c r="AH980" l="1"/>
  <c r="Z980"/>
  <c r="AA980"/>
  <c r="AF980" l="1"/>
  <c r="P981"/>
  <c r="AG980"/>
  <c r="U981" l="1"/>
  <c r="AB981"/>
  <c r="AA981" l="1"/>
  <c r="Z981"/>
  <c r="AH981"/>
  <c r="AG981" l="1"/>
  <c r="AF981"/>
  <c r="P982"/>
  <c r="U982" s="1"/>
  <c r="AB982" s="1"/>
  <c r="Z982"/>
  <c r="AH982" l="1"/>
  <c r="AF982"/>
  <c r="AA982"/>
  <c r="AG982" l="1"/>
  <c r="P983"/>
  <c r="AA983" l="1"/>
  <c r="AB983"/>
  <c r="Z983"/>
  <c r="U983"/>
  <c r="AG983" l="1"/>
  <c r="AH983"/>
  <c r="AF983"/>
  <c r="P984"/>
  <c r="AB984" l="1"/>
  <c r="U984"/>
  <c r="AA984" l="1"/>
  <c r="Z984"/>
  <c r="AH984"/>
  <c r="AG984" l="1"/>
  <c r="P985"/>
  <c r="AF984"/>
  <c r="AA985" l="1"/>
  <c r="U985"/>
  <c r="Z985" s="1"/>
  <c r="AB985"/>
  <c r="AF985" l="1"/>
  <c r="P986"/>
  <c r="U986" s="1"/>
  <c r="AH985"/>
  <c r="AG985"/>
  <c r="Z986" l="1"/>
  <c r="AA986"/>
  <c r="AB986"/>
  <c r="AH986" s="1"/>
  <c r="P987" l="1"/>
  <c r="AF986"/>
  <c r="X987"/>
  <c r="AB987"/>
  <c r="AH987" s="1"/>
  <c r="Z987"/>
  <c r="U987"/>
  <c r="AA987"/>
  <c r="AG987" s="1"/>
  <c r="AG986"/>
  <c r="AF987" l="1"/>
  <c r="P988"/>
  <c r="U988" l="1"/>
  <c r="AA988"/>
  <c r="AG988" s="1"/>
  <c r="AB988" l="1"/>
  <c r="AH988" s="1"/>
  <c r="Z988"/>
  <c r="AF988" l="1"/>
  <c r="P989"/>
  <c r="AA989" l="1"/>
  <c r="AG989" s="1"/>
  <c r="U989"/>
  <c r="Z989" s="1"/>
  <c r="AB989"/>
  <c r="P990" l="1"/>
  <c r="U990" s="1"/>
  <c r="AF989"/>
  <c r="AH989"/>
  <c r="Z990" l="1"/>
  <c r="AF990" s="1"/>
  <c r="AB990"/>
  <c r="AA990"/>
  <c r="AA991" l="1"/>
  <c r="AH990"/>
  <c r="U991"/>
  <c r="Z991" s="1"/>
  <c r="AF991" s="1"/>
  <c r="P991"/>
  <c r="AB991" s="1"/>
  <c r="AG990"/>
  <c r="P992" l="1"/>
  <c r="U992" s="1"/>
  <c r="AH991"/>
  <c r="AG991"/>
  <c r="AA992" l="1"/>
  <c r="AG992" s="1"/>
  <c r="Z992"/>
  <c r="AF992" s="1"/>
  <c r="AB992"/>
  <c r="AH992" s="1"/>
  <c r="P993" l="1"/>
  <c r="U993" s="1"/>
  <c r="Z993" l="1"/>
  <c r="AF993" s="1"/>
  <c r="AB993"/>
  <c r="AA993"/>
  <c r="AG993" s="1"/>
  <c r="U994" l="1"/>
  <c r="AA994" s="1"/>
  <c r="AG994" s="1"/>
  <c r="P994"/>
  <c r="AB994" s="1"/>
  <c r="AH994" s="1"/>
  <c r="AH993"/>
  <c r="Z994"/>
  <c r="AF994" l="1"/>
  <c r="P995"/>
  <c r="AB995" l="1"/>
  <c r="U995"/>
  <c r="Z995" s="1"/>
  <c r="AA995"/>
  <c r="AH995" l="1"/>
  <c r="P996"/>
  <c r="AF995"/>
  <c r="AG995"/>
  <c r="AB996" l="1"/>
  <c r="U996"/>
  <c r="AH996" l="1"/>
  <c r="Z996"/>
  <c r="AA996"/>
  <c r="AG996" l="1"/>
  <c r="AF996"/>
  <c r="P997"/>
  <c r="AB997" l="1"/>
  <c r="U997"/>
  <c r="Z997" s="1"/>
  <c r="AA997"/>
  <c r="AH997" l="1"/>
  <c r="P998"/>
  <c r="AF997"/>
  <c r="AG997"/>
  <c r="AB998" l="1"/>
  <c r="U998"/>
  <c r="AH998" l="1"/>
  <c r="Z998"/>
  <c r="AA998"/>
  <c r="AF998" l="1"/>
  <c r="P999"/>
  <c r="AG998"/>
  <c r="X999" l="1"/>
  <c r="AB999"/>
  <c r="U999"/>
  <c r="AH999" l="1"/>
  <c r="AA999"/>
  <c r="Z999"/>
  <c r="AG999" l="1"/>
  <c r="AF999"/>
  <c r="P1000"/>
  <c r="AB1000" l="1"/>
  <c r="U1000"/>
  <c r="AH1000" l="1"/>
  <c r="AA1000"/>
  <c r="Z1000"/>
  <c r="AF1000" l="1"/>
  <c r="P1001"/>
  <c r="AG1000"/>
  <c r="U1001" l="1"/>
  <c r="AB1001"/>
  <c r="AA1001" l="1"/>
  <c r="Z1001"/>
  <c r="AH1001"/>
  <c r="AG1001" l="1"/>
  <c r="AF1001"/>
  <c r="P1002"/>
  <c r="U1002" l="1"/>
  <c r="AB1002"/>
  <c r="AA1002" l="1"/>
  <c r="Z1002"/>
  <c r="AH1002"/>
  <c r="AG1002" l="1"/>
  <c r="P1003"/>
  <c r="AF1002"/>
  <c r="U1003" l="1"/>
  <c r="AB1003"/>
  <c r="AA1003" l="1"/>
  <c r="Z1003"/>
  <c r="AH1003"/>
  <c r="AG1003" l="1"/>
  <c r="P1004"/>
  <c r="AF1003"/>
  <c r="U1004" l="1"/>
  <c r="AB1004"/>
  <c r="AA1004" l="1"/>
  <c r="Z1004"/>
  <c r="AH1004"/>
  <c r="AG1004" l="1"/>
  <c r="P1005"/>
  <c r="AF1004"/>
  <c r="AA1005" l="1"/>
  <c r="U1005"/>
  <c r="Z1005" s="1"/>
  <c r="AB1005"/>
  <c r="AG1005" l="1"/>
  <c r="AF1005"/>
  <c r="P1006"/>
  <c r="U1006" s="1"/>
  <c r="AH1005"/>
  <c r="Z1006" l="1"/>
  <c r="AB1006"/>
  <c r="AH1006" s="1"/>
  <c r="AA1006"/>
  <c r="AG1006" s="1"/>
  <c r="Z1007" l="1"/>
  <c r="AF1007" s="1"/>
  <c r="P1007"/>
  <c r="U1007" s="1"/>
  <c r="AF1006"/>
  <c r="AA1007"/>
  <c r="AB1007"/>
  <c r="P1008" l="1"/>
  <c r="U1008" s="1"/>
  <c r="AG1007"/>
  <c r="AH1007"/>
  <c r="AA1008" l="1"/>
  <c r="AG1008" s="1"/>
  <c r="AB1008"/>
  <c r="AH1008" s="1"/>
  <c r="Z1008"/>
  <c r="P1009" l="1"/>
  <c r="AF1008"/>
  <c r="U1009" l="1"/>
  <c r="Z1009" s="1"/>
  <c r="AA1009"/>
  <c r="AB1009"/>
  <c r="AF1009" l="1"/>
  <c r="P1010"/>
  <c r="U1010" s="1"/>
  <c r="Z1010"/>
  <c r="AG1009"/>
  <c r="AA1010"/>
  <c r="AH1009"/>
  <c r="AB1010"/>
  <c r="AH1010" l="1"/>
  <c r="AF1010"/>
  <c r="P1011"/>
  <c r="X1011" s="1"/>
  <c r="AG1010"/>
  <c r="U1011" l="1"/>
  <c r="D96" i="6"/>
  <c r="C110"/>
  <c r="C111"/>
  <c r="E96"/>
  <c r="C96"/>
  <c r="AB1011" i="1" l="1"/>
  <c r="Z1011"/>
  <c r="AA1011"/>
  <c r="E102" i="6"/>
  <c r="E99"/>
  <c r="E97"/>
  <c r="E101" s="1"/>
  <c r="C102"/>
  <c r="C99"/>
  <c r="C97"/>
  <c r="C101" s="1"/>
  <c r="D102"/>
  <c r="D99"/>
  <c r="D97"/>
  <c r="D101" s="1"/>
  <c r="C114"/>
  <c r="D114"/>
  <c r="E114"/>
  <c r="B114"/>
  <c r="AH1011" i="1" l="1"/>
  <c r="AF1011"/>
  <c r="P1012"/>
  <c r="U1012" s="1"/>
  <c r="AG1011"/>
  <c r="C100" i="6"/>
  <c r="AJ5" i="1"/>
  <c r="AJ6"/>
  <c r="AJ4"/>
  <c r="AJ7"/>
  <c r="AJ8"/>
  <c r="AJ9"/>
  <c r="AJ10"/>
  <c r="AJ11"/>
  <c r="AJ12"/>
  <c r="AJ13"/>
  <c r="AJ14"/>
  <c r="AJ15"/>
  <c r="AJ16"/>
  <c r="AJ17"/>
  <c r="AJ18"/>
  <c r="AJ19"/>
  <c r="AJ20"/>
  <c r="AJ21"/>
  <c r="AJ22"/>
  <c r="AJ23"/>
  <c r="AJ24"/>
  <c r="AJ25"/>
  <c r="AJ26"/>
  <c r="AJ27"/>
  <c r="AJ28"/>
  <c r="AJ29"/>
  <c r="AJ30"/>
  <c r="AJ31"/>
  <c r="AJ32"/>
  <c r="AJ33"/>
  <c r="AJ34"/>
  <c r="AJ35"/>
  <c r="AJ36"/>
  <c r="AJ37"/>
  <c r="AJ38"/>
  <c r="AJ39"/>
  <c r="AJ40"/>
  <c r="AJ41"/>
  <c r="AJ42"/>
  <c r="AJ43"/>
  <c r="AJ44"/>
  <c r="AJ45"/>
  <c r="AJ46"/>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J128"/>
  <c r="AJ129"/>
  <c r="AJ130"/>
  <c r="AJ131"/>
  <c r="AJ132"/>
  <c r="AJ133"/>
  <c r="AJ134"/>
  <c r="AJ135"/>
  <c r="AJ136"/>
  <c r="AJ137"/>
  <c r="AJ138"/>
  <c r="AJ139"/>
  <c r="AJ140"/>
  <c r="AJ141"/>
  <c r="AJ142"/>
  <c r="AJ143"/>
  <c r="AJ144"/>
  <c r="AJ145"/>
  <c r="AJ146"/>
  <c r="AJ147"/>
  <c r="AJ148"/>
  <c r="AJ149"/>
  <c r="AJ150"/>
  <c r="AJ151"/>
  <c r="AJ152"/>
  <c r="AJ153"/>
  <c r="AJ154"/>
  <c r="AJ155"/>
  <c r="AJ156"/>
  <c r="AJ157"/>
  <c r="AJ158"/>
  <c r="AJ159"/>
  <c r="AJ160"/>
  <c r="AJ161"/>
  <c r="AJ162"/>
  <c r="AJ163"/>
  <c r="AJ164"/>
  <c r="AJ165"/>
  <c r="AJ166"/>
  <c r="AJ167"/>
  <c r="AJ168"/>
  <c r="AJ169"/>
  <c r="AJ170"/>
  <c r="AJ171"/>
  <c r="AJ172"/>
  <c r="AJ173"/>
  <c r="AJ174"/>
  <c r="AJ175"/>
  <c r="AJ176"/>
  <c r="AJ177"/>
  <c r="AJ178"/>
  <c r="AJ179"/>
  <c r="AJ180"/>
  <c r="AJ181"/>
  <c r="AJ182"/>
  <c r="AJ183"/>
  <c r="AJ184"/>
  <c r="AJ185"/>
  <c r="AJ186"/>
  <c r="AJ187"/>
  <c r="AJ188"/>
  <c r="AJ189"/>
  <c r="AJ190"/>
  <c r="AJ191"/>
  <c r="AJ192"/>
  <c r="AJ193"/>
  <c r="AJ194"/>
  <c r="AJ195"/>
  <c r="AJ196"/>
  <c r="AJ197"/>
  <c r="AJ198"/>
  <c r="AJ199"/>
  <c r="AJ200"/>
  <c r="AJ201"/>
  <c r="AJ202"/>
  <c r="AJ203"/>
  <c r="AJ204"/>
  <c r="AJ205"/>
  <c r="AJ206"/>
  <c r="AJ207"/>
  <c r="AJ208"/>
  <c r="AJ209"/>
  <c r="AJ210"/>
  <c r="AJ211"/>
  <c r="AJ212"/>
  <c r="AJ213"/>
  <c r="AJ214"/>
  <c r="AJ215"/>
  <c r="AJ216"/>
  <c r="AJ217"/>
  <c r="AJ218"/>
  <c r="AJ219"/>
  <c r="AJ220"/>
  <c r="AJ221"/>
  <c r="AJ222"/>
  <c r="AJ223"/>
  <c r="AJ224"/>
  <c r="AJ225"/>
  <c r="AJ226"/>
  <c r="AJ227"/>
  <c r="AJ228"/>
  <c r="AJ229"/>
  <c r="AJ230"/>
  <c r="AJ231"/>
  <c r="AJ232"/>
  <c r="AJ233"/>
  <c r="AJ234"/>
  <c r="AJ235"/>
  <c r="AJ236"/>
  <c r="AJ237"/>
  <c r="AJ238"/>
  <c r="AJ239"/>
  <c r="AJ240"/>
  <c r="AJ241"/>
  <c r="AJ242"/>
  <c r="AJ243"/>
  <c r="AJ244"/>
  <c r="AJ245"/>
  <c r="AJ246"/>
  <c r="AJ247"/>
  <c r="AJ248"/>
  <c r="AJ249"/>
  <c r="AJ250"/>
  <c r="AJ251"/>
  <c r="AJ252"/>
  <c r="AJ253"/>
  <c r="AJ254"/>
  <c r="AJ255"/>
  <c r="AJ256"/>
  <c r="AJ257"/>
  <c r="AJ258"/>
  <c r="AJ259"/>
  <c r="AJ260"/>
  <c r="AJ261"/>
  <c r="AJ262"/>
  <c r="AJ263"/>
  <c r="AJ264"/>
  <c r="AJ265"/>
  <c r="AJ266"/>
  <c r="AJ267"/>
  <c r="AJ268"/>
  <c r="AJ269"/>
  <c r="AJ270"/>
  <c r="AJ271"/>
  <c r="AJ272"/>
  <c r="AJ273"/>
  <c r="AJ274"/>
  <c r="AJ275"/>
  <c r="AJ276"/>
  <c r="AJ277"/>
  <c r="AJ278"/>
  <c r="AJ279"/>
  <c r="AJ280"/>
  <c r="AJ281"/>
  <c r="AJ282"/>
  <c r="AJ283"/>
  <c r="AJ284"/>
  <c r="AJ285"/>
  <c r="AJ286"/>
  <c r="AJ287"/>
  <c r="AJ288"/>
  <c r="AJ289"/>
  <c r="AJ290"/>
  <c r="AJ291"/>
  <c r="AJ292"/>
  <c r="AJ293"/>
  <c r="AJ294"/>
  <c r="AJ295"/>
  <c r="AJ296"/>
  <c r="AJ297"/>
  <c r="AJ298"/>
  <c r="AJ299"/>
  <c r="AJ300"/>
  <c r="AJ301"/>
  <c r="AJ302"/>
  <c r="AJ303"/>
  <c r="AJ304"/>
  <c r="AJ305"/>
  <c r="AJ306"/>
  <c r="AJ307"/>
  <c r="AJ308"/>
  <c r="AJ309"/>
  <c r="AJ310"/>
  <c r="AJ311"/>
  <c r="AJ312"/>
  <c r="AJ313"/>
  <c r="AJ314"/>
  <c r="AJ315"/>
  <c r="AJ316"/>
  <c r="AJ317"/>
  <c r="AJ318"/>
  <c r="AJ319"/>
  <c r="AJ320"/>
  <c r="AJ321"/>
  <c r="AJ322"/>
  <c r="AJ323"/>
  <c r="AJ324"/>
  <c r="AJ325"/>
  <c r="AJ326"/>
  <c r="AJ327"/>
  <c r="AJ328"/>
  <c r="AJ329"/>
  <c r="AJ330"/>
  <c r="AJ331"/>
  <c r="AJ332"/>
  <c r="AJ333"/>
  <c r="AJ334"/>
  <c r="AJ335"/>
  <c r="AJ336"/>
  <c r="AJ337"/>
  <c r="AJ338"/>
  <c r="AJ339"/>
  <c r="AJ340"/>
  <c r="AJ341"/>
  <c r="AJ342"/>
  <c r="AJ343"/>
  <c r="AJ344"/>
  <c r="AJ345"/>
  <c r="AJ346"/>
  <c r="AJ347"/>
  <c r="AJ348"/>
  <c r="AJ349"/>
  <c r="AJ350"/>
  <c r="AJ351"/>
  <c r="AJ352"/>
  <c r="AJ353"/>
  <c r="AJ354"/>
  <c r="AJ355"/>
  <c r="AJ356"/>
  <c r="AJ357"/>
  <c r="AJ358"/>
  <c r="AJ359"/>
  <c r="AJ360"/>
  <c r="AJ361"/>
  <c r="AJ362"/>
  <c r="AJ363"/>
  <c r="AJ364"/>
  <c r="AJ365"/>
  <c r="AJ366"/>
  <c r="AJ367"/>
  <c r="AJ368"/>
  <c r="AJ369"/>
  <c r="AJ370"/>
  <c r="AJ371"/>
  <c r="AJ372"/>
  <c r="AJ373"/>
  <c r="AJ374"/>
  <c r="AJ375"/>
  <c r="AJ376"/>
  <c r="AJ377"/>
  <c r="AJ378"/>
  <c r="AJ379"/>
  <c r="AJ380"/>
  <c r="AJ381"/>
  <c r="AJ382"/>
  <c r="AJ383"/>
  <c r="AJ384"/>
  <c r="AJ385"/>
  <c r="AJ386"/>
  <c r="AJ387"/>
  <c r="AJ388"/>
  <c r="AJ389"/>
  <c r="AJ390"/>
  <c r="AJ391"/>
  <c r="AJ392"/>
  <c r="AJ393"/>
  <c r="AJ394"/>
  <c r="AJ395"/>
  <c r="AJ396"/>
  <c r="AJ397"/>
  <c r="AJ398"/>
  <c r="AJ399"/>
  <c r="AJ400"/>
  <c r="AJ401"/>
  <c r="AJ402"/>
  <c r="AJ403"/>
  <c r="AJ404"/>
  <c r="AJ405"/>
  <c r="AJ406"/>
  <c r="AJ407"/>
  <c r="AJ408"/>
  <c r="AJ409"/>
  <c r="AJ410"/>
  <c r="AJ411"/>
  <c r="AJ412"/>
  <c r="AJ413"/>
  <c r="AJ414"/>
  <c r="AJ415"/>
  <c r="AJ416"/>
  <c r="AJ417"/>
  <c r="AJ418"/>
  <c r="AJ419"/>
  <c r="AJ420"/>
  <c r="AJ421"/>
  <c r="AJ422"/>
  <c r="AJ423"/>
  <c r="AJ424"/>
  <c r="AJ425"/>
  <c r="AJ426"/>
  <c r="AJ427"/>
  <c r="AJ428"/>
  <c r="AJ429"/>
  <c r="AJ430"/>
  <c r="AJ431"/>
  <c r="AJ432"/>
  <c r="AJ433"/>
  <c r="AJ434"/>
  <c r="AJ435"/>
  <c r="AJ436"/>
  <c r="AJ437"/>
  <c r="AJ438"/>
  <c r="AJ439"/>
  <c r="AJ440"/>
  <c r="AJ441"/>
  <c r="AJ442"/>
  <c r="AJ443"/>
  <c r="AJ444"/>
  <c r="AJ445"/>
  <c r="AJ446"/>
  <c r="AJ447"/>
  <c r="AJ448"/>
  <c r="AJ449"/>
  <c r="AJ450"/>
  <c r="AJ451"/>
  <c r="AJ452"/>
  <c r="AJ453"/>
  <c r="AJ454"/>
  <c r="AJ455"/>
  <c r="AJ456"/>
  <c r="AJ457"/>
  <c r="AJ458"/>
  <c r="AJ459"/>
  <c r="AJ460"/>
  <c r="AJ461"/>
  <c r="AJ462"/>
  <c r="AJ463"/>
  <c r="AJ464"/>
  <c r="AJ465"/>
  <c r="AJ466"/>
  <c r="AJ467"/>
  <c r="AJ468"/>
  <c r="AJ469"/>
  <c r="AJ470"/>
  <c r="AJ471"/>
  <c r="AJ472"/>
  <c r="AJ473"/>
  <c r="AJ474"/>
  <c r="AJ475"/>
  <c r="AJ476"/>
  <c r="AJ477"/>
  <c r="AJ478"/>
  <c r="AJ479"/>
  <c r="AJ480"/>
  <c r="AJ481"/>
  <c r="AJ482"/>
  <c r="AJ483"/>
  <c r="AJ484"/>
  <c r="AJ485"/>
  <c r="AJ486"/>
  <c r="AJ487"/>
  <c r="AJ488"/>
  <c r="AJ489"/>
  <c r="AJ490"/>
  <c r="AJ491"/>
  <c r="AJ492"/>
  <c r="AJ493"/>
  <c r="AJ494"/>
  <c r="AJ495"/>
  <c r="AJ496"/>
  <c r="AJ497"/>
  <c r="AJ498"/>
  <c r="AJ499"/>
  <c r="AJ500"/>
  <c r="AJ501"/>
  <c r="AJ502"/>
  <c r="AJ503"/>
  <c r="AJ504"/>
  <c r="AJ505"/>
  <c r="AJ506"/>
  <c r="AJ507"/>
  <c r="AJ508"/>
  <c r="AJ509"/>
  <c r="AJ510"/>
  <c r="AJ511"/>
  <c r="AJ512"/>
  <c r="AJ513"/>
  <c r="AJ514"/>
  <c r="AJ515"/>
  <c r="AJ516"/>
  <c r="AJ517"/>
  <c r="AJ518"/>
  <c r="AJ519"/>
  <c r="AJ520"/>
  <c r="AJ521"/>
  <c r="AJ522"/>
  <c r="AJ523"/>
  <c r="AJ524"/>
  <c r="AJ525"/>
  <c r="AJ526"/>
  <c r="AJ527"/>
  <c r="AJ528"/>
  <c r="AJ529"/>
  <c r="AJ530"/>
  <c r="AJ531"/>
  <c r="AJ532"/>
  <c r="AJ533"/>
  <c r="AJ534"/>
  <c r="AJ535"/>
  <c r="AJ536"/>
  <c r="AJ537"/>
  <c r="AJ538"/>
  <c r="AJ539"/>
  <c r="AJ540"/>
  <c r="AJ541"/>
  <c r="AJ542"/>
  <c r="AJ543"/>
  <c r="AJ544"/>
  <c r="AJ545"/>
  <c r="AJ546"/>
  <c r="AJ547"/>
  <c r="AJ548"/>
  <c r="AJ549"/>
  <c r="AJ550"/>
  <c r="AJ551"/>
  <c r="AJ552"/>
  <c r="AJ553"/>
  <c r="AJ554"/>
  <c r="AJ555"/>
  <c r="AJ556"/>
  <c r="AJ557"/>
  <c r="AJ558"/>
  <c r="AJ559"/>
  <c r="AJ560"/>
  <c r="AJ561"/>
  <c r="AJ562"/>
  <c r="AJ563"/>
  <c r="AJ564"/>
  <c r="AJ565"/>
  <c r="AJ566"/>
  <c r="AJ567"/>
  <c r="AJ568"/>
  <c r="AJ569"/>
  <c r="AJ570"/>
  <c r="AJ571"/>
  <c r="AJ572"/>
  <c r="AJ573"/>
  <c r="AJ574"/>
  <c r="AJ575"/>
  <c r="AJ576"/>
  <c r="AJ577"/>
  <c r="AJ578"/>
  <c r="AJ579"/>
  <c r="AJ580"/>
  <c r="AJ581"/>
  <c r="AJ582"/>
  <c r="AJ583"/>
  <c r="AJ584"/>
  <c r="AJ585"/>
  <c r="AJ586"/>
  <c r="AJ587"/>
  <c r="AJ588"/>
  <c r="AJ589"/>
  <c r="AJ590"/>
  <c r="AJ591"/>
  <c r="AJ592"/>
  <c r="AJ593"/>
  <c r="AJ594"/>
  <c r="AJ595"/>
  <c r="AJ596"/>
  <c r="AJ597"/>
  <c r="AJ598"/>
  <c r="AJ599"/>
  <c r="AJ600"/>
  <c r="AJ601"/>
  <c r="AJ602"/>
  <c r="AJ603"/>
  <c r="AJ604"/>
  <c r="AJ605"/>
  <c r="AJ606"/>
  <c r="AJ607"/>
  <c r="AJ608"/>
  <c r="AJ609"/>
  <c r="AJ610"/>
  <c r="AJ611"/>
  <c r="AJ612"/>
  <c r="AJ613"/>
  <c r="AJ614"/>
  <c r="AJ615"/>
  <c r="AJ616"/>
  <c r="AJ617"/>
  <c r="AJ618"/>
  <c r="AJ619"/>
  <c r="AJ620"/>
  <c r="AJ621"/>
  <c r="AJ622"/>
  <c r="AJ623"/>
  <c r="AJ624"/>
  <c r="AJ625"/>
  <c r="AJ626"/>
  <c r="AJ627"/>
  <c r="AJ628"/>
  <c r="AJ629"/>
  <c r="AJ630"/>
  <c r="AJ631"/>
  <c r="AJ632"/>
  <c r="AJ633"/>
  <c r="AJ634"/>
  <c r="AJ635"/>
  <c r="AJ636"/>
  <c r="AJ637"/>
  <c r="AJ638"/>
  <c r="AJ639"/>
  <c r="AJ640"/>
  <c r="AJ641"/>
  <c r="AJ642"/>
  <c r="AJ643"/>
  <c r="AJ644"/>
  <c r="AJ645"/>
  <c r="AJ646"/>
  <c r="AJ647"/>
  <c r="AJ648"/>
  <c r="AJ649"/>
  <c r="AJ650"/>
  <c r="AJ651"/>
  <c r="AJ652"/>
  <c r="AJ653"/>
  <c r="AJ654"/>
  <c r="AJ655"/>
  <c r="AJ656"/>
  <c r="AJ657"/>
  <c r="AJ658"/>
  <c r="AJ659"/>
  <c r="AJ660"/>
  <c r="AJ661"/>
  <c r="AJ662"/>
  <c r="AJ663"/>
  <c r="AJ664"/>
  <c r="AJ665"/>
  <c r="AJ666"/>
  <c r="AJ667"/>
  <c r="AJ668"/>
  <c r="AJ669"/>
  <c r="AJ670"/>
  <c r="AJ671"/>
  <c r="AJ672"/>
  <c r="AJ673"/>
  <c r="AJ674"/>
  <c r="AJ675"/>
  <c r="C112" i="6"/>
  <c r="E100"/>
  <c r="AL5" i="1"/>
  <c r="AL4"/>
  <c r="AL6"/>
  <c r="AL7"/>
  <c r="AL8"/>
  <c r="AL9"/>
  <c r="AL10"/>
  <c r="AL11"/>
  <c r="AL12"/>
  <c r="AL13"/>
  <c r="AL14"/>
  <c r="AL15"/>
  <c r="AL16"/>
  <c r="AL17"/>
  <c r="AL18"/>
  <c r="AL19"/>
  <c r="AL20"/>
  <c r="AL21"/>
  <c r="AL22"/>
  <c r="AL23"/>
  <c r="AL24"/>
  <c r="AL25"/>
  <c r="AL26"/>
  <c r="AL27"/>
  <c r="AL28"/>
  <c r="AL29"/>
  <c r="AL30"/>
  <c r="AL31"/>
  <c r="AL32"/>
  <c r="AL33"/>
  <c r="AL34"/>
  <c r="AL35"/>
  <c r="AL36"/>
  <c r="AL37"/>
  <c r="AL38"/>
  <c r="AL39"/>
  <c r="AL40"/>
  <c r="AL41"/>
  <c r="AL42"/>
  <c r="AL43"/>
  <c r="AL44"/>
  <c r="AL45"/>
  <c r="AL46"/>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L128"/>
  <c r="AL129"/>
  <c r="AL130"/>
  <c r="AL131"/>
  <c r="AL132"/>
  <c r="AL133"/>
  <c r="AL134"/>
  <c r="AL135"/>
  <c r="AL136"/>
  <c r="AL137"/>
  <c r="AL138"/>
  <c r="AL139"/>
  <c r="AL140"/>
  <c r="AL141"/>
  <c r="AL142"/>
  <c r="AL143"/>
  <c r="AL144"/>
  <c r="AL145"/>
  <c r="AL146"/>
  <c r="AL147"/>
  <c r="AL148"/>
  <c r="AL149"/>
  <c r="AL150"/>
  <c r="AL151"/>
  <c r="AL152"/>
  <c r="AL153"/>
  <c r="AL154"/>
  <c r="AL155"/>
  <c r="AL156"/>
  <c r="AL157"/>
  <c r="AL158"/>
  <c r="AL159"/>
  <c r="AL160"/>
  <c r="AL161"/>
  <c r="AL162"/>
  <c r="AL163"/>
  <c r="AL164"/>
  <c r="AL165"/>
  <c r="AL166"/>
  <c r="AL167"/>
  <c r="AL168"/>
  <c r="AL169"/>
  <c r="AL170"/>
  <c r="AL171"/>
  <c r="AL172"/>
  <c r="AL173"/>
  <c r="AL174"/>
  <c r="AL175"/>
  <c r="AL176"/>
  <c r="AL177"/>
  <c r="AL178"/>
  <c r="AL179"/>
  <c r="AL180"/>
  <c r="AL181"/>
  <c r="AL182"/>
  <c r="AL183"/>
  <c r="AL184"/>
  <c r="AL185"/>
  <c r="AL186"/>
  <c r="AL187"/>
  <c r="AL188"/>
  <c r="AL189"/>
  <c r="AL190"/>
  <c r="AL191"/>
  <c r="AL192"/>
  <c r="AL193"/>
  <c r="AL194"/>
  <c r="AL195"/>
  <c r="AL196"/>
  <c r="AL197"/>
  <c r="AL198"/>
  <c r="AL199"/>
  <c r="AL200"/>
  <c r="AL201"/>
  <c r="AL202"/>
  <c r="AL203"/>
  <c r="AL204"/>
  <c r="AL205"/>
  <c r="AL206"/>
  <c r="AL207"/>
  <c r="AL208"/>
  <c r="AL209"/>
  <c r="AL210"/>
  <c r="AL211"/>
  <c r="AL212"/>
  <c r="AL213"/>
  <c r="AL214"/>
  <c r="AL215"/>
  <c r="AL216"/>
  <c r="AL217"/>
  <c r="AL218"/>
  <c r="AL219"/>
  <c r="AL220"/>
  <c r="AL221"/>
  <c r="AL222"/>
  <c r="AL223"/>
  <c r="AL224"/>
  <c r="AL225"/>
  <c r="AL226"/>
  <c r="AL227"/>
  <c r="AL228"/>
  <c r="AL229"/>
  <c r="AL230"/>
  <c r="AL231"/>
  <c r="AL232"/>
  <c r="AL233"/>
  <c r="AL234"/>
  <c r="AL235"/>
  <c r="AL236"/>
  <c r="AL237"/>
  <c r="AL238"/>
  <c r="AL239"/>
  <c r="AL240"/>
  <c r="AL241"/>
  <c r="AL242"/>
  <c r="AL243"/>
  <c r="AL244"/>
  <c r="AL245"/>
  <c r="AL246"/>
  <c r="AL247"/>
  <c r="AL248"/>
  <c r="AL249"/>
  <c r="AL250"/>
  <c r="AL251"/>
  <c r="AL252"/>
  <c r="AL253"/>
  <c r="AL254"/>
  <c r="AL255"/>
  <c r="AL256"/>
  <c r="AL257"/>
  <c r="AL258"/>
  <c r="AL259"/>
  <c r="AL260"/>
  <c r="AL261"/>
  <c r="AL262"/>
  <c r="AL263"/>
  <c r="AL264"/>
  <c r="AL265"/>
  <c r="AL266"/>
  <c r="AL267"/>
  <c r="AL268"/>
  <c r="AL269"/>
  <c r="AL270"/>
  <c r="AL271"/>
  <c r="AL272"/>
  <c r="AL273"/>
  <c r="AL274"/>
  <c r="AL275"/>
  <c r="AL276"/>
  <c r="AL277"/>
  <c r="AL278"/>
  <c r="AL279"/>
  <c r="AL280"/>
  <c r="AL281"/>
  <c r="AL282"/>
  <c r="AL283"/>
  <c r="AL284"/>
  <c r="AL285"/>
  <c r="AL286"/>
  <c r="AL287"/>
  <c r="AL288"/>
  <c r="AL289"/>
  <c r="AL290"/>
  <c r="AL291"/>
  <c r="AL292"/>
  <c r="AL293"/>
  <c r="AL294"/>
  <c r="AL295"/>
  <c r="AL296"/>
  <c r="AL297"/>
  <c r="AL298"/>
  <c r="AL299"/>
  <c r="AL300"/>
  <c r="AL301"/>
  <c r="AL302"/>
  <c r="AL303"/>
  <c r="AL304"/>
  <c r="AL305"/>
  <c r="AL306"/>
  <c r="AL307"/>
  <c r="AL308"/>
  <c r="AL309"/>
  <c r="AL310"/>
  <c r="AL311"/>
  <c r="AL312"/>
  <c r="AL313"/>
  <c r="AL314"/>
  <c r="AL315"/>
  <c r="AL316"/>
  <c r="AL317"/>
  <c r="AL318"/>
  <c r="AL319"/>
  <c r="AL320"/>
  <c r="AL321"/>
  <c r="AL322"/>
  <c r="AL323"/>
  <c r="AL324"/>
  <c r="AL325"/>
  <c r="AL326"/>
  <c r="AL327"/>
  <c r="AL328"/>
  <c r="AL329"/>
  <c r="AL330"/>
  <c r="AL331"/>
  <c r="AL332"/>
  <c r="AL333"/>
  <c r="AL334"/>
  <c r="AL335"/>
  <c r="AL336"/>
  <c r="AL337"/>
  <c r="AL338"/>
  <c r="AL339"/>
  <c r="AL340"/>
  <c r="AL341"/>
  <c r="AL342"/>
  <c r="AL343"/>
  <c r="AL344"/>
  <c r="AL345"/>
  <c r="AL346"/>
  <c r="AL347"/>
  <c r="AL348"/>
  <c r="AL349"/>
  <c r="AL350"/>
  <c r="AL351"/>
  <c r="AL352"/>
  <c r="AL353"/>
  <c r="AL354"/>
  <c r="AL355"/>
  <c r="AL356"/>
  <c r="AL357"/>
  <c r="AL358"/>
  <c r="AL359"/>
  <c r="AL360"/>
  <c r="AL361"/>
  <c r="AL362"/>
  <c r="AL363"/>
  <c r="AL364"/>
  <c r="AL365"/>
  <c r="AL366"/>
  <c r="AL367"/>
  <c r="AL368"/>
  <c r="AL369"/>
  <c r="AL370"/>
  <c r="AL371"/>
  <c r="AL372"/>
  <c r="AL373"/>
  <c r="AL374"/>
  <c r="AL375"/>
  <c r="AL376"/>
  <c r="AL377"/>
  <c r="AL378"/>
  <c r="AL379"/>
  <c r="AL380"/>
  <c r="AL381"/>
  <c r="AL382"/>
  <c r="AL383"/>
  <c r="AL384"/>
  <c r="AL385"/>
  <c r="AL386"/>
  <c r="AL387"/>
  <c r="AL388"/>
  <c r="AL389"/>
  <c r="AL390"/>
  <c r="AL391"/>
  <c r="AL392"/>
  <c r="AL393"/>
  <c r="AL394"/>
  <c r="AL395"/>
  <c r="AL396"/>
  <c r="AL397"/>
  <c r="AL398"/>
  <c r="AL399"/>
  <c r="AL400"/>
  <c r="AL401"/>
  <c r="AL402"/>
  <c r="AL403"/>
  <c r="AL404"/>
  <c r="AL405"/>
  <c r="AL406"/>
  <c r="AL407"/>
  <c r="AL408"/>
  <c r="AL409"/>
  <c r="AL410"/>
  <c r="AL411"/>
  <c r="AL412"/>
  <c r="AL413"/>
  <c r="AL414"/>
  <c r="AL415"/>
  <c r="AL416"/>
  <c r="AL417"/>
  <c r="AL418"/>
  <c r="AL419"/>
  <c r="AL420"/>
  <c r="AL421"/>
  <c r="AL422"/>
  <c r="AL423"/>
  <c r="AL424"/>
  <c r="AL425"/>
  <c r="AL426"/>
  <c r="AL427"/>
  <c r="AL428"/>
  <c r="AL429"/>
  <c r="AL430"/>
  <c r="AL431"/>
  <c r="AL432"/>
  <c r="AL433"/>
  <c r="AL434"/>
  <c r="AL435"/>
  <c r="AL436"/>
  <c r="AL437"/>
  <c r="AL438"/>
  <c r="AL439"/>
  <c r="AL440"/>
  <c r="AL441"/>
  <c r="AL442"/>
  <c r="AL443"/>
  <c r="AL444"/>
  <c r="AL445"/>
  <c r="AL446"/>
  <c r="AL447"/>
  <c r="AL448"/>
  <c r="AL449"/>
  <c r="AL450"/>
  <c r="AL451"/>
  <c r="AL452"/>
  <c r="AL453"/>
  <c r="AL454"/>
  <c r="AL455"/>
  <c r="AL456"/>
  <c r="AL457"/>
  <c r="AL458"/>
  <c r="AL459"/>
  <c r="AL460"/>
  <c r="AL461"/>
  <c r="AL462"/>
  <c r="AL463"/>
  <c r="AL464"/>
  <c r="AL465"/>
  <c r="AL466"/>
  <c r="AL467"/>
  <c r="AL468"/>
  <c r="AL469"/>
  <c r="AL470"/>
  <c r="AL471"/>
  <c r="AL472"/>
  <c r="AL473"/>
  <c r="AL474"/>
  <c r="AL475"/>
  <c r="AL476"/>
  <c r="AL477"/>
  <c r="AL478"/>
  <c r="AL479"/>
  <c r="AL480"/>
  <c r="AL481"/>
  <c r="AL482"/>
  <c r="AL483"/>
  <c r="AL484"/>
  <c r="AL485"/>
  <c r="AL486"/>
  <c r="AL487"/>
  <c r="AL488"/>
  <c r="AL489"/>
  <c r="AL490"/>
  <c r="AL491"/>
  <c r="AL492"/>
  <c r="AL493"/>
  <c r="AL494"/>
  <c r="AL495"/>
  <c r="AL496"/>
  <c r="AL497"/>
  <c r="AL498"/>
  <c r="AL499"/>
  <c r="AL500"/>
  <c r="AL501"/>
  <c r="AL502"/>
  <c r="AL503"/>
  <c r="AL504"/>
  <c r="AL505"/>
  <c r="AL506"/>
  <c r="AL507"/>
  <c r="AL508"/>
  <c r="AL509"/>
  <c r="AL510"/>
  <c r="AL511"/>
  <c r="AL512"/>
  <c r="AL513"/>
  <c r="AL514"/>
  <c r="AL515"/>
  <c r="AL516"/>
  <c r="AL517"/>
  <c r="AL518"/>
  <c r="AL519"/>
  <c r="AL520"/>
  <c r="AL521"/>
  <c r="AL522"/>
  <c r="AL523"/>
  <c r="AL524"/>
  <c r="AL525"/>
  <c r="AL526"/>
  <c r="AL527"/>
  <c r="AL528"/>
  <c r="AL529"/>
  <c r="AL530"/>
  <c r="AL531"/>
  <c r="AL532"/>
  <c r="AL533"/>
  <c r="AL534"/>
  <c r="AL535"/>
  <c r="AL536"/>
  <c r="AL537"/>
  <c r="AL538"/>
  <c r="AL539"/>
  <c r="AL540"/>
  <c r="AL541"/>
  <c r="AL542"/>
  <c r="AL543"/>
  <c r="AL544"/>
  <c r="AL545"/>
  <c r="AL546"/>
  <c r="AL547"/>
  <c r="AL548"/>
  <c r="AL549"/>
  <c r="AL550"/>
  <c r="AL551"/>
  <c r="AL552"/>
  <c r="AL553"/>
  <c r="AL554"/>
  <c r="AL555"/>
  <c r="AL556"/>
  <c r="AL557"/>
  <c r="AL558"/>
  <c r="AL559"/>
  <c r="AL560"/>
  <c r="AL561"/>
  <c r="AL562"/>
  <c r="AL563"/>
  <c r="AL564"/>
  <c r="AL565"/>
  <c r="AL566"/>
  <c r="AL567"/>
  <c r="AL568"/>
  <c r="AL569"/>
  <c r="AL570"/>
  <c r="AL571"/>
  <c r="AL572"/>
  <c r="AL573"/>
  <c r="AL574"/>
  <c r="AL575"/>
  <c r="AL576"/>
  <c r="AL577"/>
  <c r="AL578"/>
  <c r="AL579"/>
  <c r="AL580"/>
  <c r="AL581"/>
  <c r="AL582"/>
  <c r="AL583"/>
  <c r="AL584"/>
  <c r="AL585"/>
  <c r="AL586"/>
  <c r="AL587"/>
  <c r="AL588"/>
  <c r="AL589"/>
  <c r="AL590"/>
  <c r="AL591"/>
  <c r="AL592"/>
  <c r="AL593"/>
  <c r="AL594"/>
  <c r="AL595"/>
  <c r="AL596"/>
  <c r="AL597"/>
  <c r="AL598"/>
  <c r="AL599"/>
  <c r="AL600"/>
  <c r="AL601"/>
  <c r="AL602"/>
  <c r="AL603"/>
  <c r="AL604"/>
  <c r="AL605"/>
  <c r="AL606"/>
  <c r="AL607"/>
  <c r="AL608"/>
  <c r="AL609"/>
  <c r="AL610"/>
  <c r="AL611"/>
  <c r="AL612"/>
  <c r="AL613"/>
  <c r="AL614"/>
  <c r="AL615"/>
  <c r="AL616"/>
  <c r="AL617"/>
  <c r="AL618"/>
  <c r="AL619"/>
  <c r="AL620"/>
  <c r="AL621"/>
  <c r="AL622"/>
  <c r="AL623"/>
  <c r="AL624"/>
  <c r="AL625"/>
  <c r="AL626"/>
  <c r="AL627"/>
  <c r="AL628"/>
  <c r="AL629"/>
  <c r="AL630"/>
  <c r="AL631"/>
  <c r="AL632"/>
  <c r="AL633"/>
  <c r="AL634"/>
  <c r="AL635"/>
  <c r="AL636"/>
  <c r="AL637"/>
  <c r="AL638"/>
  <c r="AL639"/>
  <c r="AL640"/>
  <c r="AL641"/>
  <c r="AL642"/>
  <c r="AL643"/>
  <c r="AL644"/>
  <c r="AL645"/>
  <c r="AL646"/>
  <c r="AL647"/>
  <c r="AL648"/>
  <c r="AL649"/>
  <c r="AL650"/>
  <c r="AL651"/>
  <c r="AL652"/>
  <c r="AL653"/>
  <c r="AL654"/>
  <c r="AL655"/>
  <c r="AL656"/>
  <c r="AL657"/>
  <c r="AL658"/>
  <c r="AL659"/>
  <c r="AL660"/>
  <c r="AL661"/>
  <c r="AL662"/>
  <c r="AL663"/>
  <c r="AL664"/>
  <c r="AL665"/>
  <c r="AL666"/>
  <c r="AL667"/>
  <c r="AL668"/>
  <c r="AL669"/>
  <c r="AL670"/>
  <c r="AL671"/>
  <c r="AL672"/>
  <c r="AL673"/>
  <c r="AL674"/>
  <c r="AL675"/>
  <c r="D100" i="6"/>
  <c r="AK6" i="1"/>
  <c r="AK4"/>
  <c r="AM4" s="1"/>
  <c r="AI4" s="1"/>
  <c r="AK5"/>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5"/>
  <c r="AK306"/>
  <c r="AK307"/>
  <c r="AK308"/>
  <c r="AK309"/>
  <c r="AK310"/>
  <c r="AK311"/>
  <c r="AK312"/>
  <c r="AK313"/>
  <c r="AK314"/>
  <c r="AK315"/>
  <c r="AK316"/>
  <c r="AK317"/>
  <c r="AK318"/>
  <c r="AK319"/>
  <c r="AK320"/>
  <c r="AK321"/>
  <c r="AK322"/>
  <c r="AK323"/>
  <c r="AK324"/>
  <c r="AK325"/>
  <c r="AK326"/>
  <c r="AK327"/>
  <c r="AK328"/>
  <c r="AK329"/>
  <c r="AK330"/>
  <c r="AK331"/>
  <c r="AK332"/>
  <c r="AK333"/>
  <c r="AK334"/>
  <c r="AK335"/>
  <c r="AK336"/>
  <c r="AK337"/>
  <c r="AK338"/>
  <c r="AK339"/>
  <c r="AK340"/>
  <c r="AK341"/>
  <c r="AK342"/>
  <c r="AK343"/>
  <c r="AK344"/>
  <c r="AK345"/>
  <c r="AK346"/>
  <c r="AK347"/>
  <c r="AK348"/>
  <c r="AK349"/>
  <c r="AK350"/>
  <c r="AK351"/>
  <c r="AK352"/>
  <c r="AK353"/>
  <c r="AK354"/>
  <c r="AK355"/>
  <c r="AK356"/>
  <c r="AK357"/>
  <c r="AK358"/>
  <c r="AK359"/>
  <c r="AK360"/>
  <c r="AK361"/>
  <c r="AK362"/>
  <c r="AK363"/>
  <c r="AK364"/>
  <c r="AK365"/>
  <c r="AK366"/>
  <c r="AK367"/>
  <c r="AK368"/>
  <c r="AK369"/>
  <c r="AK370"/>
  <c r="AK371"/>
  <c r="AK372"/>
  <c r="AK373"/>
  <c r="AK374"/>
  <c r="AK375"/>
  <c r="AK376"/>
  <c r="AK377"/>
  <c r="AK378"/>
  <c r="AK379"/>
  <c r="AK380"/>
  <c r="AK381"/>
  <c r="AK382"/>
  <c r="AK383"/>
  <c r="AK384"/>
  <c r="AK385"/>
  <c r="AK386"/>
  <c r="AK387"/>
  <c r="AK388"/>
  <c r="AK389"/>
  <c r="AK390"/>
  <c r="AK391"/>
  <c r="AK392"/>
  <c r="AK393"/>
  <c r="AK394"/>
  <c r="AK395"/>
  <c r="AK396"/>
  <c r="AK397"/>
  <c r="AK398"/>
  <c r="AK399"/>
  <c r="AK400"/>
  <c r="AK401"/>
  <c r="AK402"/>
  <c r="AK403"/>
  <c r="AK404"/>
  <c r="AK405"/>
  <c r="AK406"/>
  <c r="AK407"/>
  <c r="AK408"/>
  <c r="AK409"/>
  <c r="AK410"/>
  <c r="AK411"/>
  <c r="AK412"/>
  <c r="AK413"/>
  <c r="AK414"/>
  <c r="AK415"/>
  <c r="AK416"/>
  <c r="AK417"/>
  <c r="AK418"/>
  <c r="AK419"/>
  <c r="AK420"/>
  <c r="AK421"/>
  <c r="AK422"/>
  <c r="AK423"/>
  <c r="AK424"/>
  <c r="AK425"/>
  <c r="AK426"/>
  <c r="AK427"/>
  <c r="AK428"/>
  <c r="AK429"/>
  <c r="AK430"/>
  <c r="AK431"/>
  <c r="AK432"/>
  <c r="AK433"/>
  <c r="AK434"/>
  <c r="AK435"/>
  <c r="AK436"/>
  <c r="AK437"/>
  <c r="AK438"/>
  <c r="AK439"/>
  <c r="AK440"/>
  <c r="AK441"/>
  <c r="AK442"/>
  <c r="AK443"/>
  <c r="AK444"/>
  <c r="AK445"/>
  <c r="AK446"/>
  <c r="AK447"/>
  <c r="AK448"/>
  <c r="AK449"/>
  <c r="AK450"/>
  <c r="AK451"/>
  <c r="AK452"/>
  <c r="AK453"/>
  <c r="AK454"/>
  <c r="AK455"/>
  <c r="AK456"/>
  <c r="AK457"/>
  <c r="AK458"/>
  <c r="AK459"/>
  <c r="AK460"/>
  <c r="AK461"/>
  <c r="AK462"/>
  <c r="AK463"/>
  <c r="AK464"/>
  <c r="AK465"/>
  <c r="AK466"/>
  <c r="AK467"/>
  <c r="AK468"/>
  <c r="AK469"/>
  <c r="AK470"/>
  <c r="AK471"/>
  <c r="AK472"/>
  <c r="AK473"/>
  <c r="AK474"/>
  <c r="AK475"/>
  <c r="AK476"/>
  <c r="AK477"/>
  <c r="AK478"/>
  <c r="AK479"/>
  <c r="AK480"/>
  <c r="AK481"/>
  <c r="AK482"/>
  <c r="AK483"/>
  <c r="AK484"/>
  <c r="AK485"/>
  <c r="AK486"/>
  <c r="AK487"/>
  <c r="AK488"/>
  <c r="AK489"/>
  <c r="AK490"/>
  <c r="AK491"/>
  <c r="AK492"/>
  <c r="AK493"/>
  <c r="AK494"/>
  <c r="AK495"/>
  <c r="AK496"/>
  <c r="AK497"/>
  <c r="AK498"/>
  <c r="AK499"/>
  <c r="AK500"/>
  <c r="AK501"/>
  <c r="AK502"/>
  <c r="AK503"/>
  <c r="AK504"/>
  <c r="AK505"/>
  <c r="AK506"/>
  <c r="AK507"/>
  <c r="AK508"/>
  <c r="AK509"/>
  <c r="AK510"/>
  <c r="AK511"/>
  <c r="AK512"/>
  <c r="AK513"/>
  <c r="AK514"/>
  <c r="AK515"/>
  <c r="AK516"/>
  <c r="AK517"/>
  <c r="AK518"/>
  <c r="AK519"/>
  <c r="AK520"/>
  <c r="AK521"/>
  <c r="AK522"/>
  <c r="AK523"/>
  <c r="AK524"/>
  <c r="AK525"/>
  <c r="AK526"/>
  <c r="AK527"/>
  <c r="AK528"/>
  <c r="AK529"/>
  <c r="AK530"/>
  <c r="AK531"/>
  <c r="AK532"/>
  <c r="AK533"/>
  <c r="AK534"/>
  <c r="AK535"/>
  <c r="AK536"/>
  <c r="AK537"/>
  <c r="AK538"/>
  <c r="AK539"/>
  <c r="AK540"/>
  <c r="AK541"/>
  <c r="AK542"/>
  <c r="AK543"/>
  <c r="AK544"/>
  <c r="AK545"/>
  <c r="AK546"/>
  <c r="AK547"/>
  <c r="AK548"/>
  <c r="AK549"/>
  <c r="AK550"/>
  <c r="AK551"/>
  <c r="AK552"/>
  <c r="AK553"/>
  <c r="AK554"/>
  <c r="AK555"/>
  <c r="AK556"/>
  <c r="AK557"/>
  <c r="AK558"/>
  <c r="AK559"/>
  <c r="AK560"/>
  <c r="AK561"/>
  <c r="AK562"/>
  <c r="AK563"/>
  <c r="AK564"/>
  <c r="AK565"/>
  <c r="AK566"/>
  <c r="AK567"/>
  <c r="AK568"/>
  <c r="AK569"/>
  <c r="AK570"/>
  <c r="AK571"/>
  <c r="AK572"/>
  <c r="AK573"/>
  <c r="AK574"/>
  <c r="AK575"/>
  <c r="AK576"/>
  <c r="AK577"/>
  <c r="AK578"/>
  <c r="AK579"/>
  <c r="AK580"/>
  <c r="AK581"/>
  <c r="AK582"/>
  <c r="AK583"/>
  <c r="AK584"/>
  <c r="AK585"/>
  <c r="AK586"/>
  <c r="AK587"/>
  <c r="AK588"/>
  <c r="AK589"/>
  <c r="AK590"/>
  <c r="AK591"/>
  <c r="AK592"/>
  <c r="AK593"/>
  <c r="AK594"/>
  <c r="AK595"/>
  <c r="AK596"/>
  <c r="AK597"/>
  <c r="AK598"/>
  <c r="AK599"/>
  <c r="AK600"/>
  <c r="AK601"/>
  <c r="AK602"/>
  <c r="AK603"/>
  <c r="AK604"/>
  <c r="AK605"/>
  <c r="AK606"/>
  <c r="AK607"/>
  <c r="AK608"/>
  <c r="AK609"/>
  <c r="AK610"/>
  <c r="AK611"/>
  <c r="AK612"/>
  <c r="AK613"/>
  <c r="AK614"/>
  <c r="AK615"/>
  <c r="AK616"/>
  <c r="AK617"/>
  <c r="AK618"/>
  <c r="AK619"/>
  <c r="AK620"/>
  <c r="AK621"/>
  <c r="AK622"/>
  <c r="AK623"/>
  <c r="AK624"/>
  <c r="AK625"/>
  <c r="AK626"/>
  <c r="AK627"/>
  <c r="AK628"/>
  <c r="AK629"/>
  <c r="AK630"/>
  <c r="AK631"/>
  <c r="AK632"/>
  <c r="AK633"/>
  <c r="AK634"/>
  <c r="AK635"/>
  <c r="AK636"/>
  <c r="AK637"/>
  <c r="AK638"/>
  <c r="AK639"/>
  <c r="AK640"/>
  <c r="AK641"/>
  <c r="AK642"/>
  <c r="AK643"/>
  <c r="AK644"/>
  <c r="AK645"/>
  <c r="AK646"/>
  <c r="AK647"/>
  <c r="AK648"/>
  <c r="AK649"/>
  <c r="AK650"/>
  <c r="AK651"/>
  <c r="AK652"/>
  <c r="AK653"/>
  <c r="AK654"/>
  <c r="AK655"/>
  <c r="AK656"/>
  <c r="AK657"/>
  <c r="AK658"/>
  <c r="AK659"/>
  <c r="AK660"/>
  <c r="AK661"/>
  <c r="AK662"/>
  <c r="AK663"/>
  <c r="AK664"/>
  <c r="AK665"/>
  <c r="AK666"/>
  <c r="AK667"/>
  <c r="AK668"/>
  <c r="AK669"/>
  <c r="AK670"/>
  <c r="AK671"/>
  <c r="AK672"/>
  <c r="AK673"/>
  <c r="AK674"/>
  <c r="AK675"/>
  <c r="AB1012" l="1"/>
  <c r="Z1012"/>
  <c r="AA1012"/>
  <c r="AM5"/>
  <c r="AI5" s="1"/>
  <c r="C14" i="3"/>
  <c r="AH1012" i="1" l="1"/>
  <c r="AF1012"/>
  <c r="P1013"/>
  <c r="AG1012"/>
  <c r="AM6"/>
  <c r="U1013" l="1"/>
  <c r="AI6"/>
  <c r="AM7"/>
  <c r="AB1013" l="1"/>
  <c r="Z1013"/>
  <c r="AA1013"/>
  <c r="AI7"/>
  <c r="AM8"/>
  <c r="AH1013" l="1"/>
  <c r="AF1013"/>
  <c r="P1014"/>
  <c r="AG1013"/>
  <c r="AM9"/>
  <c r="AI8"/>
  <c r="U1014" l="1"/>
  <c r="AB1014"/>
  <c r="AM10"/>
  <c r="AI9"/>
  <c r="AH1014" l="1"/>
  <c r="Z1014"/>
  <c r="AA1014"/>
  <c r="AM11"/>
  <c r="AI10"/>
  <c r="P1015" l="1"/>
  <c r="AF1014"/>
  <c r="AG1014"/>
  <c r="AM12"/>
  <c r="AI11"/>
  <c r="AB1015" l="1"/>
  <c r="U1015"/>
  <c r="AI12"/>
  <c r="AM13"/>
  <c r="Z1015" l="1"/>
  <c r="AA1015"/>
  <c r="AH1015"/>
  <c r="AI13"/>
  <c r="AM14"/>
  <c r="P1016" l="1"/>
  <c r="AF1015"/>
  <c r="AG1015"/>
  <c r="AI14"/>
  <c r="AM15"/>
  <c r="U1016" l="1"/>
  <c r="AB1016"/>
  <c r="AI15"/>
  <c r="AM16"/>
  <c r="Z1016" l="1"/>
  <c r="AA1016"/>
  <c r="AH1016"/>
  <c r="AM17"/>
  <c r="AI16"/>
  <c r="AF1016" l="1"/>
  <c r="P1017"/>
  <c r="AG1016"/>
  <c r="AM18"/>
  <c r="AI17"/>
  <c r="U1017" l="1"/>
  <c r="AB1017"/>
  <c r="AI18"/>
  <c r="AM19"/>
  <c r="Z1017" l="1"/>
  <c r="AA1017"/>
  <c r="AH1017"/>
  <c r="AI19"/>
  <c r="AM20"/>
  <c r="AF1017" l="1"/>
  <c r="P1018"/>
  <c r="AG1017"/>
  <c r="AM21"/>
  <c r="AI20"/>
  <c r="U1018" l="1"/>
  <c r="AB1018"/>
  <c r="AI21"/>
  <c r="AM22"/>
  <c r="Z1018" l="1"/>
  <c r="AA1018"/>
  <c r="AH1018"/>
  <c r="AI22"/>
  <c r="AM23"/>
  <c r="AF1018" l="1"/>
  <c r="P1019"/>
  <c r="AG1018"/>
  <c r="AM24"/>
  <c r="AI23"/>
  <c r="U1019" l="1"/>
  <c r="AB1019"/>
  <c r="AM25"/>
  <c r="AI24"/>
  <c r="AA1019" l="1"/>
  <c r="Z1019"/>
  <c r="AH1019"/>
  <c r="AI25"/>
  <c r="AM26"/>
  <c r="AG1019" l="1"/>
  <c r="AF1019"/>
  <c r="P1020"/>
  <c r="AM27"/>
  <c r="AI26"/>
  <c r="AA1020" l="1"/>
  <c r="Z1020"/>
  <c r="U1020"/>
  <c r="AB1020"/>
  <c r="AM28"/>
  <c r="AI27"/>
  <c r="AG1020" l="1"/>
  <c r="P1021"/>
  <c r="AA1021" s="1"/>
  <c r="AF1020"/>
  <c r="AH1020"/>
  <c r="U1021"/>
  <c r="Z1021" s="1"/>
  <c r="AB1021"/>
  <c r="AM29"/>
  <c r="AI28"/>
  <c r="AF1021" l="1"/>
  <c r="P1022"/>
  <c r="AG1021"/>
  <c r="AH1021"/>
  <c r="U1022"/>
  <c r="AA1022" s="1"/>
  <c r="AB1022"/>
  <c r="AI29"/>
  <c r="AM30"/>
  <c r="AG1022" l="1"/>
  <c r="AH1022"/>
  <c r="Z1022"/>
  <c r="AI30"/>
  <c r="AM31"/>
  <c r="AF1022" l="1"/>
  <c r="P1023"/>
  <c r="AM32"/>
  <c r="AI31"/>
  <c r="X1023" l="1"/>
  <c r="AB1023"/>
  <c r="U1023"/>
  <c r="Z1023" s="1"/>
  <c r="AA1023"/>
  <c r="AI32"/>
  <c r="AM33"/>
  <c r="AH1023" l="1"/>
  <c r="P1024"/>
  <c r="AF1023"/>
  <c r="AG1023"/>
  <c r="AI33"/>
  <c r="AM34"/>
  <c r="U1024" l="1"/>
  <c r="AB1024"/>
  <c r="AM35"/>
  <c r="AI34"/>
  <c r="Z1024" l="1"/>
  <c r="AA1024"/>
  <c r="AH1024"/>
  <c r="AI35"/>
  <c r="AM36"/>
  <c r="P1025" l="1"/>
  <c r="AF1024"/>
  <c r="AG1024"/>
  <c r="AM37"/>
  <c r="AI36"/>
  <c r="AB1025" l="1"/>
  <c r="U1025"/>
  <c r="AM38"/>
  <c r="AI37"/>
  <c r="AH1025" l="1"/>
  <c r="Z1025"/>
  <c r="AA1025"/>
  <c r="AI38"/>
  <c r="AM39"/>
  <c r="AG1025" l="1"/>
  <c r="AF1025"/>
  <c r="P1026"/>
  <c r="AM40"/>
  <c r="AI39"/>
  <c r="AA1026" l="1"/>
  <c r="AB1026"/>
  <c r="U1026"/>
  <c r="Z1026" s="1"/>
  <c r="AM41"/>
  <c r="AI40"/>
  <c r="AG1026" l="1"/>
  <c r="AH1026"/>
  <c r="AF1026"/>
  <c r="P1027"/>
  <c r="AM42"/>
  <c r="AI41"/>
  <c r="U1027" l="1"/>
  <c r="AA1027"/>
  <c r="AI42"/>
  <c r="AM43"/>
  <c r="AB1027" l="1"/>
  <c r="Z1027"/>
  <c r="AG1027"/>
  <c r="AI43"/>
  <c r="AM44"/>
  <c r="AH1027" l="1"/>
  <c r="AF1027"/>
  <c r="P1028"/>
  <c r="U1028" s="1"/>
  <c r="Z1028" s="1"/>
  <c r="AI44"/>
  <c r="AM45"/>
  <c r="AF1028" l="1"/>
  <c r="AA1028"/>
  <c r="AB1028"/>
  <c r="AM46"/>
  <c r="AI45"/>
  <c r="P1029" l="1"/>
  <c r="AG1028"/>
  <c r="AA1029"/>
  <c r="AH1028"/>
  <c r="U1029"/>
  <c r="Z1029" s="1"/>
  <c r="AB1029"/>
  <c r="AM47"/>
  <c r="AI46"/>
  <c r="P1030" l="1"/>
  <c r="U1030" s="1"/>
  <c r="AF1029"/>
  <c r="Z1030"/>
  <c r="AH1029"/>
  <c r="AB1030"/>
  <c r="AG1029"/>
  <c r="AA1030"/>
  <c r="AM48"/>
  <c r="AI47"/>
  <c r="AG1030" l="1"/>
  <c r="P1031"/>
  <c r="U1031" s="1"/>
  <c r="AF1030"/>
  <c r="Z1031"/>
  <c r="AH1030"/>
  <c r="AB1031"/>
  <c r="AI48"/>
  <c r="AM49"/>
  <c r="AF1031" l="1"/>
  <c r="AA1031"/>
  <c r="AH1031"/>
  <c r="AI49"/>
  <c r="AM50"/>
  <c r="AG1031" l="1"/>
  <c r="P1032"/>
  <c r="AI50"/>
  <c r="AM51"/>
  <c r="U1032" l="1"/>
  <c r="AA1032" s="1"/>
  <c r="AB1032"/>
  <c r="AM52"/>
  <c r="AI51"/>
  <c r="Z1032" l="1"/>
  <c r="AF1032" s="1"/>
  <c r="AH1032"/>
  <c r="AG1032"/>
  <c r="AM53"/>
  <c r="AI52"/>
  <c r="P1033" l="1"/>
  <c r="U1033" s="1"/>
  <c r="AI53"/>
  <c r="AM54"/>
  <c r="AA1033" l="1"/>
  <c r="AG1033" s="1"/>
  <c r="AB1033"/>
  <c r="AH1033" s="1"/>
  <c r="Z1033"/>
  <c r="AF1033" s="1"/>
  <c r="AM55"/>
  <c r="AI54"/>
  <c r="P1034" l="1"/>
  <c r="U1034"/>
  <c r="AB1034"/>
  <c r="AI55"/>
  <c r="AM56"/>
  <c r="AA1034" l="1"/>
  <c r="Z1034"/>
  <c r="AH1034"/>
  <c r="AM57"/>
  <c r="AI56"/>
  <c r="AG1034" l="1"/>
  <c r="AF1034"/>
  <c r="P1035"/>
  <c r="AM58"/>
  <c r="AI57"/>
  <c r="AA1035" l="1"/>
  <c r="X1035"/>
  <c r="U1035"/>
  <c r="Z1035" s="1"/>
  <c r="AB1035"/>
  <c r="AI58"/>
  <c r="AM59"/>
  <c r="AG1035" l="1"/>
  <c r="AF1035"/>
  <c r="P1036"/>
  <c r="AH1035"/>
  <c r="AM60"/>
  <c r="AI59"/>
  <c r="Z1036" l="1"/>
  <c r="AF1036" s="1"/>
  <c r="U1036"/>
  <c r="AB1036" s="1"/>
  <c r="AH1036" s="1"/>
  <c r="AA1036"/>
  <c r="AI60"/>
  <c r="AM61"/>
  <c r="P1037" l="1"/>
  <c r="U1037" s="1"/>
  <c r="AG1036"/>
  <c r="AI61"/>
  <c r="AM62"/>
  <c r="AA1037" l="1"/>
  <c r="AG1037" s="1"/>
  <c r="AB1037"/>
  <c r="Z1037"/>
  <c r="AF1037" s="1"/>
  <c r="AM63"/>
  <c r="AI62"/>
  <c r="P1038" l="1"/>
  <c r="U1038" s="1"/>
  <c r="AA1038" s="1"/>
  <c r="AH1037"/>
  <c r="AM64"/>
  <c r="AI63"/>
  <c r="AB1038" l="1"/>
  <c r="AG1038"/>
  <c r="Z1038"/>
  <c r="AI64"/>
  <c r="AM65"/>
  <c r="AH1038" l="1"/>
  <c r="AF1038"/>
  <c r="P1039"/>
  <c r="AM66"/>
  <c r="AI65"/>
  <c r="U1039" l="1"/>
  <c r="AA1039"/>
  <c r="AM67"/>
  <c r="AI66"/>
  <c r="AG1039" l="1"/>
  <c r="Z1039"/>
  <c r="AB1039"/>
  <c r="AI67"/>
  <c r="AM68"/>
  <c r="AF1039" l="1"/>
  <c r="P1040"/>
  <c r="AA1040" s="1"/>
  <c r="AG1040" s="1"/>
  <c r="Z1040"/>
  <c r="AH1039"/>
  <c r="U1040"/>
  <c r="AB1040"/>
  <c r="AH1040" s="1"/>
  <c r="AM69"/>
  <c r="AI68"/>
  <c r="AF1040" l="1"/>
  <c r="P1041"/>
  <c r="U1041" s="1"/>
  <c r="AI69"/>
  <c r="AM70"/>
  <c r="Z1041" l="1"/>
  <c r="AF1041" s="1"/>
  <c r="AB1041"/>
  <c r="AH1041" s="1"/>
  <c r="AA1041"/>
  <c r="AG1041" s="1"/>
  <c r="AI70"/>
  <c r="AM71"/>
  <c r="P1042" l="1"/>
  <c r="U1042" s="1"/>
  <c r="AB1042" s="1"/>
  <c r="AI71"/>
  <c r="AM72"/>
  <c r="AH1042" l="1"/>
  <c r="Z1042"/>
  <c r="AA1042"/>
  <c r="AM73"/>
  <c r="AI72"/>
  <c r="AF1042" l="1"/>
  <c r="P1043"/>
  <c r="AG1042"/>
  <c r="AI73"/>
  <c r="AM74"/>
  <c r="AB1043" l="1"/>
  <c r="U1043"/>
  <c r="AM75"/>
  <c r="AI74"/>
  <c r="AH1043" l="1"/>
  <c r="AA1043"/>
  <c r="Z1043"/>
  <c r="AM76"/>
  <c r="AI75"/>
  <c r="AG1043" l="1"/>
  <c r="P1044"/>
  <c r="AF1043"/>
  <c r="AM77"/>
  <c r="AI76"/>
  <c r="AB1044" l="1"/>
  <c r="U1044"/>
  <c r="Z1044" s="1"/>
  <c r="AA1044"/>
  <c r="AI77"/>
  <c r="AM78"/>
  <c r="AH1044" l="1"/>
  <c r="AF1044"/>
  <c r="P1045"/>
  <c r="AG1044"/>
  <c r="AI78"/>
  <c r="AM79"/>
  <c r="AB1045" l="1"/>
  <c r="U1045"/>
  <c r="AA1045" s="1"/>
  <c r="Z1045"/>
  <c r="AM80"/>
  <c r="AI79"/>
  <c r="AH1045" l="1"/>
  <c r="AG1045"/>
  <c r="P1046"/>
  <c r="AF1045"/>
  <c r="AI80"/>
  <c r="AM81"/>
  <c r="AB1046" l="1"/>
  <c r="AA1046"/>
  <c r="U1046"/>
  <c r="Z1046" s="1"/>
  <c r="AI81"/>
  <c r="AM82"/>
  <c r="AG1046" l="1"/>
  <c r="P1047"/>
  <c r="X1047" s="1"/>
  <c r="AF1046"/>
  <c r="AH1046"/>
  <c r="AM83"/>
  <c r="AI82"/>
  <c r="AA1047" l="1"/>
  <c r="Z1047"/>
  <c r="U1047"/>
  <c r="AB1047" s="1"/>
  <c r="AI83"/>
  <c r="AM84"/>
  <c r="P1048" l="1"/>
  <c r="AF1047"/>
  <c r="AH1047"/>
  <c r="AG1047"/>
  <c r="AI84"/>
  <c r="AM85"/>
  <c r="Z1048" l="1"/>
  <c r="AF1048" s="1"/>
  <c r="U1048"/>
  <c r="AA1048" s="1"/>
  <c r="AG1048" s="1"/>
  <c r="AB1048"/>
  <c r="AM86"/>
  <c r="AI85"/>
  <c r="P1049" l="1"/>
  <c r="U1049" s="1"/>
  <c r="AH1048"/>
  <c r="AB1049"/>
  <c r="Z1049"/>
  <c r="AA1049"/>
  <c r="AI86"/>
  <c r="AM87"/>
  <c r="AH1049" l="1"/>
  <c r="P1050"/>
  <c r="AF1049"/>
  <c r="AG1049"/>
  <c r="AI87"/>
  <c r="AM88"/>
  <c r="U1050" l="1"/>
  <c r="AB1050"/>
  <c r="AM89"/>
  <c r="AI88"/>
  <c r="Z1050" l="1"/>
  <c r="AA1050"/>
  <c r="AH1050"/>
  <c r="AI89"/>
  <c r="AM90"/>
  <c r="AF1050" l="1"/>
  <c r="P1051"/>
  <c r="AG1050"/>
  <c r="AI90"/>
  <c r="AM91"/>
  <c r="AB1051" l="1"/>
  <c r="U1051"/>
  <c r="AI91"/>
  <c r="AM92"/>
  <c r="AH1051" l="1"/>
  <c r="Z1051"/>
  <c r="AA1051"/>
  <c r="AM93"/>
  <c r="AI92"/>
  <c r="AG1051" l="1"/>
  <c r="AF1051"/>
  <c r="P1052"/>
  <c r="AM94"/>
  <c r="AI93"/>
  <c r="AB1052" l="1"/>
  <c r="U1052"/>
  <c r="Z1052" s="1"/>
  <c r="AA1052"/>
  <c r="AI94"/>
  <c r="AM95"/>
  <c r="P1053" l="1"/>
  <c r="AF1052"/>
  <c r="AG1052"/>
  <c r="AH1052"/>
  <c r="U1053"/>
  <c r="AA1053" s="1"/>
  <c r="AB1053"/>
  <c r="AI95"/>
  <c r="AM96"/>
  <c r="AG1053" l="1"/>
  <c r="AH1053"/>
  <c r="Z1053"/>
  <c r="AM97"/>
  <c r="AI96"/>
  <c r="P1054" l="1"/>
  <c r="AF1053"/>
  <c r="AI97"/>
  <c r="AM98"/>
  <c r="U1054" l="1"/>
  <c r="Z1054" s="1"/>
  <c r="AA1054"/>
  <c r="AB1054"/>
  <c r="AI98"/>
  <c r="AM99"/>
  <c r="AF1054" l="1"/>
  <c r="P1055"/>
  <c r="U1055" s="1"/>
  <c r="AG1054"/>
  <c r="AH1054"/>
  <c r="AM100"/>
  <c r="AI99"/>
  <c r="AA1055" l="1"/>
  <c r="AG1055" s="1"/>
  <c r="AB1055"/>
  <c r="AH1055" s="1"/>
  <c r="Z1055"/>
  <c r="AI100"/>
  <c r="AM101"/>
  <c r="AF1055" l="1"/>
  <c r="P1056"/>
  <c r="AI101"/>
  <c r="AM102"/>
  <c r="AB1056" l="1"/>
  <c r="U1056"/>
  <c r="Z1056" s="1"/>
  <c r="AA1056"/>
  <c r="AI102"/>
  <c r="AM103"/>
  <c r="AH1056" l="1"/>
  <c r="P1057"/>
  <c r="AF1056"/>
  <c r="AG1056"/>
  <c r="AI103"/>
  <c r="AM104"/>
  <c r="AB1057" l="1"/>
  <c r="U1057"/>
  <c r="AI104"/>
  <c r="AM105"/>
  <c r="AH1057" l="1"/>
  <c r="Z1057"/>
  <c r="AA1057"/>
  <c r="AI105"/>
  <c r="AM106"/>
  <c r="AG1057" l="1"/>
  <c r="P1058"/>
  <c r="AF1057"/>
  <c r="AM107"/>
  <c r="AI106"/>
  <c r="AA1058" l="1"/>
  <c r="U1058"/>
  <c r="Z1058" s="1"/>
  <c r="AB1058"/>
  <c r="AI107"/>
  <c r="AM108"/>
  <c r="AG1058" l="1"/>
  <c r="AF1058"/>
  <c r="P1059"/>
  <c r="X1059" s="1"/>
  <c r="Z1059"/>
  <c r="AH1058"/>
  <c r="U1059"/>
  <c r="AB1059"/>
  <c r="AI108"/>
  <c r="AM109"/>
  <c r="AH1059" l="1"/>
  <c r="AF1059"/>
  <c r="AA1059"/>
  <c r="P1060" s="1"/>
  <c r="AM110"/>
  <c r="AI109"/>
  <c r="AB1060" l="1"/>
  <c r="U1060"/>
  <c r="Z1060" s="1"/>
  <c r="AG1059"/>
  <c r="AA1060"/>
  <c r="AM111"/>
  <c r="AI110"/>
  <c r="AG1060" l="1"/>
  <c r="AH1060"/>
  <c r="P1061"/>
  <c r="AF1060"/>
  <c r="AI111"/>
  <c r="AM112"/>
  <c r="AA1061" l="1"/>
  <c r="U1061"/>
  <c r="AM113"/>
  <c r="AI112"/>
  <c r="AG1061" l="1"/>
  <c r="AB1061"/>
  <c r="Z1061"/>
  <c r="AM114"/>
  <c r="AI113"/>
  <c r="AH1061" l="1"/>
  <c r="P1062"/>
  <c r="U1062" s="1"/>
  <c r="Z1062" s="1"/>
  <c r="AF1061"/>
  <c r="AI114"/>
  <c r="AM115"/>
  <c r="AF1062" l="1"/>
  <c r="AA1062"/>
  <c r="P1063" s="1"/>
  <c r="AB1062"/>
  <c r="AM116"/>
  <c r="AI115"/>
  <c r="U1063" l="1"/>
  <c r="AB1063" s="1"/>
  <c r="Z1063"/>
  <c r="AH1062"/>
  <c r="AG1062"/>
  <c r="AA1063"/>
  <c r="AG1063" s="1"/>
  <c r="AI116"/>
  <c r="AM117"/>
  <c r="AH1063" l="1"/>
  <c r="AF1063"/>
  <c r="P1064"/>
  <c r="U1064" s="1"/>
  <c r="AM118"/>
  <c r="AI117"/>
  <c r="AA1064" l="1"/>
  <c r="AB1064"/>
  <c r="Z1064"/>
  <c r="AI118"/>
  <c r="AM119"/>
  <c r="AG1064" l="1"/>
  <c r="AH1064"/>
  <c r="AF1064"/>
  <c r="P1065"/>
  <c r="AM120"/>
  <c r="AI119"/>
  <c r="AB1065" l="1"/>
  <c r="U1065"/>
  <c r="Z1065" s="1"/>
  <c r="AA1065"/>
  <c r="AI120"/>
  <c r="AM121"/>
  <c r="AH1065" l="1"/>
  <c r="AF1065"/>
  <c r="P1066"/>
  <c r="AG1065"/>
  <c r="AI121"/>
  <c r="AM122"/>
  <c r="AB1066" l="1"/>
  <c r="U1066"/>
  <c r="AI122"/>
  <c r="AM123"/>
  <c r="Z1066" l="1"/>
  <c r="AA1066"/>
  <c r="AH1066"/>
  <c r="AI123"/>
  <c r="AM124"/>
  <c r="AF1066" l="1"/>
  <c r="P1067"/>
  <c r="U1067" s="1"/>
  <c r="AB1067" s="1"/>
  <c r="AG1066"/>
  <c r="AA1067"/>
  <c r="AM125"/>
  <c r="AI124"/>
  <c r="AG1067" l="1"/>
  <c r="Z1067"/>
  <c r="AH1067"/>
  <c r="AM126"/>
  <c r="AI125"/>
  <c r="P1068" l="1"/>
  <c r="AF1067"/>
  <c r="AI126"/>
  <c r="AM127"/>
  <c r="AB1068" l="1"/>
  <c r="AA1068"/>
  <c r="U1068"/>
  <c r="Z1068" s="1"/>
  <c r="AM128"/>
  <c r="AI127"/>
  <c r="AH1068" l="1"/>
  <c r="AG1068"/>
  <c r="AF1068"/>
  <c r="P1069"/>
  <c r="AM129"/>
  <c r="AI128"/>
  <c r="AB1069" l="1"/>
  <c r="AA1069"/>
  <c r="U1069"/>
  <c r="Z1069" s="1"/>
  <c r="AM130"/>
  <c r="AI129"/>
  <c r="AH1069" l="1"/>
  <c r="AG1069"/>
  <c r="P1070"/>
  <c r="U1070" s="1"/>
  <c r="AF1069"/>
  <c r="Z1070"/>
  <c r="AI130"/>
  <c r="AM131"/>
  <c r="AB1070" l="1"/>
  <c r="AF1070"/>
  <c r="AA1070"/>
  <c r="P1071" s="1"/>
  <c r="AM132"/>
  <c r="AI131"/>
  <c r="X1071" l="1"/>
  <c r="Z1071"/>
  <c r="AH1070"/>
  <c r="U1071"/>
  <c r="AB1071"/>
  <c r="AG1070"/>
  <c r="AA1071"/>
  <c r="AI132"/>
  <c r="AM133"/>
  <c r="AH1071" l="1"/>
  <c r="AG1071"/>
  <c r="P1072"/>
  <c r="AF1071"/>
  <c r="AM134"/>
  <c r="AI133"/>
  <c r="AB1072" l="1"/>
  <c r="Z1072"/>
  <c r="U1072"/>
  <c r="AA1072"/>
  <c r="AM135"/>
  <c r="AI134"/>
  <c r="AF1072" l="1"/>
  <c r="P1073"/>
  <c r="U1073" s="1"/>
  <c r="Z1073" s="1"/>
  <c r="AH1072"/>
  <c r="AG1072"/>
  <c r="AI135"/>
  <c r="AM136"/>
  <c r="AF1073" l="1"/>
  <c r="AA1073"/>
  <c r="AB1073"/>
  <c r="AI136"/>
  <c r="AM137"/>
  <c r="AG1073" l="1"/>
  <c r="P1074"/>
  <c r="AH1073"/>
  <c r="AI137"/>
  <c r="AM138"/>
  <c r="AA1074" l="1"/>
  <c r="U1074"/>
  <c r="AB1074" s="1"/>
  <c r="Z1074"/>
  <c r="AM139"/>
  <c r="AI138"/>
  <c r="AG1074" l="1"/>
  <c r="AH1074"/>
  <c r="AF1074"/>
  <c r="P1075"/>
  <c r="U1075" s="1"/>
  <c r="Z1075"/>
  <c r="AM140"/>
  <c r="AI139"/>
  <c r="AF1075" l="1"/>
  <c r="AA1075"/>
  <c r="AB1075"/>
  <c r="AM141"/>
  <c r="AI140"/>
  <c r="AG1075" l="1"/>
  <c r="AH1075"/>
  <c r="P1076"/>
  <c r="AI141"/>
  <c r="AM142"/>
  <c r="Z1076" l="1"/>
  <c r="AA1076"/>
  <c r="U1076"/>
  <c r="AB1076"/>
  <c r="AI142"/>
  <c r="AM143"/>
  <c r="AF1076" l="1"/>
  <c r="P1077"/>
  <c r="AG1076"/>
  <c r="AA1077"/>
  <c r="U1077"/>
  <c r="Z1077" s="1"/>
  <c r="AH1076"/>
  <c r="AB1077"/>
  <c r="AM144"/>
  <c r="AI143"/>
  <c r="P1078" l="1"/>
  <c r="AG1077"/>
  <c r="AA1078"/>
  <c r="AH1077"/>
  <c r="U1078"/>
  <c r="AB1078"/>
  <c r="AF1077"/>
  <c r="Z1078"/>
  <c r="AI144"/>
  <c r="AM145"/>
  <c r="P1079" l="1"/>
  <c r="U1079" s="1"/>
  <c r="AF1078"/>
  <c r="Z1079"/>
  <c r="AH1078"/>
  <c r="AB1079"/>
  <c r="AG1078"/>
  <c r="AA1079"/>
  <c r="AI145"/>
  <c r="AM146"/>
  <c r="AG1079" l="1"/>
  <c r="AA1080"/>
  <c r="AH1079"/>
  <c r="AF1079"/>
  <c r="P1080"/>
  <c r="U1080" s="1"/>
  <c r="Z1080" s="1"/>
  <c r="AI146"/>
  <c r="AM147"/>
  <c r="AG1080" l="1"/>
  <c r="AF1080"/>
  <c r="AB1080"/>
  <c r="AI147"/>
  <c r="AM148"/>
  <c r="AH1080" l="1"/>
  <c r="P1081"/>
  <c r="AI148"/>
  <c r="AM149"/>
  <c r="AB1081" l="1"/>
  <c r="U1081"/>
  <c r="AA1081"/>
  <c r="Z1081"/>
  <c r="AI149"/>
  <c r="AM150"/>
  <c r="AH1081" l="1"/>
  <c r="P1082"/>
  <c r="U1082" s="1"/>
  <c r="AG1081"/>
  <c r="AF1081"/>
  <c r="AM151"/>
  <c r="AI150"/>
  <c r="AB1082" l="1"/>
  <c r="Z1082"/>
  <c r="AA1082"/>
  <c r="AM152"/>
  <c r="AI151"/>
  <c r="AF1082" l="1"/>
  <c r="P1083"/>
  <c r="X1083" s="1"/>
  <c r="AG1082"/>
  <c r="AH1082"/>
  <c r="AM153"/>
  <c r="AI152"/>
  <c r="U1083" l="1"/>
  <c r="AA1083" s="1"/>
  <c r="AG1083" s="1"/>
  <c r="AB1083"/>
  <c r="Z1083"/>
  <c r="AM154"/>
  <c r="AI153"/>
  <c r="P1084" l="1"/>
  <c r="AF1083"/>
  <c r="AH1083"/>
  <c r="AM155"/>
  <c r="AI154"/>
  <c r="U1084" l="1"/>
  <c r="AB1084" s="1"/>
  <c r="AA1084"/>
  <c r="AM156"/>
  <c r="AI155"/>
  <c r="AG1084" l="1"/>
  <c r="AH1084"/>
  <c r="Z1084"/>
  <c r="AI156"/>
  <c r="AM157"/>
  <c r="P1085" l="1"/>
  <c r="AF1084"/>
  <c r="AI157"/>
  <c r="AM158"/>
  <c r="U1085" l="1"/>
  <c r="Z1085" s="1"/>
  <c r="AA1085"/>
  <c r="AB1085"/>
  <c r="AM159"/>
  <c r="AI158"/>
  <c r="P1086" l="1"/>
  <c r="AF1085"/>
  <c r="AG1085"/>
  <c r="AA1086"/>
  <c r="U1086"/>
  <c r="Z1086" s="1"/>
  <c r="AH1085"/>
  <c r="AB1086"/>
  <c r="AI159"/>
  <c r="AM160"/>
  <c r="AF1086" l="1"/>
  <c r="AH1086"/>
  <c r="P1087"/>
  <c r="AG1086"/>
  <c r="AM161"/>
  <c r="AI160"/>
  <c r="Z1087" l="1"/>
  <c r="AF1087" s="1"/>
  <c r="U1087"/>
  <c r="AI161"/>
  <c r="AM162"/>
  <c r="AB1087" l="1"/>
  <c r="AA1087"/>
  <c r="AG1087" s="1"/>
  <c r="AM163"/>
  <c r="AI162"/>
  <c r="AB1088" l="1"/>
  <c r="AH1088" s="1"/>
  <c r="U1088"/>
  <c r="Z1088" s="1"/>
  <c r="AF1088" s="1"/>
  <c r="AH1087"/>
  <c r="P1088"/>
  <c r="AA1088"/>
  <c r="AG1088" s="1"/>
  <c r="AM164"/>
  <c r="AI163"/>
  <c r="P1089" l="1"/>
  <c r="U1089" s="1"/>
  <c r="AM165"/>
  <c r="AI164"/>
  <c r="Z1089" l="1"/>
  <c r="P1090" s="1"/>
  <c r="AA1089"/>
  <c r="AG1089" s="1"/>
  <c r="AB1089"/>
  <c r="AH1089" s="1"/>
  <c r="AI165"/>
  <c r="AM166"/>
  <c r="AF1089" l="1"/>
  <c r="AB1090"/>
  <c r="U1090"/>
  <c r="AM167"/>
  <c r="AI166"/>
  <c r="AH1090" l="1"/>
  <c r="Z1090"/>
  <c r="AA1090"/>
  <c r="AI167"/>
  <c r="AM168"/>
  <c r="AG1090" l="1"/>
  <c r="AF1090"/>
  <c r="P1091"/>
  <c r="AM169"/>
  <c r="AI168"/>
  <c r="AA1091" l="1"/>
  <c r="AB1091"/>
  <c r="U1091"/>
  <c r="Z1091" s="1"/>
  <c r="AM170"/>
  <c r="AI169"/>
  <c r="AG1091" l="1"/>
  <c r="AH1091"/>
  <c r="AF1091"/>
  <c r="P1092"/>
  <c r="U1092" s="1"/>
  <c r="AB1092" s="1"/>
  <c r="AI170"/>
  <c r="AM171"/>
  <c r="AH1092" l="1"/>
  <c r="AA1092"/>
  <c r="Z1092"/>
  <c r="AI171"/>
  <c r="AM172"/>
  <c r="AG1092" l="1"/>
  <c r="AF1092"/>
  <c r="P1093"/>
  <c r="AM173"/>
  <c r="AI172"/>
  <c r="AA1093" l="1"/>
  <c r="U1093"/>
  <c r="Z1093" s="1"/>
  <c r="AB1093"/>
  <c r="AM174"/>
  <c r="AI173"/>
  <c r="AG1093" l="1"/>
  <c r="P1094"/>
  <c r="U1094" s="1"/>
  <c r="AF1093"/>
  <c r="Z1094"/>
  <c r="AH1093"/>
  <c r="AB1094"/>
  <c r="AI174"/>
  <c r="AM175"/>
  <c r="AH1094" l="1"/>
  <c r="AA1094"/>
  <c r="P1095" s="1"/>
  <c r="X1095" s="1"/>
  <c r="AF1094"/>
  <c r="AI175"/>
  <c r="AM176"/>
  <c r="AG1094" l="1"/>
  <c r="U1095"/>
  <c r="AA1095" s="1"/>
  <c r="AB1095"/>
  <c r="AI176"/>
  <c r="AM177"/>
  <c r="Z1095" l="1"/>
  <c r="AG1095"/>
  <c r="AH1095"/>
  <c r="AM178"/>
  <c r="AI177"/>
  <c r="AF1095" l="1"/>
  <c r="P1096"/>
  <c r="AI178"/>
  <c r="AM179"/>
  <c r="AA1096" l="1"/>
  <c r="AB1096"/>
  <c r="U1096"/>
  <c r="Z1096" s="1"/>
  <c r="AM180"/>
  <c r="AI179"/>
  <c r="AG1096" l="1"/>
  <c r="AH1096"/>
  <c r="AF1096"/>
  <c r="P1097"/>
  <c r="U1097" s="1"/>
  <c r="AI180"/>
  <c r="AM181"/>
  <c r="AB1097" l="1"/>
  <c r="Z1097"/>
  <c r="AA1097"/>
  <c r="AM182"/>
  <c r="AI181"/>
  <c r="P1098" l="1"/>
  <c r="AF1097"/>
  <c r="AG1097"/>
  <c r="AH1097"/>
  <c r="AM183"/>
  <c r="AI182"/>
  <c r="AA1098" l="1"/>
  <c r="AB1098"/>
  <c r="Z1098"/>
  <c r="U1098"/>
  <c r="AI183"/>
  <c r="AM184"/>
  <c r="AG1098" l="1"/>
  <c r="AH1098"/>
  <c r="AF1098"/>
  <c r="P1099"/>
  <c r="AI184"/>
  <c r="AM185"/>
  <c r="U1099" l="1"/>
  <c r="Z1099" s="1"/>
  <c r="AA1099"/>
  <c r="AB1099"/>
  <c r="AM186"/>
  <c r="AI185"/>
  <c r="P1100" l="1"/>
  <c r="AF1099"/>
  <c r="AG1099"/>
  <c r="AH1099"/>
  <c r="U1100"/>
  <c r="Z1100" s="1"/>
  <c r="AM187"/>
  <c r="AI186"/>
  <c r="AF1100" l="1"/>
  <c r="AB1100"/>
  <c r="AA1100"/>
  <c r="AM188"/>
  <c r="AI187"/>
  <c r="P1101" l="1"/>
  <c r="U1101" s="1"/>
  <c r="AH1100"/>
  <c r="AG1100"/>
  <c r="AM189"/>
  <c r="AI188"/>
  <c r="AB1101" l="1"/>
  <c r="AA1101"/>
  <c r="AG1101" s="1"/>
  <c r="Z1101"/>
  <c r="AF1101" s="1"/>
  <c r="AM190"/>
  <c r="AI189"/>
  <c r="AH1101" l="1"/>
  <c r="P1102"/>
  <c r="AM191"/>
  <c r="AI190"/>
  <c r="U1102" l="1"/>
  <c r="AA1102"/>
  <c r="AM192"/>
  <c r="AI191"/>
  <c r="Z1102" l="1"/>
  <c r="AB1102"/>
  <c r="AH1102" s="1"/>
  <c r="AG1102"/>
  <c r="AI192"/>
  <c r="AM193"/>
  <c r="AF1102" l="1"/>
  <c r="P1103"/>
  <c r="AM194"/>
  <c r="AI193"/>
  <c r="U1103" l="1"/>
  <c r="AA1103"/>
  <c r="AI194"/>
  <c r="AM195"/>
  <c r="AB1103" l="1"/>
  <c r="Z1103"/>
  <c r="AG1103"/>
  <c r="AI195"/>
  <c r="AM196"/>
  <c r="U1104" l="1"/>
  <c r="AB1104" s="1"/>
  <c r="AH1103"/>
  <c r="P1104"/>
  <c r="AA1104" s="1"/>
  <c r="AF1103"/>
  <c r="Z1104"/>
  <c r="AM197"/>
  <c r="AI196"/>
  <c r="AH1104" l="1"/>
  <c r="P1105"/>
  <c r="U1105" s="1"/>
  <c r="AF1104"/>
  <c r="AG1104"/>
  <c r="AM198"/>
  <c r="AI197"/>
  <c r="Z1105" l="1"/>
  <c r="AA1105"/>
  <c r="AB1105"/>
  <c r="AI198"/>
  <c r="AM199"/>
  <c r="AF1105" l="1"/>
  <c r="P1106"/>
  <c r="AG1105"/>
  <c r="AA1106"/>
  <c r="AG1106" s="1"/>
  <c r="AH1105"/>
  <c r="U1106"/>
  <c r="AB1106" s="1"/>
  <c r="AM200"/>
  <c r="AI199"/>
  <c r="AH1106" l="1"/>
  <c r="Z1106"/>
  <c r="AM201"/>
  <c r="AI200"/>
  <c r="P1107" l="1"/>
  <c r="AF1106"/>
  <c r="AI201"/>
  <c r="AM202"/>
  <c r="X1107" l="1"/>
  <c r="AA1107"/>
  <c r="AG1107" s="1"/>
  <c r="U1107"/>
  <c r="Z1107" s="1"/>
  <c r="AB1107"/>
  <c r="AH1107" s="1"/>
  <c r="AI202"/>
  <c r="AM203"/>
  <c r="P1108" l="1"/>
  <c r="AF1107"/>
  <c r="AI203"/>
  <c r="AM204"/>
  <c r="U1108" l="1"/>
  <c r="AA1108"/>
  <c r="AM205"/>
  <c r="AI204"/>
  <c r="Z1108" l="1"/>
  <c r="AB1108"/>
  <c r="AG1108"/>
  <c r="AI205"/>
  <c r="AM206"/>
  <c r="AF1108" l="1"/>
  <c r="AH1108"/>
  <c r="P1109"/>
  <c r="AM207"/>
  <c r="AI206"/>
  <c r="AA1109" l="1"/>
  <c r="U1109"/>
  <c r="AM208"/>
  <c r="AI207"/>
  <c r="AG1109" l="1"/>
  <c r="AB1109"/>
  <c r="Z1109"/>
  <c r="AI208"/>
  <c r="AM209"/>
  <c r="AF1109" l="1"/>
  <c r="P1110"/>
  <c r="AH1109"/>
  <c r="AI209"/>
  <c r="AM210"/>
  <c r="AA1110" l="1"/>
  <c r="U1110"/>
  <c r="AI210"/>
  <c r="AM211"/>
  <c r="AG1110" l="1"/>
  <c r="Z1110"/>
  <c r="AB1110"/>
  <c r="AI211"/>
  <c r="AM212"/>
  <c r="P1111" l="1"/>
  <c r="AF1110"/>
  <c r="AH1110"/>
  <c r="AM213"/>
  <c r="AI212"/>
  <c r="AA1111" l="1"/>
  <c r="U1111"/>
  <c r="AM214"/>
  <c r="AI213"/>
  <c r="AG1111" l="1"/>
  <c r="Z1111"/>
  <c r="AB1111"/>
  <c r="AI214"/>
  <c r="AM215"/>
  <c r="AH1111" l="1"/>
  <c r="AF1111"/>
  <c r="P1112"/>
  <c r="U1112" s="1"/>
  <c r="Z1112" s="1"/>
  <c r="AM216"/>
  <c r="AI215"/>
  <c r="AF1112" l="1"/>
  <c r="AA1112"/>
  <c r="AB1112"/>
  <c r="AI216"/>
  <c r="AM217"/>
  <c r="AG1112" l="1"/>
  <c r="AH1112"/>
  <c r="P1113"/>
  <c r="U1113" s="1"/>
  <c r="AM218"/>
  <c r="AI217"/>
  <c r="AA1113" l="1"/>
  <c r="AG1113" s="1"/>
  <c r="AB1113"/>
  <c r="AH1113" s="1"/>
  <c r="Z1113"/>
  <c r="AI218"/>
  <c r="AM219"/>
  <c r="AF1113" l="1"/>
  <c r="P1114"/>
  <c r="AM220"/>
  <c r="AI219"/>
  <c r="U1114" l="1"/>
  <c r="Z1114" s="1"/>
  <c r="AA1114"/>
  <c r="AB1114"/>
  <c r="AM221"/>
  <c r="AI220"/>
  <c r="AF1114" l="1"/>
  <c r="P1115"/>
  <c r="U1115" s="1"/>
  <c r="AB1115" s="1"/>
  <c r="Z1115"/>
  <c r="AG1114"/>
  <c r="AA1115"/>
  <c r="AH1114"/>
  <c r="AM222"/>
  <c r="AI221"/>
  <c r="AH1115" l="1"/>
  <c r="AG1115"/>
  <c r="AF1115"/>
  <c r="P1116"/>
  <c r="AM223"/>
  <c r="AI222"/>
  <c r="AB1116" l="1"/>
  <c r="U1116"/>
  <c r="AM224"/>
  <c r="AI223"/>
  <c r="AH1116" l="1"/>
  <c r="Z1116"/>
  <c r="AA1116"/>
  <c r="AI224"/>
  <c r="AM225"/>
  <c r="AF1116" l="1"/>
  <c r="P1117"/>
  <c r="AG1116"/>
  <c r="AM226"/>
  <c r="AI225"/>
  <c r="U1117" l="1"/>
  <c r="AB1117"/>
  <c r="AM227"/>
  <c r="AI226"/>
  <c r="Z1117" l="1"/>
  <c r="AA1117"/>
  <c r="AH1117"/>
  <c r="AI227"/>
  <c r="AM228"/>
  <c r="AF1117" l="1"/>
  <c r="P1118"/>
  <c r="AG1117"/>
  <c r="AM229"/>
  <c r="AI228"/>
  <c r="U1118" l="1"/>
  <c r="AB1118"/>
  <c r="AM230"/>
  <c r="AI229"/>
  <c r="Z1118" l="1"/>
  <c r="AA1118"/>
  <c r="AH1118"/>
  <c r="AI230"/>
  <c r="AM231"/>
  <c r="P1119" l="1"/>
  <c r="AF1118"/>
  <c r="AG1118"/>
  <c r="AI231"/>
  <c r="AM232"/>
  <c r="X1119" l="1"/>
  <c r="U1119"/>
  <c r="AB1119"/>
  <c r="AM233"/>
  <c r="AI232"/>
  <c r="Z1119" l="1"/>
  <c r="AA1119"/>
  <c r="AH1119"/>
  <c r="AM234"/>
  <c r="AI233"/>
  <c r="P1120" l="1"/>
  <c r="AF1119"/>
  <c r="AG1119"/>
  <c r="AM235"/>
  <c r="AI234"/>
  <c r="U1120" l="1"/>
  <c r="AB1120"/>
  <c r="AM236"/>
  <c r="AI235"/>
  <c r="Z1120" l="1"/>
  <c r="AA1120"/>
  <c r="AH1120"/>
  <c r="AI236"/>
  <c r="AM237"/>
  <c r="AF1120" l="1"/>
  <c r="P1121"/>
  <c r="AG1120"/>
  <c r="AI237"/>
  <c r="AM238"/>
  <c r="U1121" l="1"/>
  <c r="AB1121"/>
  <c r="AI238"/>
  <c r="AM239"/>
  <c r="Z1121" l="1"/>
  <c r="AA1121"/>
  <c r="AH1121"/>
  <c r="AM240"/>
  <c r="AI239"/>
  <c r="AF1121" l="1"/>
  <c r="P1122"/>
  <c r="AG1121"/>
  <c r="AI240"/>
  <c r="AM241"/>
  <c r="U1122" l="1"/>
  <c r="AB1122"/>
  <c r="AI241"/>
  <c r="AM242"/>
  <c r="AA1122" l="1"/>
  <c r="Z1122"/>
  <c r="AH1122"/>
  <c r="AM243"/>
  <c r="AI242"/>
  <c r="AG1122" l="1"/>
  <c r="AF1122"/>
  <c r="P1123"/>
  <c r="AI243"/>
  <c r="AM244"/>
  <c r="Z1123" l="1"/>
  <c r="AB1123"/>
  <c r="U1123"/>
  <c r="AA1123"/>
  <c r="AM245"/>
  <c r="AI244"/>
  <c r="AF1123" l="1"/>
  <c r="P1124"/>
  <c r="AH1123"/>
  <c r="U1124"/>
  <c r="AA1124" s="1"/>
  <c r="AG1124" s="1"/>
  <c r="AG1123"/>
  <c r="AM246"/>
  <c r="AI245"/>
  <c r="AB1124" l="1"/>
  <c r="AH1124" s="1"/>
  <c r="Z1124"/>
  <c r="P1125" s="1"/>
  <c r="U1125" s="1"/>
  <c r="AB1125" s="1"/>
  <c r="AM247"/>
  <c r="AI246"/>
  <c r="AF1124" l="1"/>
  <c r="Z1125"/>
  <c r="AF1125" s="1"/>
  <c r="AH1125"/>
  <c r="AA1125"/>
  <c r="AM248"/>
  <c r="AI247"/>
  <c r="AG1125" l="1"/>
  <c r="P1126"/>
  <c r="AI248"/>
  <c r="AM249"/>
  <c r="U1126" l="1"/>
  <c r="AA1126" s="1"/>
  <c r="Z1126"/>
  <c r="AB1126"/>
  <c r="AI249"/>
  <c r="AM250"/>
  <c r="AF1126" l="1"/>
  <c r="P1127"/>
  <c r="Z1127"/>
  <c r="AH1126"/>
  <c r="U1127"/>
  <c r="AB1127"/>
  <c r="AG1126"/>
  <c r="AA1127"/>
  <c r="AG1127" s="1"/>
  <c r="AM251"/>
  <c r="AI250"/>
  <c r="AF1127" l="1"/>
  <c r="P1128"/>
  <c r="U1128" s="1"/>
  <c r="AH1127"/>
  <c r="AI251"/>
  <c r="AM252"/>
  <c r="AA1128" l="1"/>
  <c r="AG1128" s="1"/>
  <c r="Z1128"/>
  <c r="AF1128" s="1"/>
  <c r="AB1128"/>
  <c r="AI252"/>
  <c r="AM253"/>
  <c r="P1129" l="1"/>
  <c r="Z1129"/>
  <c r="AA1129"/>
  <c r="AG1129" s="1"/>
  <c r="AH1128"/>
  <c r="U1129"/>
  <c r="AB1129"/>
  <c r="AH1129" s="1"/>
  <c r="AI253"/>
  <c r="AM254"/>
  <c r="P1130" l="1"/>
  <c r="AF1129"/>
  <c r="AM255"/>
  <c r="AI254"/>
  <c r="AB1130" l="1"/>
  <c r="AH1130" s="1"/>
  <c r="U1130"/>
  <c r="AI255"/>
  <c r="AM256"/>
  <c r="Z1130" l="1"/>
  <c r="AA1130"/>
  <c r="AG1130" s="1"/>
  <c r="AI256"/>
  <c r="AM257"/>
  <c r="AF1130" l="1"/>
  <c r="P1131"/>
  <c r="AI257"/>
  <c r="AM258"/>
  <c r="U1131" l="1"/>
  <c r="AB1131"/>
  <c r="AH1131" s="1"/>
  <c r="X1131"/>
  <c r="AI258"/>
  <c r="AM259"/>
  <c r="AA1131" l="1"/>
  <c r="AG1131" s="1"/>
  <c r="Z1131"/>
  <c r="AI259"/>
  <c r="AM260"/>
  <c r="P1132" l="1"/>
  <c r="AF1131"/>
  <c r="AM261"/>
  <c r="AI260"/>
  <c r="AB1132" l="1"/>
  <c r="AH1132" s="1"/>
  <c r="U1132"/>
  <c r="AM262"/>
  <c r="AI261"/>
  <c r="Z1132" l="1"/>
  <c r="AA1132"/>
  <c r="AG1132" s="1"/>
  <c r="AM263"/>
  <c r="AI262"/>
  <c r="AF1132" l="1"/>
  <c r="P1133"/>
  <c r="AI263"/>
  <c r="AM264"/>
  <c r="U1133" l="1"/>
  <c r="AB1133"/>
  <c r="AH1133" s="1"/>
  <c r="AI264"/>
  <c r="AM265"/>
  <c r="AA1133" l="1"/>
  <c r="AG1133" s="1"/>
  <c r="Z1133"/>
  <c r="AI265"/>
  <c r="AM266"/>
  <c r="AF1133" l="1"/>
  <c r="P1134"/>
  <c r="AI266"/>
  <c r="AM267"/>
  <c r="AB1134" l="1"/>
  <c r="U1134"/>
  <c r="Z1134" s="1"/>
  <c r="AA1134"/>
  <c r="AI267"/>
  <c r="AM268"/>
  <c r="U1135" l="1"/>
  <c r="AB1135" s="1"/>
  <c r="AH1135" s="1"/>
  <c r="AH1134"/>
  <c r="P1135"/>
  <c r="AF1134"/>
  <c r="AA1135"/>
  <c r="AG1135" s="1"/>
  <c r="AG1134"/>
  <c r="Z1135"/>
  <c r="AF1135" s="1"/>
  <c r="AM269"/>
  <c r="AI268"/>
  <c r="P1136" l="1"/>
  <c r="U1136" s="1"/>
  <c r="AI269"/>
  <c r="AM270"/>
  <c r="Z1136" l="1"/>
  <c r="AF1136" s="1"/>
  <c r="AB1136"/>
  <c r="AA1136"/>
  <c r="AG1136" s="1"/>
  <c r="AI270"/>
  <c r="AM271"/>
  <c r="P1137" l="1"/>
  <c r="U1137" s="1"/>
  <c r="AH1136"/>
  <c r="AI271"/>
  <c r="AM272"/>
  <c r="AB1137" l="1"/>
  <c r="AH1137" s="1"/>
  <c r="Z1137"/>
  <c r="AF1137" s="1"/>
  <c r="AA1137"/>
  <c r="AG1137" s="1"/>
  <c r="AM273"/>
  <c r="AI272"/>
  <c r="P1138" l="1"/>
  <c r="U1138" s="1"/>
  <c r="AB1138" s="1"/>
  <c r="AI273"/>
  <c r="AM274"/>
  <c r="AH1138" l="1"/>
  <c r="Z1138"/>
  <c r="AA1138"/>
  <c r="AI274"/>
  <c r="AM275"/>
  <c r="AF1138" l="1"/>
  <c r="P1139"/>
  <c r="AG1138"/>
  <c r="AI275"/>
  <c r="AM276"/>
  <c r="U1139" l="1"/>
  <c r="AB1139"/>
  <c r="AI276"/>
  <c r="AM277"/>
  <c r="AH1139" l="1"/>
  <c r="Z1139"/>
  <c r="AA1139"/>
  <c r="AI277"/>
  <c r="AM278"/>
  <c r="P1140" l="1"/>
  <c r="AF1139"/>
  <c r="AG1139"/>
  <c r="AI278"/>
  <c r="AM279"/>
  <c r="U1140" l="1"/>
  <c r="AA1140" s="1"/>
  <c r="AI279"/>
  <c r="AM280"/>
  <c r="AG1140" l="1"/>
  <c r="AB1140"/>
  <c r="Z1140"/>
  <c r="AI280"/>
  <c r="AM281"/>
  <c r="AH1140" l="1"/>
  <c r="AF1140"/>
  <c r="P1141"/>
  <c r="AI281"/>
  <c r="AM282"/>
  <c r="AA1141" l="1"/>
  <c r="U1141"/>
  <c r="Z1141" s="1"/>
  <c r="AB1141"/>
  <c r="AI282"/>
  <c r="AM283"/>
  <c r="AF1141" l="1"/>
  <c r="P1142"/>
  <c r="AG1141"/>
  <c r="AH1141"/>
  <c r="U1142"/>
  <c r="AB1142" s="1"/>
  <c r="AI283"/>
  <c r="AM284"/>
  <c r="AH1142" l="1"/>
  <c r="AA1142"/>
  <c r="Z1142"/>
  <c r="AI284"/>
  <c r="AM285"/>
  <c r="AF1142" l="1"/>
  <c r="P1143"/>
  <c r="AG1142"/>
  <c r="AI285"/>
  <c r="AM286"/>
  <c r="X1143" l="1"/>
  <c r="AB1143"/>
  <c r="U1143"/>
  <c r="AI286"/>
  <c r="AM287"/>
  <c r="AH1143" l="1"/>
  <c r="Z1143"/>
  <c r="AA1143"/>
  <c r="AI287"/>
  <c r="AM288"/>
  <c r="AF1143" l="1"/>
  <c r="P1144"/>
  <c r="AG1143"/>
  <c r="AI288"/>
  <c r="AM289"/>
  <c r="AB1144" l="1"/>
  <c r="U1144"/>
  <c r="AI289"/>
  <c r="AM290"/>
  <c r="AH1144" l="1"/>
  <c r="Z1144"/>
  <c r="AA1144"/>
  <c r="AI290"/>
  <c r="AM291"/>
  <c r="AF1144" l="1"/>
  <c r="P1145"/>
  <c r="AG1144"/>
  <c r="AI291"/>
  <c r="AM292"/>
  <c r="AB1145" l="1"/>
  <c r="U1145"/>
  <c r="AI292"/>
  <c r="AM293"/>
  <c r="AH1145" l="1"/>
  <c r="AA1145"/>
  <c r="Z1145"/>
  <c r="AI293"/>
  <c r="AM294"/>
  <c r="AG1145" l="1"/>
  <c r="P1146"/>
  <c r="AF1145"/>
  <c r="AI294"/>
  <c r="AM295"/>
  <c r="AB1146" l="1"/>
  <c r="U1146"/>
  <c r="Z1146" s="1"/>
  <c r="AA1146"/>
  <c r="AI295"/>
  <c r="AM296"/>
  <c r="AH1146" l="1"/>
  <c r="AF1146"/>
  <c r="P1147"/>
  <c r="AG1146"/>
  <c r="AI296"/>
  <c r="AM297"/>
  <c r="AB1147" l="1"/>
  <c r="U1147"/>
  <c r="AI297"/>
  <c r="AM298"/>
  <c r="AH1147" l="1"/>
  <c r="AA1147"/>
  <c r="Z1147"/>
  <c r="AI298"/>
  <c r="AM299"/>
  <c r="AF1147" l="1"/>
  <c r="P1148"/>
  <c r="AG1147"/>
  <c r="AI299"/>
  <c r="AM300"/>
  <c r="Z1148" l="1"/>
  <c r="AB1148"/>
  <c r="U1148"/>
  <c r="AA1148" s="1"/>
  <c r="AI300"/>
  <c r="AM301"/>
  <c r="AF1148" l="1"/>
  <c r="P1149"/>
  <c r="U1149" s="1"/>
  <c r="AH1148"/>
  <c r="AG1148"/>
  <c r="AI301"/>
  <c r="AM302"/>
  <c r="AA1149" l="1"/>
  <c r="AG1149" s="1"/>
  <c r="Z1149"/>
  <c r="AB1149"/>
  <c r="AH1149" s="1"/>
  <c r="AI302"/>
  <c r="AM303"/>
  <c r="P1150" l="1"/>
  <c r="U1150" s="1"/>
  <c r="AF1149"/>
  <c r="AI303"/>
  <c r="AM304"/>
  <c r="AA1150" l="1"/>
  <c r="AG1150" s="1"/>
  <c r="Z1150"/>
  <c r="AB1150"/>
  <c r="AH1150" s="1"/>
  <c r="AI304"/>
  <c r="AM305"/>
  <c r="P1151" l="1"/>
  <c r="AF1150"/>
  <c r="AI305"/>
  <c r="AM306"/>
  <c r="U1151" l="1"/>
  <c r="AA1151" s="1"/>
  <c r="AB1151"/>
  <c r="Z1151"/>
  <c r="AI306"/>
  <c r="AM307"/>
  <c r="AG1151" l="1"/>
  <c r="AH1151"/>
  <c r="AF1151"/>
  <c r="P1152"/>
  <c r="U1152" s="1"/>
  <c r="AI307"/>
  <c r="AM308"/>
  <c r="AA1152" l="1"/>
  <c r="Z1152"/>
  <c r="AB1152"/>
  <c r="AI308"/>
  <c r="AM309"/>
  <c r="AF1152" l="1"/>
  <c r="Z1153"/>
  <c r="P1153"/>
  <c r="AG1152"/>
  <c r="AA1153"/>
  <c r="AG1153" s="1"/>
  <c r="AB1153"/>
  <c r="U1153"/>
  <c r="AH1152"/>
  <c r="AI309"/>
  <c r="AM310"/>
  <c r="AF1153" l="1"/>
  <c r="P1154"/>
  <c r="AH1153"/>
  <c r="AI310"/>
  <c r="AM311"/>
  <c r="AA1154" l="1"/>
  <c r="AB1154"/>
  <c r="U1154"/>
  <c r="Z1154" s="1"/>
  <c r="AI311"/>
  <c r="AM312"/>
  <c r="AH1154" l="1"/>
  <c r="AF1154"/>
  <c r="P1155"/>
  <c r="X1155" s="1"/>
  <c r="AG1154"/>
  <c r="AI312"/>
  <c r="AM313"/>
  <c r="Z1155" l="1"/>
  <c r="U1155"/>
  <c r="AB1155"/>
  <c r="AA1155"/>
  <c r="AI313"/>
  <c r="AM314"/>
  <c r="P1156" l="1"/>
  <c r="U1156" s="1"/>
  <c r="AF1155"/>
  <c r="AH1155"/>
  <c r="AB1156"/>
  <c r="AH1156" s="1"/>
  <c r="AG1155"/>
  <c r="AA1156"/>
  <c r="AG1156" s="1"/>
  <c r="AI314"/>
  <c r="AM315"/>
  <c r="Z1156" l="1"/>
  <c r="AI315"/>
  <c r="AM316"/>
  <c r="AF1156" l="1"/>
  <c r="P1157"/>
  <c r="AI316"/>
  <c r="AM317"/>
  <c r="U1157" l="1"/>
  <c r="Z1157" s="1"/>
  <c r="AB1157"/>
  <c r="AH1157" s="1"/>
  <c r="AA1157"/>
  <c r="AI317"/>
  <c r="AM318"/>
  <c r="AF1157" l="1"/>
  <c r="P1158"/>
  <c r="U1158" s="1"/>
  <c r="AB1158" s="1"/>
  <c r="Z1158"/>
  <c r="AA1158"/>
  <c r="AG1157"/>
  <c r="AI318"/>
  <c r="AM319"/>
  <c r="AH1158" l="1"/>
  <c r="AF1158"/>
  <c r="P1159"/>
  <c r="AG1158"/>
  <c r="AI319"/>
  <c r="AM320"/>
  <c r="U1159" l="1"/>
  <c r="Z1159"/>
  <c r="AI320"/>
  <c r="AM321"/>
  <c r="AA1159" l="1"/>
  <c r="AB1159"/>
  <c r="AF1159"/>
  <c r="AI321"/>
  <c r="AM322"/>
  <c r="AG1159" l="1"/>
  <c r="AH1159"/>
  <c r="P1160"/>
  <c r="AI322"/>
  <c r="AM323"/>
  <c r="AB1160" l="1"/>
  <c r="U1160"/>
  <c r="AA1160" s="1"/>
  <c r="Z1160"/>
  <c r="AI323"/>
  <c r="AM324"/>
  <c r="AH1160" l="1"/>
  <c r="AB1161"/>
  <c r="AG1160"/>
  <c r="AA1161"/>
  <c r="AG1161" s="1"/>
  <c r="AF1160"/>
  <c r="P1161"/>
  <c r="U1161" s="1"/>
  <c r="Z1161"/>
  <c r="AI324"/>
  <c r="AM325"/>
  <c r="AB1162" l="1"/>
  <c r="AF1161"/>
  <c r="P1162"/>
  <c r="AA1162"/>
  <c r="AG1162" s="1"/>
  <c r="AH1161"/>
  <c r="U1162"/>
  <c r="Z1162"/>
  <c r="AI325"/>
  <c r="AM326"/>
  <c r="AH1162" l="1"/>
  <c r="P1163"/>
  <c r="AF1162"/>
  <c r="AI326"/>
  <c r="AM327"/>
  <c r="U1163" l="1"/>
  <c r="AB1163"/>
  <c r="AI327"/>
  <c r="AM328"/>
  <c r="Z1163" l="1"/>
  <c r="AA1163"/>
  <c r="AH1163"/>
  <c r="AI328"/>
  <c r="AM329"/>
  <c r="AF1163" l="1"/>
  <c r="P1164"/>
  <c r="AG1163"/>
  <c r="AI329"/>
  <c r="AM330"/>
  <c r="AB1164" l="1"/>
  <c r="U1164"/>
  <c r="AI330"/>
  <c r="AM331"/>
  <c r="AH1164" l="1"/>
  <c r="AA1164"/>
  <c r="Z1164"/>
  <c r="AI331"/>
  <c r="AM332"/>
  <c r="P1165" l="1"/>
  <c r="AF1164"/>
  <c r="AG1164"/>
  <c r="AI332"/>
  <c r="AM333"/>
  <c r="U1165" l="1"/>
  <c r="AB1165"/>
  <c r="AI333"/>
  <c r="AM334"/>
  <c r="Z1165" l="1"/>
  <c r="AA1165"/>
  <c r="AH1165"/>
  <c r="AI334"/>
  <c r="AM335"/>
  <c r="AF1165" l="1"/>
  <c r="P1166"/>
  <c r="AG1165"/>
  <c r="AI335"/>
  <c r="AM336"/>
  <c r="U1166" l="1"/>
  <c r="AB1166"/>
  <c r="AI336"/>
  <c r="AM337"/>
  <c r="Z1166" l="1"/>
  <c r="AA1166"/>
  <c r="AH1166"/>
  <c r="AI337"/>
  <c r="AM338"/>
  <c r="AF1166" l="1"/>
  <c r="P1167"/>
  <c r="AG1166"/>
  <c r="AI338"/>
  <c r="AM339"/>
  <c r="X1167" l="1"/>
  <c r="U1167"/>
  <c r="AI339"/>
  <c r="AM340"/>
  <c r="AB1167" l="1"/>
  <c r="AH1167" s="1"/>
  <c r="Z1167"/>
  <c r="AF1167" s="1"/>
  <c r="AA1167"/>
  <c r="AG1167" s="1"/>
  <c r="AI340"/>
  <c r="AM341"/>
  <c r="AI341" l="1"/>
  <c r="AM342"/>
  <c r="AI342" l="1"/>
  <c r="AM343"/>
  <c r="AI343" l="1"/>
  <c r="AM344"/>
  <c r="AI344" l="1"/>
  <c r="AM345"/>
  <c r="AI345" l="1"/>
  <c r="AM346"/>
  <c r="AI346" l="1"/>
  <c r="AM347"/>
  <c r="AI347" l="1"/>
  <c r="AM348"/>
  <c r="AI348" l="1"/>
  <c r="AM349"/>
  <c r="AI349" l="1"/>
  <c r="AM350"/>
  <c r="AI350" l="1"/>
  <c r="AM351"/>
  <c r="AI351" l="1"/>
  <c r="AM352"/>
  <c r="AI352" l="1"/>
  <c r="AM353"/>
  <c r="AI353" l="1"/>
  <c r="AM354"/>
  <c r="AI354" l="1"/>
  <c r="AM355"/>
  <c r="AI355" l="1"/>
  <c r="AM356"/>
  <c r="AI356" l="1"/>
  <c r="AM357"/>
  <c r="AI357" l="1"/>
  <c r="AM358"/>
  <c r="AI358" l="1"/>
  <c r="AM359"/>
  <c r="AI359" l="1"/>
  <c r="AM360"/>
  <c r="AI360" l="1"/>
  <c r="AM361"/>
  <c r="AI361" l="1"/>
  <c r="AM362"/>
  <c r="AI362" l="1"/>
  <c r="AM363"/>
  <c r="AI363" l="1"/>
  <c r="AM364"/>
  <c r="AI364" l="1"/>
  <c r="AM365"/>
  <c r="AI365" l="1"/>
  <c r="AM366"/>
  <c r="AI366" l="1"/>
  <c r="AM367"/>
  <c r="AI367" l="1"/>
  <c r="AM368"/>
  <c r="AI368" l="1"/>
  <c r="AM369"/>
  <c r="AI369" l="1"/>
  <c r="AM370"/>
  <c r="AI370" l="1"/>
  <c r="AM371"/>
  <c r="AI371" l="1"/>
  <c r="AM372"/>
  <c r="AI372" l="1"/>
  <c r="AM373"/>
  <c r="AI373" l="1"/>
  <c r="AM374"/>
  <c r="AI374" l="1"/>
  <c r="AM375"/>
  <c r="AI375" l="1"/>
  <c r="AM376"/>
  <c r="AI376" l="1"/>
  <c r="AM377"/>
  <c r="AI377" l="1"/>
  <c r="AM378"/>
  <c r="AI378" l="1"/>
  <c r="AM379"/>
  <c r="AI379" l="1"/>
  <c r="AM380"/>
  <c r="AI380" l="1"/>
  <c r="AM381"/>
  <c r="AI381" l="1"/>
  <c r="AM382"/>
  <c r="AI382" l="1"/>
  <c r="AM383"/>
  <c r="AI383" l="1"/>
  <c r="AM384"/>
  <c r="AI384" l="1"/>
  <c r="AM385"/>
  <c r="AI385" l="1"/>
  <c r="AM386"/>
  <c r="AI386" l="1"/>
  <c r="AM387"/>
  <c r="AI387" l="1"/>
  <c r="AM388"/>
  <c r="AI388" l="1"/>
  <c r="AM389"/>
  <c r="AI389" l="1"/>
  <c r="AM390"/>
  <c r="AI390" l="1"/>
  <c r="AM391"/>
  <c r="AI391" l="1"/>
  <c r="AM392"/>
  <c r="AI392" l="1"/>
  <c r="AM393"/>
  <c r="AI393" l="1"/>
  <c r="AM394"/>
  <c r="AI394" l="1"/>
  <c r="AM395"/>
  <c r="AI395" l="1"/>
  <c r="AM396"/>
  <c r="AI396" l="1"/>
  <c r="AM397"/>
  <c r="AI397" l="1"/>
  <c r="AM398"/>
  <c r="AI398" l="1"/>
  <c r="AM399"/>
  <c r="AI399" l="1"/>
  <c r="AM400"/>
  <c r="AI400" l="1"/>
  <c r="AM401"/>
  <c r="AI401" l="1"/>
  <c r="AM402"/>
  <c r="AI402" l="1"/>
  <c r="AM403"/>
  <c r="AI403" l="1"/>
  <c r="AM404"/>
  <c r="AI404" l="1"/>
  <c r="AM405"/>
  <c r="AI405" l="1"/>
  <c r="AM406"/>
  <c r="AI406" l="1"/>
  <c r="AM407"/>
  <c r="AI407" l="1"/>
  <c r="AM408"/>
  <c r="AI408" l="1"/>
  <c r="AM409"/>
  <c r="AI409" l="1"/>
  <c r="AM410"/>
  <c r="AI410" l="1"/>
  <c r="AM411"/>
  <c r="AI411" l="1"/>
  <c r="AM412"/>
  <c r="AI412" l="1"/>
  <c r="AM413"/>
  <c r="AI413" l="1"/>
  <c r="AM414"/>
  <c r="AI414" l="1"/>
  <c r="AM415"/>
  <c r="AI415" l="1"/>
  <c r="AM416"/>
  <c r="AI416" l="1"/>
  <c r="AM417"/>
  <c r="AI417" l="1"/>
  <c r="AM418"/>
  <c r="AI418" l="1"/>
  <c r="AM419"/>
  <c r="AI419" l="1"/>
  <c r="AM420"/>
  <c r="AI420" l="1"/>
  <c r="AM421"/>
  <c r="AI421" l="1"/>
  <c r="AM422"/>
  <c r="AI422" l="1"/>
  <c r="AM423"/>
  <c r="AI423" l="1"/>
  <c r="AM424"/>
  <c r="AI424" l="1"/>
  <c r="AM425"/>
  <c r="AI425" l="1"/>
  <c r="AM426"/>
  <c r="AI426" l="1"/>
  <c r="AM427"/>
  <c r="AI427" l="1"/>
  <c r="AM428"/>
  <c r="AI428" l="1"/>
  <c r="AM429"/>
  <c r="AI429" l="1"/>
  <c r="AM430"/>
  <c r="AI430" l="1"/>
  <c r="AM431"/>
  <c r="AI431" l="1"/>
  <c r="AM432"/>
  <c r="AI432" l="1"/>
  <c r="AM433"/>
  <c r="AI433" l="1"/>
  <c r="AM434"/>
  <c r="AI434" l="1"/>
  <c r="AM435"/>
  <c r="AI435" l="1"/>
  <c r="AM436"/>
  <c r="AI436" l="1"/>
  <c r="AM437"/>
  <c r="AI437" l="1"/>
  <c r="AM438"/>
  <c r="AI438" l="1"/>
  <c r="AM439"/>
  <c r="AI439" l="1"/>
  <c r="AM440"/>
  <c r="AI440" l="1"/>
  <c r="AM441"/>
  <c r="AI441" l="1"/>
  <c r="AM442"/>
  <c r="AI442" l="1"/>
  <c r="AM443"/>
  <c r="AI443" l="1"/>
  <c r="AM444"/>
  <c r="AI444" l="1"/>
  <c r="AM445"/>
  <c r="AI445" l="1"/>
  <c r="AM446"/>
  <c r="AI446" l="1"/>
  <c r="AM447"/>
  <c r="AI447" l="1"/>
  <c r="AM448"/>
  <c r="AI448" l="1"/>
  <c r="AM449"/>
  <c r="AI449" l="1"/>
  <c r="AM450"/>
  <c r="AI450" l="1"/>
  <c r="AM451"/>
  <c r="AI451" l="1"/>
  <c r="AM452"/>
  <c r="AI452" l="1"/>
  <c r="AM453"/>
  <c r="AI453" l="1"/>
  <c r="AM454"/>
  <c r="AI454" l="1"/>
  <c r="AM455"/>
  <c r="AI455" l="1"/>
  <c r="AM456"/>
  <c r="AI456" l="1"/>
  <c r="AM457"/>
  <c r="AI457" l="1"/>
  <c r="AM458"/>
  <c r="AI458" l="1"/>
  <c r="AM459"/>
  <c r="AI459" l="1"/>
  <c r="AM460"/>
  <c r="AI460" l="1"/>
  <c r="AM461"/>
  <c r="AI461" l="1"/>
  <c r="AM462"/>
  <c r="AI462" l="1"/>
  <c r="AM463"/>
  <c r="AI463" l="1"/>
  <c r="AM464"/>
  <c r="AI464" l="1"/>
  <c r="AM465"/>
  <c r="AI465" l="1"/>
  <c r="AM466"/>
  <c r="AI466" l="1"/>
  <c r="AM467"/>
  <c r="AI467" l="1"/>
  <c r="AM468"/>
  <c r="AI468" l="1"/>
  <c r="AM469"/>
  <c r="AI469" l="1"/>
  <c r="AM470"/>
  <c r="AI470" l="1"/>
  <c r="AM471"/>
  <c r="AI471" l="1"/>
  <c r="AM472"/>
  <c r="AI472" l="1"/>
  <c r="AM473"/>
  <c r="AI473" l="1"/>
  <c r="AM474"/>
  <c r="AI474" l="1"/>
  <c r="AM475"/>
  <c r="AI475" l="1"/>
  <c r="AM476"/>
  <c r="AI476" l="1"/>
  <c r="AM477"/>
  <c r="AI477" l="1"/>
  <c r="AM478"/>
  <c r="AI478" l="1"/>
  <c r="AM479"/>
  <c r="AI479" l="1"/>
  <c r="AM480"/>
  <c r="AI480" l="1"/>
  <c r="AM481"/>
  <c r="AI481" l="1"/>
  <c r="AM482"/>
  <c r="AI482" l="1"/>
  <c r="AM483"/>
  <c r="AI483" l="1"/>
  <c r="AM484"/>
  <c r="AI484" l="1"/>
  <c r="AM485"/>
  <c r="AI485" l="1"/>
  <c r="AM486"/>
  <c r="AI486" l="1"/>
  <c r="AM487"/>
  <c r="AI487" l="1"/>
  <c r="AM488"/>
  <c r="AI488" l="1"/>
  <c r="AM489"/>
  <c r="AI489" l="1"/>
  <c r="AM490"/>
  <c r="AI490" l="1"/>
  <c r="AM491"/>
  <c r="AI491" l="1"/>
  <c r="AM492"/>
  <c r="AI492" l="1"/>
  <c r="AM493"/>
  <c r="AI493" l="1"/>
  <c r="AM494"/>
  <c r="AI494" l="1"/>
  <c r="AM495"/>
  <c r="AI495" l="1"/>
  <c r="AM496"/>
  <c r="AI496" l="1"/>
  <c r="AM497"/>
  <c r="AI497" l="1"/>
  <c r="AM498"/>
  <c r="AI498" l="1"/>
  <c r="AM499"/>
  <c r="AI499" l="1"/>
  <c r="AM500"/>
  <c r="AI500" l="1"/>
  <c r="AM501"/>
  <c r="AI501" l="1"/>
  <c r="AM502"/>
  <c r="AI502" l="1"/>
  <c r="AM503"/>
  <c r="AI503" l="1"/>
  <c r="AM504"/>
  <c r="AI504" l="1"/>
  <c r="AM505"/>
  <c r="AI505" l="1"/>
  <c r="AM506"/>
  <c r="AI506" l="1"/>
  <c r="AM507"/>
  <c r="AI507" l="1"/>
  <c r="AM508"/>
  <c r="AI508" l="1"/>
  <c r="AM509"/>
  <c r="AI509" l="1"/>
  <c r="AM510"/>
  <c r="AI510" l="1"/>
  <c r="AM511"/>
  <c r="AI511" l="1"/>
  <c r="AM512"/>
  <c r="AI512" l="1"/>
  <c r="AM513"/>
  <c r="AI513" l="1"/>
  <c r="AM514"/>
  <c r="AI514" l="1"/>
  <c r="AM515"/>
  <c r="AI515" l="1"/>
  <c r="AM516"/>
  <c r="AI516" l="1"/>
  <c r="AM517"/>
  <c r="AI517" l="1"/>
  <c r="AM518"/>
  <c r="AI518" l="1"/>
  <c r="AM519"/>
  <c r="AI519" l="1"/>
  <c r="AM520"/>
  <c r="AI520" l="1"/>
  <c r="AM521"/>
  <c r="AI521" l="1"/>
  <c r="AM522"/>
  <c r="AI522" l="1"/>
  <c r="AM523"/>
  <c r="AI523" l="1"/>
  <c r="AM524"/>
  <c r="AI524" l="1"/>
  <c r="AM525"/>
  <c r="AI525" l="1"/>
  <c r="AM526"/>
  <c r="AI526" l="1"/>
  <c r="AM527"/>
  <c r="AI527" l="1"/>
  <c r="AM528"/>
  <c r="AI528" l="1"/>
  <c r="AM529"/>
  <c r="AI529" l="1"/>
  <c r="AM530"/>
  <c r="AI530" l="1"/>
  <c r="AM531"/>
  <c r="AI531" l="1"/>
  <c r="AM532"/>
  <c r="AI532" l="1"/>
  <c r="AM533"/>
  <c r="AI533" l="1"/>
  <c r="AM534"/>
  <c r="AI534" l="1"/>
  <c r="AM535"/>
  <c r="AI535" l="1"/>
  <c r="AM536"/>
  <c r="AI536" l="1"/>
  <c r="AM537"/>
  <c r="AI537" l="1"/>
  <c r="AM538"/>
  <c r="AI538" l="1"/>
  <c r="AM539"/>
  <c r="AI539" l="1"/>
  <c r="AM540"/>
  <c r="AI540" l="1"/>
  <c r="AM541"/>
  <c r="AI541" l="1"/>
  <c r="AM542"/>
  <c r="AI542" l="1"/>
  <c r="AM543"/>
  <c r="AI543" l="1"/>
  <c r="AM544"/>
  <c r="AI544" l="1"/>
  <c r="AM545"/>
  <c r="AI545" l="1"/>
  <c r="AM546"/>
  <c r="AI546" l="1"/>
  <c r="AM547"/>
  <c r="AI547" l="1"/>
  <c r="AM548"/>
  <c r="AI548" l="1"/>
  <c r="AM549"/>
  <c r="AI549" l="1"/>
  <c r="AM550"/>
  <c r="AI550" l="1"/>
  <c r="AM551"/>
  <c r="AI551" l="1"/>
  <c r="AM552"/>
  <c r="AI552" l="1"/>
  <c r="AM553"/>
  <c r="AI553" l="1"/>
  <c r="AM554"/>
  <c r="AI554" l="1"/>
  <c r="AM555"/>
  <c r="AI555" l="1"/>
  <c r="AM556"/>
  <c r="AI556" l="1"/>
  <c r="AM557"/>
  <c r="AI557" l="1"/>
  <c r="AM558"/>
  <c r="AI558" l="1"/>
  <c r="AM559"/>
  <c r="AI559" l="1"/>
  <c r="AM560"/>
  <c r="AI560" l="1"/>
  <c r="AM561"/>
  <c r="AI561" l="1"/>
  <c r="AM562"/>
  <c r="AI562" l="1"/>
  <c r="AM563"/>
  <c r="AI563" l="1"/>
  <c r="AM564"/>
  <c r="AI564" l="1"/>
  <c r="AM565"/>
  <c r="AI565" l="1"/>
  <c r="AM566"/>
  <c r="AI566" l="1"/>
  <c r="AM567"/>
  <c r="AI567" l="1"/>
  <c r="AM568"/>
  <c r="AI568" l="1"/>
  <c r="AM569"/>
  <c r="AI569" l="1"/>
  <c r="AM570"/>
  <c r="AI570" l="1"/>
  <c r="AM571"/>
  <c r="AI571" l="1"/>
  <c r="AM572"/>
  <c r="AI572" l="1"/>
  <c r="AM573"/>
  <c r="AI573" l="1"/>
  <c r="AM574"/>
  <c r="AI574" l="1"/>
  <c r="AM575"/>
  <c r="AI575" l="1"/>
  <c r="AM576"/>
  <c r="AI576" l="1"/>
  <c r="AM577"/>
  <c r="AI577" l="1"/>
  <c r="AM578"/>
  <c r="AI578" l="1"/>
  <c r="AM579"/>
  <c r="AI579" l="1"/>
  <c r="AM580"/>
  <c r="AI580" l="1"/>
  <c r="AM581"/>
  <c r="AI581" l="1"/>
  <c r="AM582"/>
  <c r="AI582" l="1"/>
  <c r="AM583"/>
  <c r="AI583" l="1"/>
  <c r="AM584"/>
  <c r="AI584" l="1"/>
  <c r="AM585"/>
  <c r="AI585" l="1"/>
  <c r="AM586"/>
  <c r="AI586" l="1"/>
  <c r="AM587"/>
  <c r="AI587" l="1"/>
  <c r="AM588"/>
  <c r="AI588" l="1"/>
  <c r="AM589"/>
  <c r="AI589" l="1"/>
  <c r="AM590"/>
  <c r="AI590" l="1"/>
  <c r="AM591"/>
  <c r="AI591" l="1"/>
  <c r="AM592"/>
  <c r="AI592" l="1"/>
  <c r="AM593"/>
  <c r="AI593" l="1"/>
  <c r="AM594"/>
  <c r="AI594" l="1"/>
  <c r="AM595"/>
  <c r="AI595" l="1"/>
  <c r="AM596"/>
  <c r="AI596" l="1"/>
  <c r="AM597"/>
  <c r="AI597" l="1"/>
  <c r="AM598"/>
  <c r="AI598" l="1"/>
  <c r="AM599"/>
  <c r="AI599" l="1"/>
  <c r="AM600"/>
  <c r="AI600" l="1"/>
  <c r="AM601"/>
  <c r="AI601" l="1"/>
  <c r="AM602"/>
  <c r="AI602" l="1"/>
  <c r="AM603"/>
  <c r="AI603" l="1"/>
  <c r="AM604"/>
  <c r="AI604" l="1"/>
  <c r="AM605"/>
  <c r="AI605" l="1"/>
  <c r="AM606"/>
  <c r="AI606" l="1"/>
  <c r="AM607"/>
  <c r="AI607" l="1"/>
  <c r="AM608"/>
  <c r="AI608" l="1"/>
  <c r="AM609"/>
  <c r="AI609" l="1"/>
  <c r="AM610"/>
  <c r="AI610" l="1"/>
  <c r="AM611"/>
  <c r="AI611" l="1"/>
  <c r="AM612"/>
  <c r="AI612" l="1"/>
  <c r="AM613"/>
  <c r="AI613" l="1"/>
  <c r="AM614"/>
  <c r="AI614" l="1"/>
  <c r="AM615"/>
  <c r="AI615" l="1"/>
  <c r="AM616"/>
  <c r="AI616" l="1"/>
  <c r="AM617"/>
  <c r="AI617" l="1"/>
  <c r="AM618"/>
  <c r="AI618" l="1"/>
  <c r="AM619"/>
  <c r="AI619" l="1"/>
  <c r="AM620"/>
  <c r="AI620" l="1"/>
  <c r="AM621"/>
  <c r="AI621" l="1"/>
  <c r="AM622"/>
  <c r="AI622" l="1"/>
  <c r="AM623"/>
  <c r="AI623" l="1"/>
  <c r="AM624"/>
  <c r="AI624" l="1"/>
  <c r="AM625"/>
  <c r="AI625" l="1"/>
  <c r="AM626"/>
  <c r="AI626" l="1"/>
  <c r="AM627"/>
  <c r="AI627" l="1"/>
  <c r="AM628"/>
  <c r="AI628" l="1"/>
  <c r="AM629"/>
  <c r="AI629" l="1"/>
  <c r="AM630"/>
  <c r="AI630" l="1"/>
  <c r="AM631"/>
  <c r="AI631" l="1"/>
  <c r="AM632"/>
  <c r="AI632" l="1"/>
  <c r="AM633"/>
  <c r="AI633" l="1"/>
  <c r="AM634"/>
  <c r="AI634" l="1"/>
  <c r="AM635"/>
  <c r="AI635" l="1"/>
  <c r="AM636"/>
  <c r="AI636" l="1"/>
  <c r="AM637"/>
  <c r="AI637" l="1"/>
  <c r="AM638"/>
  <c r="AI638" l="1"/>
  <c r="AM639"/>
  <c r="AI639" l="1"/>
  <c r="AM640"/>
  <c r="AI640" l="1"/>
  <c r="AM641"/>
  <c r="AI641" l="1"/>
  <c r="AM642"/>
  <c r="AI642" l="1"/>
  <c r="AM643"/>
  <c r="AI643" l="1"/>
  <c r="AM644"/>
  <c r="AI644" l="1"/>
  <c r="AM645"/>
  <c r="AI645" l="1"/>
  <c r="AM646"/>
  <c r="AI646" l="1"/>
  <c r="AM647"/>
  <c r="AI647" l="1"/>
  <c r="AM648"/>
  <c r="AI648" l="1"/>
  <c r="AM649"/>
  <c r="AI649" l="1"/>
  <c r="AM650"/>
  <c r="AI650" l="1"/>
  <c r="AM651"/>
  <c r="AI651" l="1"/>
  <c r="AM652"/>
  <c r="AI652" l="1"/>
  <c r="AM653"/>
  <c r="AI653" l="1"/>
  <c r="AM654"/>
  <c r="AI654" l="1"/>
  <c r="AM655"/>
  <c r="AI655" l="1"/>
  <c r="AM656"/>
  <c r="AI656" l="1"/>
  <c r="AM657"/>
  <c r="AI657" l="1"/>
  <c r="AM658"/>
  <c r="AI658" l="1"/>
  <c r="AM659"/>
  <c r="AI659" l="1"/>
  <c r="AM660"/>
  <c r="AI660" l="1"/>
  <c r="AM661"/>
  <c r="AI661" l="1"/>
  <c r="AM662"/>
  <c r="AI662" l="1"/>
  <c r="AM663"/>
  <c r="AI663" l="1"/>
  <c r="AM664"/>
  <c r="AI664" l="1"/>
  <c r="AM665"/>
  <c r="AI665" l="1"/>
  <c r="AM666"/>
  <c r="AI666" l="1"/>
  <c r="AM667"/>
  <c r="AI667" l="1"/>
  <c r="AM668"/>
  <c r="AI668" l="1"/>
  <c r="AM669"/>
  <c r="AI669" l="1"/>
  <c r="AM670"/>
  <c r="AI670" l="1"/>
  <c r="AM671"/>
  <c r="AI671" l="1"/>
  <c r="AM672"/>
  <c r="AI672" l="1"/>
  <c r="AM673"/>
  <c r="AI673" l="1"/>
  <c r="AM674"/>
  <c r="AI674" l="1"/>
  <c r="AM675"/>
  <c r="AI675" l="1"/>
  <c r="AM676"/>
  <c r="AI676" l="1"/>
  <c r="AM677"/>
  <c r="AI677" l="1"/>
  <c r="AM678"/>
  <c r="AI678" l="1"/>
  <c r="AM679"/>
  <c r="AI679" l="1"/>
  <c r="AM680"/>
  <c r="AI680" l="1"/>
  <c r="AM681"/>
  <c r="AI681" l="1"/>
  <c r="AM682"/>
  <c r="AI682" l="1"/>
  <c r="AM683"/>
  <c r="AI683" l="1"/>
  <c r="AM684"/>
  <c r="AI684" l="1"/>
  <c r="AM685"/>
  <c r="AI685" l="1"/>
  <c r="AM686"/>
  <c r="AI686" l="1"/>
  <c r="AM687"/>
  <c r="AI687" l="1"/>
  <c r="AM688"/>
  <c r="AM689" l="1"/>
  <c r="AI688"/>
  <c r="AI689" l="1"/>
  <c r="AM690"/>
  <c r="AI690" l="1"/>
  <c r="AM691"/>
  <c r="AI691" l="1"/>
  <c r="AM692"/>
  <c r="AI692" l="1"/>
  <c r="AM693"/>
  <c r="AI693" l="1"/>
  <c r="AM694"/>
  <c r="AI694" l="1"/>
  <c r="AM695"/>
  <c r="AI695" l="1"/>
  <c r="AM696"/>
  <c r="AI696" l="1"/>
  <c r="AM697"/>
  <c r="AI697" l="1"/>
  <c r="AM698"/>
  <c r="AI698" l="1"/>
  <c r="AM699"/>
  <c r="AI699" l="1"/>
  <c r="AM700"/>
  <c r="AI700" l="1"/>
  <c r="AM701"/>
  <c r="AI701" l="1"/>
  <c r="AM702"/>
  <c r="AI702" l="1"/>
  <c r="AM703"/>
  <c r="AI703" l="1"/>
  <c r="AM704"/>
  <c r="AI704" l="1"/>
  <c r="AM705"/>
  <c r="AI705" l="1"/>
  <c r="AM706"/>
  <c r="AI706" l="1"/>
  <c r="AM707"/>
  <c r="AI707" l="1"/>
  <c r="AM708"/>
  <c r="AI708" l="1"/>
  <c r="AM709"/>
  <c r="AI709" l="1"/>
  <c r="AM710"/>
  <c r="AI710" l="1"/>
  <c r="AM711"/>
  <c r="AI711" l="1"/>
  <c r="AM712"/>
  <c r="AI712" l="1"/>
  <c r="AM713"/>
  <c r="AI713" l="1"/>
  <c r="AM714"/>
  <c r="AI714" l="1"/>
  <c r="AM715"/>
  <c r="AI715" l="1"/>
  <c r="AM716"/>
  <c r="AI716" l="1"/>
  <c r="AM717"/>
  <c r="AI717" l="1"/>
  <c r="AM718"/>
  <c r="AI718" l="1"/>
  <c r="AM719"/>
  <c r="AI719" l="1"/>
  <c r="AM720"/>
  <c r="AI720" l="1"/>
  <c r="AM721"/>
  <c r="AM722" l="1"/>
  <c r="AI721"/>
  <c r="AI722" l="1"/>
  <c r="AM723"/>
  <c r="AI723" l="1"/>
  <c r="AM724"/>
  <c r="AI724" l="1"/>
  <c r="AM725"/>
  <c r="AI725" l="1"/>
  <c r="AM726"/>
  <c r="AI726" l="1"/>
  <c r="AM727"/>
  <c r="AI727" l="1"/>
  <c r="AM728"/>
  <c r="AI728" l="1"/>
  <c r="AM729"/>
  <c r="AI729" l="1"/>
  <c r="AM730"/>
  <c r="AI730" l="1"/>
  <c r="AM731"/>
  <c r="AI731" l="1"/>
  <c r="AM732"/>
  <c r="AI732" l="1"/>
  <c r="AM733"/>
  <c r="AI733" l="1"/>
  <c r="AM734"/>
  <c r="AI734" l="1"/>
  <c r="AM735"/>
  <c r="AI735" l="1"/>
  <c r="AM736"/>
  <c r="AI736" l="1"/>
  <c r="AM737"/>
  <c r="AI737" l="1"/>
  <c r="AM738"/>
  <c r="AI738" l="1"/>
  <c r="AM739"/>
  <c r="AI739" l="1"/>
  <c r="AM740"/>
  <c r="AI740" l="1"/>
  <c r="AM741"/>
  <c r="AI741" l="1"/>
  <c r="AM742"/>
  <c r="AM743" l="1"/>
  <c r="AI742"/>
  <c r="AI743" l="1"/>
  <c r="AM744"/>
  <c r="AI744" l="1"/>
  <c r="AM745"/>
  <c r="AI745" l="1"/>
  <c r="AM746"/>
  <c r="AI746" l="1"/>
  <c r="AM747"/>
  <c r="AI747" l="1"/>
  <c r="AM748"/>
  <c r="AI748" l="1"/>
  <c r="AM749"/>
  <c r="AI749" l="1"/>
  <c r="AM750"/>
  <c r="AI750" l="1"/>
  <c r="AM751"/>
  <c r="AI751" l="1"/>
  <c r="AM752"/>
  <c r="AI752" l="1"/>
  <c r="AM753"/>
  <c r="AI753" l="1"/>
  <c r="AM754"/>
  <c r="AI754" l="1"/>
  <c r="AM755"/>
  <c r="AI755" l="1"/>
  <c r="AM756"/>
  <c r="AI756" l="1"/>
  <c r="AM757"/>
  <c r="AI757" l="1"/>
  <c r="AM758"/>
  <c r="AM759" l="1"/>
  <c r="AI758"/>
  <c r="AI759" l="1"/>
  <c r="AM760"/>
  <c r="AI760" l="1"/>
  <c r="AM761"/>
  <c r="AI761" l="1"/>
  <c r="AM762"/>
  <c r="AI762" l="1"/>
  <c r="AM763"/>
  <c r="AI763" l="1"/>
  <c r="AM764"/>
  <c r="AM765" l="1"/>
  <c r="AI764"/>
  <c r="AI765" l="1"/>
  <c r="AM766"/>
  <c r="AI766" l="1"/>
  <c r="AM767"/>
  <c r="AI767" l="1"/>
  <c r="AM768"/>
  <c r="AI768" l="1"/>
  <c r="AM769"/>
  <c r="AI769" l="1"/>
  <c r="AM770"/>
  <c r="AI770" l="1"/>
  <c r="AM771"/>
  <c r="AI771" l="1"/>
  <c r="AM772"/>
  <c r="AI772" l="1"/>
  <c r="AM773"/>
  <c r="AI773" l="1"/>
  <c r="AM774"/>
  <c r="AI774" l="1"/>
  <c r="AM775"/>
  <c r="AI775" l="1"/>
  <c r="AM776"/>
  <c r="AI776" l="1"/>
  <c r="AM777"/>
  <c r="AI777" l="1"/>
  <c r="AM778"/>
  <c r="AI778" l="1"/>
  <c r="AM779"/>
  <c r="AI779" l="1"/>
  <c r="AM780"/>
  <c r="AI780" l="1"/>
  <c r="AM781"/>
  <c r="AI781" l="1"/>
  <c r="AM782"/>
  <c r="AI782" l="1"/>
  <c r="AM783"/>
  <c r="AI783" l="1"/>
  <c r="AM784"/>
  <c r="AI784" l="1"/>
  <c r="AM785"/>
  <c r="AI785" l="1"/>
  <c r="AM786"/>
  <c r="AI786" l="1"/>
  <c r="AM787"/>
  <c r="AI787" l="1"/>
  <c r="AM788"/>
  <c r="AI788" l="1"/>
  <c r="AM789"/>
  <c r="AI789" l="1"/>
  <c r="AM790"/>
  <c r="AI790" l="1"/>
  <c r="AM791"/>
  <c r="AI791" l="1"/>
  <c r="AM792"/>
  <c r="AI792" l="1"/>
  <c r="AM793"/>
  <c r="AI793" l="1"/>
  <c r="AM794"/>
  <c r="AI794" l="1"/>
  <c r="AM795"/>
  <c r="AI795" l="1"/>
  <c r="AM796"/>
  <c r="AI796" l="1"/>
  <c r="AM797"/>
  <c r="AI797" l="1"/>
  <c r="AM798"/>
  <c r="AI798" l="1"/>
  <c r="AM799"/>
  <c r="AI799" l="1"/>
  <c r="AM800"/>
  <c r="AI800" l="1"/>
  <c r="AM801"/>
  <c r="AI801" l="1"/>
  <c r="AM802"/>
  <c r="AI802" l="1"/>
  <c r="AM803"/>
  <c r="AI803" l="1"/>
  <c r="AM804"/>
  <c r="AI804" l="1"/>
  <c r="AM805"/>
  <c r="AI805" l="1"/>
  <c r="AM806"/>
  <c r="AI806" l="1"/>
  <c r="AM807"/>
  <c r="AI807" l="1"/>
  <c r="AM808"/>
  <c r="AI808" l="1"/>
  <c r="AM809"/>
  <c r="AI809" l="1"/>
  <c r="AM810"/>
  <c r="AI810" l="1"/>
  <c r="AM811"/>
  <c r="AI811" l="1"/>
  <c r="AM812"/>
  <c r="AI812" l="1"/>
  <c r="AM813"/>
  <c r="AI813" l="1"/>
  <c r="AM814"/>
  <c r="AI814" l="1"/>
  <c r="AM815"/>
  <c r="AM816" l="1"/>
  <c r="AI815"/>
  <c r="AI816" l="1"/>
  <c r="AM817"/>
  <c r="AI817" l="1"/>
  <c r="AM818"/>
  <c r="AI818" l="1"/>
  <c r="AM819"/>
  <c r="AI819" l="1"/>
  <c r="AM820"/>
  <c r="AI820" l="1"/>
  <c r="AM821"/>
  <c r="AI821" l="1"/>
  <c r="AM822"/>
  <c r="AI822" l="1"/>
  <c r="AM823"/>
  <c r="AI823" l="1"/>
  <c r="AM824"/>
  <c r="AI824" l="1"/>
  <c r="AM825"/>
  <c r="AI825" l="1"/>
  <c r="AM826"/>
  <c r="AI826" l="1"/>
  <c r="AM827"/>
  <c r="AI827" l="1"/>
  <c r="AM828"/>
  <c r="AI828" l="1"/>
  <c r="AM829"/>
  <c r="AI829" l="1"/>
  <c r="AM830"/>
  <c r="AI830" l="1"/>
  <c r="AM831"/>
  <c r="AI831" l="1"/>
  <c r="AM832"/>
  <c r="AI832" l="1"/>
  <c r="AM833"/>
  <c r="AI833" l="1"/>
  <c r="AM834"/>
  <c r="AI834" l="1"/>
  <c r="AM835"/>
  <c r="AI835" l="1"/>
  <c r="AM836"/>
  <c r="AI836" l="1"/>
  <c r="AM837"/>
  <c r="AI837" l="1"/>
  <c r="AM838"/>
  <c r="AI838" l="1"/>
  <c r="AM839"/>
  <c r="AI839" l="1"/>
  <c r="AM840"/>
  <c r="AI840" l="1"/>
  <c r="AM841"/>
  <c r="AI841" l="1"/>
  <c r="AM842"/>
  <c r="AI842" l="1"/>
  <c r="AM843"/>
  <c r="AI843" l="1"/>
  <c r="AM844"/>
  <c r="AI844" l="1"/>
  <c r="AM845"/>
  <c r="AI845" l="1"/>
  <c r="AM846"/>
  <c r="AI846" l="1"/>
  <c r="AM847"/>
  <c r="AI847" l="1"/>
  <c r="AM848"/>
  <c r="AI848" l="1"/>
  <c r="AM849"/>
  <c r="AM850" l="1"/>
  <c r="AI849"/>
  <c r="AI850" l="1"/>
  <c r="AM851"/>
  <c r="AI851" l="1"/>
  <c r="AM852"/>
  <c r="AI852" l="1"/>
  <c r="AM853"/>
  <c r="AI853" l="1"/>
  <c r="AM854"/>
  <c r="AI854" l="1"/>
  <c r="AM855"/>
  <c r="AI855" l="1"/>
  <c r="AM856"/>
  <c r="AM857" l="1"/>
  <c r="AI856"/>
  <c r="AI857" l="1"/>
  <c r="AM858"/>
  <c r="AI858" l="1"/>
  <c r="AM859"/>
  <c r="AI859" l="1"/>
  <c r="AM860"/>
  <c r="AM861" l="1"/>
  <c r="AI860"/>
  <c r="AI861" l="1"/>
  <c r="AM862"/>
  <c r="AM863" l="1"/>
  <c r="AI862"/>
  <c r="AI863" l="1"/>
  <c r="AM864"/>
  <c r="AI864" l="1"/>
  <c r="AM865"/>
  <c r="AI865" l="1"/>
  <c r="AM866"/>
  <c r="AI866" l="1"/>
  <c r="AM867"/>
  <c r="AI867" l="1"/>
  <c r="AM868"/>
  <c r="AM869" l="1"/>
  <c r="AI868"/>
  <c r="AM870" l="1"/>
  <c r="AI869"/>
  <c r="AM871" l="1"/>
  <c r="AI870"/>
  <c r="AM872" l="1"/>
  <c r="AI871"/>
  <c r="AM873" l="1"/>
  <c r="AI872"/>
  <c r="AI873" l="1"/>
  <c r="AM874"/>
  <c r="AI874" l="1"/>
  <c r="AM875"/>
  <c r="AI875" l="1"/>
  <c r="AM876"/>
  <c r="AI876" l="1"/>
  <c r="AM877"/>
  <c r="AM878" l="1"/>
  <c r="AI877"/>
  <c r="AI878" l="1"/>
  <c r="AM879"/>
  <c r="AM880" l="1"/>
  <c r="AI879"/>
  <c r="AI880" l="1"/>
  <c r="AM881"/>
  <c r="AI881" l="1"/>
  <c r="AM882"/>
  <c r="AI882" l="1"/>
  <c r="AM883"/>
  <c r="AI883" l="1"/>
  <c r="AM884"/>
  <c r="AI884" l="1"/>
  <c r="AM885"/>
  <c r="AI885" l="1"/>
  <c r="AM886"/>
  <c r="AI886" l="1"/>
  <c r="AM887"/>
  <c r="AI887" l="1"/>
  <c r="AM888"/>
  <c r="AM889" l="1"/>
  <c r="AI888"/>
  <c r="AI889" l="1"/>
  <c r="AM890"/>
  <c r="AI890" l="1"/>
  <c r="AM891"/>
  <c r="AI891" l="1"/>
  <c r="AM892"/>
  <c r="AI892" l="1"/>
  <c r="AM893"/>
  <c r="AI893" l="1"/>
  <c r="AM894"/>
  <c r="AI894" l="1"/>
  <c r="AM895"/>
  <c r="AI895" l="1"/>
  <c r="AM896"/>
  <c r="AI896" l="1"/>
  <c r="AM897"/>
  <c r="AI897" l="1"/>
  <c r="AM898"/>
  <c r="AI898" l="1"/>
  <c r="AM899"/>
  <c r="AI899" l="1"/>
  <c r="AM900"/>
  <c r="AI900" l="1"/>
  <c r="AM901"/>
  <c r="AI901" l="1"/>
  <c r="AM902"/>
  <c r="AI902" l="1"/>
  <c r="AM903"/>
  <c r="AI903" l="1"/>
  <c r="AM904"/>
  <c r="AI904" l="1"/>
  <c r="AM905"/>
  <c r="AI905" l="1"/>
  <c r="AM906"/>
  <c r="AI906" l="1"/>
  <c r="AM907"/>
  <c r="AI907" l="1"/>
  <c r="AM908"/>
  <c r="AI908" l="1"/>
  <c r="AM909"/>
  <c r="AI909" l="1"/>
  <c r="AM910"/>
  <c r="AI910" l="1"/>
  <c r="AM911"/>
  <c r="AI911" l="1"/>
  <c r="AM912"/>
  <c r="AI912" l="1"/>
  <c r="AM913"/>
  <c r="AI913" l="1"/>
  <c r="AM914"/>
  <c r="AI914" l="1"/>
  <c r="AM915"/>
  <c r="AI915" l="1"/>
  <c r="AM916"/>
  <c r="AI916" l="1"/>
  <c r="AM917"/>
  <c r="AI917" l="1"/>
  <c r="AM918"/>
  <c r="AI918" l="1"/>
  <c r="AM919"/>
  <c r="AI919" l="1"/>
  <c r="AM920"/>
  <c r="AI920" l="1"/>
  <c r="AM921"/>
  <c r="AI921" l="1"/>
  <c r="AM922"/>
  <c r="AI922" l="1"/>
  <c r="AM923"/>
  <c r="AI923" l="1"/>
  <c r="AM924"/>
  <c r="AI924" l="1"/>
  <c r="AM925"/>
  <c r="AI925" l="1"/>
  <c r="AM926"/>
  <c r="AI926" l="1"/>
  <c r="AM927"/>
  <c r="AI927" l="1"/>
  <c r="AM928"/>
  <c r="AI928" l="1"/>
  <c r="AM929"/>
  <c r="AI929" l="1"/>
  <c r="AM930"/>
  <c r="AI930" l="1"/>
  <c r="AM931"/>
  <c r="AI931" l="1"/>
  <c r="AM932"/>
  <c r="AI932" l="1"/>
  <c r="AM933"/>
  <c r="AI933" l="1"/>
  <c r="AM934"/>
  <c r="AI934" l="1"/>
  <c r="AM935"/>
  <c r="AI935" l="1"/>
  <c r="AM936"/>
  <c r="AI936" l="1"/>
  <c r="AM937"/>
  <c r="AI937" l="1"/>
  <c r="AM938"/>
  <c r="AI938" l="1"/>
  <c r="AM939"/>
  <c r="AI939" l="1"/>
  <c r="AM940"/>
  <c r="AI940" l="1"/>
  <c r="AM941"/>
  <c r="AI941" l="1"/>
  <c r="AM942"/>
  <c r="AI942" l="1"/>
  <c r="AM943"/>
  <c r="AI943" l="1"/>
  <c r="AM944"/>
  <c r="AI944" l="1"/>
  <c r="AM945"/>
  <c r="AI945" l="1"/>
  <c r="AM946"/>
  <c r="AI946" l="1"/>
  <c r="AM947"/>
  <c r="AI947" l="1"/>
  <c r="AM948"/>
  <c r="AI948" l="1"/>
  <c r="AM949"/>
  <c r="AI949" l="1"/>
  <c r="AM950"/>
  <c r="AI950" l="1"/>
  <c r="AM951"/>
  <c r="AI951" l="1"/>
  <c r="AM952"/>
  <c r="AI952" l="1"/>
  <c r="AM953"/>
  <c r="AI953" l="1"/>
  <c r="AM954"/>
  <c r="AI954" l="1"/>
  <c r="AM955"/>
  <c r="AI955" l="1"/>
  <c r="AM956"/>
  <c r="AI956" l="1"/>
  <c r="AM957"/>
  <c r="AI957" l="1"/>
  <c r="AM958"/>
  <c r="AI958" l="1"/>
  <c r="AM959"/>
  <c r="AI959" l="1"/>
  <c r="AM960"/>
  <c r="AI960" l="1"/>
  <c r="AM961"/>
  <c r="AI961" l="1"/>
  <c r="AM962"/>
  <c r="AI962" l="1"/>
  <c r="AM963"/>
  <c r="AI963" l="1"/>
  <c r="AM964"/>
  <c r="AI964" l="1"/>
  <c r="AM965"/>
  <c r="AI965" l="1"/>
  <c r="AM966"/>
  <c r="AI966" l="1"/>
  <c r="AM967"/>
  <c r="AI967" l="1"/>
  <c r="AM968"/>
  <c r="AI968" l="1"/>
  <c r="AM969"/>
  <c r="AI969" l="1"/>
  <c r="AM970"/>
  <c r="AI970" l="1"/>
  <c r="AM971"/>
  <c r="AI971" l="1"/>
  <c r="AM972"/>
  <c r="AI972" l="1"/>
  <c r="AM973"/>
  <c r="AI973" l="1"/>
  <c r="AM974"/>
  <c r="AI974" l="1"/>
  <c r="AM975"/>
  <c r="AM976" l="1"/>
  <c r="AI975"/>
  <c r="AI976" l="1"/>
  <c r="AM977"/>
  <c r="AI977" l="1"/>
  <c r="AM978"/>
  <c r="AI978" l="1"/>
  <c r="AM979"/>
  <c r="AI979" l="1"/>
  <c r="AM980"/>
  <c r="AI980" l="1"/>
  <c r="AM981"/>
  <c r="AI981" l="1"/>
  <c r="AM982"/>
  <c r="AI982" l="1"/>
  <c r="AM983"/>
  <c r="AI983" l="1"/>
  <c r="AM984"/>
  <c r="AI984" l="1"/>
  <c r="AM985"/>
  <c r="AI985" l="1"/>
  <c r="AM986"/>
  <c r="AI986" l="1"/>
  <c r="AM987"/>
  <c r="AI987" l="1"/>
  <c r="AM988"/>
  <c r="AI988" l="1"/>
  <c r="AM989"/>
  <c r="AI989" l="1"/>
  <c r="AM990"/>
  <c r="AI990" l="1"/>
  <c r="AM991"/>
  <c r="AI991" l="1"/>
  <c r="AM992"/>
  <c r="AI992" l="1"/>
  <c r="AM993"/>
  <c r="AI993" l="1"/>
  <c r="AM994"/>
  <c r="AI994" l="1"/>
  <c r="AM995"/>
  <c r="AI995" l="1"/>
  <c r="AM996"/>
  <c r="AI996" l="1"/>
  <c r="AM997"/>
  <c r="AI997" l="1"/>
  <c r="AM998"/>
  <c r="AI998" l="1"/>
  <c r="AM999"/>
  <c r="AI999" l="1"/>
  <c r="AM1000"/>
  <c r="AI1000" l="1"/>
  <c r="AM1001"/>
  <c r="AI1001" l="1"/>
  <c r="AM1002"/>
  <c r="AI1002" l="1"/>
  <c r="AM1003"/>
  <c r="AI1003" l="1"/>
  <c r="AM1004"/>
  <c r="AI1004" l="1"/>
  <c r="AM1005"/>
  <c r="AI1005" l="1"/>
  <c r="AM1006"/>
  <c r="AI1006" l="1"/>
  <c r="AM1007"/>
  <c r="AI1007" l="1"/>
  <c r="AM1008"/>
  <c r="AI1008" l="1"/>
  <c r="AM1009"/>
  <c r="AI1009" l="1"/>
  <c r="AM1010"/>
  <c r="AI1010" l="1"/>
  <c r="AM1011"/>
  <c r="AI1011" l="1"/>
  <c r="AM1012"/>
  <c r="AI1012" l="1"/>
  <c r="AM1013"/>
  <c r="AI1013" l="1"/>
  <c r="AM1014"/>
  <c r="AI1014" l="1"/>
  <c r="AM1015"/>
  <c r="AI1015" l="1"/>
  <c r="AM1016"/>
  <c r="AI1016" l="1"/>
  <c r="AM1017"/>
  <c r="AI1017" l="1"/>
  <c r="AM1018"/>
  <c r="AI1018" l="1"/>
  <c r="AM1019"/>
  <c r="AI1019" l="1"/>
  <c r="AM1020"/>
  <c r="AI1020" l="1"/>
  <c r="AM1021"/>
  <c r="AI1021" l="1"/>
  <c r="AM1022"/>
  <c r="AI1022" l="1"/>
  <c r="AM1023"/>
  <c r="AI1023" l="1"/>
  <c r="AM1024"/>
  <c r="AI1024" l="1"/>
  <c r="AM1025"/>
  <c r="AI1025" l="1"/>
  <c r="AM1026"/>
  <c r="AI1026" l="1"/>
  <c r="AM1027"/>
  <c r="AI1027" l="1"/>
  <c r="AM1028"/>
  <c r="AI1028" l="1"/>
  <c r="AM1029"/>
  <c r="AI1029" l="1"/>
  <c r="AM1030"/>
  <c r="AI1030" l="1"/>
  <c r="AM1031"/>
  <c r="AI1031" l="1"/>
  <c r="AM1032"/>
  <c r="AI1032" l="1"/>
  <c r="AM1033"/>
  <c r="AI1033" l="1"/>
  <c r="AM1034"/>
  <c r="AI1034" l="1"/>
  <c r="AM1035"/>
  <c r="AI1035" l="1"/>
  <c r="AM1036"/>
  <c r="AI1036" l="1"/>
  <c r="AM1037"/>
  <c r="AI1037" l="1"/>
  <c r="AM1038"/>
  <c r="AI1038" l="1"/>
  <c r="AM1039"/>
  <c r="AI1039" l="1"/>
  <c r="AM1040"/>
  <c r="AI1040" l="1"/>
  <c r="AM1041"/>
  <c r="AI1041" l="1"/>
  <c r="AM1042"/>
  <c r="AI1042" l="1"/>
  <c r="AM1043"/>
  <c r="AI1043" l="1"/>
  <c r="AM1044"/>
  <c r="AI1044" l="1"/>
  <c r="AM1045"/>
  <c r="AI1045" l="1"/>
  <c r="AM1046"/>
  <c r="AI1046" l="1"/>
  <c r="AM1047"/>
  <c r="AI1047" l="1"/>
  <c r="AM1048"/>
  <c r="AI1048" l="1"/>
  <c r="AM1049"/>
  <c r="AI1049" l="1"/>
  <c r="AM1050"/>
  <c r="AI1050" l="1"/>
  <c r="AM1051"/>
  <c r="AI1051" l="1"/>
  <c r="AM1052"/>
  <c r="AI1052" l="1"/>
  <c r="AM1053"/>
  <c r="AI1053" l="1"/>
  <c r="AM1054"/>
  <c r="AI1054" l="1"/>
  <c r="AM1055"/>
  <c r="AI1055" l="1"/>
  <c r="AM1056"/>
  <c r="AI1056" l="1"/>
  <c r="AM1057"/>
  <c r="AI1057" l="1"/>
  <c r="AM1058"/>
  <c r="AI1058" l="1"/>
  <c r="AM1059"/>
  <c r="AI1059" l="1"/>
  <c r="AM1060"/>
  <c r="AI1060" l="1"/>
  <c r="AM1061"/>
  <c r="AI1061" l="1"/>
  <c r="AM1062"/>
  <c r="AI1062" l="1"/>
  <c r="AM1063"/>
  <c r="AI1063" l="1"/>
  <c r="AM1064"/>
  <c r="AI1064" l="1"/>
  <c r="AM1065"/>
  <c r="AI1065" l="1"/>
  <c r="AM1066"/>
  <c r="AI1066" l="1"/>
  <c r="AM1067"/>
  <c r="AI1067" l="1"/>
  <c r="AM1068"/>
  <c r="AI1068" l="1"/>
  <c r="AM1069"/>
  <c r="AI1069" l="1"/>
  <c r="AM1070"/>
  <c r="AI1070" l="1"/>
  <c r="AM1071"/>
  <c r="AI1071" l="1"/>
  <c r="AM1072"/>
  <c r="AI1072" l="1"/>
  <c r="AM1073"/>
  <c r="AI1073" l="1"/>
  <c r="AM1074"/>
  <c r="AI1074" l="1"/>
  <c r="AM1075"/>
  <c r="AI1075" l="1"/>
  <c r="AM1076"/>
  <c r="AI1076" l="1"/>
  <c r="AM1077"/>
  <c r="AI1077" l="1"/>
  <c r="AM1078"/>
  <c r="AI1078" l="1"/>
  <c r="AM1079"/>
  <c r="AI1079" l="1"/>
  <c r="AM1080"/>
  <c r="AI1080" l="1"/>
  <c r="AM1081"/>
  <c r="AI1081" l="1"/>
  <c r="AM1082"/>
  <c r="AI1082" l="1"/>
  <c r="AM1083"/>
  <c r="AI1083" l="1"/>
  <c r="AM1084"/>
  <c r="AI1084" l="1"/>
  <c r="AM1085"/>
  <c r="AI1085" l="1"/>
  <c r="AM1086"/>
  <c r="AI1086" l="1"/>
  <c r="AM1087"/>
  <c r="AI1087" l="1"/>
  <c r="AM1088"/>
  <c r="AI1088" l="1"/>
  <c r="AM1089"/>
  <c r="AI1089" l="1"/>
  <c r="AM1090"/>
  <c r="AI1090" l="1"/>
  <c r="AM1091"/>
  <c r="AI1091" l="1"/>
  <c r="AM1092"/>
  <c r="AI1092" l="1"/>
  <c r="AM1093"/>
  <c r="AI1093" l="1"/>
  <c r="AM1094"/>
  <c r="AI1094" l="1"/>
  <c r="AM1095"/>
  <c r="AI1095" l="1"/>
  <c r="AM1096"/>
  <c r="AI1096" l="1"/>
  <c r="AM1097"/>
  <c r="AI1097" l="1"/>
  <c r="AM1098"/>
  <c r="AI1098" l="1"/>
  <c r="AM1099"/>
  <c r="AI1099" l="1"/>
  <c r="AM1100"/>
  <c r="AI1100" l="1"/>
  <c r="AM1101"/>
  <c r="AI1101" l="1"/>
  <c r="AM1102"/>
  <c r="AI1102" l="1"/>
  <c r="AM1103"/>
  <c r="AI1103" l="1"/>
  <c r="AM1104"/>
  <c r="AI1104" l="1"/>
  <c r="AM1105"/>
  <c r="AI1105" l="1"/>
  <c r="AM1106"/>
  <c r="AI1106" l="1"/>
  <c r="AM1107"/>
  <c r="AI1107" l="1"/>
  <c r="AM1108"/>
  <c r="AI1108" l="1"/>
  <c r="AM1109"/>
  <c r="AI1109" l="1"/>
  <c r="AM1110"/>
  <c r="AI1110" l="1"/>
  <c r="AM1111"/>
  <c r="AI1111" l="1"/>
  <c r="AM1112"/>
  <c r="AI1112" l="1"/>
  <c r="AM1113"/>
  <c r="AI1113" l="1"/>
  <c r="AM1114"/>
  <c r="AI1114" l="1"/>
  <c r="AM1115"/>
  <c r="AI1115" l="1"/>
  <c r="AM1116"/>
  <c r="AI1116" l="1"/>
  <c r="AM1117"/>
  <c r="AI1117" l="1"/>
  <c r="AM1118"/>
  <c r="AI1118" l="1"/>
  <c r="AM1119"/>
  <c r="AI1119" l="1"/>
  <c r="AM1120"/>
  <c r="AI1120" l="1"/>
  <c r="AM1121"/>
  <c r="AI1121" l="1"/>
  <c r="AM1122"/>
  <c r="AI1122" l="1"/>
  <c r="AM1123"/>
  <c r="AI1123" l="1"/>
  <c r="AM1124"/>
  <c r="AI1124" l="1"/>
  <c r="AM1125"/>
  <c r="AI1125" l="1"/>
  <c r="AM1126"/>
  <c r="AI1126" l="1"/>
  <c r="AM1127"/>
  <c r="AI1127" l="1"/>
  <c r="AM1128"/>
  <c r="AI1128" l="1"/>
  <c r="AM1129"/>
  <c r="AI1129" l="1"/>
  <c r="AM1130"/>
  <c r="AI1130" l="1"/>
  <c r="AM1131"/>
  <c r="AI1131" l="1"/>
  <c r="AM1132"/>
  <c r="AI1132" l="1"/>
  <c r="AM1133"/>
  <c r="AI1133" l="1"/>
  <c r="AM1134"/>
  <c r="AI1134" l="1"/>
  <c r="AM1135"/>
  <c r="AI1135" l="1"/>
  <c r="AM1136"/>
  <c r="AI1136" l="1"/>
  <c r="AM1137"/>
  <c r="AI1137" l="1"/>
  <c r="AM1138"/>
  <c r="AI1138" l="1"/>
  <c r="AM1139"/>
  <c r="AI1139" l="1"/>
  <c r="AM1140"/>
  <c r="AI1140" l="1"/>
  <c r="AM1141"/>
  <c r="AI1141" l="1"/>
  <c r="AM1142"/>
  <c r="AI1142" l="1"/>
  <c r="AM1143"/>
  <c r="AI1143" l="1"/>
  <c r="AM1144"/>
  <c r="AI1144" l="1"/>
  <c r="AM1145"/>
  <c r="AI1145" l="1"/>
  <c r="AM1146"/>
  <c r="AI1146" l="1"/>
  <c r="AM1147"/>
  <c r="AI1147" l="1"/>
  <c r="AM1148"/>
  <c r="AI1148" l="1"/>
  <c r="AM1149"/>
  <c r="AI1149" l="1"/>
  <c r="AM1150"/>
  <c r="AI1150" l="1"/>
  <c r="AM1151"/>
  <c r="AI1151" l="1"/>
  <c r="AM1152"/>
  <c r="AI1152" l="1"/>
  <c r="AM1153"/>
  <c r="AI1153" l="1"/>
  <c r="AM1154"/>
  <c r="AI1154" l="1"/>
  <c r="AM1155"/>
  <c r="AI1155" l="1"/>
  <c r="AM1156"/>
  <c r="AI1156" l="1"/>
  <c r="AM1157"/>
  <c r="AI1157" l="1"/>
  <c r="AM1158"/>
  <c r="AI1158" l="1"/>
  <c r="AM1159"/>
  <c r="AI1159" l="1"/>
  <c r="AM1160"/>
  <c r="AI1160" l="1"/>
  <c r="AM1161"/>
  <c r="AI1161" l="1"/>
  <c r="AM1162"/>
  <c r="D218" i="6"/>
  <c r="N231" i="3" s="1"/>
  <c r="D240" i="6"/>
  <c r="N253" i="3" s="1"/>
  <c r="D248" i="6"/>
  <c r="N261" i="3" s="1"/>
  <c r="D233" i="6"/>
  <c r="N246" i="3" s="1"/>
  <c r="D237" i="6"/>
  <c r="N250" i="3" s="1"/>
  <c r="D255" i="6"/>
  <c r="N268" i="3" s="1"/>
  <c r="D227" i="6"/>
  <c r="N240" i="3" s="1"/>
  <c r="D217" i="6"/>
  <c r="N230" i="3" s="1"/>
  <c r="C254" i="6"/>
  <c r="M267" i="3" s="1"/>
  <c r="D249" i="6"/>
  <c r="N262" i="3" s="1"/>
  <c r="D214" i="6"/>
  <c r="N227" i="3" s="1"/>
  <c r="D243" i="6"/>
  <c r="N256" i="3" s="1"/>
  <c r="C191" i="6"/>
  <c r="M195" i="3" s="1"/>
  <c r="C233" i="6"/>
  <c r="M246" i="3" s="1"/>
  <c r="C154" i="6"/>
  <c r="M158" i="3" s="1"/>
  <c r="C250" i="6"/>
  <c r="M263" i="3" s="1"/>
  <c r="C245" i="6"/>
  <c r="M258" i="3" s="1"/>
  <c r="D215" i="6"/>
  <c r="N228" i="3" s="1"/>
  <c r="D234" i="6"/>
  <c r="N247" i="3" s="1"/>
  <c r="D216" i="6"/>
  <c r="N229" i="3" s="1"/>
  <c r="D226" i="6"/>
  <c r="N239" i="3" s="1"/>
  <c r="C177" i="6"/>
  <c r="M181" i="3" s="1"/>
  <c r="C236" i="6"/>
  <c r="M249" i="3" s="1"/>
  <c r="C210" i="6"/>
  <c r="M223" i="3" s="1"/>
  <c r="C175" i="6"/>
  <c r="M179" i="3" s="1"/>
  <c r="D213" i="6"/>
  <c r="N226" i="3" s="1"/>
  <c r="D246" i="6"/>
  <c r="N259" i="3" s="1"/>
  <c r="C182" i="6"/>
  <c r="M186" i="3" s="1"/>
  <c r="D235" i="6"/>
  <c r="N248" i="3" s="1"/>
  <c r="C225" i="6"/>
  <c r="M238" i="3" s="1"/>
  <c r="C200" i="6"/>
  <c r="M213" i="3" s="1"/>
  <c r="D223" i="6"/>
  <c r="N236" i="3" s="1"/>
  <c r="C251" i="6"/>
  <c r="M264" i="3" s="1"/>
  <c r="D145" i="6"/>
  <c r="N149" i="3" s="1"/>
  <c r="C241" i="6"/>
  <c r="M254" i="3" s="1"/>
  <c r="C207" i="6"/>
  <c r="M220" i="3" s="1"/>
  <c r="D212" i="6"/>
  <c r="N225" i="3" s="1"/>
  <c r="C218" i="6"/>
  <c r="M231" i="3" s="1"/>
  <c r="C201" i="6"/>
  <c r="M214" i="3" s="1"/>
  <c r="C212" i="6"/>
  <c r="M225" i="3" s="1"/>
  <c r="C159" i="6"/>
  <c r="M163" i="3" s="1"/>
  <c r="C165" i="6"/>
  <c r="M169" i="3" s="1"/>
  <c r="D228" i="6"/>
  <c r="N241" i="3" s="1"/>
  <c r="C202" i="6"/>
  <c r="M215" i="3" s="1"/>
  <c r="C146" i="6"/>
  <c r="M150" i="3" s="1"/>
  <c r="C187" i="6"/>
  <c r="M191" i="3" s="1"/>
  <c r="C184" i="6"/>
  <c r="M188" i="3" s="1"/>
  <c r="C158" i="6"/>
  <c r="M162" i="3" s="1"/>
  <c r="D232" i="6"/>
  <c r="N245" i="3" s="1"/>
  <c r="C224" i="6"/>
  <c r="M237" i="3" s="1"/>
  <c r="C149" i="6"/>
  <c r="M153" i="3" s="1"/>
  <c r="D251" i="6"/>
  <c r="N264" i="3" s="1"/>
  <c r="C253" i="6"/>
  <c r="M266" i="3" s="1"/>
  <c r="C240" i="6"/>
  <c r="M253" i="3" s="1"/>
  <c r="C219" i="6"/>
  <c r="M232" i="3" s="1"/>
  <c r="D219" i="6"/>
  <c r="N232" i="3" s="1"/>
  <c r="C209" i="6"/>
  <c r="M222" i="3" s="1"/>
  <c r="C214" i="6"/>
  <c r="M227" i="3" s="1"/>
  <c r="C173" i="6"/>
  <c r="M177" i="3" s="1"/>
  <c r="D231" i="6"/>
  <c r="N244" i="3" s="1"/>
  <c r="D247" i="6"/>
  <c r="N260" i="3" s="1"/>
  <c r="C242" i="6"/>
  <c r="M255" i="3" s="1"/>
  <c r="D236" i="6"/>
  <c r="N249" i="3" s="1"/>
  <c r="C226" i="6"/>
  <c r="M239" i="3" s="1"/>
  <c r="C151" i="6"/>
  <c r="M155" i="3" s="1"/>
  <c r="C189" i="6"/>
  <c r="M193" i="3" s="1"/>
  <c r="C166" i="6"/>
  <c r="M170" i="3" s="1"/>
  <c r="C164" i="6"/>
  <c r="M168" i="3" s="1"/>
  <c r="C195" i="6"/>
  <c r="M199" i="3" s="1"/>
  <c r="D230" i="6"/>
  <c r="N243" i="3" s="1"/>
  <c r="C238" i="6"/>
  <c r="M251" i="3" s="1"/>
  <c r="C163" i="6"/>
  <c r="M167" i="3" s="1"/>
  <c r="C145" i="6"/>
  <c r="M149" i="3" s="1"/>
  <c r="C229" i="6"/>
  <c r="M242" i="3" s="1"/>
  <c r="D205" i="6"/>
  <c r="N218" i="3" s="1"/>
  <c r="C244" i="6"/>
  <c r="M257" i="3" s="1"/>
  <c r="C204" i="6"/>
  <c r="M217" i="3" s="1"/>
  <c r="C197" i="6"/>
  <c r="M201" i="3" s="1"/>
  <c r="C199" i="6"/>
  <c r="M203" i="3" s="1"/>
  <c r="D229" i="6"/>
  <c r="N242" i="3" s="1"/>
  <c r="C174" i="6"/>
  <c r="M178" i="3" s="1"/>
  <c r="C176" i="6"/>
  <c r="M180" i="3" s="1"/>
  <c r="C220" i="6"/>
  <c r="M233" i="3" s="1"/>
  <c r="C160" i="6"/>
  <c r="M164" i="3" s="1"/>
  <c r="C247" i="6"/>
  <c r="M260" i="3" s="1"/>
  <c r="C193" i="6"/>
  <c r="M197" i="3" s="1"/>
  <c r="D203" i="6"/>
  <c r="N216" i="3" s="1"/>
  <c r="D149" i="6"/>
  <c r="N153" i="3" s="1"/>
  <c r="C255" i="6"/>
  <c r="M268" i="3" s="1"/>
  <c r="C169" i="6"/>
  <c r="M173" i="3" s="1"/>
  <c r="C228" i="6"/>
  <c r="M241" i="3" s="1"/>
  <c r="C172" i="6"/>
  <c r="M176" i="3" s="1"/>
  <c r="D250" i="6"/>
  <c r="N263" i="3" s="1"/>
  <c r="C246" i="6"/>
  <c r="M259" i="3" s="1"/>
  <c r="D253" i="6"/>
  <c r="N266" i="3" s="1"/>
  <c r="C213" i="6"/>
  <c r="M226" i="3" s="1"/>
  <c r="D256" i="6"/>
  <c r="C168"/>
  <c r="M172" i="3" s="1"/>
  <c r="C216" i="6"/>
  <c r="M229" i="3" s="1"/>
  <c r="C188" i="6"/>
  <c r="M192" i="3" s="1"/>
  <c r="C170" i="6"/>
  <c r="M174" i="3" s="1"/>
  <c r="C196" i="6"/>
  <c r="M200" i="3" s="1"/>
  <c r="C235" i="6"/>
  <c r="M248" i="3" s="1"/>
  <c r="C256" i="6"/>
  <c r="C252"/>
  <c r="M265" i="3" s="1"/>
  <c r="D244" i="6"/>
  <c r="N257" i="3" s="1"/>
  <c r="C217" i="6"/>
  <c r="M230" i="3" s="1"/>
  <c r="D148" i="6"/>
  <c r="N152" i="3" s="1"/>
  <c r="D204" i="6"/>
  <c r="N217" i="3" s="1"/>
  <c r="C227" i="6"/>
  <c r="M240" i="3" s="1"/>
  <c r="D206" i="6"/>
  <c r="N219" i="3" s="1"/>
  <c r="D252" i="6"/>
  <c r="N265" i="3" s="1"/>
  <c r="D211" i="6"/>
  <c r="N224" i="3" s="1"/>
  <c r="C183" i="6"/>
  <c r="M187" i="3" s="1"/>
  <c r="C190" i="6"/>
  <c r="M194" i="3" s="1"/>
  <c r="D221" i="6"/>
  <c r="N234" i="3" s="1"/>
  <c r="C231" i="6"/>
  <c r="M244" i="3" s="1"/>
  <c r="C162" i="6"/>
  <c r="M166" i="3" s="1"/>
  <c r="D146" i="6"/>
  <c r="N150" i="3" s="1"/>
  <c r="C208" i="6"/>
  <c r="M221" i="3" s="1"/>
  <c r="C167" i="6"/>
  <c r="M171" i="3" s="1"/>
  <c r="C147" i="6"/>
  <c r="M151" i="3" s="1"/>
  <c r="C194" i="6"/>
  <c r="M198" i="3" s="1"/>
  <c r="O211" s="1"/>
  <c r="C198" i="6"/>
  <c r="M202" i="3" s="1"/>
  <c r="C221" i="6"/>
  <c r="M234" i="3" s="1"/>
  <c r="C243" i="6"/>
  <c r="M256" i="3" s="1"/>
  <c r="D202" i="6"/>
  <c r="N215" i="3" s="1"/>
  <c r="C156" i="6"/>
  <c r="M160" i="3" s="1"/>
  <c r="C157" i="6"/>
  <c r="M161" i="3" s="1"/>
  <c r="C171" i="6"/>
  <c r="M175" i="3" s="1"/>
  <c r="C234" i="6"/>
  <c r="M247" i="3" s="1"/>
  <c r="D222" i="6"/>
  <c r="N235" i="3" s="1"/>
  <c r="D241" i="6"/>
  <c r="N254" i="3" s="1"/>
  <c r="C248" i="6"/>
  <c r="M261" i="3" s="1"/>
  <c r="D147" i="6"/>
  <c r="N151" i="3" s="1"/>
  <c r="C185" i="6"/>
  <c r="M189" i="3" s="1"/>
  <c r="D224" i="6"/>
  <c r="N237" i="3" s="1"/>
  <c r="C181" i="6"/>
  <c r="M185" i="3" s="1"/>
  <c r="D220" i="6"/>
  <c r="N233" i="3" s="1"/>
  <c r="C192" i="6"/>
  <c r="M196" i="3" s="1"/>
  <c r="C239" i="6"/>
  <c r="M252" i="3" s="1"/>
  <c r="C211" i="6"/>
  <c r="M224" i="3" s="1"/>
  <c r="C186" i="6"/>
  <c r="M190" i="3" s="1"/>
  <c r="C180" i="6"/>
  <c r="M184" i="3" s="1"/>
  <c r="C223" i="6"/>
  <c r="M236" i="3" s="1"/>
  <c r="C153" i="6"/>
  <c r="M157" i="3" s="1"/>
  <c r="C178" i="6"/>
  <c r="M182" i="3" s="1"/>
  <c r="C249" i="6"/>
  <c r="M262" i="3" s="1"/>
  <c r="D238" i="6"/>
  <c r="N251" i="3" s="1"/>
  <c r="C222" i="6"/>
  <c r="M235" i="3" s="1"/>
  <c r="D210" i="6"/>
  <c r="N223" i="3" s="1"/>
  <c r="C148" i="6"/>
  <c r="M152" i="3" s="1"/>
  <c r="D207" i="6"/>
  <c r="N220" i="3" s="1"/>
  <c r="C161" i="6"/>
  <c r="M165" i="3" s="1"/>
  <c r="C206" i="6"/>
  <c r="M219" i="3" s="1"/>
  <c r="C230" i="6"/>
  <c r="M243" i="3" s="1"/>
  <c r="C203" i="6"/>
  <c r="M216" i="3" s="1"/>
  <c r="D245" i="6"/>
  <c r="N258" i="3" s="1"/>
  <c r="D225" i="6"/>
  <c r="N238" i="3" s="1"/>
  <c r="D208" i="6"/>
  <c r="N221" i="3" s="1"/>
  <c r="D239" i="6"/>
  <c r="N252" i="3" s="1"/>
  <c r="C215" i="6"/>
  <c r="M228" i="3" s="1"/>
  <c r="C232" i="6"/>
  <c r="M245" i="3" s="1"/>
  <c r="C237" i="6"/>
  <c r="M250" i="3" s="1"/>
  <c r="C155" i="6"/>
  <c r="M159" i="3" s="1"/>
  <c r="D254" i="6"/>
  <c r="N267" i="3" s="1"/>
  <c r="C150" i="6"/>
  <c r="M154" i="3" s="1"/>
  <c r="D209" i="6"/>
  <c r="N222" i="3" s="1"/>
  <c r="D242" i="6"/>
  <c r="N255" i="3" s="1"/>
  <c r="C179" i="6"/>
  <c r="M183" i="3" s="1"/>
  <c r="C205" i="6"/>
  <c r="M218" i="3" s="1"/>
  <c r="C152" i="6"/>
  <c r="M156" i="3" s="1"/>
  <c r="AI1162" i="1" l="1"/>
  <c r="AM1163"/>
  <c r="D185" i="6"/>
  <c r="N189" i="3" s="1"/>
  <c r="D169" i="6"/>
  <c r="N173" i="3" s="1"/>
  <c r="D156" i="6"/>
  <c r="N160" i="3" s="1"/>
  <c r="D171" i="6"/>
  <c r="N175" i="3" s="1"/>
  <c r="D186" i="6"/>
  <c r="N190" i="3" s="1"/>
  <c r="D157" i="6"/>
  <c r="N161" i="3" s="1"/>
  <c r="D164" i="6"/>
  <c r="N168" i="3" s="1"/>
  <c r="D172" i="6"/>
  <c r="N176" i="3" s="1"/>
  <c r="D184" i="6"/>
  <c r="N188" i="3" s="1"/>
  <c r="D165" i="6"/>
  <c r="N169" i="3" s="1"/>
  <c r="D200" i="6"/>
  <c r="N213" i="3" s="1"/>
  <c r="D174" i="6"/>
  <c r="N178" i="3" s="1"/>
  <c r="D178" i="6"/>
  <c r="N182" i="3" s="1"/>
  <c r="D168" i="6"/>
  <c r="N172" i="3" s="1"/>
  <c r="D176" i="6"/>
  <c r="N180" i="3" s="1"/>
  <c r="D187" i="6"/>
  <c r="N191" i="3" s="1"/>
  <c r="D195" i="6"/>
  <c r="N199" i="3" s="1"/>
  <c r="D197" i="6"/>
  <c r="N201" i="3" s="1"/>
  <c r="D170" i="6"/>
  <c r="N174" i="3" s="1"/>
  <c r="D150" i="6"/>
  <c r="N154" i="3" s="1"/>
  <c r="D190" i="6"/>
  <c r="N194" i="3" s="1"/>
  <c r="D191" i="6"/>
  <c r="N195" i="3" s="1"/>
  <c r="D180" i="6"/>
  <c r="N184" i="3" s="1"/>
  <c r="D182" i="6"/>
  <c r="N186" i="3" s="1"/>
  <c r="D154" i="6"/>
  <c r="N158" i="3" s="1"/>
  <c r="D163" i="6"/>
  <c r="N167" i="3" s="1"/>
  <c r="D151" i="6"/>
  <c r="N155" i="3" s="1"/>
  <c r="D179" i="6"/>
  <c r="N183" i="3" s="1"/>
  <c r="D161" i="6"/>
  <c r="N165" i="3" s="1"/>
  <c r="D160" i="6"/>
  <c r="N164" i="3" s="1"/>
  <c r="D158" i="6"/>
  <c r="N162" i="3" s="1"/>
  <c r="D155" i="6"/>
  <c r="N159" i="3" s="1"/>
  <c r="D166" i="6"/>
  <c r="N170" i="3" s="1"/>
  <c r="D194" i="6"/>
  <c r="N198" i="3" s="1"/>
  <c r="D162" i="6"/>
  <c r="N166" i="3" s="1"/>
  <c r="D198" i="6"/>
  <c r="N202" i="3" s="1"/>
  <c r="D167" i="6"/>
  <c r="N171" i="3" s="1"/>
  <c r="D173" i="6"/>
  <c r="N177" i="3" s="1"/>
  <c r="D152" i="6"/>
  <c r="N156" i="3" s="1"/>
  <c r="D183" i="6"/>
  <c r="N187" i="3" s="1"/>
  <c r="D153" i="6"/>
  <c r="N157" i="3" s="1"/>
  <c r="D193" i="6"/>
  <c r="N197" i="3" s="1"/>
  <c r="D175" i="6"/>
  <c r="N179" i="3" s="1"/>
  <c r="D177" i="6"/>
  <c r="N181" i="3" s="1"/>
  <c r="D192" i="6"/>
  <c r="N196" i="3" s="1"/>
  <c r="D199" i="6"/>
  <c r="N203" i="3" s="1"/>
  <c r="D189" i="6"/>
  <c r="N193" i="3" s="1"/>
  <c r="D188" i="6"/>
  <c r="N192" i="3" s="1"/>
  <c r="D196" i="6"/>
  <c r="N200" i="3" s="1"/>
  <c r="D181" i="6"/>
  <c r="N185" i="3" s="1"/>
  <c r="D201" i="6"/>
  <c r="N214" i="3" s="1"/>
  <c r="D159" i="6"/>
  <c r="N163" i="3" s="1"/>
  <c r="AI1163" i="1" l="1"/>
  <c r="AM1164"/>
  <c r="AI1164" l="1"/>
  <c r="AM1165"/>
  <c r="AI1165" l="1"/>
  <c r="AM1166"/>
  <c r="AI1166" l="1"/>
  <c r="AM1167"/>
  <c r="AI1167" s="1"/>
</calcChain>
</file>

<file path=xl/sharedStrings.xml><?xml version="1.0" encoding="utf-8"?>
<sst xmlns="http://schemas.openxmlformats.org/spreadsheetml/2006/main" count="796" uniqueCount="541">
  <si>
    <t>年度</t>
    <phoneticPr fontId="2" type="noConversion"/>
  </si>
  <si>
    <t>月次</t>
    <phoneticPr fontId="2" type="noConversion"/>
  </si>
  <si>
    <t>投入本金</t>
    <phoneticPr fontId="2" type="noConversion"/>
  </si>
  <si>
    <t>年齡</t>
    <phoneticPr fontId="2" type="noConversion"/>
  </si>
  <si>
    <t>前置費用</t>
    <phoneticPr fontId="2" type="noConversion"/>
  </si>
  <si>
    <t>解約</t>
    <phoneticPr fontId="2" type="noConversion"/>
  </si>
  <si>
    <t>計息天數</t>
    <phoneticPr fontId="2" type="noConversion"/>
  </si>
  <si>
    <t>月份</t>
    <phoneticPr fontId="2" type="noConversion"/>
  </si>
  <si>
    <t>天數</t>
    <phoneticPr fontId="2" type="noConversion"/>
  </si>
  <si>
    <t>孳息(年度)</t>
    <phoneticPr fontId="2" type="noConversion"/>
  </si>
  <si>
    <t>解約金</t>
    <phoneticPr fontId="2" type="noConversion"/>
  </si>
  <si>
    <t>解約費用率</t>
    <phoneticPr fontId="2" type="noConversion"/>
  </si>
  <si>
    <t>假設投入日</t>
    <phoneticPr fontId="2" type="noConversion"/>
  </si>
  <si>
    <t>民國年</t>
    <phoneticPr fontId="2" type="noConversion"/>
  </si>
  <si>
    <t>累積本金-末</t>
    <phoneticPr fontId="2" type="noConversion"/>
  </si>
  <si>
    <t>定位點</t>
    <phoneticPr fontId="2" type="noConversion"/>
  </si>
  <si>
    <t>可能</t>
    <phoneticPr fontId="2" type="noConversion"/>
  </si>
  <si>
    <t>悲觀</t>
    <phoneticPr fontId="2" type="noConversion"/>
  </si>
  <si>
    <t>樂觀</t>
    <phoneticPr fontId="2" type="noConversion"/>
  </si>
  <si>
    <t>年度天數</t>
    <phoneticPr fontId="2" type="noConversion"/>
  </si>
  <si>
    <t>年金定位</t>
    <phoneticPr fontId="2" type="noConversion"/>
  </si>
  <si>
    <t>保險年齡</t>
    <phoneticPr fontId="2" type="noConversion"/>
  </si>
  <si>
    <t>chack</t>
    <phoneticPr fontId="2" type="noConversion"/>
  </si>
  <si>
    <t>到期日驗證</t>
    <phoneticPr fontId="2" type="noConversion"/>
  </si>
  <si>
    <t>繳別</t>
    <phoneticPr fontId="2" type="noConversion"/>
  </si>
  <si>
    <t>帶入範圍</t>
    <phoneticPr fontId="2" type="noConversion"/>
  </si>
  <si>
    <t>累積投入本金</t>
    <phoneticPr fontId="2" type="noConversion"/>
  </si>
  <si>
    <t>年度投入本金</t>
    <phoneticPr fontId="2" type="noConversion"/>
  </si>
  <si>
    <t>年金年度</t>
    <phoneticPr fontId="2" type="noConversion"/>
  </si>
  <si>
    <t>部分解約</t>
    <phoneticPr fontId="2" type="noConversion"/>
  </si>
  <si>
    <t>解約扣除費用</t>
    <phoneticPr fontId="2" type="noConversion"/>
  </si>
  <si>
    <t>定位勿刪</t>
    <phoneticPr fontId="2" type="noConversion"/>
  </si>
  <si>
    <t>部分解約</t>
    <phoneticPr fontId="2" type="noConversion"/>
  </si>
  <si>
    <t>開始年度</t>
    <phoneticPr fontId="2" type="noConversion"/>
  </si>
  <si>
    <t>結束年度</t>
    <phoneticPr fontId="2" type="noConversion"/>
  </si>
  <si>
    <t>年金類型</t>
    <phoneticPr fontId="2" type="noConversion"/>
  </si>
  <si>
    <t>年金</t>
    <phoneticPr fontId="2" type="noConversion"/>
  </si>
  <si>
    <t>保證期間</t>
  </si>
  <si>
    <t>給付年齡</t>
  </si>
  <si>
    <t>男性</t>
  </si>
  <si>
    <t>保證期代號</t>
    <phoneticPr fontId="2" type="noConversion"/>
  </si>
  <si>
    <t>最高額度</t>
    <phoneticPr fontId="2" type="noConversion"/>
  </si>
  <si>
    <t>最低年金</t>
    <phoneticPr fontId="2" type="noConversion"/>
  </si>
  <si>
    <t>年金換算</t>
    <phoneticPr fontId="2" type="noConversion"/>
  </si>
  <si>
    <t>最低餘額</t>
    <phoneticPr fontId="2" type="noConversion"/>
  </si>
  <si>
    <t>年繳</t>
    <phoneticPr fontId="2" type="noConversion"/>
  </si>
  <si>
    <t>設定條件</t>
    <phoneticPr fontId="2" type="noConversion"/>
  </si>
  <si>
    <t>本試算表使用期限：</t>
    <phoneticPr fontId="2" type="noConversion"/>
  </si>
  <si>
    <t>本建議書並非保險契約，詳細商品內容及其變更，應以投保當時保單條款內容及本公司核保、保全作業規定為準</t>
    <phoneticPr fontId="2" type="noConversion"/>
  </si>
  <si>
    <t>計息天數</t>
    <phoneticPr fontId="2" type="noConversion"/>
  </si>
  <si>
    <t>男性</t>
    <phoneticPr fontId="2" type="noConversion"/>
  </si>
  <si>
    <t>女性</t>
    <phoneticPr fontId="2" type="noConversion"/>
  </si>
  <si>
    <t>繳費方式</t>
    <phoneticPr fontId="2" type="noConversion"/>
  </si>
  <si>
    <t>經過年度</t>
    <phoneticPr fontId="2" type="noConversion"/>
  </si>
  <si>
    <t>35歲</t>
    <phoneticPr fontId="2" type="noConversion"/>
  </si>
  <si>
    <t>65歲</t>
    <phoneticPr fontId="2" type="noConversion"/>
  </si>
  <si>
    <t>躉繳</t>
    <phoneticPr fontId="2" type="noConversion"/>
  </si>
  <si>
    <t>(100萬)</t>
    <phoneticPr fontId="2" type="noConversion"/>
  </si>
  <si>
    <t>-</t>
    <phoneticPr fontId="2" type="noConversion"/>
  </si>
  <si>
    <t>年繳</t>
    <phoneticPr fontId="2" type="noConversion"/>
  </si>
  <si>
    <t>(20萬)</t>
    <phoneticPr fontId="2" type="noConversion"/>
  </si>
  <si>
    <t>-</t>
    <phoneticPr fontId="2" type="noConversion"/>
  </si>
  <si>
    <t>註：</t>
  </si>
  <si>
    <t>金融機構轉帳</t>
  </si>
  <si>
    <t>文字區域</t>
    <phoneticPr fontId="2" type="noConversion"/>
  </si>
  <si>
    <t>fubon</t>
    <phoneticPr fontId="2" type="noConversion"/>
  </si>
  <si>
    <t>試算日</t>
    <phoneticPr fontId="2" type="noConversion"/>
  </si>
  <si>
    <t>生日</t>
    <phoneticPr fontId="2" type="noConversion"/>
  </si>
  <si>
    <t>驗證</t>
    <phoneticPr fontId="2" type="noConversion"/>
  </si>
  <si>
    <t>彈性繳</t>
    <phoneticPr fontId="2" type="noConversion"/>
  </si>
  <si>
    <t>躉繳</t>
    <phoneticPr fontId="2" type="noConversion"/>
  </si>
  <si>
    <t>年繳</t>
    <phoneticPr fontId="2" type="noConversion"/>
  </si>
  <si>
    <t>最高承保</t>
    <phoneticPr fontId="2" type="noConversion"/>
  </si>
  <si>
    <t>保險</t>
    <phoneticPr fontId="2" type="noConversion"/>
  </si>
  <si>
    <t>半年繳</t>
    <phoneticPr fontId="2" type="noConversion"/>
  </si>
  <si>
    <t>足歲</t>
    <phoneticPr fontId="2" type="noConversion"/>
  </si>
  <si>
    <t>季繳</t>
    <phoneticPr fontId="2" type="noConversion"/>
  </si>
  <si>
    <t>月繳</t>
    <phoneticPr fontId="2" type="noConversion"/>
  </si>
  <si>
    <t>輸入格式選項</t>
    <phoneticPr fontId="2" type="noConversion"/>
  </si>
  <si>
    <t>檢核欄位</t>
    <phoneticPr fontId="2" type="noConversion"/>
  </si>
  <si>
    <t>高保費級距</t>
    <phoneticPr fontId="2" type="noConversion"/>
  </si>
  <si>
    <t>1.輸入格式1-6或7位數字輸入</t>
    <phoneticPr fontId="2" type="noConversion"/>
  </si>
  <si>
    <t>代號</t>
    <phoneticPr fontId="2" type="noConversion"/>
  </si>
  <si>
    <t>高</t>
    <phoneticPr fontId="2" type="noConversion"/>
  </si>
  <si>
    <t>折扣率</t>
    <phoneticPr fontId="2" type="noConversion"/>
  </si>
  <si>
    <t>2.輸入格式2-年月日</t>
    <phoneticPr fontId="2" type="noConversion"/>
  </si>
  <si>
    <t>生日檢核</t>
    <phoneticPr fontId="2" type="noConversion"/>
  </si>
  <si>
    <t>歲</t>
    <phoneticPr fontId="2" type="noConversion"/>
  </si>
  <si>
    <t>最高承保(保險年齡)</t>
    <phoneticPr fontId="2" type="noConversion"/>
  </si>
  <si>
    <t>年齡檢核</t>
    <phoneticPr fontId="2" type="noConversion"/>
  </si>
  <si>
    <t>性別 (1.男 2.女)</t>
    <phoneticPr fontId="2" type="noConversion"/>
  </si>
  <si>
    <t>性別檢核</t>
    <phoneticPr fontId="2" type="noConversion"/>
  </si>
  <si>
    <t>險種代號</t>
    <phoneticPr fontId="2" type="noConversion"/>
  </si>
  <si>
    <t>商品中文名稱</t>
    <phoneticPr fontId="2" type="noConversion"/>
  </si>
  <si>
    <t>年期</t>
    <phoneticPr fontId="2" type="noConversion"/>
  </si>
  <si>
    <t>年期檢核</t>
    <phoneticPr fontId="2" type="noConversion"/>
  </si>
  <si>
    <t>最低保額</t>
    <phoneticPr fontId="2" type="noConversion"/>
  </si>
  <si>
    <t>最高保額</t>
    <phoneticPr fontId="2" type="noConversion"/>
  </si>
  <si>
    <t>保額檢核</t>
    <phoneticPr fontId="2" type="noConversion"/>
  </si>
  <si>
    <t>繳別</t>
    <phoneticPr fontId="2" type="noConversion"/>
  </si>
  <si>
    <t>原始應繳保費</t>
    <phoneticPr fontId="2" type="noConversion"/>
  </si>
  <si>
    <t>匯款</t>
    <phoneticPr fontId="2" type="noConversion"/>
  </si>
  <si>
    <t>↓首期</t>
    <phoneticPr fontId="2" type="noConversion"/>
  </si>
  <si>
    <t>續期↓</t>
    <phoneticPr fontId="2" type="noConversion"/>
  </si>
  <si>
    <t>換算格式1.傳統 2.直接除</t>
    <phoneticPr fontId="2" type="noConversion"/>
  </si>
  <si>
    <t>富邦信用卡</t>
    <phoneticPr fontId="2" type="noConversion"/>
  </si>
  <si>
    <t>繳別換算率</t>
    <phoneticPr fontId="2" type="noConversion"/>
  </si>
  <si>
    <t>一般信用卡</t>
    <phoneticPr fontId="2" type="noConversion"/>
  </si>
  <si>
    <t>↑首期</t>
    <phoneticPr fontId="2" type="noConversion"/>
  </si>
  <si>
    <t>自行繳費</t>
    <phoneticPr fontId="2" type="noConversion"/>
  </si>
  <si>
    <t>收費</t>
    <phoneticPr fontId="2" type="noConversion"/>
  </si>
  <si>
    <t>續期↑</t>
    <phoneticPr fontId="2" type="noConversion"/>
  </si>
  <si>
    <t>特殊折扣</t>
    <phoneticPr fontId="2" type="noConversion"/>
  </si>
  <si>
    <t>首期繳別</t>
    <phoneticPr fontId="2" type="noConversion"/>
  </si>
  <si>
    <t>自繳折扣-首期</t>
    <phoneticPr fontId="2" type="noConversion"/>
  </si>
  <si>
    <t>主約選項</t>
    <phoneticPr fontId="2" type="noConversion"/>
  </si>
  <si>
    <t>續期繳別</t>
    <phoneticPr fontId="2" type="noConversion"/>
  </si>
  <si>
    <t>自繳折扣-續期</t>
    <phoneticPr fontId="2" type="noConversion"/>
  </si>
  <si>
    <t>折扣率上限</t>
    <phoneticPr fontId="2" type="noConversion"/>
  </si>
  <si>
    <t>首期總折扣率</t>
    <phoneticPr fontId="2" type="noConversion"/>
  </si>
  <si>
    <t>續期總折扣率</t>
    <phoneticPr fontId="2" type="noConversion"/>
  </si>
  <si>
    <t>首期實繳保費</t>
    <phoneticPr fontId="2" type="noConversion"/>
  </si>
  <si>
    <t>續期實繳保費</t>
    <phoneticPr fontId="2" type="noConversion"/>
  </si>
  <si>
    <t>繳別回乘倍數</t>
    <phoneticPr fontId="2" type="noConversion"/>
  </si>
  <si>
    <t>←首期保費規則</t>
    <phoneticPr fontId="2" type="noConversion"/>
  </si>
  <si>
    <t>最低年齡</t>
    <phoneticPr fontId="2" type="noConversion"/>
  </si>
  <si>
    <t>最高年齡</t>
    <phoneticPr fontId="2" type="noConversion"/>
  </si>
  <si>
    <t>首年實繳保費</t>
    <phoneticPr fontId="2" type="noConversion"/>
  </si>
  <si>
    <t>續年實繳保費</t>
    <phoneticPr fontId="2" type="noConversion"/>
  </si>
  <si>
    <t>基本資料欄位檢核結果</t>
    <phoneticPr fontId="2" type="noConversion"/>
  </si>
  <si>
    <t>版次</t>
    <phoneticPr fontId="2" type="noConversion"/>
  </si>
  <si>
    <t>KEY</t>
    <phoneticPr fontId="2" type="noConversion"/>
  </si>
  <si>
    <t>SUMKEY</t>
    <phoneticPr fontId="2" type="noConversion"/>
  </si>
  <si>
    <t>險種</t>
    <phoneticPr fontId="2" type="noConversion"/>
  </si>
  <si>
    <t>保費</t>
    <phoneticPr fontId="2" type="noConversion"/>
  </si>
  <si>
    <t>累計最高</t>
    <phoneticPr fontId="2" type="noConversion"/>
  </si>
  <si>
    <t>每萬年金保費</t>
    <phoneticPr fontId="2" type="noConversion"/>
  </si>
  <si>
    <t>險種+年齡(2位)</t>
    <phoneticPr fontId="2" type="noConversion"/>
  </si>
  <si>
    <t>年金金額</t>
    <phoneticPr fontId="2" type="noConversion"/>
  </si>
  <si>
    <t>保證期間</t>
    <phoneticPr fontId="2" type="noConversion"/>
  </si>
  <si>
    <t>保證金額</t>
    <phoneticPr fontId="2" type="noConversion"/>
  </si>
  <si>
    <t>被保人</t>
    <phoneticPr fontId="2" type="noConversion"/>
  </si>
  <si>
    <t>最低年金/保費</t>
    <phoneticPr fontId="2" type="noConversion"/>
  </si>
  <si>
    <t>最高年金/保費</t>
    <phoneticPr fontId="2" type="noConversion"/>
  </si>
  <si>
    <t>最小年齡</t>
    <phoneticPr fontId="2" type="noConversion"/>
  </si>
  <si>
    <t>最大年齡</t>
    <phoneticPr fontId="2" type="noConversion"/>
  </si>
  <si>
    <t>預設年金起始日</t>
    <phoneticPr fontId="2" type="noConversion"/>
  </si>
  <si>
    <t>投入保額/保費</t>
    <phoneticPr fontId="2" type="noConversion"/>
  </si>
  <si>
    <t>首期投入金額</t>
    <phoneticPr fontId="2" type="noConversion"/>
  </si>
  <si>
    <t>續期投入金額</t>
    <phoneticPr fontId="2" type="noConversion"/>
  </si>
  <si>
    <t>自設年金日期</t>
    <phoneticPr fontId="2" type="noConversion"/>
  </si>
  <si>
    <t>保單起始日</t>
    <phoneticPr fontId="2" type="noConversion"/>
  </si>
  <si>
    <t>高保額折扣</t>
    <phoneticPr fontId="2" type="noConversion"/>
  </si>
  <si>
    <t>匯款</t>
  </si>
  <si>
    <t>年金利率</t>
    <phoneticPr fontId="2" type="noConversion"/>
  </si>
  <si>
    <t>揭露利率</t>
    <phoneticPr fontId="2" type="noConversion"/>
  </si>
  <si>
    <r>
      <t>年金金額(萬</t>
    </r>
    <r>
      <rPr>
        <sz val="12"/>
        <rFont val="新細明體"/>
        <family val="3"/>
        <charset val="136"/>
      </rPr>
      <t>)</t>
    </r>
    <phoneticPr fontId="2" type="noConversion"/>
  </si>
  <si>
    <t>繳別</t>
    <phoneticPr fontId="2" type="noConversion"/>
  </si>
  <si>
    <t>分期年金</t>
    <phoneticPr fontId="2" type="noConversion"/>
  </si>
  <si>
    <t>年金區間</t>
    <phoneticPr fontId="2" type="noConversion"/>
  </si>
  <si>
    <t>年齡區間</t>
    <phoneticPr fontId="2" type="noConversion"/>
  </si>
  <si>
    <t>繳費區間</t>
    <phoneticPr fontId="2" type="noConversion"/>
  </si>
  <si>
    <t>年金資料欄位檢核結果</t>
    <phoneticPr fontId="2" type="noConversion"/>
  </si>
  <si>
    <t>最早年金起始日</t>
    <phoneticPr fontId="2" type="noConversion"/>
  </si>
  <si>
    <t>最晚年金起始日</t>
    <phoneticPr fontId="2" type="noConversion"/>
  </si>
  <si>
    <t>轉換保價</t>
    <phoneticPr fontId="2" type="noConversion"/>
  </si>
  <si>
    <t>悲觀</t>
    <phoneticPr fontId="2" type="noConversion"/>
  </si>
  <si>
    <t>分期年金餘額</t>
    <phoneticPr fontId="2" type="noConversion"/>
  </si>
  <si>
    <t>年金方式</t>
    <phoneticPr fontId="2" type="noConversion"/>
  </si>
  <si>
    <t>年金驗證</t>
    <phoneticPr fontId="2" type="noConversion"/>
  </si>
  <si>
    <t>保證年金+餘額</t>
    <phoneticPr fontId="2" type="noConversion"/>
  </si>
  <si>
    <t>最長年期</t>
    <phoneticPr fontId="2" type="noConversion"/>
  </si>
  <si>
    <t>保證期</t>
    <phoneticPr fontId="2" type="noConversion"/>
  </si>
  <si>
    <t>年金顯示名稱</t>
    <phoneticPr fontId="2" type="noConversion"/>
  </si>
  <si>
    <t>年度</t>
    <phoneticPr fontId="2" type="noConversion"/>
  </si>
  <si>
    <t>年度投入</t>
    <phoneticPr fontId="2" type="noConversion"/>
  </si>
  <si>
    <t>累積投入</t>
    <phoneticPr fontId="2" type="noConversion"/>
  </si>
  <si>
    <t>年度末保單價值</t>
    <phoneticPr fontId="2" type="noConversion"/>
  </si>
  <si>
    <t>保證期
未支領
年金餘額</t>
    <phoneticPr fontId="2" type="noConversion"/>
  </si>
  <si>
    <t>顯示錯誤訊息</t>
    <phoneticPr fontId="2" type="noConversion"/>
  </si>
  <si>
    <t>15足歲</t>
    <phoneticPr fontId="2" type="noConversion"/>
  </si>
  <si>
    <t>險種</t>
    <phoneticPr fontId="2" type="noConversion"/>
  </si>
  <si>
    <t>代號</t>
    <phoneticPr fontId="2" type="noConversion"/>
  </si>
  <si>
    <t>選擇狀態</t>
    <phoneticPr fontId="2" type="noConversion"/>
  </si>
  <si>
    <t>保險
年齡</t>
    <phoneticPr fontId="2" type="noConversion"/>
  </si>
  <si>
    <t>首頁文字</t>
    <phoneticPr fontId="2" type="noConversion"/>
  </si>
  <si>
    <t>年金給付</t>
    <phoneticPr fontId="2" type="noConversion"/>
  </si>
  <si>
    <t>年</t>
    <phoneticPr fontId="2" type="noConversion"/>
  </si>
  <si>
    <t>半</t>
    <phoneticPr fontId="2" type="noConversion"/>
  </si>
  <si>
    <t>季</t>
    <phoneticPr fontId="2" type="noConversion"/>
  </si>
  <si>
    <t>月</t>
    <phoneticPr fontId="2" type="noConversion"/>
  </si>
  <si>
    <t>宣告利率設定人員</t>
    <phoneticPr fontId="2" type="noConversion"/>
  </si>
  <si>
    <t>行管費</t>
    <phoneticPr fontId="2" type="noConversion"/>
  </si>
  <si>
    <t>報酬率</t>
    <phoneticPr fontId="2" type="noConversion"/>
  </si>
  <si>
    <t>彈性繳</t>
  </si>
  <si>
    <t>保單年度</t>
    <phoneticPr fontId="2" type="noConversion"/>
  </si>
  <si>
    <t>繳費金額</t>
    <phoneticPr fontId="2" type="noConversion"/>
  </si>
  <si>
    <t>自定</t>
    <phoneticPr fontId="2" type="noConversion"/>
  </si>
  <si>
    <t>系統預設</t>
    <phoneticPr fontId="2" type="noConversion"/>
  </si>
  <si>
    <t>假設投資
報酬率</t>
    <phoneticPr fontId="2" type="noConversion"/>
  </si>
  <si>
    <t>被保險人：</t>
    <phoneticPr fontId="2" type="noConversion"/>
  </si>
  <si>
    <t>商品規劃內容：</t>
    <phoneticPr fontId="2" type="noConversion"/>
  </si>
  <si>
    <t>姓名：</t>
    <phoneticPr fontId="2" type="noConversion"/>
  </si>
  <si>
    <t>商品代號：</t>
    <phoneticPr fontId="2" type="noConversion"/>
  </si>
  <si>
    <t>繳別：</t>
    <phoneticPr fontId="2" type="noConversion"/>
  </si>
  <si>
    <t>性別：</t>
    <phoneticPr fontId="2" type="noConversion"/>
  </si>
  <si>
    <t>假設報酬率：</t>
    <phoneticPr fontId="2" type="noConversion"/>
  </si>
  <si>
    <t>生日：</t>
    <phoneticPr fontId="2" type="noConversion"/>
  </si>
  <si>
    <t>年金給付方式：</t>
    <phoneticPr fontId="2" type="noConversion"/>
  </si>
  <si>
    <t>保險年齡：</t>
    <phoneticPr fontId="2" type="noConversion"/>
  </si>
  <si>
    <t>實際年齡：</t>
    <phoneticPr fontId="2" type="noConversion"/>
  </si>
  <si>
    <t>預計年金開始給付日：</t>
    <phoneticPr fontId="2" type="noConversion"/>
  </si>
  <si>
    <t>專案承保年齡：</t>
    <phoneticPr fontId="2" type="noConversion"/>
  </si>
  <si>
    <t>繳費年期：</t>
    <phoneticPr fontId="2" type="noConversion"/>
  </si>
  <si>
    <t>年金開始給付年度：</t>
    <phoneticPr fontId="2" type="noConversion"/>
  </si>
  <si>
    <t>繳費金額：</t>
    <phoneticPr fontId="2" type="noConversion"/>
  </si>
  <si>
    <t>繳費方式：</t>
    <phoneticPr fontId="2" type="noConversion"/>
  </si>
  <si>
    <t>開始繳費年度：</t>
    <phoneticPr fontId="2" type="noConversion"/>
  </si>
  <si>
    <t>結束繳費年度：</t>
    <phoneticPr fontId="2" type="noConversion"/>
  </si>
  <si>
    <t>假設報酬率</t>
    <phoneticPr fontId="2" type="noConversion"/>
  </si>
  <si>
    <t>負報酬</t>
    <phoneticPr fontId="2" type="noConversion"/>
  </si>
  <si>
    <t>零報酬</t>
    <phoneticPr fontId="2" type="noConversion"/>
  </si>
  <si>
    <t>正報酬</t>
    <phoneticPr fontId="2" type="noConversion"/>
  </si>
  <si>
    <t>最高年金</t>
    <phoneticPr fontId="2" type="noConversion"/>
  </si>
  <si>
    <t>年度費用</t>
    <phoneticPr fontId="2" type="noConversion"/>
  </si>
  <si>
    <t>繳別：</t>
    <phoneticPr fontId="2" type="noConversion"/>
  </si>
  <si>
    <r>
      <t xml:space="preserve">分期繳 </t>
    </r>
    <r>
      <rPr>
        <sz val="12"/>
        <rFont val="新細明體"/>
        <family val="3"/>
        <charset val="136"/>
      </rPr>
      <t xml:space="preserve">- </t>
    </r>
    <phoneticPr fontId="2" type="noConversion"/>
  </si>
  <si>
    <r>
      <t xml:space="preserve">彈性繳 </t>
    </r>
    <r>
      <rPr>
        <sz val="12"/>
        <rFont val="新細明體"/>
        <family val="3"/>
        <charset val="136"/>
      </rPr>
      <t xml:space="preserve">- </t>
    </r>
    <phoneticPr fontId="2" type="noConversion"/>
  </si>
  <si>
    <t>開始繳費年度：</t>
    <phoneticPr fontId="2" type="noConversion"/>
  </si>
  <si>
    <t>結束繳費年度：</t>
    <phoneticPr fontId="2" type="noConversion"/>
  </si>
  <si>
    <t>續期保費：</t>
    <phoneticPr fontId="2" type="noConversion"/>
  </si>
  <si>
    <t>首期保費：</t>
    <phoneticPr fontId="2" type="noConversion"/>
  </si>
  <si>
    <t>彈性繳繳費金額：</t>
    <phoneticPr fontId="2" type="noConversion"/>
  </si>
  <si>
    <t>月繳倍數</t>
    <phoneticPr fontId="2" type="noConversion"/>
  </si>
  <si>
    <t>富邦業務員確實向您出示「投資型商品業務員資格測驗合格證」。</t>
  </si>
  <si>
    <t>◎上述保單帳戶價值為遞延期間之參考數值，進入年金給付期後之每年年金金額將另表列示。</t>
  </si>
  <si>
    <t>被保險人：</t>
    <phoneticPr fontId="2" type="noConversion"/>
  </si>
  <si>
    <t>年金給付方式：</t>
    <phoneticPr fontId="2" type="noConversion"/>
  </si>
  <si>
    <t>年初年齡</t>
    <phoneticPr fontId="2" type="noConversion"/>
  </si>
  <si>
    <t>累計總保費</t>
    <phoneticPr fontId="2" type="noConversion"/>
  </si>
  <si>
    <t>累計淨投入金額</t>
    <phoneticPr fontId="2" type="noConversion"/>
  </si>
  <si>
    <t>要保人簽名：</t>
    <phoneticPr fontId="2" type="noConversion"/>
  </si>
  <si>
    <t>日期：</t>
    <phoneticPr fontId="2" type="noConversion"/>
  </si>
  <si>
    <t>業務人員簽名：</t>
    <phoneticPr fontId="2" type="noConversion"/>
  </si>
  <si>
    <t>淨投入</t>
    <phoneticPr fontId="2" type="noConversion"/>
  </si>
  <si>
    <t>重告定位</t>
    <phoneticPr fontId="2" type="noConversion"/>
  </si>
  <si>
    <r>
      <t>保險年齡：</t>
    </r>
    <r>
      <rPr>
        <b/>
        <sz val="12"/>
        <rFont val="Arial"/>
        <family val="2"/>
      </rPr>
      <t xml:space="preserve"> </t>
    </r>
    <phoneticPr fontId="2" type="noConversion"/>
  </si>
  <si>
    <r>
      <t>保單帳戶價值試算預計負值、</t>
    </r>
    <r>
      <rPr>
        <b/>
        <sz val="12"/>
        <rFont val="Arial"/>
        <family val="2"/>
      </rPr>
      <t>0%</t>
    </r>
    <r>
      <rPr>
        <b/>
        <sz val="12"/>
        <rFont val="新細明體"/>
        <family val="3"/>
        <charset val="136"/>
      </rPr>
      <t>、正值之投資報酬率</t>
    </r>
    <phoneticPr fontId="2" type="noConversion"/>
  </si>
  <si>
    <r>
      <t xml:space="preserve"> </t>
    </r>
    <r>
      <rPr>
        <b/>
        <sz val="12"/>
        <rFont val="新細明體"/>
        <family val="3"/>
        <charset val="136"/>
      </rPr>
      <t>法定代理人簽名：</t>
    </r>
    <phoneticPr fontId="2" type="noConversion"/>
  </si>
  <si>
    <t>﹝未成年者法定代理人親自簽名﹞</t>
    <phoneticPr fontId="2" type="noConversion"/>
  </si>
  <si>
    <t>◎返還保單帳戶價值：</t>
  </si>
  <si>
    <t>年     金     給     付     說     明</t>
    <phoneticPr fontId="2" type="noConversion"/>
  </si>
  <si>
    <t>富邦業務人員確實有詳細告知本保險商品在您所選擇的假設預期報酬率為正值、負值及0%的報酬率下，帳戶價值可能發</t>
    <phoneticPr fontId="2" type="noConversion"/>
  </si>
  <si>
    <t>生增加、減少或保單停效的情形。</t>
    <phoneticPr fontId="2" type="noConversion"/>
  </si>
  <si>
    <t xml:space="preserve">  值，未來實際之保單帳戶價值有可能較高或較低。</t>
  </si>
  <si>
    <t>◎投資標的係投資標的所屬公司依投資標的適用法律所發行，其投資標的價值均應由要保人或受益人直接承擔損益，並</t>
  </si>
  <si>
    <t xml:space="preserve">  悉由投資標的所屬公司負履行之義務。要保人及受益人必須承擔投資之包括法律、匯率、投資標的相關市場變動及投</t>
  </si>
  <si>
    <t xml:space="preserve">  資標的所屬公司之信用等風險。稅法相關規定之改變可能會影響本險之投資報酬率及給付金額。</t>
  </si>
  <si>
    <t>年金選項</t>
    <phoneticPr fontId="2" type="noConversion"/>
  </si>
  <si>
    <t>年金預定利率</t>
    <phoneticPr fontId="2" type="noConversion"/>
  </si>
  <si>
    <t>假設年金預定利率：</t>
    <phoneticPr fontId="2" type="noConversion"/>
  </si>
  <si>
    <t>給付年度</t>
    <phoneticPr fontId="2" type="noConversion"/>
  </si>
  <si>
    <t>現值因子</t>
    <phoneticPr fontId="2" type="noConversion"/>
  </si>
  <si>
    <t>年金預定利率→</t>
    <phoneticPr fontId="2" type="noConversion"/>
  </si>
  <si>
    <t>單位：元/每萬年金金額</t>
  </si>
  <si>
    <t>繳費</t>
    <phoneticPr fontId="2" type="noConversion"/>
  </si>
  <si>
    <t>保單
年度</t>
    <phoneticPr fontId="2" type="noConversion"/>
  </si>
  <si>
    <t>部分提領</t>
    <phoneticPr fontId="2" type="noConversion"/>
  </si>
  <si>
    <t>備註</t>
    <phoneticPr fontId="2" type="noConversion"/>
  </si>
  <si>
    <t>年金保證期間：</t>
    <phoneticPr fontId="2" type="noConversion"/>
  </si>
  <si>
    <r>
      <t>(</t>
    </r>
    <r>
      <rPr>
        <b/>
        <sz val="12"/>
        <rFont val="細明體"/>
        <family val="3"/>
        <charset val="136"/>
      </rPr>
      <t>年度末</t>
    </r>
    <r>
      <rPr>
        <b/>
        <sz val="12"/>
        <rFont val="Arial"/>
        <family val="2"/>
      </rPr>
      <t>)</t>
    </r>
    <phoneticPr fontId="2" type="noConversion"/>
  </si>
  <si>
    <t>正報酬</t>
  </si>
  <si>
    <r>
      <t xml:space="preserve"> 基本資料</t>
    </r>
    <r>
      <rPr>
        <sz val="12"/>
        <rFont val="新細明體"/>
        <family val="3"/>
        <charset val="136"/>
      </rPr>
      <t>/</t>
    </r>
    <r>
      <rPr>
        <sz val="12"/>
        <rFont val="新細明體"/>
        <family val="3"/>
        <charset val="136"/>
      </rPr>
      <t>年金欄位</t>
    </r>
    <phoneticPr fontId="2" type="noConversion"/>
  </si>
  <si>
    <t>行管費匯率</t>
    <phoneticPr fontId="2" type="noConversion"/>
  </si>
  <si>
    <t>台幣行管費</t>
    <phoneticPr fontId="2" type="noConversion"/>
  </si>
  <si>
    <t>年度</t>
    <phoneticPr fontId="2" type="noConversion"/>
  </si>
  <si>
    <t>年金餘額</t>
    <phoneticPr fontId="2" type="noConversion"/>
  </si>
  <si>
    <t>提領/餘額--低額</t>
    <phoneticPr fontId="2" type="noConversion"/>
  </si>
  <si>
    <t>←繳費倍數</t>
    <phoneticPr fontId="2" type="noConversion"/>
  </si>
  <si>
    <t>自行設定各年度假設投報率及繳費內容，設定時請確實確認繳費限制。</t>
    <phoneticPr fontId="2" type="noConversion"/>
  </si>
  <si>
    <t>彈性繳
繳別</t>
    <phoneticPr fontId="2" type="noConversion"/>
  </si>
  <si>
    <t>彈性繳
繳費金額</t>
    <phoneticPr fontId="2" type="noConversion"/>
  </si>
  <si>
    <t>分期繳
繳別</t>
    <phoneticPr fontId="2" type="noConversion"/>
  </si>
  <si>
    <t>分期繳
繳費金額</t>
    <phoneticPr fontId="2" type="noConversion"/>
  </si>
  <si>
    <r>
      <t>M</t>
    </r>
    <r>
      <rPr>
        <sz val="12"/>
        <rFont val="新細明體"/>
        <family val="3"/>
        <charset val="136"/>
      </rPr>
      <t>AX</t>
    </r>
    <phoneticPr fontId="2" type="noConversion"/>
  </si>
  <si>
    <t>分首</t>
    <phoneticPr fontId="2" type="noConversion"/>
  </si>
  <si>
    <t>分續</t>
    <phoneticPr fontId="2" type="noConversion"/>
  </si>
  <si>
    <t>彈首</t>
    <phoneticPr fontId="2" type="noConversion"/>
  </si>
  <si>
    <t>彈續</t>
    <phoneticPr fontId="2" type="noConversion"/>
  </si>
  <si>
    <t>收費(匯款或即期支票)</t>
  </si>
  <si>
    <t>自行繳費</t>
  </si>
  <si>
    <t>收費(匯款)</t>
  </si>
  <si>
    <t>分首期</t>
    <phoneticPr fontId="2" type="noConversion"/>
  </si>
  <si>
    <t>分續期</t>
    <phoneticPr fontId="2" type="noConversion"/>
  </si>
  <si>
    <t>彈首期</t>
    <phoneticPr fontId="2" type="noConversion"/>
  </si>
  <si>
    <t>彈續期</t>
    <phoneticPr fontId="2" type="noConversion"/>
  </si>
  <si>
    <r>
      <t>r</t>
    </r>
    <r>
      <rPr>
        <sz val="12"/>
        <rFont val="新細明體"/>
        <family val="3"/>
        <charset val="136"/>
      </rPr>
      <t>ound</t>
    </r>
    <phoneticPr fontId="2" type="noConversion"/>
  </si>
  <si>
    <t>負報酬</t>
  </si>
  <si>
    <r>
      <t>k</t>
    </r>
    <r>
      <rPr>
        <sz val="12"/>
        <rFont val="新細明體"/>
        <family val="3"/>
        <charset val="136"/>
      </rPr>
      <t>ey</t>
    </r>
    <phoneticPr fontId="2" type="noConversion"/>
  </si>
  <si>
    <t>零報酬</t>
  </si>
  <si>
    <t>增額</t>
    <phoneticPr fontId="2" type="noConversion"/>
  </si>
  <si>
    <t>基本</t>
    <phoneticPr fontId="2" type="noConversion"/>
  </si>
  <si>
    <t>費用率</t>
    <phoneticPr fontId="2" type="noConversion"/>
  </si>
  <si>
    <t>費用</t>
    <phoneticPr fontId="2" type="noConversion"/>
  </si>
  <si>
    <t>自訂保費</t>
    <phoneticPr fontId="2" type="noConversion"/>
  </si>
  <si>
    <t>系統/保費/基本</t>
    <phoneticPr fontId="2" type="noConversion"/>
  </si>
  <si>
    <t>自訂保費/基本</t>
    <phoneticPr fontId="2" type="noConversion"/>
  </si>
  <si>
    <t>費用率/基本</t>
    <phoneticPr fontId="2" type="noConversion"/>
  </si>
  <si>
    <t>費用率/增額</t>
    <phoneticPr fontId="2" type="noConversion"/>
  </si>
  <si>
    <t>費用/基本</t>
    <phoneticPr fontId="2" type="noConversion"/>
  </si>
  <si>
    <t>費用/增額</t>
    <phoneticPr fontId="2" type="noConversion"/>
  </si>
  <si>
    <t>▓中途贖回風險：</t>
  </si>
  <si>
    <t>▓流動性風險：</t>
  </si>
  <si>
    <t>▓匯兌風險：</t>
  </si>
  <si>
    <t>▓信用風險：</t>
  </si>
  <si>
    <t>▓市場價格風險：</t>
  </si>
  <si>
    <t>▓法律風險：</t>
  </si>
  <si>
    <t>▓投資風險：</t>
  </si>
  <si>
    <t xml:space="preserve">  效不保證未來之投資收益，本公司亦不保證投資標的之投資報酬率，且不負投資盈虧之責。</t>
  </si>
  <si>
    <t xml:space="preserve">  法法令之變更所致稅負調整或因適用其他法令之變更所致權益發生得喪變更的風險。舉例說明：投資標的可能因所適</t>
  </si>
  <si>
    <t xml:space="preserve">  用法令之變更而致無法繼續投資、不能行使轉換或贖回之權利、或不得獲得期滿給付等情事。</t>
  </si>
  <si>
    <t>金額：</t>
    <phoneticPr fontId="2" type="noConversion"/>
  </si>
  <si>
    <t>開始年度：</t>
    <phoneticPr fontId="2" type="noConversion"/>
  </si>
  <si>
    <t>結束年度：</t>
    <phoneticPr fontId="2" type="noConversion"/>
  </si>
  <si>
    <t>部分投資終止金額</t>
    <phoneticPr fontId="2" type="noConversion"/>
  </si>
  <si>
    <t>年金試算表轉換日</t>
    <phoneticPr fontId="2" type="noConversion"/>
  </si>
  <si>
    <t>VABT</t>
  </si>
  <si>
    <t>富邦人壽真多利變額年金保險</t>
    <phoneticPr fontId="2" type="noConversion"/>
  </si>
  <si>
    <t>富邦人壽真有利變額年金保險</t>
    <phoneticPr fontId="2" type="noConversion"/>
  </si>
  <si>
    <t>富邦集團員工</t>
    <phoneticPr fontId="2" type="noConversion"/>
  </si>
  <si>
    <t>富邦集團員工</t>
    <phoneticPr fontId="2" type="noConversion"/>
  </si>
  <si>
    <t>配息率</t>
    <phoneticPr fontId="2" type="noConversion"/>
  </si>
  <si>
    <t>貨幣帳戶</t>
    <phoneticPr fontId="2" type="noConversion"/>
  </si>
  <si>
    <t>現金</t>
    <phoneticPr fontId="2" type="noConversion"/>
  </si>
  <si>
    <t>貨幣帳戶累積</t>
    <phoneticPr fontId="2" type="noConversion"/>
  </si>
  <si>
    <t>-</t>
    <phoneticPr fontId="2" type="noConversion"/>
  </si>
  <si>
    <t>+</t>
    <phoneticPr fontId="2" type="noConversion"/>
  </si>
  <si>
    <t>現金加總年</t>
    <phoneticPr fontId="2" type="noConversion"/>
  </si>
  <si>
    <t>‧以上計算內容數值為假設未辦理保險單借款並假設各基金每單位稅後配息金額(原幣)為0元，即不考慮配息的情況下試算。</t>
    <phoneticPr fontId="2" type="noConversion"/>
  </si>
  <si>
    <t>格式檢核</t>
    <phoneticPr fontId="2" type="noConversion"/>
  </si>
  <si>
    <t>到期日轉換</t>
    <phoneticPr fontId="2" type="noConversion"/>
  </si>
  <si>
    <t>適用通路：</t>
    <phoneticPr fontId="2" type="noConversion"/>
  </si>
  <si>
    <t xml:space="preserve">  約定外，本公司不負投資盈虧之責，要保人投保前應詳閱保險商品說明書。</t>
  </si>
  <si>
    <t>．稅法相關規定之改變可能會影響本保險之投資報酬及給付金額，未來稅法規定如有修正，本公司不負通知義務，請逕</t>
  </si>
  <si>
    <t xml:space="preserve">  洽台端之會計或稅務顧問依稅法有關規定辦理。</t>
  </si>
  <si>
    <t xml:space="preserve">  與消費者衡平對等原則，消費者仍應詳加閱讀保險單條款與相關文件，審慎選擇保險商品。本商品如有虛偽不實或違</t>
  </si>
  <si>
    <t xml:space="preserve">  法情事，應由本公司及負責人依法負責。</t>
  </si>
  <si>
    <t xml:space="preserve">  員管理規則及相關業務招攬規定。</t>
  </si>
  <si>
    <t>．投資標的種類及配置比例限制請詳閱保險商品說明書，實際投資標的及比例以要保書內容為準。</t>
  </si>
  <si>
    <t>．富邦人壽資訊公開說明文件放置網址http://www.fubon.com，歡迎上網查詢。</t>
  </si>
  <si>
    <t xml:space="preserve">  這些因素影響的程度大小將依政府經濟與利率政策調整而定)、法律風險(國內外政治、法規變動之風險)、匯率風險</t>
  </si>
  <si>
    <t xml:space="preserve">  (投資地區外匯管制及匯率波動之風險)等；其中投資風險之最大可能損失請詳閱保險商品說明書。</t>
  </si>
  <si>
    <t>‧當保單帳戶價值不足以支付相關費用時，保單可能會有停效的風險。為避免保單停效，建議您定期定額繳交保費。</t>
  </si>
  <si>
    <t xml:space="preserve">  十日內)。</t>
  </si>
  <si>
    <t>‧富邦人壽保險股份有限公司 / 地址：台北市敦化南路一段108號14樓/電話(02)8771-6699</t>
  </si>
  <si>
    <t>風險揭露：</t>
  </si>
  <si>
    <t>　被保險人於年金累積期間內身故或贖回退還當時保單帳戶價值，縱使選擇確定最低年金給付，亦不保本保息。</t>
  </si>
  <si>
    <t xml:space="preserve">  投資標的屬外幣計價時，要保人於投資之初係以新臺幣資金承作，需留意外幣之孳息及本金返還時，轉換回新臺幣資</t>
  </si>
  <si>
    <t xml:space="preserve">  產將可能低於投資本金之匯兌風險。</t>
  </si>
  <si>
    <t>　因市場成交量不足，無法順利處分持股或以極差價格成交所致損失發生之可能性。</t>
  </si>
  <si>
    <t>　保單帳戶價值獨立於本公司之一般帳戶外，因此要保人或受益人需自行承擔發行或保證機構履行交付投資金額與收益</t>
  </si>
  <si>
    <t xml:space="preserve">  義務之信用風險。</t>
  </si>
  <si>
    <t>　投資標的之市場價格，受金融市場發展趨勢、全球景氣、各國經濟與政治狀況等影響，發行或管理機構以往之投資績</t>
  </si>
  <si>
    <t>　投資標的係發行機構依其適用法律所發行，其一切履行責任係由發行機構承擔，但要保人或受益人必須承擔因適用稅</t>
  </si>
  <si>
    <t>　本商品連結之投資標的皆無保證投資收益，最大可能損失為全部投資本金。要保人應承擔一切投資風險及相關費用。</t>
  </si>
  <si>
    <t xml:space="preserve">  要保人於選定該項投資標的前，應確定已充分暸解其風險與特性。</t>
  </si>
  <si>
    <t>【注意事項】</t>
    <phoneticPr fontId="2" type="noConversion"/>
  </si>
  <si>
    <t>費用揭露事項：</t>
  </si>
  <si>
    <t>◎本重要告知書一式二份，一份交由要保人存執，一份請於送要保書時一併附上，以利製單。</t>
    <phoneticPr fontId="2" type="noConversion"/>
  </si>
  <si>
    <t xml:space="preserve">．本商品之不保事項或除外責任，請要保人詳閱保險商品說明書。 </t>
    <phoneticPr fontId="2" type="noConversion"/>
  </si>
  <si>
    <t>　一、被保險人於年金給付開始日及其後每一年金給付日當日零時生存者，本公司應給付分期年金金額予被保險人，直</t>
  </si>
  <si>
    <t xml:space="preserve">      至被保險人保險年齡屆滿一百一十歲為止。</t>
  </si>
  <si>
    <t>　二、被保險人於年金給付開始日或之後身故者，本契約即行終止。</t>
  </si>
  <si>
    <t xml:space="preserve">  務員、服務人員、服務中心(免費服務及申訴電話：0809-000-550)或網站(網址：www.fubon.com)，以保障您的權益。</t>
    <phoneticPr fontId="2" type="noConversion"/>
  </si>
  <si>
    <t>‧投保後解約或不繼續繳費可能不利消費者，請慎選符合需求之保險商品。</t>
    <phoneticPr fontId="2" type="noConversion"/>
  </si>
  <si>
    <t>‧保險契約各項權利義務皆詳列於保單條款，消費者務必詳加閱讀了解，並把握保單契約撤銷之時效(收到保單翌日起算</t>
    <phoneticPr fontId="2" type="noConversion"/>
  </si>
  <si>
    <t>‧年金給付開始日每期所領取之年金低於新臺幣5,000元，將改按一次支付保單帳戶價值全額，且契約即行終止。</t>
    <phoneticPr fontId="2" type="noConversion"/>
  </si>
  <si>
    <t>‧自連結投資標的交易對手取得之報酬、費用折讓等各項利益，應於簽約前提供予要保人參考。</t>
    <phoneticPr fontId="2" type="noConversion"/>
  </si>
  <si>
    <t>‧本投資型保險商品經101.08.17富壽商精字第1010001885號函備查出單銷售，惟不表示要保人即無投資風險。</t>
    <phoneticPr fontId="2" type="noConversion"/>
  </si>
  <si>
    <t>◎投資型保險商品經金融監督管理委員會核准出單銷售，惟不表示要保人即無投資風險。本商品所連結之一切投資標</t>
    <phoneticPr fontId="2" type="noConversion"/>
  </si>
  <si>
    <t xml:space="preserve">  的，其發行或管理機構以往之投資績效不保證未來之投資收益，除保險契約另有約定外，本公司不負投資盈虧之責。</t>
    <phoneticPr fontId="2" type="noConversion"/>
  </si>
  <si>
    <t>本保險計價幣別：新台幣</t>
    <phoneticPr fontId="2" type="noConversion"/>
  </si>
  <si>
    <t>．本建議書內商品所連結之一切投資標的，其發行或管理機構以往之投資績效不保證未來之投資收益，除保險契約另有</t>
  </si>
  <si>
    <t>．本建議書內商品經本公司合格簽署人員檢視其內容業已符合一般精算原則及保險法令，惟為確保權益，基於保險公司</t>
  </si>
  <si>
    <t>．本建議書內商品之保險契約由富邦人壽承保發單，招攬人員若為保險經紀人(或代理人)所屬業務員仍應遵循保險業務</t>
  </si>
  <si>
    <t>．消費者於購買本建議書內各商品前，應詳閱各種銷售文件，如要詳細了解各商品之附加費用或其他相關資訊，請洽業</t>
  </si>
  <si>
    <t>．投保本建議書內商品需承擔投資相關風險，例如：市場價格風險(市場價格波動的原因來自於經濟成長與物價膨脹，而</t>
  </si>
  <si>
    <t>本建議書僅供參考，詳細商品內容及變更，以投保當時保單條款內容及本公司核保、保全作業等規定為準。</t>
  </si>
  <si>
    <t>富邦人壽變額年金保險建議書重要告知事項</t>
  </si>
  <si>
    <t>◎本建議書之保單帳戶價值包含部分投資終止的試算，並扣除相關費用後所計算而得之金額，不代表實際之保單帳戶價</t>
  </si>
  <si>
    <t>聲明：本人已經審閱及明白本建議書上之說明與內容。</t>
  </si>
  <si>
    <t>‧免費服務及申訴電話：0809-000-550 / 網址：www.fubon.com</t>
  </si>
  <si>
    <t>‧人壽保險之死亡給付及年金保險之確定年金給付於被保險人死亡後給付於指定受益人者，依保險法第一百十二條規定</t>
    <phoneticPr fontId="2" type="noConversion"/>
  </si>
  <si>
    <t xml:space="preserve">  不得作為被保險人之遺產，惟如涉有規避遺產稅等稅捐情事者，稽徵機關仍得依據有關稅法規定或稅捐稽徵法第十二</t>
    <phoneticPr fontId="2" type="noConversion"/>
  </si>
  <si>
    <t xml:space="preserve">  條之一所定實質課稅原則辦理。相關實務案例請至富邦人壽官網詳閱。</t>
    <phoneticPr fontId="2" type="noConversion"/>
  </si>
  <si>
    <t>‧本商品非存款項目，故不受存款保險之保障。本商品保險保障部分受「財團法人保險安定基金」之「人身保險安定基</t>
  </si>
  <si>
    <t xml:space="preserve">  金專戶」保障，但投資型保險商品之專設帳簿記載投資資產之價值金額不受人身保險安定基金之保障。</t>
  </si>
  <si>
    <t>‧以上數值僅供參考使用，實際內容會因繳費日、報酬率、辦理保全變更或未來稅法變動而導致數值結果更</t>
    <phoneticPr fontId="2" type="noConversion"/>
  </si>
  <si>
    <t xml:space="preserve">  低或更高。</t>
    <phoneticPr fontId="2" type="noConversion"/>
  </si>
  <si>
    <t>女</t>
  </si>
  <si>
    <t>富媽媽</t>
    <phoneticPr fontId="2" type="noConversion"/>
  </si>
  <si>
    <t>‧基金的配息可能由基金的收益或本金中支付。任何涉及由本金支出的部分，可能導致原始投資金額減損。</t>
  </si>
  <si>
    <t>年齡</t>
    <phoneticPr fontId="2" type="noConversion"/>
  </si>
  <si>
    <t>自設年金日期驗證</t>
    <phoneticPr fontId="2" type="noConversion"/>
  </si>
  <si>
    <t>首期保險費：</t>
    <phoneticPr fontId="2" type="noConversion"/>
  </si>
  <si>
    <t>首期保險費：</t>
    <phoneticPr fontId="2" type="noConversion"/>
  </si>
  <si>
    <t>首次保費：</t>
    <phoneticPr fontId="2" type="noConversion"/>
  </si>
  <si>
    <t>首期額外投入</t>
    <phoneticPr fontId="2" type="noConversion"/>
  </si>
  <si>
    <t>彈性繳</t>
    <phoneticPr fontId="2" type="noConversion"/>
  </si>
  <si>
    <r>
      <rPr>
        <b/>
        <sz val="12"/>
        <color indexed="12"/>
        <rFont val="細明體"/>
        <family val="3"/>
        <charset val="136"/>
      </rPr>
      <t>下表為第</t>
    </r>
    <r>
      <rPr>
        <b/>
        <sz val="12"/>
        <color indexed="12"/>
        <rFont val="Arial"/>
        <family val="2"/>
      </rPr>
      <t>2</t>
    </r>
    <r>
      <rPr>
        <b/>
        <sz val="12"/>
        <color indexed="12"/>
        <rFont val="細明體"/>
        <family val="3"/>
        <charset val="136"/>
      </rPr>
      <t>年度後客戶增加繳費使用</t>
    </r>
    <phoneticPr fontId="2" type="noConversion"/>
  </si>
  <si>
    <t>系統加總</t>
    <phoneticPr fontId="2" type="noConversion"/>
  </si>
  <si>
    <t>自訂加總</t>
    <phoneticPr fontId="2" type="noConversion"/>
  </si>
  <si>
    <t>分期年金</t>
  </si>
  <si>
    <t>業務、服展、北富銀</t>
    <phoneticPr fontId="2" type="noConversion"/>
  </si>
  <si>
    <t>業務、服展</t>
    <phoneticPr fontId="2" type="noConversion"/>
  </si>
  <si>
    <t>北富銀</t>
    <phoneticPr fontId="2" type="noConversion"/>
  </si>
  <si>
    <t>整銷</t>
    <phoneticPr fontId="2" type="noConversion"/>
  </si>
  <si>
    <t>多元</t>
    <phoneticPr fontId="2" type="noConversion"/>
  </si>
  <si>
    <t>富邦人壽保險股份有限公司履行個人資料保護法告知說明書</t>
  </si>
  <si>
    <t xml:space="preserve"> </t>
  </si>
  <si>
    <t>富邦人壽保險股份有限公司（下稱本公司）依據個人資料保護法（以下稱個資法）</t>
  </si>
  <si>
    <t>規定，向 台端告知下列事項，請 台端詳閱：</t>
  </si>
  <si>
    <t>一、蒐集之目的：</t>
  </si>
  <si>
    <t>（一）人身保險（００一）</t>
  </si>
  <si>
    <t>（二）其他經營合於營業登記項目或組織章程所定之業務（一八一）</t>
  </si>
  <si>
    <t>二、蒐集之個人資料類別：</t>
  </si>
  <si>
    <t>（一）姓名。</t>
  </si>
  <si>
    <t>（二）身分證統一編號。</t>
  </si>
  <si>
    <t>（三）地址。</t>
  </si>
  <si>
    <t>三、個人資料利用之期間、地區、對象、方式：</t>
  </si>
  <si>
    <t>（一）期間：因執行業務所必須及依法令規定要求之期間。</t>
  </si>
  <si>
    <t>（二）對象：本公司、本公司的委外服務或委外業務之廠商、中華民國人壽保險</t>
  </si>
  <si>
    <t xml:space="preserve">      商業同業公會、財團法人保險事業發展中心、財團法人金融消費評議中心、</t>
  </si>
  <si>
    <t xml:space="preserve">      與本公司有再保業務往來之公司、本公司所屬金控公司、本公司之共同行</t>
  </si>
  <si>
    <t xml:space="preserve">      銷對象、依法有調查權機關或金融監理機關。</t>
  </si>
  <si>
    <t>（三）地區：上述對象所在之地區。</t>
  </si>
  <si>
    <t>（四）方式：合於法令規定之利用方式。</t>
  </si>
  <si>
    <t>四、依據個資法第三條規定，台端就本公司保有 台端之個人資料得行使之權利及</t>
  </si>
  <si>
    <t xml:space="preserve">    方式：</t>
  </si>
  <si>
    <t>（一）得向本公司行使之權利：</t>
  </si>
  <si>
    <t xml:space="preserve">      1.向本公司查詢、請求閱覽或請求製給複製本。</t>
  </si>
  <si>
    <t xml:space="preserve">      2.向本公司請求補充或更正。</t>
  </si>
  <si>
    <t xml:space="preserve">      3.向本公司請求停止蒐集、處理或利用及請求刪除。</t>
  </si>
  <si>
    <t>（二）行使權利之方式：</t>
  </si>
  <si>
    <t xml:space="preserve">      您可以透過書面（包含電子郵件、傳真、電子文件）或致電本公司客戶服</t>
  </si>
  <si>
    <t xml:space="preserve">      務專線（電話：0809-000-550）之方式行使權利。</t>
  </si>
  <si>
    <t>五、台端不提供個人資料所致權益之影響：</t>
  </si>
  <si>
    <t xml:space="preserve">    台端若未能提供相關個人資料時，本公司將可能延後或無法進行必要之審核</t>
  </si>
  <si>
    <t xml:space="preserve">    及處理作業，因此可能婉謝承保、遲延或無法承保。</t>
  </si>
  <si>
    <t>保經代</t>
  </si>
  <si>
    <t xml:space="preserve">      與本公司有再保業務往來之公司、依法有調查權機關或金融監理機關。</t>
  </si>
  <si>
    <t>VBCT</t>
  </si>
  <si>
    <t>保險種類：VBCT</t>
  </si>
  <si>
    <t>部分提領：</t>
    <phoneticPr fontId="2" type="noConversion"/>
  </si>
  <si>
    <t>．本商品為不分紅保險單，不參加紅利分配，並無紅利給付項目。</t>
    <phoneticPr fontId="2" type="noConversion"/>
  </si>
  <si>
    <t>一、保費費用：</t>
  </si>
  <si>
    <t xml:space="preserve">    200萬(不含)以內：保險費的5%</t>
  </si>
  <si>
    <t xml:space="preserve">    200萬(含)~未滿500萬：保險費的4%</t>
  </si>
  <si>
    <t xml:space="preserve">    500萬(含) ~未滿1000萬：保險費的3%</t>
  </si>
  <si>
    <t xml:space="preserve">    1000萬(含)以上：保險費的2%</t>
  </si>
  <si>
    <t>二、保單管理費：本公司未另外收取</t>
  </si>
  <si>
    <t>三、投資相關費用</t>
  </si>
  <si>
    <t xml:space="preserve">    1.申購基金手續費：本公司未另外收取</t>
  </si>
  <si>
    <t xml:space="preserve">    2.基金經理費：已反應於投資標的淨值中</t>
  </si>
  <si>
    <t xml:space="preserve">    3.基金保管費：已反應於投資標的淨值中</t>
  </si>
  <si>
    <t xml:space="preserve">    4.基金贖回費用：本公司未另外收取，但若投資標的另有規定，且已反映於贖回時之單位淨值者，不在此限。</t>
  </si>
  <si>
    <t xml:space="preserve">    5.轉換投資標的之作業費：要保人申請轉換投資標的時，就每一次之轉換，本公司得分別收取新臺幣伍佰元之作業費。</t>
  </si>
  <si>
    <t xml:space="preserve">      但同一保單年度內申請轉換投資標的累計未超過六次者，就所為之轉換，本公司不收取前述之作業費。</t>
  </si>
  <si>
    <t xml:space="preserve">    6.部分提領之作業費：要保人申請部分提領時，就每一次申請，本公司得分別收取新臺幣一仟元之作業費。但同一保</t>
  </si>
  <si>
    <t xml:space="preserve">      單年度內申請部分提領累計未超過四次者，本公司不收取前述之作業費。</t>
  </si>
  <si>
    <t xml:space="preserve">    7. 其他費用：無</t>
  </si>
  <si>
    <t>四、解約及部分提領費用</t>
  </si>
  <si>
    <t xml:space="preserve">    1.解約費用：第1年:1%、第2年起:0%</t>
  </si>
  <si>
    <t xml:space="preserve">    2.部分提領費用：第1年:1%、第2年起:0%</t>
  </si>
  <si>
    <t>年度費用
(保費費用)</t>
    <phoneticPr fontId="2" type="noConversion"/>
  </si>
  <si>
    <t>年度末
部分提領</t>
    <phoneticPr fontId="2" type="noConversion"/>
  </si>
  <si>
    <t>年度費用
(保費費用)</t>
    <phoneticPr fontId="2" type="noConversion"/>
  </si>
  <si>
    <t>◎本保險單保單管理費：無</t>
    <phoneticPr fontId="2" type="noConversion"/>
  </si>
  <si>
    <t xml:space="preserve">                   500萬(含)~未滿1,000萬：保險費3%、1,000萬(含)以上：保險費2%</t>
    <phoneticPr fontId="2" type="noConversion"/>
  </si>
  <si>
    <t>◎本保險單保費費用：200萬(不含)以內：保險費5%、200萬(含)~未滿500萬：保險費4%、</t>
    <phoneticPr fontId="2" type="noConversion"/>
  </si>
  <si>
    <t>◎本保險單解約及部分提領費用：第1年：1%、第2年起：0%</t>
    <phoneticPr fontId="2" type="noConversion"/>
  </si>
  <si>
    <t>年金日分離計算</t>
    <phoneticPr fontId="2" type="noConversion"/>
  </si>
  <si>
    <t>年</t>
    <phoneticPr fontId="2" type="noConversion"/>
  </si>
  <si>
    <t>月</t>
    <phoneticPr fontId="2" type="noConversion"/>
  </si>
  <si>
    <t>日</t>
    <phoneticPr fontId="2" type="noConversion"/>
  </si>
  <si>
    <t>合併</t>
    <phoneticPr fontId="2" type="noConversion"/>
  </si>
  <si>
    <t>西元</t>
    <phoneticPr fontId="2" type="noConversion"/>
  </si>
  <si>
    <t>最小年齡</t>
    <phoneticPr fontId="2" type="noConversion"/>
  </si>
  <si>
    <t>最大年齡</t>
    <phoneticPr fontId="2" type="noConversion"/>
  </si>
  <si>
    <t>預設年金起始日</t>
    <phoneticPr fontId="2" type="noConversion"/>
  </si>
  <si>
    <t>最早年金起始日</t>
    <phoneticPr fontId="2" type="noConversion"/>
  </si>
  <si>
    <t>最晚年金起始日</t>
    <phoneticPr fontId="2" type="noConversion"/>
  </si>
  <si>
    <t>自設年金日期</t>
    <phoneticPr fontId="2" type="noConversion"/>
  </si>
  <si>
    <t>預定利率1.5%</t>
    <phoneticPr fontId="2" type="noConversion"/>
  </si>
  <si>
    <t>女性</t>
    <phoneticPr fontId="2" type="noConversion"/>
  </si>
  <si>
    <t>富邦人壽真有利變額年金保險（VBCT）保險範圍</t>
  </si>
  <si>
    <t>給付項目：年金、返還保單帳戶價值。</t>
  </si>
  <si>
    <t>免費服務及申訴電話:0809-000-550</t>
  </si>
  <si>
    <t>‧本商品為不分紅保單，不參加紅利分配，並無紅利給付項目。</t>
  </si>
  <si>
    <t>‧本商品各項保險金給付詳細內容及其限制請詳閱保單條款內容說明。</t>
  </si>
  <si>
    <t>‧預定利率：係指本公司於年金給付開始日用以計算年金金額之利率，本公司將參考當時市場利率水準訂定，且不得為</t>
  </si>
  <si>
    <t xml:space="preserve">  負數。</t>
  </si>
  <si>
    <t>◎一次年金的給付約定如下：</t>
  </si>
  <si>
    <t>　一、被保險人於年金給付開始日當日零時生存者，本公司依條款計算之金額給付一次年金金額予被保險人後，本契約</t>
  </si>
  <si>
    <t xml:space="preserve">      即行終止。</t>
  </si>
  <si>
    <t>　二、被保險人於年金給付開始日當日零時生存，但於本公司給付一次年金前身故者，其年金金額作為被保險人之遺產。</t>
  </si>
  <si>
    <t>◎分期年金的給付約定如下：</t>
  </si>
  <si>
    <t>　三、被保險人於保證期間內身故者，如仍有未支領之年金餘額，本公司應將其未支領之年金餘額依約定給付予身故受</t>
  </si>
  <si>
    <t xml:space="preserve">      益人。</t>
  </si>
  <si>
    <t>　被保險人之身故若發生於年金給付開始日前者，本公司以收齊條款約定申請文件之日為基準日，依條款附表「評價時</t>
  </si>
  <si>
    <t xml:space="preserve">  點一覽表」贖回評價時點所約定淨值資產評價日之投資標的單位淨值計算保單帳戶價值並返還予要保人，本契約效力</t>
  </si>
  <si>
    <t xml:space="preserve">  即行終止。</t>
  </si>
  <si>
    <t>姓名遮蔽用：中/英/數混合：前6碼"*"，中文：倒數第2碼"○"</t>
    <phoneticPr fontId="2" type="noConversion"/>
  </si>
  <si>
    <t>姓名：</t>
    <phoneticPr fontId="2" type="noConversion"/>
  </si>
  <si>
    <t>←輸入頁資料</t>
    <phoneticPr fontId="2" type="noConversion"/>
  </si>
  <si>
    <t>帶入資料</t>
    <phoneticPr fontId="2" type="noConversion"/>
  </si>
  <si>
    <t>判別不顯示(不判別)</t>
    <phoneticPr fontId="2" type="noConversion"/>
  </si>
  <si>
    <t>ID-11碼數字</t>
    <phoneticPr fontId="2" type="noConversion"/>
  </si>
  <si>
    <t>*</t>
  </si>
  <si>
    <t>ID-10碼</t>
    <phoneticPr fontId="2" type="noConversion"/>
  </si>
  <si>
    <t>**</t>
  </si>
  <si>
    <t>護照-9碼</t>
    <phoneticPr fontId="2" type="noConversion"/>
  </si>
  <si>
    <t>***</t>
  </si>
  <si>
    <t>****</t>
  </si>
  <si>
    <t>*****</t>
  </si>
  <si>
    <t>******</t>
  </si>
  <si>
    <t>空格位置</t>
    <phoneticPr fontId="2" type="noConversion"/>
  </si>
  <si>
    <t>簡寫</t>
    <phoneticPr fontId="2" type="noConversion"/>
  </si>
  <si>
    <t>1-中文-0-混合</t>
    <phoneticPr fontId="2" type="noConversion"/>
  </si>
  <si>
    <t>本試算表需啟用巨集才可正常使用。</t>
  </si>
  <si>
    <t>業務、服展、北富銀</t>
  </si>
  <si>
    <t>五、其他費用（詳列費用項目）：1.短線交易費用:由投資標的發行公司收取，本公司未另外收取。</t>
    <phoneticPr fontId="2" type="noConversion"/>
  </si>
  <si>
    <t>‧基金禁止短線交易及其他異常交易，依照各基金公司之相關規定，當基金公司認為任何投資者違反短線交易限制，</t>
    <phoneticPr fontId="2" type="noConversion"/>
  </si>
  <si>
    <t xml:space="preserve">  或當其他異常交易影響基金投資管理策略或損及整體基金受益人之權益時，可保留、限制或拒絕受理該等投資人</t>
    <phoneticPr fontId="2" type="noConversion"/>
  </si>
  <si>
    <t xml:space="preserve">  所提出之基金申購或轉換申請之權利，或收取短線交易罰金。相關短線交易限制公佈於各基金公司網站，為維護</t>
    <phoneticPr fontId="2" type="noConversion"/>
  </si>
  <si>
    <t xml:space="preserve">  您的權益，提醒您於每次投資共同基金時詳閱基金公司網頁上最新之基金公開說明書。</t>
    <phoneticPr fontId="2" type="noConversion"/>
  </si>
  <si>
    <t>（四）病歷、醫療、健康檢查 。</t>
  </si>
  <si>
    <t>（五）要保書、要保文件等其他基於保險契約所提供之個人資料。</t>
  </si>
  <si>
    <t>V4.2-1060517</t>
    <phoneticPr fontId="2" type="noConversion"/>
  </si>
  <si>
    <t>商品文號：101.08.17富壽商精字第1010001885號函備查、106.05.17富壽商精字第1060001190號</t>
    <phoneticPr fontId="2" type="noConversion"/>
  </si>
  <si>
    <t>年繳</t>
    <phoneticPr fontId="2" type="noConversion"/>
  </si>
</sst>
</file>

<file path=xl/styles.xml><?xml version="1.0" encoding="utf-8"?>
<styleSheet xmlns="http://schemas.openxmlformats.org/spreadsheetml/2006/main">
  <numFmts count="22">
    <numFmt numFmtId="43" formatCode="_(* #,##0.00_);_(* \(#,##0.00\);_(* &quot;-&quot;??_);_(@_)"/>
    <numFmt numFmtId="176" formatCode="0.0%"/>
    <numFmt numFmtId="177" formatCode="#,##0_ "/>
    <numFmt numFmtId="178" formatCode="0_);[Red]\(0\)"/>
    <numFmt numFmtId="179" formatCode="0.000%"/>
    <numFmt numFmtId="180" formatCode="0_ "/>
    <numFmt numFmtId="181" formatCode="_-* #,##0_-;\-* #,##0_-;_-* &quot;&quot;??_-;_-@_-"/>
    <numFmt numFmtId="182" formatCode="_-* #,##0_-;\-* #,##0_-;_-* &quot;&quot;_-;_-@_-"/>
    <numFmt numFmtId="183" formatCode="&quot;試&quot;&quot;算&quot;&quot;日&quot;\ \:\ yyyy/m/d"/>
    <numFmt numFmtId="184" formatCode="#,##0.0_ "/>
    <numFmt numFmtId="185" formatCode="#,##0.00_ "/>
    <numFmt numFmtId="186" formatCode="#,##0.00_);[Red]\(#,##0.00\)"/>
    <numFmt numFmtId="187" formatCode="#,##0.0000_ "/>
    <numFmt numFmtId="188" formatCode="#,##0.00000_ "/>
    <numFmt numFmtId="189" formatCode="#,##0.0000_);[Red]\(#,##0.0000\)"/>
    <numFmt numFmtId="190" formatCode="#,##0.00000000_);[Red]\(#,##0.00000000\)"/>
    <numFmt numFmtId="191" formatCode="#,##0.0000_ ;[Red]\-#,##0.0000\ "/>
    <numFmt numFmtId="192" formatCode="#,##0_);[Red]\(#,##0\)"/>
    <numFmt numFmtId="193" formatCode="0.0000_ "/>
    <numFmt numFmtId="194" formatCode="#,##0.00000_);[Red]\(#,##0.00000\)"/>
    <numFmt numFmtId="195" formatCode="0.0000"/>
    <numFmt numFmtId="200" formatCode="#,##0.0000000000_);[Red]\(#,##0.0000000000\)"/>
  </numFmts>
  <fonts count="82">
    <font>
      <sz val="12"/>
      <name val="新細明體"/>
      <family val="3"/>
      <charset val="136"/>
    </font>
    <font>
      <sz val="12"/>
      <name val="新細明體"/>
      <family val="3"/>
      <charset val="136"/>
    </font>
    <font>
      <sz val="9"/>
      <name val="新細明體"/>
      <family val="3"/>
      <charset val="136"/>
    </font>
    <font>
      <sz val="12"/>
      <color indexed="10"/>
      <name val="新細明體"/>
      <family val="3"/>
      <charset val="136"/>
    </font>
    <font>
      <sz val="12"/>
      <name val="細明體"/>
      <family val="3"/>
      <charset val="136"/>
    </font>
    <font>
      <sz val="12"/>
      <name val="Arial"/>
      <family val="2"/>
    </font>
    <font>
      <b/>
      <sz val="12"/>
      <color indexed="10"/>
      <name val="新細明體"/>
      <family val="3"/>
      <charset val="136"/>
    </font>
    <font>
      <sz val="12"/>
      <color indexed="9"/>
      <name val="新細明體"/>
      <family val="3"/>
      <charset val="136"/>
    </font>
    <font>
      <sz val="12"/>
      <name val="Times New Roman"/>
      <family val="1"/>
    </font>
    <font>
      <b/>
      <sz val="16"/>
      <color indexed="12"/>
      <name val="標楷體"/>
      <family val="4"/>
      <charset val="136"/>
    </font>
    <font>
      <sz val="12"/>
      <name val="標楷體"/>
      <family val="4"/>
      <charset val="136"/>
    </font>
    <font>
      <b/>
      <sz val="12"/>
      <name val="新細明體"/>
      <family val="3"/>
      <charset val="136"/>
    </font>
    <font>
      <sz val="12"/>
      <color indexed="9"/>
      <name val="Arial"/>
      <family val="2"/>
    </font>
    <font>
      <sz val="10"/>
      <name val="新細明體"/>
      <family val="3"/>
      <charset val="136"/>
    </font>
    <font>
      <b/>
      <sz val="11"/>
      <name val="新細明體"/>
      <family val="3"/>
      <charset val="136"/>
    </font>
    <font>
      <sz val="10"/>
      <name val="Arial"/>
      <family val="2"/>
    </font>
    <font>
      <sz val="12"/>
      <color indexed="8"/>
      <name val="新細明體"/>
      <family val="3"/>
      <charset val="136"/>
    </font>
    <font>
      <sz val="12"/>
      <color indexed="60"/>
      <name val="新細明體"/>
      <family val="3"/>
      <charset val="136"/>
    </font>
    <font>
      <b/>
      <sz val="12"/>
      <color indexed="8"/>
      <name val="新細明體"/>
      <family val="3"/>
      <charset val="136"/>
    </font>
    <font>
      <sz val="12"/>
      <color indexed="17"/>
      <name val="新細明體"/>
      <family val="3"/>
      <charset val="136"/>
    </font>
    <font>
      <b/>
      <sz val="12"/>
      <color indexed="52"/>
      <name val="新細明體"/>
      <family val="3"/>
      <charset val="136"/>
    </font>
    <font>
      <sz val="12"/>
      <color indexed="52"/>
      <name val="新細明體"/>
      <family val="3"/>
      <charset val="136"/>
    </font>
    <font>
      <i/>
      <sz val="12"/>
      <color indexed="23"/>
      <name val="新細明體"/>
      <family val="3"/>
      <charset val="136"/>
    </font>
    <font>
      <b/>
      <sz val="18"/>
      <color indexed="56"/>
      <name val="新細明體"/>
      <family val="3"/>
      <charset val="136"/>
    </font>
    <font>
      <b/>
      <sz val="15"/>
      <color indexed="56"/>
      <name val="新細明體"/>
      <family val="3"/>
      <charset val="136"/>
    </font>
    <font>
      <b/>
      <sz val="13"/>
      <color indexed="56"/>
      <name val="新細明體"/>
      <family val="3"/>
      <charset val="136"/>
    </font>
    <font>
      <b/>
      <sz val="11"/>
      <color indexed="56"/>
      <name val="新細明體"/>
      <family val="3"/>
      <charset val="136"/>
    </font>
    <font>
      <sz val="12"/>
      <color indexed="62"/>
      <name val="新細明體"/>
      <family val="3"/>
      <charset val="136"/>
    </font>
    <font>
      <b/>
      <sz val="12"/>
      <color indexed="63"/>
      <name val="新細明體"/>
      <family val="3"/>
      <charset val="136"/>
    </font>
    <font>
      <b/>
      <sz val="12"/>
      <color indexed="9"/>
      <name val="新細明體"/>
      <family val="3"/>
      <charset val="136"/>
    </font>
    <font>
      <sz val="12"/>
      <color indexed="20"/>
      <name val="新細明體"/>
      <family val="3"/>
      <charset val="136"/>
    </font>
    <font>
      <b/>
      <sz val="12"/>
      <name val="Arial"/>
      <family val="2"/>
    </font>
    <font>
      <sz val="10"/>
      <name val="細明體"/>
      <family val="3"/>
      <charset val="136"/>
    </font>
    <font>
      <sz val="9"/>
      <color indexed="18"/>
      <name val="新細明體"/>
      <family val="3"/>
      <charset val="136"/>
    </font>
    <font>
      <b/>
      <sz val="12"/>
      <name val="細明體"/>
      <family val="3"/>
      <charset val="136"/>
    </font>
    <font>
      <b/>
      <sz val="18"/>
      <name val="標楷體"/>
      <family val="4"/>
      <charset val="136"/>
    </font>
    <font>
      <b/>
      <sz val="10"/>
      <name val="新細明體"/>
      <family val="3"/>
      <charset val="136"/>
    </font>
    <font>
      <sz val="12"/>
      <color indexed="8"/>
      <name val="標楷體"/>
      <family val="4"/>
      <charset val="136"/>
    </font>
    <font>
      <sz val="11"/>
      <name val="Arial"/>
      <family val="2"/>
    </font>
    <font>
      <b/>
      <sz val="10"/>
      <name val="Arial"/>
      <family val="2"/>
    </font>
    <font>
      <b/>
      <sz val="12"/>
      <color indexed="10"/>
      <name val="Arial"/>
      <family val="2"/>
    </font>
    <font>
      <sz val="18"/>
      <name val="標楷體"/>
      <family val="4"/>
      <charset val="136"/>
    </font>
    <font>
      <sz val="48"/>
      <name val="C39HrP24DhTt"/>
      <family val="2"/>
    </font>
    <font>
      <sz val="44"/>
      <name val="C39HrP24DhTt"/>
      <family val="2"/>
    </font>
    <font>
      <b/>
      <sz val="20"/>
      <name val="新細明體"/>
      <family val="3"/>
      <charset val="136"/>
    </font>
    <font>
      <b/>
      <sz val="20"/>
      <name val="Arial"/>
      <family val="2"/>
    </font>
    <font>
      <b/>
      <sz val="11"/>
      <name val="Arial"/>
      <family val="2"/>
    </font>
    <font>
      <b/>
      <sz val="12"/>
      <color indexed="9"/>
      <name val="Arial"/>
      <family val="2"/>
    </font>
    <font>
      <b/>
      <sz val="16"/>
      <name val="新細明體"/>
      <family val="3"/>
      <charset val="136"/>
    </font>
    <font>
      <b/>
      <sz val="12"/>
      <name val="標楷體"/>
      <family val="4"/>
      <charset val="136"/>
    </font>
    <font>
      <sz val="11"/>
      <color indexed="9"/>
      <name val="細明體"/>
      <family val="3"/>
      <charset val="136"/>
    </font>
    <font>
      <sz val="11"/>
      <color indexed="9"/>
      <name val="Arial"/>
      <family val="2"/>
    </font>
    <font>
      <b/>
      <sz val="14"/>
      <name val="新細明體"/>
      <family val="3"/>
      <charset val="136"/>
    </font>
    <font>
      <b/>
      <sz val="12"/>
      <color indexed="10"/>
      <name val="細明體"/>
      <family val="3"/>
      <charset val="136"/>
    </font>
    <font>
      <b/>
      <sz val="12"/>
      <color indexed="12"/>
      <name val="細明體"/>
      <family val="3"/>
      <charset val="136"/>
    </font>
    <font>
      <b/>
      <sz val="13"/>
      <color indexed="10"/>
      <name val="細明體"/>
      <family val="3"/>
      <charset val="136"/>
    </font>
    <font>
      <b/>
      <u/>
      <sz val="13"/>
      <color indexed="10"/>
      <name val="細明體"/>
      <family val="3"/>
      <charset val="136"/>
    </font>
    <font>
      <b/>
      <sz val="13"/>
      <name val="細明體"/>
      <family val="3"/>
      <charset val="136"/>
    </font>
    <font>
      <b/>
      <sz val="8"/>
      <name val="新細明體"/>
      <family val="3"/>
      <charset val="136"/>
    </font>
    <font>
      <b/>
      <sz val="11"/>
      <name val="細明體"/>
      <family val="3"/>
      <charset val="136"/>
    </font>
    <font>
      <b/>
      <sz val="11"/>
      <color indexed="10"/>
      <name val="細明體"/>
      <family val="3"/>
      <charset val="136"/>
    </font>
    <font>
      <b/>
      <u/>
      <sz val="11"/>
      <color indexed="10"/>
      <name val="細明體"/>
      <family val="3"/>
      <charset val="136"/>
    </font>
    <font>
      <sz val="16"/>
      <name val="標楷體"/>
      <family val="4"/>
      <charset val="136"/>
    </font>
    <font>
      <b/>
      <sz val="10"/>
      <color indexed="10"/>
      <name val="細明體"/>
      <family val="3"/>
      <charset val="136"/>
    </font>
    <font>
      <b/>
      <sz val="10"/>
      <color indexed="56"/>
      <name val="Arial"/>
      <family val="2"/>
    </font>
    <font>
      <b/>
      <sz val="10"/>
      <color indexed="18"/>
      <name val="Arial"/>
      <family val="2"/>
    </font>
    <font>
      <b/>
      <sz val="10"/>
      <color indexed="10"/>
      <name val="Arial"/>
      <family val="2"/>
    </font>
    <font>
      <b/>
      <sz val="10"/>
      <color indexed="62"/>
      <name val="Arial"/>
      <family val="2"/>
    </font>
    <font>
      <sz val="10"/>
      <color indexed="9"/>
      <name val="Arial"/>
      <family val="2"/>
    </font>
    <font>
      <b/>
      <sz val="11"/>
      <color indexed="12"/>
      <name val="細明體"/>
      <family val="3"/>
      <charset val="136"/>
    </font>
    <font>
      <b/>
      <sz val="12"/>
      <color indexed="12"/>
      <name val="新細明體"/>
      <family val="3"/>
      <charset val="136"/>
    </font>
    <font>
      <b/>
      <sz val="12"/>
      <color indexed="12"/>
      <name val="Arial"/>
      <family val="2"/>
    </font>
    <font>
      <b/>
      <sz val="24"/>
      <name val="標楷體"/>
      <family val="4"/>
      <charset val="136"/>
    </font>
    <font>
      <b/>
      <sz val="16"/>
      <name val="標楷體"/>
      <family val="4"/>
      <charset val="136"/>
    </font>
    <font>
      <sz val="12"/>
      <color indexed="8"/>
      <name val="Times New Roman"/>
      <family val="1"/>
    </font>
    <font>
      <b/>
      <sz val="12"/>
      <color rgb="FF0000FF"/>
      <name val="Arial"/>
      <family val="2"/>
    </font>
    <font>
      <sz val="10"/>
      <color theme="0"/>
      <name val="新細明體"/>
      <family val="3"/>
      <charset val="136"/>
    </font>
    <font>
      <b/>
      <sz val="11"/>
      <color rgb="FF0000FF"/>
      <name val="細明體"/>
      <family val="3"/>
      <charset val="136"/>
    </font>
    <font>
      <b/>
      <sz val="12"/>
      <color rgb="FF0000FF"/>
      <name val="細明體"/>
      <family val="3"/>
      <charset val="136"/>
    </font>
    <font>
      <b/>
      <sz val="11"/>
      <color rgb="FFFF0000"/>
      <name val="細明體"/>
      <family val="3"/>
      <charset val="136"/>
    </font>
    <font>
      <b/>
      <sz val="10"/>
      <name val="新細明體"/>
      <family val="3"/>
      <charset val="136"/>
      <scheme val="minor"/>
    </font>
    <font>
      <sz val="12"/>
      <color theme="1"/>
      <name val="新細明體"/>
      <family val="3"/>
      <charset val="136"/>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53"/>
        <bgColor indexed="64"/>
      </patternFill>
    </fill>
    <fill>
      <patternFill patternType="solid">
        <fgColor indexed="10"/>
        <bgColor indexed="64"/>
      </patternFill>
    </fill>
    <fill>
      <patternFill patternType="solid">
        <fgColor indexed="52"/>
        <bgColor indexed="64"/>
      </patternFill>
    </fill>
    <fill>
      <patternFill patternType="solid">
        <fgColor indexed="44"/>
        <bgColor indexed="64"/>
      </patternFill>
    </fill>
    <fill>
      <patternFill patternType="solid">
        <fgColor indexed="26"/>
        <bgColor indexed="64"/>
      </patternFill>
    </fill>
    <fill>
      <patternFill patternType="solid">
        <fgColor indexed="46"/>
        <bgColor indexed="64"/>
      </patternFill>
    </fill>
    <fill>
      <patternFill patternType="solid">
        <fgColor indexed="48"/>
        <bgColor indexed="64"/>
      </patternFill>
    </fill>
    <fill>
      <patternFill patternType="solid">
        <fgColor indexed="31"/>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2"/>
        <bgColor indexed="64"/>
      </patternFill>
    </fill>
    <fill>
      <patternFill patternType="solid">
        <fgColor theme="4" tint="0.79998168889431442"/>
        <bgColor indexed="64"/>
      </patternFill>
    </fill>
    <fill>
      <patternFill patternType="solid">
        <fgColor rgb="FFFF0000"/>
        <bgColor indexed="64"/>
      </patternFill>
    </fill>
  </fills>
  <borders count="47">
    <border>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ouble">
        <color indexed="10"/>
      </left>
      <right style="double">
        <color indexed="10"/>
      </right>
      <top style="double">
        <color indexed="10"/>
      </top>
      <bottom style="thin">
        <color indexed="10"/>
      </bottom>
      <diagonal/>
    </border>
    <border>
      <left/>
      <right style="thin">
        <color indexed="64"/>
      </right>
      <top style="thin">
        <color indexed="64"/>
      </top>
      <bottom style="thin">
        <color indexed="64"/>
      </bottom>
      <diagonal/>
    </border>
    <border>
      <left style="double">
        <color indexed="53"/>
      </left>
      <right style="double">
        <color indexed="53"/>
      </right>
      <top style="thin">
        <color indexed="10"/>
      </top>
      <bottom style="thin">
        <color indexed="53"/>
      </bottom>
      <diagonal/>
    </border>
    <border>
      <left style="double">
        <color indexed="53"/>
      </left>
      <right style="double">
        <color indexed="53"/>
      </right>
      <top style="thin">
        <color indexed="53"/>
      </top>
      <bottom style="thin">
        <color indexed="53"/>
      </bottom>
      <diagonal/>
    </border>
    <border>
      <left/>
      <right/>
      <top style="thin">
        <color indexed="64"/>
      </top>
      <bottom/>
      <diagonal/>
    </border>
    <border>
      <left style="double">
        <color indexed="53"/>
      </left>
      <right style="double">
        <color indexed="53"/>
      </right>
      <top style="thin">
        <color indexed="53"/>
      </top>
      <bottom style="thin">
        <color indexed="48"/>
      </bottom>
      <diagonal/>
    </border>
    <border>
      <left style="double">
        <color indexed="48"/>
      </left>
      <right style="double">
        <color indexed="48"/>
      </right>
      <top style="thin">
        <color indexed="48"/>
      </top>
      <bottom style="thin">
        <color indexed="48"/>
      </bottom>
      <diagonal/>
    </border>
    <border>
      <left style="double">
        <color indexed="48"/>
      </left>
      <right style="double">
        <color indexed="48"/>
      </right>
      <top style="thin">
        <color indexed="48"/>
      </top>
      <bottom style="double">
        <color indexed="48"/>
      </bottom>
      <diagonal/>
    </border>
    <border>
      <left style="thin">
        <color indexed="64"/>
      </left>
      <right/>
      <top style="thin">
        <color indexed="64"/>
      </top>
      <bottom style="thin">
        <color indexed="64"/>
      </bottom>
      <diagonal/>
    </border>
    <border>
      <left style="medium">
        <color indexed="12"/>
      </left>
      <right style="thin">
        <color indexed="64"/>
      </right>
      <top style="medium">
        <color indexed="12"/>
      </top>
      <bottom style="thin">
        <color indexed="64"/>
      </bottom>
      <diagonal/>
    </border>
    <border>
      <left style="thin">
        <color indexed="64"/>
      </left>
      <right style="thin">
        <color indexed="64"/>
      </right>
      <top style="medium">
        <color indexed="12"/>
      </top>
      <bottom style="thin">
        <color indexed="64"/>
      </bottom>
      <diagonal/>
    </border>
    <border>
      <left style="thin">
        <color indexed="64"/>
      </left>
      <right style="medium">
        <color indexed="12"/>
      </right>
      <top style="medium">
        <color indexed="12"/>
      </top>
      <bottom style="thin">
        <color indexed="64"/>
      </bottom>
      <diagonal/>
    </border>
    <border>
      <left style="medium">
        <color indexed="12"/>
      </left>
      <right style="thin">
        <color indexed="64"/>
      </right>
      <top style="thin">
        <color indexed="64"/>
      </top>
      <bottom style="thin">
        <color indexed="64"/>
      </bottom>
      <diagonal/>
    </border>
    <border>
      <left style="thin">
        <color indexed="64"/>
      </left>
      <right style="medium">
        <color indexed="12"/>
      </right>
      <top style="thin">
        <color indexed="64"/>
      </top>
      <bottom style="thin">
        <color indexed="64"/>
      </bottom>
      <diagonal/>
    </border>
    <border>
      <left style="medium">
        <color indexed="12"/>
      </left>
      <right style="thin">
        <color indexed="64"/>
      </right>
      <top style="thin">
        <color indexed="64"/>
      </top>
      <bottom style="medium">
        <color indexed="12"/>
      </bottom>
      <diagonal/>
    </border>
    <border>
      <left style="thin">
        <color indexed="64"/>
      </left>
      <right style="thin">
        <color indexed="64"/>
      </right>
      <top style="thin">
        <color indexed="64"/>
      </top>
      <bottom style="medium">
        <color indexed="12"/>
      </bottom>
      <diagonal/>
    </border>
    <border>
      <left style="thin">
        <color indexed="64"/>
      </left>
      <right style="medium">
        <color indexed="12"/>
      </right>
      <top style="thin">
        <color indexed="64"/>
      </top>
      <bottom style="medium">
        <color indexed="12"/>
      </bottom>
      <diagonal/>
    </border>
    <border>
      <left style="medium">
        <color indexed="24"/>
      </left>
      <right/>
      <top style="medium">
        <color indexed="24"/>
      </top>
      <bottom/>
      <diagonal/>
    </border>
    <border>
      <left/>
      <right/>
      <top style="medium">
        <color indexed="24"/>
      </top>
      <bottom/>
      <diagonal/>
    </border>
    <border>
      <left/>
      <right style="medium">
        <color indexed="24"/>
      </right>
      <top style="medium">
        <color indexed="24"/>
      </top>
      <bottom/>
      <diagonal/>
    </border>
    <border>
      <left style="medium">
        <color indexed="24"/>
      </left>
      <right/>
      <top/>
      <bottom/>
      <diagonal/>
    </border>
    <border>
      <left/>
      <right style="medium">
        <color indexed="24"/>
      </right>
      <top/>
      <bottom/>
      <diagonal/>
    </border>
    <border>
      <left style="medium">
        <color indexed="24"/>
      </left>
      <right/>
      <top/>
      <bottom style="medium">
        <color indexed="24"/>
      </bottom>
      <diagonal/>
    </border>
    <border>
      <left/>
      <right/>
      <top/>
      <bottom style="medium">
        <color indexed="24"/>
      </bottom>
      <diagonal/>
    </border>
    <border>
      <left/>
      <right style="medium">
        <color indexed="24"/>
      </right>
      <top/>
      <bottom style="medium">
        <color indexed="24"/>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s>
  <cellStyleXfs count="54">
    <xf numFmtId="0" fontId="0" fillId="0" borderId="0"/>
    <xf numFmtId="0" fontId="1" fillId="0" borderId="0">
      <alignment vertical="center"/>
    </xf>
    <xf numFmtId="0" fontId="13" fillId="0" borderId="0"/>
    <xf numFmtId="0" fontId="15" fillId="0" borderId="0"/>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1" fillId="0" borderId="0">
      <alignment vertical="center"/>
    </xf>
    <xf numFmtId="0" fontId="16" fillId="0" borderId="0"/>
    <xf numFmtId="0" fontId="8" fillId="0" borderId="0">
      <alignment vertical="center"/>
    </xf>
    <xf numFmtId="0" fontId="13" fillId="0" borderId="0"/>
    <xf numFmtId="0" fontId="16" fillId="0" borderId="0"/>
    <xf numFmtId="0" fontId="1" fillId="0" borderId="0">
      <alignment vertical="center"/>
    </xf>
    <xf numFmtId="0" fontId="1" fillId="0" borderId="0"/>
    <xf numFmtId="43" fontId="1" fillId="0" borderId="0" applyFont="0" applyFill="0" applyBorder="0" applyAlignment="0" applyProtection="0">
      <alignment vertical="center"/>
    </xf>
    <xf numFmtId="0" fontId="17" fillId="16" borderId="0" applyNumberFormat="0" applyBorder="0" applyAlignment="0" applyProtection="0">
      <alignment vertical="center"/>
    </xf>
    <xf numFmtId="0" fontId="18" fillId="0" borderId="1" applyNumberFormat="0" applyFill="0" applyAlignment="0" applyProtection="0">
      <alignment vertical="center"/>
    </xf>
    <xf numFmtId="0" fontId="19" fillId="4" borderId="0" applyNumberFormat="0" applyBorder="0" applyAlignment="0" applyProtection="0">
      <alignment vertical="center"/>
    </xf>
    <xf numFmtId="9" fontId="1" fillId="0" borderId="0" applyFont="0" applyFill="0" applyBorder="0" applyAlignment="0" applyProtection="0">
      <alignment vertical="center"/>
    </xf>
    <xf numFmtId="0" fontId="20" fillId="17" borderId="2" applyNumberFormat="0" applyAlignment="0" applyProtection="0">
      <alignment vertical="center"/>
    </xf>
    <xf numFmtId="0" fontId="21" fillId="0" borderId="3" applyNumberFormat="0" applyFill="0" applyAlignment="0" applyProtection="0">
      <alignment vertical="center"/>
    </xf>
    <xf numFmtId="0" fontId="13" fillId="18" borderId="4" applyNumberFormat="0" applyFont="0" applyAlignment="0" applyProtection="0">
      <alignment vertical="center"/>
    </xf>
    <xf numFmtId="0" fontId="22" fillId="0" borderId="0" applyNumberFormat="0" applyFill="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22"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7" borderId="2" applyNumberFormat="0" applyAlignment="0" applyProtection="0">
      <alignment vertical="center"/>
    </xf>
    <xf numFmtId="0" fontId="28" fillId="17" borderId="8" applyNumberFormat="0" applyAlignment="0" applyProtection="0">
      <alignment vertical="center"/>
    </xf>
    <xf numFmtId="0" fontId="29" fillId="23" borderId="9" applyNumberFormat="0" applyAlignment="0" applyProtection="0">
      <alignment vertical="center"/>
    </xf>
    <xf numFmtId="0" fontId="30" fillId="3" borderId="0" applyNumberFormat="0" applyBorder="0" applyAlignment="0" applyProtection="0">
      <alignment vertical="center"/>
    </xf>
    <xf numFmtId="0" fontId="3" fillId="0" borderId="0" applyNumberFormat="0" applyFill="0" applyBorder="0" applyAlignment="0" applyProtection="0">
      <alignment vertical="center"/>
    </xf>
  </cellStyleXfs>
  <cellXfs count="525">
    <xf numFmtId="0" fontId="0" fillId="0" borderId="0" xfId="0" applyAlignment="1">
      <alignment vertical="center"/>
    </xf>
    <xf numFmtId="0" fontId="0" fillId="0" borderId="0" xfId="0" applyFill="1" applyAlignment="1">
      <alignment vertical="center"/>
    </xf>
    <xf numFmtId="177" fontId="0" fillId="0" borderId="10" xfId="0" applyNumberFormat="1" applyFill="1" applyBorder="1" applyAlignment="1">
      <alignment vertical="center"/>
    </xf>
    <xf numFmtId="10" fontId="0" fillId="0" borderId="10" xfId="33" applyNumberFormat="1" applyFont="1" applyFill="1" applyBorder="1">
      <alignment vertical="center"/>
    </xf>
    <xf numFmtId="0" fontId="3" fillId="0" borderId="0" xfId="0" applyFont="1" applyFill="1" applyAlignment="1">
      <alignment vertical="center"/>
    </xf>
    <xf numFmtId="177" fontId="0" fillId="0" borderId="11" xfId="0" applyNumberFormat="1" applyFill="1" applyBorder="1" applyAlignment="1">
      <alignment vertical="center"/>
    </xf>
    <xf numFmtId="178" fontId="0" fillId="24" borderId="0" xfId="0" applyNumberFormat="1" applyFill="1" applyAlignment="1">
      <alignment vertical="center"/>
    </xf>
    <xf numFmtId="0" fontId="0" fillId="0" borderId="0" xfId="0" applyFill="1" applyAlignment="1">
      <alignment horizontal="center" vertical="center"/>
    </xf>
    <xf numFmtId="178" fontId="0" fillId="0" borderId="0" xfId="0" applyNumberFormat="1" applyFill="1" applyAlignment="1">
      <alignment vertical="center"/>
    </xf>
    <xf numFmtId="0" fontId="0" fillId="0" borderId="10" xfId="33" applyNumberFormat="1" applyFont="1" applyFill="1" applyBorder="1" applyAlignment="1">
      <alignment horizontal="center" vertical="center"/>
    </xf>
    <xf numFmtId="10" fontId="0" fillId="25" borderId="0" xfId="0" applyNumberFormat="1" applyFill="1" applyAlignment="1">
      <alignment vertical="center"/>
    </xf>
    <xf numFmtId="0" fontId="0" fillId="25" borderId="0" xfId="0" applyFill="1" applyAlignment="1">
      <alignment vertical="center"/>
    </xf>
    <xf numFmtId="177" fontId="0" fillId="24" borderId="10" xfId="0" applyNumberFormat="1" applyFill="1" applyBorder="1" applyAlignment="1">
      <alignment vertical="center"/>
    </xf>
    <xf numFmtId="179" fontId="0" fillId="25" borderId="10" xfId="0" applyNumberFormat="1" applyFill="1" applyBorder="1" applyAlignment="1">
      <alignment vertical="center"/>
    </xf>
    <xf numFmtId="177" fontId="0" fillId="25" borderId="10" xfId="0" applyNumberFormat="1" applyFill="1" applyBorder="1" applyAlignment="1">
      <alignment vertical="center"/>
    </xf>
    <xf numFmtId="14" fontId="0" fillId="0" borderId="0" xfId="0" applyNumberFormat="1" applyFill="1" applyAlignment="1">
      <alignment vertical="center"/>
    </xf>
    <xf numFmtId="0" fontId="0" fillId="0" borderId="0" xfId="0" applyNumberFormat="1" applyFill="1" applyAlignment="1">
      <alignment vertical="center"/>
    </xf>
    <xf numFmtId="0" fontId="0" fillId="0" borderId="10" xfId="0" applyBorder="1" applyAlignment="1">
      <alignment vertical="center"/>
    </xf>
    <xf numFmtId="0" fontId="0" fillId="26" borderId="10" xfId="0" applyFill="1" applyBorder="1" applyAlignment="1">
      <alignment vertical="center"/>
    </xf>
    <xf numFmtId="177" fontId="0" fillId="0" borderId="10" xfId="33" applyNumberFormat="1" applyFont="1" applyFill="1" applyBorder="1" applyAlignment="1">
      <alignment horizontal="center" vertical="center"/>
    </xf>
    <xf numFmtId="177" fontId="0" fillId="0" borderId="10" xfId="0" applyNumberFormat="1" applyFill="1" applyBorder="1" applyAlignment="1">
      <alignment horizontal="center" vertical="center"/>
    </xf>
    <xf numFmtId="177" fontId="0" fillId="25" borderId="11" xfId="0" applyNumberFormat="1" applyFill="1" applyBorder="1" applyAlignment="1">
      <alignment vertical="center"/>
    </xf>
    <xf numFmtId="10" fontId="0" fillId="0" borderId="10" xfId="0" applyNumberFormat="1" applyBorder="1" applyAlignment="1">
      <alignment vertical="center"/>
    </xf>
    <xf numFmtId="0" fontId="0" fillId="0" borderId="10" xfId="0" applyFill="1" applyBorder="1" applyAlignment="1">
      <alignment horizontal="center" vertical="center"/>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0" fillId="0" borderId="0" xfId="0"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0" xfId="0" applyNumberFormat="1" applyFill="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0" fillId="0" borderId="0" xfId="0" applyAlignment="1" applyProtection="1">
      <alignment vertical="center" wrapText="1"/>
      <protection hidden="1"/>
    </xf>
    <xf numFmtId="0" fontId="12" fillId="27" borderId="13" xfId="0" applyFont="1" applyFill="1" applyBorder="1" applyAlignment="1" applyProtection="1">
      <alignment horizontal="center" vertical="center" shrinkToFit="1"/>
      <protection hidden="1"/>
    </xf>
    <xf numFmtId="0" fontId="5" fillId="0" borderId="0" xfId="0" applyFont="1" applyFill="1" applyBorder="1" applyAlignment="1" applyProtection="1">
      <alignment horizontal="center" vertical="center" shrinkToFit="1"/>
      <protection hidden="1"/>
    </xf>
    <xf numFmtId="0" fontId="0" fillId="0" borderId="10" xfId="0" applyFill="1" applyBorder="1" applyAlignment="1">
      <alignment vertical="center"/>
    </xf>
    <xf numFmtId="0" fontId="7" fillId="27" borderId="0" xfId="0" applyFont="1" applyFill="1" applyAlignment="1" applyProtection="1">
      <alignment vertical="center"/>
      <protection hidden="1"/>
    </xf>
    <xf numFmtId="0" fontId="14" fillId="0" borderId="0" xfId="0" applyFont="1" applyAlignment="1" applyProtection="1">
      <alignment vertical="center"/>
      <protection hidden="1"/>
    </xf>
    <xf numFmtId="0" fontId="11" fillId="0" borderId="0" xfId="0" applyFont="1" applyAlignment="1" applyProtection="1">
      <alignment vertical="center"/>
      <protection hidden="1"/>
    </xf>
    <xf numFmtId="0" fontId="0" fillId="0" borderId="10" xfId="0" applyBorder="1" applyAlignment="1">
      <alignment horizontal="center" vertical="center"/>
    </xf>
    <xf numFmtId="10" fontId="0" fillId="0" borderId="10" xfId="0" applyNumberFormat="1" applyBorder="1" applyAlignment="1">
      <alignment horizontal="center" vertical="center"/>
    </xf>
    <xf numFmtId="0" fontId="5" fillId="0" borderId="0" xfId="0" applyFont="1" applyFill="1" applyBorder="1" applyAlignment="1" applyProtection="1">
      <alignment vertical="center"/>
      <protection hidden="1"/>
    </xf>
    <xf numFmtId="0" fontId="0" fillId="0" borderId="0" xfId="0" applyBorder="1" applyAlignment="1" applyProtection="1">
      <alignment vertical="center"/>
      <protection hidden="1"/>
    </xf>
    <xf numFmtId="0" fontId="0" fillId="0" borderId="0" xfId="0" applyAlignment="1" applyProtection="1">
      <alignment horizontal="left" vertical="center"/>
      <protection hidden="1"/>
    </xf>
    <xf numFmtId="0" fontId="3" fillId="27" borderId="0" xfId="0" applyFont="1" applyFill="1" applyAlignment="1" applyProtection="1">
      <alignment vertical="center"/>
      <protection hidden="1"/>
    </xf>
    <xf numFmtId="0" fontId="3" fillId="27" borderId="0" xfId="0" applyFont="1" applyFill="1" applyAlignment="1" applyProtection="1">
      <alignment horizontal="center" vertical="center"/>
      <protection hidden="1"/>
    </xf>
    <xf numFmtId="0" fontId="31" fillId="0" borderId="10" xfId="0" applyFont="1" applyFill="1" applyBorder="1" applyAlignment="1" applyProtection="1">
      <alignment horizontal="center" vertical="center" shrinkToFit="1"/>
      <protection hidden="1"/>
    </xf>
    <xf numFmtId="10" fontId="31" fillId="0" borderId="10" xfId="0" applyNumberFormat="1" applyFont="1" applyFill="1" applyBorder="1" applyAlignment="1" applyProtection="1">
      <alignment horizontal="center" vertical="center" shrinkToFit="1"/>
      <protection hidden="1"/>
    </xf>
    <xf numFmtId="0" fontId="1" fillId="0" borderId="0" xfId="27" applyAlignment="1">
      <alignment horizontal="center" vertical="center"/>
    </xf>
    <xf numFmtId="0" fontId="1" fillId="0" borderId="0" xfId="27">
      <alignment vertical="center"/>
    </xf>
    <xf numFmtId="0" fontId="1" fillId="0" borderId="0" xfId="27" applyFont="1">
      <alignment vertical="center"/>
    </xf>
    <xf numFmtId="0" fontId="16" fillId="0" borderId="0" xfId="23"/>
    <xf numFmtId="0" fontId="1" fillId="0" borderId="10" xfId="27" applyBorder="1" applyAlignment="1">
      <alignment horizontal="center" vertical="center"/>
    </xf>
    <xf numFmtId="0" fontId="1" fillId="0" borderId="10" xfId="27" applyBorder="1">
      <alignment vertical="center"/>
    </xf>
    <xf numFmtId="0" fontId="5" fillId="0" borderId="0" xfId="25" applyFont="1"/>
    <xf numFmtId="0" fontId="13" fillId="0" borderId="0" xfId="25"/>
    <xf numFmtId="14" fontId="1" fillId="28" borderId="10" xfId="27" applyNumberFormat="1" applyFill="1" applyBorder="1" applyAlignment="1">
      <alignment horizontal="center" vertical="center"/>
    </xf>
    <xf numFmtId="178" fontId="1" fillId="0" borderId="10" xfId="27" applyNumberFormat="1" applyBorder="1" applyAlignment="1">
      <alignment horizontal="center" vertical="center"/>
    </xf>
    <xf numFmtId="0" fontId="5" fillId="0" borderId="10" xfId="25" applyFont="1" applyBorder="1"/>
    <xf numFmtId="0" fontId="13" fillId="0" borderId="0" xfId="27" applyFont="1">
      <alignment vertical="center"/>
    </xf>
    <xf numFmtId="178" fontId="1" fillId="0" borderId="10" xfId="27" applyNumberFormat="1" applyFill="1" applyBorder="1" applyAlignment="1">
      <alignment horizontal="center" vertical="center"/>
    </xf>
    <xf numFmtId="14" fontId="1" fillId="0" borderId="10" xfId="27" applyNumberFormat="1" applyBorder="1" applyAlignment="1">
      <alignment horizontal="center" vertical="center"/>
    </xf>
    <xf numFmtId="0" fontId="13" fillId="0" borderId="0" xfId="25" applyAlignment="1"/>
    <xf numFmtId="0" fontId="1" fillId="24" borderId="10" xfId="27" applyFill="1" applyBorder="1" applyAlignment="1">
      <alignment horizontal="center" vertical="center"/>
    </xf>
    <xf numFmtId="0" fontId="1" fillId="25" borderId="10" xfId="27" applyFill="1" applyBorder="1" applyAlignment="1">
      <alignment horizontal="center" vertical="center"/>
    </xf>
    <xf numFmtId="0" fontId="1" fillId="29" borderId="10" xfId="27" applyFill="1" applyBorder="1" applyAlignment="1">
      <alignment horizontal="center" vertical="center"/>
    </xf>
    <xf numFmtId="0" fontId="1" fillId="0" borderId="10" xfId="27" applyFill="1" applyBorder="1" applyAlignment="1">
      <alignment horizontal="center" vertical="center"/>
    </xf>
    <xf numFmtId="0" fontId="1" fillId="25" borderId="10" xfId="27" applyFill="1" applyBorder="1">
      <alignment vertical="center"/>
    </xf>
    <xf numFmtId="177" fontId="1" fillId="0" borderId="10" xfId="27" applyNumberFormat="1" applyBorder="1" applyAlignment="1">
      <alignment horizontal="center" vertical="center"/>
    </xf>
    <xf numFmtId="176" fontId="1" fillId="0" borderId="10" xfId="27" applyNumberFormat="1" applyBorder="1" applyAlignment="1">
      <alignment horizontal="center" vertical="center"/>
    </xf>
    <xf numFmtId="0" fontId="1" fillId="24" borderId="14" xfId="27" applyFill="1" applyBorder="1" applyAlignment="1">
      <alignment horizontal="center" vertical="center"/>
    </xf>
    <xf numFmtId="0" fontId="1" fillId="25" borderId="14" xfId="27" applyFill="1" applyBorder="1">
      <alignment vertical="center"/>
    </xf>
    <xf numFmtId="0" fontId="1" fillId="30" borderId="10" xfId="27" applyFill="1" applyBorder="1" applyAlignment="1">
      <alignment horizontal="center" vertical="center"/>
    </xf>
    <xf numFmtId="0" fontId="1" fillId="30" borderId="10" xfId="27" applyFill="1" applyBorder="1">
      <alignment vertical="center"/>
    </xf>
    <xf numFmtId="0" fontId="1" fillId="0" borderId="15" xfId="27" applyFont="1" applyFill="1" applyBorder="1" applyAlignment="1">
      <alignment horizontal="center" vertical="center"/>
    </xf>
    <xf numFmtId="0" fontId="1" fillId="0" borderId="16" xfId="27" applyFont="1" applyFill="1" applyBorder="1" applyAlignment="1">
      <alignment horizontal="center" vertical="center"/>
    </xf>
    <xf numFmtId="0" fontId="1" fillId="30" borderId="10" xfId="27" applyFont="1" applyFill="1" applyBorder="1" applyAlignment="1">
      <alignment horizontal="center" vertical="center"/>
    </xf>
    <xf numFmtId="0" fontId="1" fillId="24" borderId="11" xfId="27" applyFill="1" applyBorder="1" applyAlignment="1">
      <alignment horizontal="center" vertical="center"/>
    </xf>
    <xf numFmtId="0" fontId="1" fillId="25" borderId="11" xfId="27" applyFill="1" applyBorder="1">
      <alignment vertical="center"/>
    </xf>
    <xf numFmtId="0" fontId="13" fillId="0" borderId="0" xfId="25" applyFont="1" applyAlignment="1" applyProtection="1">
      <alignment horizontal="left"/>
      <protection hidden="1"/>
    </xf>
    <xf numFmtId="0" fontId="1" fillId="30" borderId="0" xfId="27" applyFill="1" applyAlignment="1">
      <alignment horizontal="center" vertical="center"/>
    </xf>
    <xf numFmtId="0" fontId="1" fillId="30" borderId="0" xfId="27" applyFill="1" applyBorder="1">
      <alignment vertical="center"/>
    </xf>
    <xf numFmtId="0" fontId="15" fillId="0" borderId="0" xfId="25" applyFont="1" applyBorder="1" applyAlignment="1" applyProtection="1">
      <alignment vertical="center"/>
      <protection hidden="1"/>
    </xf>
    <xf numFmtId="0" fontId="1" fillId="0" borderId="12" xfId="27" applyFill="1" applyBorder="1">
      <alignment vertical="center"/>
    </xf>
    <xf numFmtId="0" fontId="32" fillId="0" borderId="0" xfId="25" applyFont="1"/>
    <xf numFmtId="0" fontId="15" fillId="0" borderId="0" xfId="25" applyFont="1"/>
    <xf numFmtId="0" fontId="1" fillId="0" borderId="0" xfId="27" applyBorder="1">
      <alignment vertical="center"/>
    </xf>
    <xf numFmtId="0" fontId="1" fillId="0" borderId="0" xfId="27" applyFont="1" applyAlignment="1">
      <alignment horizontal="center" vertical="center"/>
    </xf>
    <xf numFmtId="0" fontId="1" fillId="29" borderId="10" xfId="27" applyFont="1" applyFill="1" applyBorder="1" applyAlignment="1">
      <alignment horizontal="left" vertical="center"/>
    </xf>
    <xf numFmtId="0" fontId="33" fillId="0" borderId="0" xfId="25" applyFont="1"/>
    <xf numFmtId="0" fontId="1" fillId="30" borderId="17" xfId="27" applyFill="1" applyBorder="1" applyAlignment="1">
      <alignment horizontal="center" vertical="center"/>
    </xf>
    <xf numFmtId="0" fontId="1" fillId="0" borderId="0" xfId="27" applyFill="1" applyAlignment="1">
      <alignment horizontal="center" vertical="center"/>
    </xf>
    <xf numFmtId="0" fontId="1" fillId="0" borderId="18" xfId="27" applyFill="1" applyBorder="1">
      <alignment vertical="center"/>
    </xf>
    <xf numFmtId="0" fontId="1" fillId="0" borderId="19" xfId="27" applyFill="1" applyBorder="1">
      <alignment vertical="center"/>
    </xf>
    <xf numFmtId="0" fontId="13" fillId="0" borderId="0" xfId="25" applyFont="1" applyProtection="1">
      <protection hidden="1"/>
    </xf>
    <xf numFmtId="0" fontId="1" fillId="30" borderId="0" xfId="27" applyFill="1" applyBorder="1" applyAlignment="1">
      <alignment horizontal="center" vertical="center"/>
    </xf>
    <xf numFmtId="177" fontId="1" fillId="0" borderId="0" xfId="27" applyNumberFormat="1" applyAlignment="1">
      <alignment horizontal="center" vertical="center"/>
    </xf>
    <xf numFmtId="0" fontId="1" fillId="0" borderId="0" xfId="27" applyFill="1" applyBorder="1">
      <alignment vertical="center"/>
    </xf>
    <xf numFmtId="0" fontId="1" fillId="0" borderId="14" xfId="27" applyBorder="1">
      <alignment vertical="center"/>
    </xf>
    <xf numFmtId="184" fontId="1" fillId="0" borderId="0" xfId="27" applyNumberFormat="1" applyAlignment="1">
      <alignment horizontal="center" vertical="center"/>
    </xf>
    <xf numFmtId="0" fontId="1" fillId="0" borderId="20" xfId="27" applyBorder="1">
      <alignment vertical="center"/>
    </xf>
    <xf numFmtId="176" fontId="1" fillId="0" borderId="21" xfId="27" applyNumberFormat="1" applyBorder="1" applyAlignment="1">
      <alignment horizontal="center" vertical="center"/>
    </xf>
    <xf numFmtId="0" fontId="1" fillId="0" borderId="22" xfId="27" applyBorder="1">
      <alignment vertical="center"/>
    </xf>
    <xf numFmtId="0" fontId="1" fillId="0" borderId="0" xfId="27" applyFont="1" applyAlignment="1">
      <alignment horizontal="right" vertical="center"/>
    </xf>
    <xf numFmtId="0" fontId="1" fillId="0" borderId="23" xfId="27" applyBorder="1">
      <alignment vertical="center"/>
    </xf>
    <xf numFmtId="0" fontId="1" fillId="0" borderId="24" xfId="27" applyFill="1" applyBorder="1">
      <alignment vertical="center"/>
    </xf>
    <xf numFmtId="0" fontId="1" fillId="0" borderId="25" xfId="27" applyBorder="1">
      <alignment vertical="center"/>
    </xf>
    <xf numFmtId="0" fontId="1" fillId="0" borderId="26" xfId="27" applyBorder="1">
      <alignment vertical="center"/>
    </xf>
    <xf numFmtId="0" fontId="1" fillId="0" borderId="0" xfId="27" applyBorder="1" applyAlignment="1">
      <alignment horizontal="center" vertical="center"/>
    </xf>
    <xf numFmtId="10" fontId="1" fillId="0" borderId="0" xfId="27" applyNumberFormat="1" applyBorder="1" applyAlignment="1">
      <alignment horizontal="center" vertical="center"/>
    </xf>
    <xf numFmtId="0" fontId="1" fillId="0" borderId="27" xfId="27" applyBorder="1">
      <alignment vertical="center"/>
    </xf>
    <xf numFmtId="0" fontId="1" fillId="0" borderId="10" xfId="27" applyFont="1" applyBorder="1" applyAlignment="1">
      <alignment horizontal="center" vertical="center"/>
    </xf>
    <xf numFmtId="180" fontId="1" fillId="0" borderId="10" xfId="27" applyNumberFormat="1" applyFill="1" applyBorder="1" applyAlignment="1">
      <alignment horizontal="center" vertical="center"/>
    </xf>
    <xf numFmtId="10" fontId="1" fillId="29" borderId="10" xfId="27" applyNumberFormat="1" applyFill="1" applyBorder="1" applyAlignment="1">
      <alignment horizontal="center" vertical="center"/>
    </xf>
    <xf numFmtId="10" fontId="1" fillId="0" borderId="0" xfId="27" applyNumberFormat="1" applyAlignment="1">
      <alignment horizontal="center" vertical="center"/>
    </xf>
    <xf numFmtId="0" fontId="1" fillId="0" borderId="17" xfId="27" applyFill="1" applyBorder="1">
      <alignment vertical="center"/>
    </xf>
    <xf numFmtId="0" fontId="1" fillId="0" borderId="10" xfId="27" applyFont="1" applyBorder="1">
      <alignment vertical="center"/>
    </xf>
    <xf numFmtId="10" fontId="1" fillId="31" borderId="10" xfId="27" applyNumberFormat="1" applyFill="1" applyBorder="1" applyAlignment="1">
      <alignment horizontal="center" vertical="center"/>
    </xf>
    <xf numFmtId="176" fontId="1" fillId="0" borderId="0" xfId="27" applyNumberFormat="1" applyAlignment="1">
      <alignment horizontal="center" vertical="center"/>
    </xf>
    <xf numFmtId="0" fontId="6" fillId="0" borderId="0" xfId="27" applyFont="1">
      <alignment vertical="center"/>
    </xf>
    <xf numFmtId="0" fontId="1" fillId="0" borderId="0" xfId="27" applyFont="1" applyFill="1" applyBorder="1">
      <alignment vertical="center"/>
    </xf>
    <xf numFmtId="0" fontId="6" fillId="0" borderId="0" xfId="27" applyFont="1" applyFill="1" applyBorder="1">
      <alignment vertical="center"/>
    </xf>
    <xf numFmtId="177" fontId="1" fillId="29" borderId="10" xfId="27" applyNumberFormat="1" applyFill="1" applyBorder="1" applyAlignment="1">
      <alignment horizontal="center" vertical="center"/>
    </xf>
    <xf numFmtId="0" fontId="0" fillId="0" borderId="0" xfId="0" applyFill="1" applyBorder="1" applyAlignment="1" applyProtection="1">
      <alignment vertical="center"/>
      <protection hidden="1"/>
    </xf>
    <xf numFmtId="0" fontId="0" fillId="0" borderId="0" xfId="0" applyFill="1" applyBorder="1" applyAlignment="1" applyProtection="1">
      <alignment horizontal="right" vertical="center"/>
      <protection hidden="1"/>
    </xf>
    <xf numFmtId="0" fontId="0" fillId="0" borderId="0" xfId="0" applyFill="1" applyBorder="1" applyAlignment="1" applyProtection="1">
      <alignment horizontal="center" vertical="center"/>
      <protection locked="0" hidden="1"/>
    </xf>
    <xf numFmtId="0" fontId="1" fillId="0" borderId="0" xfId="27" applyFont="1" applyBorder="1" applyAlignment="1">
      <alignment horizontal="center" vertical="center"/>
    </xf>
    <xf numFmtId="177" fontId="1" fillId="0" borderId="0" xfId="27" applyNumberFormat="1" applyBorder="1" applyAlignment="1">
      <alignment horizontal="center" vertical="center"/>
    </xf>
    <xf numFmtId="0" fontId="12" fillId="27" borderId="0" xfId="0" applyFont="1" applyFill="1" applyBorder="1" applyAlignment="1" applyProtection="1">
      <alignment horizontal="center" vertical="center" shrinkToFit="1"/>
      <protection hidden="1"/>
    </xf>
    <xf numFmtId="184" fontId="1" fillId="0" borderId="0" xfId="27" applyNumberFormat="1">
      <alignment vertical="center"/>
    </xf>
    <xf numFmtId="14" fontId="1" fillId="0" borderId="0" xfId="27" applyNumberFormat="1" applyAlignment="1">
      <alignment horizontal="center" vertical="center"/>
    </xf>
    <xf numFmtId="0" fontId="1" fillId="32" borderId="10" xfId="27" applyFont="1" applyFill="1" applyBorder="1" applyAlignment="1">
      <alignment horizontal="center" vertical="center"/>
    </xf>
    <xf numFmtId="177" fontId="1" fillId="32" borderId="0" xfId="27" applyNumberFormat="1" applyFill="1" applyBorder="1" applyAlignment="1">
      <alignment horizontal="center" vertical="center"/>
    </xf>
    <xf numFmtId="0" fontId="1" fillId="32" borderId="0" xfId="27" applyFill="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177" fontId="0" fillId="0" borderId="0" xfId="0" applyNumberFormat="1" applyBorder="1" applyAlignment="1">
      <alignment horizontal="center" vertical="center"/>
    </xf>
    <xf numFmtId="178" fontId="0" fillId="0" borderId="0" xfId="0" applyNumberFormat="1" applyBorder="1" applyAlignment="1">
      <alignment horizontal="center" vertical="center"/>
    </xf>
    <xf numFmtId="0" fontId="1" fillId="32" borderId="0" xfId="27" applyFont="1" applyFill="1" applyBorder="1" applyAlignment="1">
      <alignment horizontal="center" vertical="center"/>
    </xf>
    <xf numFmtId="0" fontId="1" fillId="0" borderId="0" xfId="27" applyNumberFormat="1" applyAlignment="1">
      <alignment horizontal="center" vertical="center"/>
    </xf>
    <xf numFmtId="177" fontId="0" fillId="0" borderId="0" xfId="0" applyNumberFormat="1" applyFill="1" applyBorder="1" applyAlignment="1">
      <alignment horizontal="center" vertical="center"/>
    </xf>
    <xf numFmtId="0" fontId="1" fillId="32" borderId="10" xfId="27" applyFill="1" applyBorder="1">
      <alignment vertical="center"/>
    </xf>
    <xf numFmtId="0" fontId="1" fillId="0" borderId="10" xfId="27" applyFont="1" applyFill="1" applyBorder="1" applyAlignment="1">
      <alignment horizontal="center" vertical="center"/>
    </xf>
    <xf numFmtId="10" fontId="0" fillId="0" borderId="0" xfId="0" applyNumberFormat="1" applyFill="1" applyBorder="1" applyAlignment="1">
      <alignment horizontal="center" vertical="center"/>
    </xf>
    <xf numFmtId="0" fontId="0" fillId="0" borderId="0" xfId="27" applyFont="1" applyFill="1" applyAlignment="1">
      <alignment horizontal="center" vertical="center"/>
    </xf>
    <xf numFmtId="10" fontId="1" fillId="0" borderId="0" xfId="27" applyNumberFormat="1" applyFill="1" applyAlignment="1">
      <alignment horizontal="center" vertical="center"/>
    </xf>
    <xf numFmtId="0" fontId="5" fillId="0" borderId="10" xfId="0" applyFont="1" applyFill="1" applyBorder="1" applyAlignment="1">
      <alignment horizontal="center" vertical="center"/>
    </xf>
    <xf numFmtId="0" fontId="5" fillId="0" borderId="10" xfId="0" applyNumberFormat="1" applyFont="1" applyFill="1" applyBorder="1" applyAlignment="1">
      <alignment horizontal="center"/>
    </xf>
    <xf numFmtId="0" fontId="1" fillId="0" borderId="0" xfId="27" applyFill="1" applyBorder="1" applyAlignment="1">
      <alignment horizontal="center" vertical="center"/>
    </xf>
    <xf numFmtId="0" fontId="1" fillId="30" borderId="0" xfId="27" applyFill="1">
      <alignment vertical="center"/>
    </xf>
    <xf numFmtId="57" fontId="6" fillId="0" borderId="0" xfId="0" applyNumberFormat="1" applyFont="1" applyBorder="1" applyAlignment="1" applyProtection="1">
      <alignment horizontal="center" vertical="center"/>
      <protection hidden="1"/>
    </xf>
    <xf numFmtId="184" fontId="1" fillId="0" borderId="10" xfId="27" applyNumberFormat="1" applyBorder="1" applyAlignment="1">
      <alignment horizontal="center" vertical="center"/>
    </xf>
    <xf numFmtId="184" fontId="1" fillId="29" borderId="10" xfId="27" applyNumberFormat="1" applyFill="1" applyBorder="1" applyAlignment="1">
      <alignment horizontal="center" vertical="center"/>
    </xf>
    <xf numFmtId="177" fontId="0" fillId="24" borderId="10" xfId="0" applyNumberFormat="1" applyFill="1" applyBorder="1" applyAlignment="1">
      <alignment horizontal="center" vertical="center"/>
    </xf>
    <xf numFmtId="0" fontId="0" fillId="24" borderId="10" xfId="0" applyFill="1" applyBorder="1" applyAlignment="1">
      <alignment horizontal="center" vertical="center"/>
    </xf>
    <xf numFmtId="0" fontId="5" fillId="25" borderId="10" xfId="0" applyFont="1" applyFill="1" applyBorder="1" applyAlignment="1">
      <alignment horizontal="center" vertical="center"/>
    </xf>
    <xf numFmtId="0" fontId="1" fillId="30" borderId="0" xfId="27" applyFont="1" applyFill="1" applyAlignment="1">
      <alignment horizontal="center" vertical="center"/>
    </xf>
    <xf numFmtId="185" fontId="1" fillId="0" borderId="10" xfId="27" applyNumberFormat="1" applyBorder="1" applyAlignment="1">
      <alignment horizontal="center" vertical="center"/>
    </xf>
    <xf numFmtId="186" fontId="0" fillId="0" borderId="10" xfId="0" applyNumberFormat="1" applyFill="1" applyBorder="1" applyAlignment="1">
      <alignment horizontal="center" vertical="center"/>
    </xf>
    <xf numFmtId="186" fontId="1" fillId="0" borderId="10" xfId="27" applyNumberFormat="1" applyFill="1" applyBorder="1" applyAlignment="1">
      <alignment horizontal="center" vertical="center"/>
    </xf>
    <xf numFmtId="0" fontId="1" fillId="32" borderId="0" xfId="27" applyFill="1" applyBorder="1">
      <alignment vertical="center"/>
    </xf>
    <xf numFmtId="0" fontId="31" fillId="0" borderId="24" xfId="0" applyFont="1" applyFill="1" applyBorder="1" applyAlignment="1" applyProtection="1">
      <alignment horizontal="center" vertical="center" shrinkToFit="1"/>
      <protection hidden="1"/>
    </xf>
    <xf numFmtId="10" fontId="31" fillId="0" borderId="24" xfId="0" applyNumberFormat="1" applyFont="1" applyFill="1" applyBorder="1" applyAlignment="1" applyProtection="1">
      <alignment horizontal="center" vertical="center" shrinkToFit="1"/>
      <protection hidden="1"/>
    </xf>
    <xf numFmtId="182" fontId="5" fillId="0" borderId="0" xfId="29" applyNumberFormat="1" applyFont="1" applyBorder="1" applyAlignment="1" applyProtection="1">
      <alignment vertical="center" shrinkToFit="1"/>
      <protection hidden="1"/>
    </xf>
    <xf numFmtId="180" fontId="11" fillId="0" borderId="0" xfId="0" applyNumberFormat="1" applyFont="1" applyAlignment="1" applyProtection="1">
      <alignment vertical="center"/>
      <protection hidden="1"/>
    </xf>
    <xf numFmtId="0" fontId="36" fillId="0" borderId="10" xfId="0" applyFont="1" applyFill="1" applyBorder="1" applyAlignment="1" applyProtection="1">
      <alignment horizontal="center" vertical="center" wrapText="1"/>
      <protection hidden="1"/>
    </xf>
    <xf numFmtId="10" fontId="36" fillId="0" borderId="10" xfId="0" applyNumberFormat="1" applyFont="1" applyFill="1" applyBorder="1" applyAlignment="1" applyProtection="1">
      <alignment horizontal="center" vertical="center" wrapText="1"/>
      <protection hidden="1"/>
    </xf>
    <xf numFmtId="0" fontId="6" fillId="0" borderId="0" xfId="0" applyFont="1" applyBorder="1" applyAlignment="1">
      <alignment horizontal="center" vertical="center"/>
    </xf>
    <xf numFmtId="10" fontId="36" fillId="33" borderId="10" xfId="0" applyNumberFormat="1" applyFont="1" applyFill="1" applyBorder="1" applyAlignment="1" applyProtection="1">
      <alignment horizontal="center" vertical="center" wrapText="1"/>
      <protection locked="0" hidden="1"/>
    </xf>
    <xf numFmtId="0" fontId="1" fillId="24" borderId="0" xfId="27" applyFill="1" applyAlignment="1">
      <alignment horizontal="center" vertical="center"/>
    </xf>
    <xf numFmtId="0" fontId="34" fillId="0" borderId="0" xfId="0" applyFont="1" applyAlignment="1" applyProtection="1">
      <alignment vertical="center"/>
      <protection hidden="1"/>
    </xf>
    <xf numFmtId="187" fontId="1" fillId="32" borderId="10" xfId="27" applyNumberFormat="1" applyFill="1" applyBorder="1" applyAlignment="1">
      <alignment horizontal="center" vertical="center"/>
    </xf>
    <xf numFmtId="188" fontId="1" fillId="32" borderId="0" xfId="27" applyNumberFormat="1" applyFill="1" applyBorder="1" applyAlignment="1">
      <alignment horizontal="center" vertical="center"/>
    </xf>
    <xf numFmtId="0" fontId="31" fillId="34" borderId="10" xfId="0" applyFont="1" applyFill="1" applyBorder="1" applyAlignment="1" applyProtection="1">
      <alignment horizontal="center" vertical="center" shrinkToFit="1"/>
      <protection hidden="1"/>
    </xf>
    <xf numFmtId="10" fontId="31" fillId="34" borderId="10" xfId="0" applyNumberFormat="1" applyFont="1" applyFill="1" applyBorder="1" applyAlignment="1" applyProtection="1">
      <alignment horizontal="center" vertical="center" shrinkToFit="1"/>
      <protection hidden="1"/>
    </xf>
    <xf numFmtId="0" fontId="29" fillId="0" borderId="0" xfId="0" applyFont="1" applyBorder="1" applyAlignment="1" applyProtection="1">
      <alignment horizontal="right" vertical="center"/>
      <protection hidden="1"/>
    </xf>
    <xf numFmtId="0" fontId="1" fillId="28" borderId="0" xfId="27" applyFill="1">
      <alignment vertical="center"/>
    </xf>
    <xf numFmtId="183" fontId="11" fillId="0" borderId="0" xfId="0" applyNumberFormat="1" applyFont="1" applyAlignment="1" applyProtection="1">
      <alignment horizontal="right" vertical="center"/>
      <protection hidden="1"/>
    </xf>
    <xf numFmtId="0" fontId="11" fillId="0" borderId="0" xfId="0" applyFont="1" applyAlignment="1" applyProtection="1">
      <alignment horizontal="right" vertical="center"/>
      <protection hidden="1"/>
    </xf>
    <xf numFmtId="0" fontId="1" fillId="25" borderId="10" xfId="27" applyFont="1" applyFill="1" applyBorder="1">
      <alignment vertical="center"/>
    </xf>
    <xf numFmtId="10" fontId="0" fillId="0" borderId="0" xfId="0" applyNumberFormat="1" applyFill="1" applyAlignment="1">
      <alignment vertical="center"/>
    </xf>
    <xf numFmtId="0" fontId="1" fillId="0" borderId="14" xfId="27" applyFont="1" applyBorder="1">
      <alignment vertical="center"/>
    </xf>
    <xf numFmtId="0" fontId="1" fillId="0" borderId="14" xfId="27" applyFont="1" applyBorder="1" applyAlignment="1">
      <alignment horizontal="center" vertical="center"/>
    </xf>
    <xf numFmtId="10" fontId="6" fillId="0" borderId="10" xfId="0" applyNumberFormat="1" applyFont="1" applyBorder="1" applyAlignment="1">
      <alignment horizontal="center" vertical="center"/>
    </xf>
    <xf numFmtId="0" fontId="0" fillId="0" borderId="10" xfId="0" applyBorder="1" applyAlignment="1" applyProtection="1">
      <alignment vertical="center"/>
      <protection hidden="1"/>
    </xf>
    <xf numFmtId="0" fontId="0" fillId="0" borderId="10" xfId="0" applyBorder="1" applyAlignment="1" applyProtection="1">
      <alignment horizontal="center" vertical="center"/>
      <protection hidden="1"/>
    </xf>
    <xf numFmtId="0" fontId="0" fillId="0" borderId="10" xfId="0" applyBorder="1" applyAlignment="1" applyProtection="1">
      <alignment horizontal="center" vertical="center" wrapText="1"/>
      <protection hidden="1"/>
    </xf>
    <xf numFmtId="181" fontId="39" fillId="34" borderId="10" xfId="29" applyNumberFormat="1" applyFont="1" applyFill="1" applyBorder="1" applyAlignment="1" applyProtection="1">
      <alignment horizontal="center" vertical="center" shrinkToFit="1"/>
      <protection hidden="1"/>
    </xf>
    <xf numFmtId="181" fontId="39" fillId="0" borderId="10" xfId="29" applyNumberFormat="1" applyFont="1" applyFill="1" applyBorder="1" applyAlignment="1" applyProtection="1">
      <alignment horizontal="center" vertical="center" shrinkToFit="1"/>
      <protection hidden="1"/>
    </xf>
    <xf numFmtId="177" fontId="0" fillId="24" borderId="10" xfId="0" applyNumberFormat="1" applyFill="1" applyBorder="1" applyAlignment="1" applyProtection="1">
      <alignment horizontal="center" vertical="center"/>
      <protection locked="0" hidden="1"/>
    </xf>
    <xf numFmtId="0" fontId="0" fillId="24" borderId="10" xfId="0" applyFill="1" applyBorder="1" applyAlignment="1" applyProtection="1">
      <alignment horizontal="center" vertical="center"/>
      <protection locked="0" hidden="1"/>
    </xf>
    <xf numFmtId="0" fontId="16" fillId="0" borderId="0" xfId="0" applyFont="1" applyFill="1" applyAlignment="1" applyProtection="1">
      <alignment horizontal="center" vertical="center"/>
      <protection hidden="1"/>
    </xf>
    <xf numFmtId="0" fontId="7" fillId="27" borderId="0" xfId="0" applyFont="1" applyFill="1" applyAlignment="1" applyProtection="1">
      <alignment horizontal="center" vertical="center"/>
      <protection hidden="1"/>
    </xf>
    <xf numFmtId="0" fontId="1" fillId="0" borderId="0" xfId="27" applyAlignment="1">
      <alignment horizontal="left" vertical="center"/>
    </xf>
    <xf numFmtId="0" fontId="1" fillId="27" borderId="0" xfId="0" applyFont="1" applyFill="1" applyAlignment="1" applyProtection="1">
      <alignment horizontal="left" vertical="center"/>
      <protection hidden="1"/>
    </xf>
    <xf numFmtId="10" fontId="0" fillId="24" borderId="10" xfId="0" applyNumberFormat="1" applyFill="1" applyBorder="1" applyAlignment="1" applyProtection="1">
      <alignment horizontal="center" vertical="center"/>
      <protection locked="0" hidden="1"/>
    </xf>
    <xf numFmtId="10" fontId="0" fillId="0" borderId="0" xfId="0" applyNumberFormat="1" applyFill="1" applyBorder="1" applyAlignment="1" applyProtection="1">
      <alignment horizontal="center" vertical="center"/>
      <protection locked="0" hidden="1"/>
    </xf>
    <xf numFmtId="177" fontId="0" fillId="0" borderId="0" xfId="0" applyNumberFormat="1" applyFill="1" applyBorder="1" applyAlignment="1" applyProtection="1">
      <alignment horizontal="center" vertical="center"/>
      <protection locked="0" hidden="1"/>
    </xf>
    <xf numFmtId="0" fontId="42" fillId="0" borderId="0" xfId="0" applyFont="1" applyAlignment="1" applyProtection="1">
      <alignment vertical="center"/>
      <protection hidden="1"/>
    </xf>
    <xf numFmtId="180" fontId="0" fillId="25" borderId="0" xfId="0" applyNumberFormat="1" applyFill="1" applyAlignment="1">
      <alignment vertical="center"/>
    </xf>
    <xf numFmtId="177" fontId="0" fillId="0" borderId="10" xfId="33" applyNumberFormat="1" applyFont="1" applyFill="1" applyBorder="1">
      <alignment vertical="center"/>
    </xf>
    <xf numFmtId="0" fontId="5" fillId="0" borderId="0" xfId="0" applyFont="1" applyAlignment="1" applyProtection="1">
      <alignment vertical="center"/>
      <protection hidden="1"/>
    </xf>
    <xf numFmtId="0" fontId="31" fillId="0" borderId="0" xfId="0" applyFont="1" applyAlignment="1" applyProtection="1">
      <alignment horizontal="center" vertical="center"/>
      <protection hidden="1"/>
    </xf>
    <xf numFmtId="0" fontId="31" fillId="0" borderId="0" xfId="0" applyFont="1" applyAlignment="1" applyProtection="1">
      <alignment vertical="center"/>
      <protection hidden="1"/>
    </xf>
    <xf numFmtId="0" fontId="31" fillId="0" borderId="10" xfId="0" applyFont="1" applyBorder="1" applyAlignment="1" applyProtection="1">
      <alignment horizontal="center" vertical="center"/>
      <protection hidden="1"/>
    </xf>
    <xf numFmtId="0" fontId="47" fillId="27" borderId="0" xfId="0" applyFont="1" applyFill="1" applyAlignment="1" applyProtection="1">
      <alignment vertical="center"/>
      <protection hidden="1"/>
    </xf>
    <xf numFmtId="0" fontId="47" fillId="27" borderId="0" xfId="0" applyFont="1" applyFill="1" applyAlignment="1" applyProtection="1">
      <alignment horizontal="center" vertical="center"/>
      <protection hidden="1"/>
    </xf>
    <xf numFmtId="0" fontId="5" fillId="0" borderId="0" xfId="0" applyFont="1" applyAlignment="1" applyProtection="1">
      <protection hidden="1"/>
    </xf>
    <xf numFmtId="0" fontId="31" fillId="0" borderId="0" xfId="0" applyFont="1" applyAlignment="1" applyProtection="1">
      <alignment horizontal="center"/>
      <protection hidden="1"/>
    </xf>
    <xf numFmtId="0" fontId="11" fillId="0" borderId="0" xfId="0" applyFont="1" applyAlignment="1" applyProtection="1">
      <protection hidden="1"/>
    </xf>
    <xf numFmtId="0" fontId="31" fillId="0" borderId="0" xfId="0" applyFont="1" applyAlignment="1" applyProtection="1">
      <protection hidden="1"/>
    </xf>
    <xf numFmtId="0" fontId="0" fillId="0" borderId="0" xfId="0" applyAlignment="1" applyProtection="1">
      <protection hidden="1"/>
    </xf>
    <xf numFmtId="0" fontId="1" fillId="28" borderId="0" xfId="27" applyFill="1" applyBorder="1" applyAlignment="1">
      <alignment horizontal="center" vertical="center"/>
    </xf>
    <xf numFmtId="10" fontId="1" fillId="0" borderId="10" xfId="27" applyNumberFormat="1" applyBorder="1" applyAlignment="1">
      <alignment horizontal="center" vertical="center"/>
    </xf>
    <xf numFmtId="187" fontId="1" fillId="0" borderId="10" xfId="27" applyNumberFormat="1" applyBorder="1" applyAlignment="1">
      <alignment horizontal="center" vertical="center"/>
    </xf>
    <xf numFmtId="191" fontId="1" fillId="0" borderId="0" xfId="27" applyNumberFormat="1" applyBorder="1" applyAlignment="1">
      <alignment horizontal="center" vertical="center"/>
    </xf>
    <xf numFmtId="0" fontId="10" fillId="27" borderId="0" xfId="24" applyFont="1" applyFill="1" applyBorder="1" applyAlignment="1">
      <alignment horizontal="left" vertical="center"/>
    </xf>
    <xf numFmtId="0" fontId="49" fillId="27" borderId="0" xfId="24" applyFont="1" applyFill="1" applyBorder="1" applyAlignment="1">
      <alignment horizontal="center" vertical="center"/>
    </xf>
    <xf numFmtId="0" fontId="10" fillId="27" borderId="0" xfId="24" applyFont="1" applyFill="1" applyBorder="1" applyAlignment="1">
      <alignment horizontal="right" vertical="center"/>
    </xf>
    <xf numFmtId="0" fontId="1" fillId="0" borderId="0" xfId="22" applyFont="1" applyFill="1" applyBorder="1" applyAlignment="1">
      <alignment horizontal="center" vertical="center"/>
    </xf>
    <xf numFmtId="0" fontId="1" fillId="0" borderId="0" xfId="22" applyFill="1" applyBorder="1" applyAlignment="1">
      <alignment horizontal="center" vertical="center" wrapText="1"/>
    </xf>
    <xf numFmtId="187" fontId="1" fillId="0" borderId="0" xfId="22" applyNumberFormat="1" applyFill="1" applyBorder="1">
      <alignment vertical="center"/>
    </xf>
    <xf numFmtId="189" fontId="1" fillId="0" borderId="0" xfId="22" applyNumberFormat="1" applyFill="1" applyBorder="1">
      <alignment vertical="center"/>
    </xf>
    <xf numFmtId="0" fontId="31" fillId="0" borderId="0" xfId="0" applyFont="1" applyFill="1" applyBorder="1" applyAlignment="1" applyProtection="1">
      <alignment horizontal="center" vertical="center" shrinkToFit="1"/>
      <protection hidden="1"/>
    </xf>
    <xf numFmtId="10" fontId="31" fillId="0" borderId="0" xfId="0" applyNumberFormat="1" applyFont="1" applyFill="1" applyBorder="1" applyAlignment="1" applyProtection="1">
      <alignment horizontal="center" vertical="center" shrinkToFit="1"/>
      <protection hidden="1"/>
    </xf>
    <xf numFmtId="181" fontId="31" fillId="0" borderId="0" xfId="29" applyNumberFormat="1" applyFont="1" applyFill="1" applyBorder="1" applyAlignment="1" applyProtection="1">
      <alignment horizontal="center" vertical="center" shrinkToFit="1"/>
      <protection hidden="1"/>
    </xf>
    <xf numFmtId="182" fontId="31" fillId="0" borderId="0" xfId="29" applyNumberFormat="1" applyFont="1" applyFill="1" applyBorder="1" applyAlignment="1" applyProtection="1">
      <alignment vertical="center" shrinkToFit="1"/>
      <protection hidden="1"/>
    </xf>
    <xf numFmtId="190" fontId="0" fillId="35" borderId="10" xfId="0" applyNumberFormat="1" applyFill="1" applyBorder="1" applyAlignment="1">
      <alignment horizontal="center" vertical="center"/>
    </xf>
    <xf numFmtId="10" fontId="1" fillId="28" borderId="0" xfId="27" applyNumberFormat="1" applyFill="1" applyAlignment="1">
      <alignment horizontal="center" vertical="center"/>
    </xf>
    <xf numFmtId="0" fontId="0" fillId="0" borderId="10" xfId="0" applyBorder="1" applyAlignment="1" applyProtection="1">
      <alignment vertical="center" wrapText="1"/>
      <protection hidden="1"/>
    </xf>
    <xf numFmtId="0" fontId="0" fillId="27" borderId="0" xfId="0" applyFill="1" applyAlignment="1" applyProtection="1">
      <alignment vertical="center"/>
      <protection hidden="1"/>
    </xf>
    <xf numFmtId="0" fontId="0" fillId="27" borderId="0" xfId="0" applyFill="1" applyAlignment="1" applyProtection="1">
      <alignment horizontal="right" vertical="center"/>
      <protection hidden="1"/>
    </xf>
    <xf numFmtId="0" fontId="31" fillId="27" borderId="0" xfId="0" applyFont="1" applyFill="1" applyAlignment="1" applyProtection="1">
      <alignment vertical="center"/>
      <protection hidden="1"/>
    </xf>
    <xf numFmtId="0" fontId="31" fillId="27" borderId="0" xfId="0" applyFont="1" applyFill="1" applyAlignment="1" applyProtection="1">
      <alignment horizontal="right" vertical="center"/>
      <protection hidden="1"/>
    </xf>
    <xf numFmtId="0" fontId="11" fillId="27" borderId="0" xfId="0" applyFont="1" applyFill="1" applyAlignment="1" applyProtection="1">
      <alignment horizontal="right" vertical="center"/>
      <protection hidden="1"/>
    </xf>
    <xf numFmtId="0" fontId="5" fillId="27" borderId="0" xfId="0" applyFont="1" applyFill="1" applyAlignment="1" applyProtection="1">
      <alignment horizontal="right" vertical="center"/>
      <protection hidden="1"/>
    </xf>
    <xf numFmtId="0" fontId="5" fillId="27" borderId="0" xfId="0" applyFont="1" applyFill="1" applyAlignment="1" applyProtection="1">
      <alignment vertical="center"/>
      <protection hidden="1"/>
    </xf>
    <xf numFmtId="0" fontId="12" fillId="27" borderId="0" xfId="0" applyFont="1" applyFill="1" applyAlignment="1" applyProtection="1">
      <alignment vertical="center"/>
      <protection hidden="1"/>
    </xf>
    <xf numFmtId="177" fontId="31" fillId="27" borderId="0" xfId="0" applyNumberFormat="1" applyFont="1" applyFill="1" applyBorder="1" applyAlignment="1" applyProtection="1">
      <alignment vertical="center"/>
      <protection hidden="1"/>
    </xf>
    <xf numFmtId="177" fontId="40" fillId="27" borderId="0" xfId="0" applyNumberFormat="1" applyFont="1" applyFill="1" applyBorder="1" applyAlignment="1" applyProtection="1">
      <alignment horizontal="right" vertical="center"/>
      <protection hidden="1"/>
    </xf>
    <xf numFmtId="177" fontId="12" fillId="27" borderId="0" xfId="0" applyNumberFormat="1" applyFont="1" applyFill="1" applyAlignment="1" applyProtection="1">
      <alignment vertical="center"/>
      <protection hidden="1"/>
    </xf>
    <xf numFmtId="49" fontId="31" fillId="27" borderId="0" xfId="0" applyNumberFormat="1" applyFont="1" applyFill="1" applyAlignment="1" applyProtection="1">
      <alignment vertical="center"/>
      <protection hidden="1"/>
    </xf>
    <xf numFmtId="0" fontId="0" fillId="0" borderId="0" xfId="0" applyAlignment="1" applyProtection="1">
      <alignment horizontal="right" vertical="center"/>
      <protection hidden="1"/>
    </xf>
    <xf numFmtId="0" fontId="6" fillId="27" borderId="0" xfId="0" applyFont="1" applyFill="1" applyAlignment="1" applyProtection="1">
      <alignment vertical="center"/>
      <protection hidden="1"/>
    </xf>
    <xf numFmtId="0" fontId="37" fillId="0" borderId="0" xfId="0" applyFont="1" applyBorder="1" applyAlignment="1"/>
    <xf numFmtId="0" fontId="10" fillId="0" borderId="0" xfId="0" applyFont="1" applyBorder="1" applyAlignment="1">
      <alignment horizontal="center"/>
    </xf>
    <xf numFmtId="0" fontId="10" fillId="0" borderId="0" xfId="0" applyFont="1" applyBorder="1" applyAlignment="1"/>
    <xf numFmtId="0" fontId="0" fillId="0" borderId="0" xfId="0" applyBorder="1" applyAlignment="1">
      <alignment vertical="center"/>
    </xf>
    <xf numFmtId="0" fontId="10" fillId="0" borderId="0" xfId="0" applyFont="1" applyBorder="1" applyAlignment="1">
      <alignment wrapText="1"/>
    </xf>
    <xf numFmtId="10" fontId="38" fillId="0" borderId="0" xfId="0" applyNumberFormat="1" applyFont="1" applyBorder="1" applyAlignment="1">
      <alignment horizontal="center" vertical="center" wrapText="1"/>
    </xf>
    <xf numFmtId="0" fontId="39" fillId="0" borderId="0" xfId="0" applyFont="1" applyBorder="1" applyAlignment="1">
      <alignment horizontal="center" vertical="center" wrapText="1"/>
    </xf>
    <xf numFmtId="178" fontId="1" fillId="0" borderId="0" xfId="27" applyNumberFormat="1" applyFill="1" applyAlignment="1">
      <alignment horizontal="center" vertical="center"/>
    </xf>
    <xf numFmtId="178" fontId="5" fillId="28" borderId="10" xfId="0" applyNumberFormat="1" applyFont="1" applyFill="1" applyBorder="1" applyAlignment="1">
      <alignment horizontal="center" vertical="center"/>
    </xf>
    <xf numFmtId="178" fontId="1" fillId="0" borderId="0" xfId="27" applyNumberFormat="1">
      <alignment vertical="center"/>
    </xf>
    <xf numFmtId="178" fontId="1" fillId="0" borderId="0" xfId="27" applyNumberFormat="1" applyAlignment="1">
      <alignment horizontal="center" vertical="center"/>
    </xf>
    <xf numFmtId="0" fontId="0" fillId="31" borderId="0" xfId="0" applyFill="1" applyAlignment="1">
      <alignment vertical="center"/>
    </xf>
    <xf numFmtId="0" fontId="6" fillId="27" borderId="0" xfId="0" applyFont="1" applyFill="1" applyAlignment="1" applyProtection="1">
      <alignment horizontal="right" vertical="center"/>
      <protection hidden="1"/>
    </xf>
    <xf numFmtId="0" fontId="1" fillId="0" borderId="10" xfId="22" applyFont="1" applyFill="1" applyBorder="1" applyAlignment="1">
      <alignment horizontal="center" vertical="center"/>
    </xf>
    <xf numFmtId="0" fontId="1" fillId="0" borderId="10" xfId="22" applyFont="1" applyFill="1" applyBorder="1" applyAlignment="1">
      <alignment horizontal="center" vertical="center" wrapText="1"/>
    </xf>
    <xf numFmtId="0" fontId="1" fillId="0" borderId="10" xfId="22" applyFill="1" applyBorder="1" applyAlignment="1">
      <alignment horizontal="center" vertical="center" wrapText="1"/>
    </xf>
    <xf numFmtId="0" fontId="1" fillId="24" borderId="10" xfId="22" applyFont="1" applyFill="1" applyBorder="1" applyAlignment="1">
      <alignment horizontal="center" vertical="center"/>
    </xf>
    <xf numFmtId="187" fontId="0" fillId="0" borderId="10" xfId="0" applyNumberFormat="1" applyFill="1" applyBorder="1" applyAlignment="1">
      <alignment vertical="center"/>
    </xf>
    <xf numFmtId="181" fontId="39" fillId="34" borderId="10" xfId="29" applyNumberFormat="1" applyFont="1" applyFill="1" applyBorder="1" applyAlignment="1" applyProtection="1">
      <alignment horizontal="right" vertical="center" shrinkToFit="1"/>
      <protection hidden="1"/>
    </xf>
    <xf numFmtId="181" fontId="39" fillId="0" borderId="10" xfId="29" applyNumberFormat="1" applyFont="1" applyFill="1" applyBorder="1" applyAlignment="1" applyProtection="1">
      <alignment horizontal="right" vertical="center" shrinkToFit="1"/>
      <protection hidden="1"/>
    </xf>
    <xf numFmtId="182" fontId="39" fillId="34" borderId="10" xfId="29" applyNumberFormat="1" applyFont="1" applyFill="1" applyBorder="1" applyAlignment="1" applyProtection="1">
      <alignment horizontal="right" vertical="center" shrinkToFit="1"/>
      <protection hidden="1"/>
    </xf>
    <xf numFmtId="182" fontId="39" fillId="0" borderId="10" xfId="29" applyNumberFormat="1" applyFont="1" applyFill="1" applyBorder="1" applyAlignment="1" applyProtection="1">
      <alignment horizontal="right" vertical="center" shrinkToFit="1"/>
      <protection hidden="1"/>
    </xf>
    <xf numFmtId="189" fontId="1" fillId="0" borderId="10" xfId="22" applyNumberFormat="1" applyFill="1" applyBorder="1">
      <alignment vertical="center"/>
    </xf>
    <xf numFmtId="187" fontId="1" fillId="0" borderId="10" xfId="22" applyNumberFormat="1" applyFill="1" applyBorder="1">
      <alignment vertical="center"/>
    </xf>
    <xf numFmtId="189" fontId="1" fillId="0" borderId="10" xfId="22" applyNumberFormat="1" applyFont="1" applyFill="1" applyBorder="1" applyAlignment="1">
      <alignment horizontal="center" vertical="center"/>
    </xf>
    <xf numFmtId="192" fontId="1" fillId="24" borderId="10" xfId="22" applyNumberFormat="1" applyFill="1" applyBorder="1">
      <alignment vertical="center"/>
    </xf>
    <xf numFmtId="0" fontId="1" fillId="0" borderId="0" xfId="27" applyFont="1" applyFill="1" applyAlignment="1">
      <alignment horizontal="center" vertical="center"/>
    </xf>
    <xf numFmtId="192" fontId="1" fillId="0" borderId="10" xfId="27" applyNumberFormat="1" applyBorder="1" applyAlignment="1">
      <alignment horizontal="center" vertical="center"/>
    </xf>
    <xf numFmtId="0" fontId="50"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horizontal="center" vertical="center"/>
      <protection hidden="1"/>
    </xf>
    <xf numFmtId="0" fontId="51" fillId="0"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10" fontId="12"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185" fontId="0" fillId="26" borderId="10" xfId="0" applyNumberFormat="1" applyFill="1" applyBorder="1" applyAlignment="1">
      <alignment vertical="center"/>
    </xf>
    <xf numFmtId="185" fontId="0" fillId="0" borderId="10" xfId="0" applyNumberFormat="1" applyFill="1" applyBorder="1" applyAlignment="1">
      <alignment vertical="center"/>
    </xf>
    <xf numFmtId="0" fontId="52" fillId="0" borderId="0" xfId="0" applyFont="1" applyAlignment="1" applyProtection="1">
      <alignment vertical="center"/>
      <protection hidden="1"/>
    </xf>
    <xf numFmtId="187" fontId="1" fillId="0" borderId="10" xfId="22" applyNumberFormat="1" applyFont="1" applyFill="1" applyBorder="1" applyAlignment="1">
      <alignment horizontal="center" vertical="center"/>
    </xf>
    <xf numFmtId="193" fontId="1" fillId="0" borderId="10" xfId="22" applyNumberFormat="1" applyFill="1" applyBorder="1" applyAlignment="1">
      <alignment horizontal="center" vertical="center"/>
    </xf>
    <xf numFmtId="185" fontId="0" fillId="0" borderId="0" xfId="0" applyNumberFormat="1" applyFill="1" applyAlignment="1">
      <alignment vertical="center"/>
    </xf>
    <xf numFmtId="177" fontId="1" fillId="28" borderId="10" xfId="27" applyNumberFormat="1" applyFill="1" applyBorder="1" applyAlignment="1">
      <alignment horizontal="center" vertical="center"/>
    </xf>
    <xf numFmtId="0" fontId="1" fillId="25" borderId="0" xfId="27" applyFill="1">
      <alignment vertical="center"/>
    </xf>
    <xf numFmtId="0" fontId="1" fillId="0" borderId="0" xfId="27" applyFill="1">
      <alignment vertical="center"/>
    </xf>
    <xf numFmtId="0" fontId="7" fillId="27" borderId="0" xfId="0" applyFont="1" applyFill="1" applyAlignment="1" applyProtection="1">
      <alignment horizontal="right" vertical="center"/>
      <protection hidden="1"/>
    </xf>
    <xf numFmtId="185" fontId="1" fillId="0" borderId="28" xfId="27" applyNumberFormat="1" applyBorder="1" applyAlignment="1">
      <alignment horizontal="center" vertical="center"/>
    </xf>
    <xf numFmtId="193" fontId="1" fillId="0" borderId="10" xfId="27" applyNumberFormat="1" applyBorder="1" applyAlignment="1">
      <alignment horizontal="center" vertical="center"/>
    </xf>
    <xf numFmtId="0" fontId="1" fillId="0" borderId="11" xfId="27" applyBorder="1">
      <alignment vertical="center"/>
    </xf>
    <xf numFmtId="0" fontId="9" fillId="27" borderId="0" xfId="24" applyFont="1" applyFill="1" applyBorder="1" applyAlignment="1">
      <alignment vertical="center"/>
    </xf>
    <xf numFmtId="194" fontId="0" fillId="0" borderId="0" xfId="0" applyNumberFormat="1" applyFill="1" applyAlignment="1">
      <alignment horizontal="center" vertical="center"/>
    </xf>
    <xf numFmtId="185" fontId="1" fillId="24" borderId="0" xfId="27" applyNumberFormat="1" applyFill="1" applyAlignment="1">
      <alignment horizontal="center" vertical="center"/>
    </xf>
    <xf numFmtId="185" fontId="1" fillId="24" borderId="10" xfId="27" applyNumberFormat="1" applyFill="1" applyBorder="1" applyAlignment="1">
      <alignment horizontal="center" vertical="center"/>
    </xf>
    <xf numFmtId="177" fontId="0" fillId="0" borderId="0" xfId="0" applyNumberFormat="1" applyFill="1" applyAlignment="1">
      <alignment vertical="center"/>
    </xf>
    <xf numFmtId="0" fontId="11" fillId="0" borderId="24" xfId="0" applyFont="1" applyBorder="1" applyAlignment="1" applyProtection="1">
      <alignment vertical="center"/>
      <protection hidden="1"/>
    </xf>
    <xf numFmtId="0" fontId="11" fillId="0" borderId="24" xfId="0" applyFont="1" applyBorder="1" applyAlignment="1" applyProtection="1">
      <alignment horizontal="left" vertical="center"/>
      <protection hidden="1"/>
    </xf>
    <xf numFmtId="185" fontId="0" fillId="0" borderId="0" xfId="0" applyNumberFormat="1" applyFill="1" applyBorder="1" applyAlignment="1">
      <alignment vertical="center"/>
    </xf>
    <xf numFmtId="0" fontId="11" fillId="0" borderId="0" xfId="0" applyFont="1" applyAlignment="1" applyProtection="1">
      <alignment horizontal="left" vertical="center"/>
      <protection hidden="1"/>
    </xf>
    <xf numFmtId="0" fontId="0" fillId="0" borderId="0" xfId="0" applyFill="1" applyAlignment="1" applyProtection="1">
      <alignment vertical="center"/>
      <protection hidden="1"/>
    </xf>
    <xf numFmtId="0" fontId="51" fillId="0" borderId="0" xfId="0" applyFont="1" applyFill="1" applyBorder="1" applyAlignment="1" applyProtection="1">
      <alignment vertical="center" shrinkToFit="1"/>
      <protection hidden="1"/>
    </xf>
    <xf numFmtId="0" fontId="12" fillId="0" borderId="0" xfId="0" applyFont="1" applyFill="1" applyBorder="1" applyAlignment="1" applyProtection="1">
      <alignment vertical="center" shrinkToFit="1"/>
      <protection hidden="1"/>
    </xf>
    <xf numFmtId="0" fontId="53" fillId="0" borderId="0" xfId="0" applyFont="1" applyAlignment="1" applyProtection="1">
      <alignment vertical="center"/>
      <protection hidden="1"/>
    </xf>
    <xf numFmtId="0" fontId="55" fillId="0" borderId="0" xfId="0" applyFont="1" applyFill="1" applyBorder="1" applyAlignment="1" applyProtection="1">
      <alignment horizontal="left" vertical="center"/>
      <protection hidden="1"/>
    </xf>
    <xf numFmtId="0" fontId="55" fillId="0" borderId="0" xfId="0" applyFont="1" applyAlignment="1" applyProtection="1">
      <alignment vertical="center"/>
      <protection hidden="1"/>
    </xf>
    <xf numFmtId="0" fontId="56" fillId="0" borderId="0" xfId="0" applyFont="1" applyFill="1" applyBorder="1" applyAlignment="1" applyProtection="1">
      <alignment horizontal="left" vertical="center"/>
      <protection hidden="1"/>
    </xf>
    <xf numFmtId="0" fontId="0" fillId="0" borderId="0" xfId="27" applyNumberFormat="1" applyFont="1" applyAlignment="1">
      <alignment horizontal="center" vertical="center"/>
    </xf>
    <xf numFmtId="0" fontId="57" fillId="0" borderId="0" xfId="0" applyFont="1" applyAlignment="1" applyProtection="1">
      <alignment vertical="center"/>
      <protection hidden="1"/>
    </xf>
    <xf numFmtId="14" fontId="7" fillId="36" borderId="10" xfId="27" applyNumberFormat="1" applyFont="1" applyFill="1" applyBorder="1" applyAlignment="1">
      <alignment horizontal="center" vertical="center"/>
    </xf>
    <xf numFmtId="0" fontId="40" fillId="27" borderId="0" xfId="0" applyFont="1" applyFill="1" applyAlignment="1" applyProtection="1">
      <alignment vertical="top" wrapText="1"/>
      <protection hidden="1"/>
    </xf>
    <xf numFmtId="9" fontId="0" fillId="0" borderId="0" xfId="0" applyNumberFormat="1" applyFill="1" applyAlignment="1">
      <alignment vertical="center"/>
    </xf>
    <xf numFmtId="0" fontId="0" fillId="0" borderId="0" xfId="0" applyFill="1" applyAlignment="1">
      <alignment horizontal="right" vertical="center"/>
    </xf>
    <xf numFmtId="14" fontId="12" fillId="27" borderId="13" xfId="0" applyNumberFormat="1" applyFont="1" applyFill="1" applyBorder="1" applyAlignment="1" applyProtection="1">
      <alignment horizontal="center" vertical="center" shrinkToFit="1"/>
      <protection hidden="1"/>
    </xf>
    <xf numFmtId="10" fontId="0" fillId="0" borderId="14" xfId="0" applyNumberFormat="1" applyFill="1" applyBorder="1" applyAlignment="1">
      <alignment vertical="center"/>
    </xf>
    <xf numFmtId="0" fontId="8" fillId="0" borderId="0" xfId="28" applyFont="1" applyFill="1" applyAlignment="1">
      <alignment horizontal="center"/>
    </xf>
    <xf numFmtId="0" fontId="1" fillId="0" borderId="0" xfId="28"/>
    <xf numFmtId="0" fontId="10" fillId="0" borderId="0" xfId="28" applyFont="1" applyFill="1" applyAlignment="1">
      <alignment horizontal="center"/>
    </xf>
    <xf numFmtId="195" fontId="8" fillId="0" borderId="0" xfId="28" applyNumberFormat="1" applyFont="1" applyFill="1" applyAlignment="1">
      <alignment horizontal="center"/>
    </xf>
    <xf numFmtId="0" fontId="8" fillId="0" borderId="0" xfId="28" applyFont="1" applyFill="1" applyBorder="1" applyAlignment="1">
      <alignment vertical="center"/>
    </xf>
    <xf numFmtId="0" fontId="8" fillId="0" borderId="0" xfId="28" applyFont="1" applyFill="1" applyBorder="1" applyAlignment="1">
      <alignment horizontal="center" vertical="center"/>
    </xf>
    <xf numFmtId="181" fontId="39" fillId="0" borderId="24" xfId="29" applyNumberFormat="1" applyFont="1" applyFill="1" applyBorder="1" applyAlignment="1" applyProtection="1">
      <alignment horizontal="center" vertical="center" shrinkToFit="1"/>
      <protection hidden="1"/>
    </xf>
    <xf numFmtId="181" fontId="39" fillId="0" borderId="24" xfId="29" applyNumberFormat="1" applyFont="1" applyFill="1" applyBorder="1" applyAlignment="1" applyProtection="1">
      <alignment horizontal="right" vertical="center" shrinkToFit="1"/>
      <protection hidden="1"/>
    </xf>
    <xf numFmtId="182" fontId="39" fillId="0" borderId="24" xfId="29" applyNumberFormat="1" applyFont="1" applyFill="1" applyBorder="1" applyAlignment="1" applyProtection="1">
      <alignment horizontal="right" vertical="center" shrinkToFit="1"/>
      <protection hidden="1"/>
    </xf>
    <xf numFmtId="0" fontId="40" fillId="27" borderId="0" xfId="0" applyFont="1" applyFill="1" applyAlignment="1" applyProtection="1">
      <alignment horizontal="right" vertical="center"/>
      <protection hidden="1"/>
    </xf>
    <xf numFmtId="0" fontId="40" fillId="27" borderId="0" xfId="0" applyFont="1" applyFill="1" applyAlignment="1" applyProtection="1">
      <alignment vertical="center"/>
      <protection hidden="1"/>
    </xf>
    <xf numFmtId="0" fontId="11"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center"/>
      <protection hidden="1"/>
    </xf>
    <xf numFmtId="0" fontId="55" fillId="0" borderId="0" xfId="0" applyFont="1" applyAlignment="1" applyProtection="1">
      <alignment horizontal="left" vertical="center"/>
      <protection hidden="1"/>
    </xf>
    <xf numFmtId="178" fontId="1" fillId="28" borderId="0" xfId="27" applyNumberFormat="1" applyFill="1" applyAlignment="1">
      <alignment horizontal="center" vertical="center"/>
    </xf>
    <xf numFmtId="0" fontId="1" fillId="28" borderId="10" xfId="27" applyFill="1" applyBorder="1" applyAlignment="1">
      <alignment horizontal="center" vertical="center"/>
    </xf>
    <xf numFmtId="0" fontId="0" fillId="0" borderId="11" xfId="0" applyFill="1" applyBorder="1" applyAlignment="1">
      <alignment horizontal="center" vertical="center"/>
    </xf>
    <xf numFmtId="190" fontId="0" fillId="35" borderId="11" xfId="0" applyNumberFormat="1" applyFill="1" applyBorder="1" applyAlignment="1">
      <alignment horizontal="center" vertical="center"/>
    </xf>
    <xf numFmtId="0" fontId="1" fillId="25" borderId="14" xfId="27" applyFill="1" applyBorder="1" applyAlignment="1">
      <alignment horizontal="center" vertical="center"/>
    </xf>
    <xf numFmtId="0" fontId="4" fillId="0" borderId="29" xfId="0" applyFont="1" applyFill="1" applyBorder="1" applyAlignment="1">
      <alignment horizontal="center" vertical="center"/>
    </xf>
    <xf numFmtId="0" fontId="5" fillId="0" borderId="30" xfId="0" applyNumberFormat="1" applyFont="1" applyFill="1" applyBorder="1" applyAlignment="1">
      <alignment horizontal="center" vertical="center"/>
    </xf>
    <xf numFmtId="0" fontId="0" fillId="0" borderId="30" xfId="0" applyFill="1" applyBorder="1" applyAlignment="1">
      <alignment horizontal="center" vertical="center"/>
    </xf>
    <xf numFmtId="0" fontId="0" fillId="0" borderId="31" xfId="0" applyFill="1" applyBorder="1" applyAlignment="1">
      <alignment horizontal="center" vertical="center"/>
    </xf>
    <xf numFmtId="0" fontId="4" fillId="0" borderId="32"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33" xfId="0" applyFont="1" applyFill="1" applyBorder="1" applyAlignment="1">
      <alignment horizontal="center" vertical="center"/>
    </xf>
    <xf numFmtId="0" fontId="1" fillId="0" borderId="34" xfId="27" applyFont="1" applyFill="1" applyBorder="1" applyAlignment="1">
      <alignment horizontal="center" vertical="center"/>
    </xf>
    <xf numFmtId="0" fontId="1" fillId="0" borderId="35" xfId="27" applyFill="1" applyBorder="1" applyAlignment="1">
      <alignment horizontal="center" vertical="center"/>
    </xf>
    <xf numFmtId="0" fontId="1" fillId="0" borderId="36" xfId="27" applyFill="1" applyBorder="1" applyAlignment="1">
      <alignment horizontal="center" vertical="center"/>
    </xf>
    <xf numFmtId="14" fontId="1" fillId="0" borderId="35" xfId="27" applyNumberFormat="1" applyFill="1" applyBorder="1" applyAlignment="1">
      <alignment horizontal="center" vertical="center"/>
    </xf>
    <xf numFmtId="0" fontId="0" fillId="29" borderId="10" xfId="0" applyFill="1" applyBorder="1" applyAlignment="1">
      <alignment vertical="center"/>
    </xf>
    <xf numFmtId="9" fontId="0" fillId="29" borderId="10" xfId="0" applyNumberFormat="1" applyFill="1" applyBorder="1" applyAlignment="1">
      <alignment vertical="center"/>
    </xf>
    <xf numFmtId="177" fontId="0" fillId="29" borderId="10" xfId="0" applyNumberFormat="1" applyFill="1" applyBorder="1" applyAlignment="1">
      <alignment vertical="center"/>
    </xf>
    <xf numFmtId="178" fontId="5" fillId="0" borderId="10" xfId="0" applyNumberFormat="1" applyFont="1" applyFill="1" applyBorder="1" applyAlignment="1">
      <alignment horizontal="center"/>
    </xf>
    <xf numFmtId="0" fontId="1" fillId="24" borderId="10" xfId="27" applyFont="1" applyFill="1" applyBorder="1" applyAlignment="1">
      <alignment horizontal="left" vertical="center"/>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181" fontId="39" fillId="0" borderId="0" xfId="29" applyNumberFormat="1" applyFont="1" applyFill="1" applyBorder="1" applyAlignment="1" applyProtection="1">
      <alignment horizontal="center" vertical="center" shrinkToFit="1"/>
      <protection hidden="1"/>
    </xf>
    <xf numFmtId="181" fontId="39" fillId="0" borderId="0" xfId="29" applyNumberFormat="1" applyFont="1" applyFill="1" applyBorder="1" applyAlignment="1" applyProtection="1">
      <alignment horizontal="right" vertical="center" shrinkToFit="1"/>
      <protection hidden="1"/>
    </xf>
    <xf numFmtId="182" fontId="39" fillId="0" borderId="0" xfId="29" applyNumberFormat="1" applyFont="1" applyFill="1" applyBorder="1" applyAlignment="1" applyProtection="1">
      <alignment horizontal="right" vertical="center" shrinkToFit="1"/>
      <protection hidden="1"/>
    </xf>
    <xf numFmtId="0" fontId="14" fillId="0" borderId="0" xfId="0" applyFont="1" applyFill="1" applyAlignment="1" applyProtection="1">
      <alignment vertical="center"/>
      <protection hidden="1"/>
    </xf>
    <xf numFmtId="0" fontId="54" fillId="0" borderId="0" xfId="0" applyFont="1" applyFill="1" applyBorder="1" applyAlignment="1" applyProtection="1">
      <alignment horizontal="left" vertical="center"/>
      <protection hidden="1"/>
    </xf>
    <xf numFmtId="0" fontId="63" fillId="0" borderId="0" xfId="0" applyFont="1" applyFill="1" applyBorder="1" applyAlignment="1" applyProtection="1">
      <alignment horizontal="right" vertical="center"/>
      <protection hidden="1"/>
    </xf>
    <xf numFmtId="0" fontId="39" fillId="0" borderId="0" xfId="0" applyFont="1" applyFill="1" applyBorder="1" applyAlignment="1" applyProtection="1">
      <alignment vertical="center"/>
      <protection hidden="1"/>
    </xf>
    <xf numFmtId="0" fontId="15"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64" fillId="0" borderId="0" xfId="0" applyFont="1" applyFill="1" applyBorder="1" applyAlignment="1" applyProtection="1">
      <alignment horizontal="right" vertical="center"/>
      <protection hidden="1"/>
    </xf>
    <xf numFmtId="57" fontId="64" fillId="0" borderId="0" xfId="0" applyNumberFormat="1" applyFont="1" applyFill="1" applyBorder="1" applyAlignment="1" applyProtection="1">
      <alignment horizontal="center" vertical="center"/>
      <protection hidden="1"/>
    </xf>
    <xf numFmtId="0" fontId="65" fillId="0" borderId="0" xfId="0" applyFont="1" applyFill="1" applyBorder="1" applyAlignment="1" applyProtection="1">
      <alignment vertical="center"/>
      <protection hidden="1"/>
    </xf>
    <xf numFmtId="0" fontId="15" fillId="0" borderId="0"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0" fontId="64" fillId="0" borderId="0" xfId="0" applyFont="1" applyFill="1" applyBorder="1" applyAlignment="1" applyProtection="1">
      <alignment vertical="center"/>
      <protection hidden="1"/>
    </xf>
    <xf numFmtId="10" fontId="64" fillId="0" borderId="0" xfId="0" applyNumberFormat="1" applyFont="1" applyFill="1" applyBorder="1" applyAlignment="1" applyProtection="1">
      <alignment horizontal="center" vertical="center"/>
      <protection hidden="1"/>
    </xf>
    <xf numFmtId="0" fontId="64" fillId="0" borderId="0" xfId="0" applyNumberFormat="1" applyFont="1" applyFill="1" applyBorder="1" applyAlignment="1" applyProtection="1">
      <alignment horizontal="center" vertical="center" shrinkToFit="1"/>
      <protection hidden="1"/>
    </xf>
    <xf numFmtId="0" fontId="39" fillId="0" borderId="37" xfId="0" applyFont="1" applyFill="1" applyBorder="1" applyAlignment="1" applyProtection="1">
      <alignment vertical="center"/>
      <protection hidden="1"/>
    </xf>
    <xf numFmtId="0" fontId="15" fillId="0" borderId="38" xfId="0" applyFont="1" applyFill="1" applyBorder="1" applyAlignment="1" applyProtection="1">
      <alignment horizontal="center" vertical="center"/>
      <protection hidden="1"/>
    </xf>
    <xf numFmtId="0" fontId="39" fillId="0" borderId="38" xfId="0" applyFont="1" applyFill="1" applyBorder="1" applyAlignment="1" applyProtection="1">
      <alignment horizontal="left" vertical="center"/>
      <protection hidden="1"/>
    </xf>
    <xf numFmtId="0" fontId="15" fillId="0" borderId="38" xfId="0" applyFont="1" applyFill="1" applyBorder="1" applyAlignment="1" applyProtection="1">
      <alignment vertical="center"/>
      <protection hidden="1"/>
    </xf>
    <xf numFmtId="0" fontId="15" fillId="0" borderId="38" xfId="0" applyFont="1" applyFill="1" applyBorder="1" applyAlignment="1" applyProtection="1">
      <alignment horizontal="right" vertical="center"/>
      <protection hidden="1"/>
    </xf>
    <xf numFmtId="10" fontId="15" fillId="0" borderId="38" xfId="0" applyNumberFormat="1" applyFont="1" applyFill="1" applyBorder="1" applyAlignment="1" applyProtection="1">
      <alignment horizontal="center" vertical="center"/>
      <protection hidden="1"/>
    </xf>
    <xf numFmtId="0" fontId="15" fillId="0" borderId="39" xfId="0" applyFont="1" applyFill="1" applyBorder="1" applyAlignment="1" applyProtection="1">
      <alignment vertical="center"/>
      <protection hidden="1"/>
    </xf>
    <xf numFmtId="0" fontId="39" fillId="0" borderId="40" xfId="0"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0" fontId="15" fillId="0" borderId="41" xfId="0" applyFont="1" applyFill="1" applyBorder="1" applyAlignment="1" applyProtection="1">
      <alignment vertical="center"/>
      <protection hidden="1"/>
    </xf>
    <xf numFmtId="0" fontId="39" fillId="0" borderId="40" xfId="0" applyFont="1" applyFill="1" applyBorder="1" applyAlignment="1" applyProtection="1">
      <alignment horizontal="left" vertical="center"/>
      <protection hidden="1"/>
    </xf>
    <xf numFmtId="0" fontId="15" fillId="0" borderId="0" xfId="0" applyFont="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67" fillId="0" borderId="42" xfId="0" applyFont="1" applyFill="1" applyBorder="1" applyAlignment="1" applyProtection="1">
      <alignment vertical="center"/>
      <protection hidden="1"/>
    </xf>
    <xf numFmtId="0" fontId="15" fillId="0" borderId="43" xfId="0" applyFont="1" applyFill="1" applyBorder="1" applyAlignment="1" applyProtection="1">
      <alignment horizontal="center" vertical="center"/>
      <protection hidden="1"/>
    </xf>
    <xf numFmtId="0" fontId="15" fillId="0" borderId="43" xfId="0" applyFont="1" applyFill="1" applyBorder="1" applyAlignment="1" applyProtection="1">
      <alignment vertical="center"/>
      <protection hidden="1"/>
    </xf>
    <xf numFmtId="0" fontId="15" fillId="0" borderId="43" xfId="0" applyFont="1" applyBorder="1" applyAlignment="1" applyProtection="1">
      <alignment vertical="center"/>
      <protection hidden="1"/>
    </xf>
    <xf numFmtId="0" fontId="15" fillId="0" borderId="43" xfId="0" applyFont="1" applyFill="1" applyBorder="1" applyAlignment="1" applyProtection="1">
      <alignment horizontal="right" vertical="center"/>
      <protection hidden="1"/>
    </xf>
    <xf numFmtId="0" fontId="68" fillId="0" borderId="43" xfId="0" applyNumberFormat="1" applyFont="1" applyFill="1" applyBorder="1" applyAlignment="1" applyProtection="1">
      <alignment horizontal="left" vertical="center"/>
      <protection hidden="1"/>
    </xf>
    <xf numFmtId="0" fontId="68" fillId="0" borderId="43" xfId="0" applyFont="1" applyFill="1" applyBorder="1" applyAlignment="1" applyProtection="1">
      <alignment vertical="center"/>
      <protection hidden="1"/>
    </xf>
    <xf numFmtId="0" fontId="68" fillId="0" borderId="44" xfId="0" applyFont="1" applyFill="1" applyBorder="1" applyAlignment="1" applyProtection="1">
      <alignment vertical="center"/>
      <protection hidden="1"/>
    </xf>
    <xf numFmtId="0" fontId="46" fillId="0" borderId="0" xfId="0" applyNumberFormat="1" applyFont="1" applyAlignment="1" applyProtection="1">
      <alignment horizontal="right" vertical="center"/>
      <protection hidden="1"/>
    </xf>
    <xf numFmtId="0" fontId="59" fillId="0" borderId="0" xfId="0" applyFont="1" applyAlignment="1" applyProtection="1">
      <alignment horizontal="left" vertical="center"/>
      <protection hidden="1"/>
    </xf>
    <xf numFmtId="0" fontId="69" fillId="0" borderId="0" xfId="0" applyFont="1" applyBorder="1" applyAlignment="1" applyProtection="1">
      <alignment vertical="top"/>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right" vertical="center"/>
      <protection hidden="1"/>
    </xf>
    <xf numFmtId="0" fontId="4" fillId="0" borderId="0" xfId="0" applyFont="1" applyFill="1" applyBorder="1" applyAlignment="1" applyProtection="1">
      <alignment vertical="center"/>
      <protection hidden="1"/>
    </xf>
    <xf numFmtId="0" fontId="4" fillId="0" borderId="0" xfId="0" applyNumberFormat="1" applyFont="1" applyFill="1" applyBorder="1" applyAlignment="1" applyProtection="1">
      <alignment horizontal="center" vertical="center"/>
      <protection hidden="1"/>
    </xf>
    <xf numFmtId="0" fontId="55" fillId="0" borderId="0" xfId="0" applyFont="1" applyProtection="1">
      <protection hidden="1"/>
    </xf>
    <xf numFmtId="0" fontId="59" fillId="0" borderId="0" xfId="0" applyFont="1" applyProtection="1">
      <protection hidden="1"/>
    </xf>
    <xf numFmtId="0" fontId="1" fillId="25" borderId="0" xfId="27" applyFont="1" applyFill="1">
      <alignment vertical="center"/>
    </xf>
    <xf numFmtId="0" fontId="1" fillId="25" borderId="10" xfId="27" applyNumberFormat="1" applyFont="1" applyFill="1" applyBorder="1" applyAlignment="1">
      <alignment horizontal="center" vertical="center"/>
    </xf>
    <xf numFmtId="0" fontId="0" fillId="25" borderId="10" xfId="27" applyFont="1" applyFill="1" applyBorder="1" applyAlignment="1">
      <alignment horizontal="center" vertical="center"/>
    </xf>
    <xf numFmtId="14" fontId="1" fillId="0" borderId="0" xfId="27" applyNumberFormat="1">
      <alignment vertical="center"/>
    </xf>
    <xf numFmtId="0" fontId="0" fillId="0" borderId="0" xfId="27" applyFont="1" applyAlignment="1">
      <alignment horizontal="left" vertical="center"/>
    </xf>
    <xf numFmtId="0" fontId="31" fillId="0" borderId="0" xfId="0" applyFont="1" applyFill="1" applyAlignment="1" applyProtection="1">
      <alignment vertical="center"/>
      <protection hidden="1"/>
    </xf>
    <xf numFmtId="0" fontId="31" fillId="0" borderId="0" xfId="0" applyFont="1" applyFill="1" applyAlignment="1" applyProtection="1">
      <alignment horizontal="right" vertical="center"/>
      <protection hidden="1"/>
    </xf>
    <xf numFmtId="0" fontId="5" fillId="0" borderId="0" xfId="0" applyFont="1" applyFill="1" applyAlignment="1" applyProtection="1">
      <alignment vertical="center"/>
      <protection hidden="1"/>
    </xf>
    <xf numFmtId="0" fontId="5" fillId="0" borderId="0" xfId="0" applyFont="1" applyFill="1" applyAlignment="1" applyProtection="1">
      <alignment horizontal="right" vertical="center"/>
      <protection hidden="1"/>
    </xf>
    <xf numFmtId="0" fontId="70" fillId="27" borderId="0" xfId="0" applyFont="1" applyFill="1" applyAlignment="1" applyProtection="1">
      <alignment horizontal="right" vertical="center"/>
      <protection hidden="1"/>
    </xf>
    <xf numFmtId="0" fontId="0" fillId="0" borderId="10" xfId="27" applyFont="1" applyBorder="1">
      <alignment vertical="center"/>
    </xf>
    <xf numFmtId="0" fontId="75" fillId="27" borderId="0" xfId="0" applyFont="1" applyFill="1" applyAlignment="1" applyProtection="1">
      <alignment horizontal="right" vertical="center"/>
      <protection hidden="1"/>
    </xf>
    <xf numFmtId="0" fontId="0" fillId="38" borderId="0" xfId="0" applyFill="1" applyAlignment="1">
      <alignment vertical="center"/>
    </xf>
    <xf numFmtId="0" fontId="1" fillId="39" borderId="10" xfId="27" applyFill="1" applyBorder="1">
      <alignment vertical="center"/>
    </xf>
    <xf numFmtId="0" fontId="1" fillId="40" borderId="10" xfId="27" applyFill="1" applyBorder="1">
      <alignment vertical="center"/>
    </xf>
    <xf numFmtId="0" fontId="1" fillId="41" borderId="0" xfId="27" applyFill="1">
      <alignment vertical="center"/>
    </xf>
    <xf numFmtId="0" fontId="76" fillId="42" borderId="0" xfId="1" applyFont="1" applyFill="1" applyAlignment="1" applyProtection="1">
      <protection hidden="1"/>
    </xf>
    <xf numFmtId="0" fontId="49" fillId="0" borderId="0" xfId="0" applyFont="1" applyAlignment="1">
      <alignment vertical="center"/>
    </xf>
    <xf numFmtId="0" fontId="72" fillId="0" borderId="0" xfId="0" applyFont="1" applyAlignment="1">
      <alignment vertical="center"/>
    </xf>
    <xf numFmtId="0" fontId="73" fillId="0" borderId="0" xfId="0" applyFont="1" applyAlignment="1">
      <alignment vertical="center"/>
    </xf>
    <xf numFmtId="0" fontId="77" fillId="0" borderId="0" xfId="0" applyFont="1" applyFill="1" applyBorder="1" applyAlignment="1" applyProtection="1">
      <alignment horizontal="left" vertical="center"/>
      <protection hidden="1"/>
    </xf>
    <xf numFmtId="0" fontId="77" fillId="0" borderId="0" xfId="0" applyFont="1" applyAlignment="1" applyProtection="1">
      <alignment horizontal="left" vertical="center"/>
      <protection hidden="1"/>
    </xf>
    <xf numFmtId="180" fontId="78" fillId="0" borderId="0" xfId="0" applyNumberFormat="1" applyFont="1" applyAlignment="1" applyProtection="1">
      <alignment vertical="center"/>
      <protection hidden="1"/>
    </xf>
    <xf numFmtId="0" fontId="1" fillId="0" borderId="10" xfId="27" applyNumberFormat="1" applyBorder="1" applyAlignment="1">
      <alignment horizontal="center" vertical="center"/>
    </xf>
    <xf numFmtId="14" fontId="1" fillId="0" borderId="10" xfId="27" applyNumberFormat="1" applyBorder="1">
      <alignment vertical="center"/>
    </xf>
    <xf numFmtId="0" fontId="10" fillId="27" borderId="10" xfId="24" applyFont="1" applyFill="1" applyBorder="1" applyAlignment="1">
      <alignment vertical="center"/>
    </xf>
    <xf numFmtId="0" fontId="8" fillId="27" borderId="10" xfId="24" applyFont="1" applyFill="1" applyBorder="1" applyAlignment="1">
      <alignment horizontal="center" vertical="center"/>
    </xf>
    <xf numFmtId="0" fontId="10" fillId="27" borderId="10" xfId="24" applyFont="1" applyFill="1" applyBorder="1" applyAlignment="1">
      <alignment horizontal="center" vertical="center"/>
    </xf>
    <xf numFmtId="176" fontId="10" fillId="27" borderId="10" xfId="24" applyNumberFormat="1" applyFont="1" applyFill="1" applyBorder="1" applyAlignment="1">
      <alignment horizontal="center" vertical="center"/>
    </xf>
    <xf numFmtId="200" fontId="8" fillId="27" borderId="10" xfId="29" applyNumberFormat="1" applyFont="1" applyFill="1" applyBorder="1" applyAlignment="1">
      <alignment vertical="center"/>
    </xf>
    <xf numFmtId="200" fontId="74" fillId="0" borderId="10" xfId="26" applyNumberFormat="1" applyFont="1" applyFill="1" applyBorder="1" applyAlignment="1">
      <alignment horizontal="right" wrapText="1"/>
    </xf>
    <xf numFmtId="0" fontId="8" fillId="27" borderId="10" xfId="0" applyFont="1" applyFill="1" applyBorder="1" applyAlignment="1">
      <alignment horizontal="center"/>
    </xf>
    <xf numFmtId="0" fontId="69" fillId="0" borderId="0" xfId="0" applyFont="1" applyAlignment="1" applyProtection="1">
      <alignment vertical="center"/>
      <protection hidden="1"/>
    </xf>
    <xf numFmtId="0" fontId="79" fillId="0" borderId="0" xfId="0" applyFont="1" applyAlignment="1" applyProtection="1">
      <alignment vertical="center"/>
      <protection hidden="1"/>
    </xf>
    <xf numFmtId="0" fontId="69" fillId="0" borderId="0" xfId="0" applyFont="1" applyAlignment="1" applyProtection="1">
      <alignment horizontal="left" vertical="center"/>
      <protection hidden="1"/>
    </xf>
    <xf numFmtId="0" fontId="69" fillId="0" borderId="0" xfId="0" applyFont="1" applyFill="1" applyAlignment="1" applyProtection="1">
      <alignment horizontal="left" vertical="center"/>
      <protection hidden="1"/>
    </xf>
    <xf numFmtId="0" fontId="69" fillId="0" borderId="0" xfId="0" applyFont="1" applyFill="1" applyBorder="1" applyAlignment="1" applyProtection="1">
      <alignment horizontal="left" vertical="center"/>
      <protection hidden="1"/>
    </xf>
    <xf numFmtId="0" fontId="0" fillId="0" borderId="10" xfId="2" applyFont="1" applyBorder="1" applyAlignment="1" applyProtection="1">
      <alignment shrinkToFit="1"/>
      <protection hidden="1"/>
    </xf>
    <xf numFmtId="0" fontId="0" fillId="43" borderId="10" xfId="0" applyFill="1" applyBorder="1" applyAlignment="1">
      <alignment vertical="center"/>
    </xf>
    <xf numFmtId="0" fontId="1" fillId="40" borderId="10" xfId="2" applyFont="1" applyFill="1" applyBorder="1" applyAlignment="1" applyProtection="1">
      <alignment shrinkToFit="1"/>
      <protection hidden="1"/>
    </xf>
    <xf numFmtId="0" fontId="0" fillId="44" borderId="10" xfId="0" applyFill="1" applyBorder="1" applyAlignment="1">
      <alignment vertical="center"/>
    </xf>
    <xf numFmtId="0" fontId="0" fillId="45" borderId="10" xfId="0" applyFill="1" applyBorder="1" applyAlignment="1">
      <alignment horizontal="center" vertical="center"/>
    </xf>
    <xf numFmtId="0" fontId="0" fillId="45" borderId="10" xfId="0" applyFill="1" applyBorder="1" applyAlignment="1">
      <alignment vertical="center"/>
    </xf>
    <xf numFmtId="0" fontId="0" fillId="46" borderId="10" xfId="0" applyFill="1" applyBorder="1" applyAlignment="1">
      <alignment vertical="center"/>
    </xf>
    <xf numFmtId="0" fontId="1" fillId="0" borderId="10" xfId="2" applyFont="1" applyBorder="1" applyAlignment="1" applyProtection="1">
      <alignment horizontal="center" shrinkToFit="1"/>
      <protection hidden="1"/>
    </xf>
    <xf numFmtId="0" fontId="80" fillId="0" borderId="0" xfId="0" applyFont="1" applyFill="1" applyBorder="1" applyAlignment="1" applyProtection="1">
      <alignment vertical="center"/>
      <protection hidden="1"/>
    </xf>
    <xf numFmtId="180" fontId="77" fillId="0" borderId="0" xfId="0" applyNumberFormat="1" applyFont="1" applyFill="1" applyAlignment="1" applyProtection="1">
      <alignment vertical="center"/>
      <protection hidden="1"/>
    </xf>
    <xf numFmtId="0" fontId="59" fillId="0" borderId="0" xfId="0" applyFont="1" applyAlignment="1" applyProtection="1">
      <alignment vertical="center"/>
      <protection hidden="1"/>
    </xf>
    <xf numFmtId="0" fontId="81" fillId="47" borderId="0" xfId="27" applyFont="1" applyFill="1">
      <alignment vertical="center"/>
    </xf>
    <xf numFmtId="0" fontId="1" fillId="47" borderId="0" xfId="27" applyFill="1">
      <alignment vertical="center"/>
    </xf>
    <xf numFmtId="183" fontId="11" fillId="0" borderId="0" xfId="0" applyNumberFormat="1" applyFont="1" applyAlignment="1" applyProtection="1">
      <alignment horizontal="right" vertical="center"/>
      <protection hidden="1"/>
    </xf>
    <xf numFmtId="0" fontId="41" fillId="27" borderId="10" xfId="0" applyFont="1" applyFill="1" applyBorder="1" applyAlignment="1" applyProtection="1">
      <alignment horizontal="center" vertical="center"/>
      <protection hidden="1"/>
    </xf>
    <xf numFmtId="0" fontId="8" fillId="27" borderId="10" xfId="24" applyFont="1" applyFill="1" applyBorder="1" applyAlignment="1">
      <alignment horizontal="center" vertical="center"/>
    </xf>
    <xf numFmtId="0" fontId="0" fillId="0" borderId="0" xfId="0" applyFill="1" applyAlignment="1">
      <alignment horizontal="center" vertical="center"/>
    </xf>
    <xf numFmtId="0" fontId="0" fillId="24" borderId="0" xfId="0" applyFill="1" applyAlignment="1">
      <alignment horizontal="center" vertical="center"/>
    </xf>
    <xf numFmtId="0" fontId="31" fillId="25" borderId="45" xfId="0" applyFont="1" applyFill="1" applyBorder="1" applyAlignment="1" applyProtection="1">
      <alignment horizontal="center" vertical="center" shrinkToFit="1"/>
      <protection locked="0"/>
    </xf>
    <xf numFmtId="0" fontId="31" fillId="25" borderId="46" xfId="0" applyFont="1" applyFill="1" applyBorder="1" applyAlignment="1" applyProtection="1">
      <alignment horizontal="center" vertical="center" shrinkToFit="1"/>
      <protection locked="0"/>
    </xf>
    <xf numFmtId="0" fontId="31" fillId="27" borderId="0" xfId="0" applyFont="1" applyFill="1" applyAlignment="1" applyProtection="1">
      <alignment horizontal="center" vertical="center"/>
      <protection hidden="1"/>
    </xf>
    <xf numFmtId="0" fontId="31" fillId="25" borderId="45" xfId="0" applyFont="1" applyFill="1" applyBorder="1" applyAlignment="1" applyProtection="1">
      <alignment horizontal="center" vertical="center"/>
      <protection locked="0"/>
    </xf>
    <xf numFmtId="0" fontId="31" fillId="25" borderId="46" xfId="0" applyFont="1" applyFill="1" applyBorder="1" applyAlignment="1" applyProtection="1">
      <alignment horizontal="center" vertical="center"/>
      <protection locked="0"/>
    </xf>
    <xf numFmtId="0" fontId="31" fillId="27" borderId="0" xfId="0" applyFont="1" applyFill="1" applyAlignment="1" applyProtection="1">
      <alignment horizontal="right" vertical="center"/>
      <protection hidden="1"/>
    </xf>
    <xf numFmtId="10" fontId="31" fillId="0" borderId="0" xfId="0" applyNumberFormat="1" applyFont="1" applyFill="1" applyBorder="1" applyAlignment="1" applyProtection="1">
      <alignment horizontal="center" vertical="center"/>
      <protection hidden="1"/>
    </xf>
    <xf numFmtId="177" fontId="31" fillId="25" borderId="45" xfId="0" applyNumberFormat="1" applyFont="1" applyFill="1" applyBorder="1" applyAlignment="1" applyProtection="1">
      <alignment horizontal="center" vertical="center"/>
      <protection locked="0"/>
    </xf>
    <xf numFmtId="177" fontId="31" fillId="25" borderId="46" xfId="0" applyNumberFormat="1" applyFont="1" applyFill="1" applyBorder="1" applyAlignment="1" applyProtection="1">
      <alignment horizontal="center" vertical="center"/>
      <protection locked="0"/>
    </xf>
    <xf numFmtId="0" fontId="31" fillId="27" borderId="0" xfId="0"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shrinkToFit="1"/>
      <protection hidden="1"/>
    </xf>
    <xf numFmtId="0" fontId="40" fillId="27" borderId="0" xfId="0" applyFont="1" applyFill="1" applyAlignment="1" applyProtection="1">
      <alignment horizontal="right" vertical="center"/>
      <protection hidden="1"/>
    </xf>
    <xf numFmtId="0" fontId="31" fillId="25" borderId="28" xfId="0" applyFont="1" applyFill="1" applyBorder="1" applyAlignment="1" applyProtection="1">
      <alignment horizontal="center" vertical="center" shrinkToFit="1"/>
      <protection locked="0"/>
    </xf>
    <xf numFmtId="0" fontId="31" fillId="25" borderId="21" xfId="0" applyFont="1" applyFill="1" applyBorder="1" applyAlignment="1" applyProtection="1">
      <alignment horizontal="center" vertical="center" shrinkToFit="1"/>
      <protection locked="0"/>
    </xf>
    <xf numFmtId="0" fontId="34" fillId="0"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0" fillId="27" borderId="0" xfId="0" applyFont="1" applyFill="1" applyAlignment="1" applyProtection="1">
      <alignment horizontal="left" vertical="top" wrapText="1"/>
      <protection hidden="1"/>
    </xf>
    <xf numFmtId="0" fontId="31" fillId="25" borderId="28" xfId="0" applyFont="1" applyFill="1" applyBorder="1" applyAlignment="1" applyProtection="1">
      <alignment horizontal="center" vertical="center"/>
      <protection locked="0"/>
    </xf>
    <xf numFmtId="0" fontId="31" fillId="25" borderId="21" xfId="0" applyFont="1" applyFill="1" applyBorder="1" applyAlignment="1" applyProtection="1">
      <alignment horizontal="center" vertical="center"/>
      <protection locked="0"/>
    </xf>
    <xf numFmtId="0" fontId="31" fillId="27" borderId="0" xfId="0" applyFont="1" applyFill="1" applyBorder="1" applyAlignment="1" applyProtection="1">
      <alignment horizontal="right" vertical="center"/>
      <protection hidden="1"/>
    </xf>
    <xf numFmtId="0" fontId="31" fillId="25" borderId="28" xfId="0" applyNumberFormat="1" applyFont="1" applyFill="1" applyBorder="1" applyAlignment="1" applyProtection="1">
      <alignment horizontal="center" vertical="center"/>
      <protection locked="0"/>
    </xf>
    <xf numFmtId="0" fontId="31" fillId="25" borderId="21" xfId="0" applyNumberFormat="1" applyFont="1" applyFill="1" applyBorder="1" applyAlignment="1" applyProtection="1">
      <alignment horizontal="center" vertical="center"/>
      <protection locked="0"/>
    </xf>
    <xf numFmtId="177" fontId="31" fillId="25" borderId="28" xfId="0" applyNumberFormat="1" applyFont="1" applyFill="1" applyBorder="1" applyAlignment="1" applyProtection="1">
      <alignment horizontal="center" vertical="center"/>
      <protection locked="0"/>
    </xf>
    <xf numFmtId="177" fontId="31" fillId="25" borderId="21" xfId="0" applyNumberFormat="1" applyFont="1" applyFill="1" applyBorder="1" applyAlignment="1" applyProtection="1">
      <alignment horizontal="center" vertical="center"/>
      <protection locked="0"/>
    </xf>
    <xf numFmtId="0" fontId="35" fillId="27" borderId="1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xf>
    <xf numFmtId="0" fontId="34" fillId="25" borderId="28" xfId="0" applyFont="1" applyFill="1" applyBorder="1" applyAlignment="1" applyProtection="1">
      <alignment horizontal="center" vertical="center"/>
      <protection locked="0"/>
    </xf>
    <xf numFmtId="0" fontId="0" fillId="0" borderId="46" xfId="0" applyBorder="1" applyAlignment="1" applyProtection="1">
      <alignment vertical="center"/>
      <protection locked="0"/>
    </xf>
    <xf numFmtId="10" fontId="31" fillId="25" borderId="28" xfId="0" applyNumberFormat="1" applyFont="1" applyFill="1" applyBorder="1" applyAlignment="1" applyProtection="1">
      <alignment horizontal="center" vertical="center"/>
      <protection locked="0"/>
    </xf>
    <xf numFmtId="10" fontId="31" fillId="25" borderId="21" xfId="0" applyNumberFormat="1" applyFont="1" applyFill="1" applyBorder="1" applyAlignment="1" applyProtection="1">
      <alignment horizontal="center" vertical="center"/>
      <protection locked="0"/>
    </xf>
    <xf numFmtId="0" fontId="6" fillId="0" borderId="0" xfId="0" applyFont="1" applyAlignment="1" applyProtection="1">
      <alignment horizontal="left" vertical="center" shrinkToFit="1"/>
      <protection hidden="1"/>
    </xf>
    <xf numFmtId="177" fontId="31" fillId="0" borderId="28" xfId="0" applyNumberFormat="1" applyFont="1" applyBorder="1" applyAlignment="1" applyProtection="1">
      <alignment horizontal="right" vertical="center"/>
      <protection hidden="1"/>
    </xf>
    <xf numFmtId="177" fontId="31" fillId="0" borderId="21" xfId="0" applyNumberFormat="1" applyFont="1" applyBorder="1" applyAlignment="1" applyProtection="1">
      <alignment horizontal="right" vertical="center"/>
      <protection hidden="1"/>
    </xf>
    <xf numFmtId="0" fontId="55" fillId="0" borderId="0" xfId="0" applyFont="1" applyAlignment="1" applyProtection="1">
      <alignment horizontal="center" vertical="center"/>
      <protection hidden="1"/>
    </xf>
    <xf numFmtId="0" fontId="31" fillId="0" borderId="0" xfId="0" applyNumberFormat="1" applyFont="1" applyAlignment="1" applyProtection="1">
      <alignment horizontal="right" vertical="center"/>
      <protection hidden="1"/>
    </xf>
    <xf numFmtId="49" fontId="43" fillId="0" borderId="0" xfId="0" applyNumberFormat="1" applyFont="1" applyAlignment="1" applyProtection="1">
      <alignment horizontal="left"/>
      <protection hidden="1"/>
    </xf>
    <xf numFmtId="0" fontId="48" fillId="37" borderId="10" xfId="0" applyFont="1" applyFill="1" applyBorder="1" applyAlignment="1" applyProtection="1">
      <alignment horizontal="center" vertical="center"/>
      <protection hidden="1"/>
    </xf>
    <xf numFmtId="0" fontId="11" fillId="0" borderId="10" xfId="0" applyFont="1" applyBorder="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14" fillId="0" borderId="10"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36" fillId="0" borderId="10" xfId="0" applyFont="1" applyFill="1" applyBorder="1" applyAlignment="1" applyProtection="1">
      <alignment horizontal="center" vertical="center" wrapText="1"/>
      <protection hidden="1"/>
    </xf>
    <xf numFmtId="0" fontId="11" fillId="37" borderId="10" xfId="0" applyFont="1" applyFill="1" applyBorder="1" applyAlignment="1" applyProtection="1">
      <alignment horizontal="center" vertical="center"/>
      <protection hidden="1"/>
    </xf>
    <xf numFmtId="0" fontId="46" fillId="0" borderId="0" xfId="0" applyNumberFormat="1" applyFont="1" applyAlignment="1" applyProtection="1">
      <alignment horizontal="right" vertical="center"/>
      <protection hidden="1"/>
    </xf>
    <xf numFmtId="0" fontId="36" fillId="0" borderId="28" xfId="0" applyFont="1" applyFill="1" applyBorder="1" applyAlignment="1" applyProtection="1">
      <alignment horizontal="center" vertical="center" wrapText="1"/>
      <protection hidden="1"/>
    </xf>
    <xf numFmtId="0" fontId="36" fillId="0" borderId="17" xfId="0" applyFont="1" applyFill="1" applyBorder="1" applyAlignment="1" applyProtection="1">
      <alignment horizontal="center" vertical="center" wrapText="1"/>
      <protection hidden="1"/>
    </xf>
    <xf numFmtId="0" fontId="36" fillId="0" borderId="21" xfId="0" applyFont="1" applyFill="1" applyBorder="1" applyAlignment="1" applyProtection="1">
      <alignment horizontal="center" vertical="center" wrapText="1"/>
      <protection hidden="1"/>
    </xf>
    <xf numFmtId="0" fontId="58" fillId="0" borderId="14" xfId="0" applyFont="1" applyFill="1" applyBorder="1" applyAlignment="1" applyProtection="1">
      <alignment horizontal="center" vertical="center" wrapText="1"/>
      <protection hidden="1"/>
    </xf>
    <xf numFmtId="0" fontId="58" fillId="0" borderId="11" xfId="0" applyFont="1" applyFill="1" applyBorder="1" applyAlignment="1" applyProtection="1">
      <alignment horizontal="center" vertical="center" wrapText="1"/>
      <protection hidden="1"/>
    </xf>
    <xf numFmtId="0" fontId="39" fillId="0" borderId="40" xfId="0" applyFont="1" applyFill="1" applyBorder="1" applyAlignment="1" applyProtection="1">
      <alignment horizontal="left" vertical="center" shrinkToFit="1"/>
      <protection hidden="1"/>
    </xf>
    <xf numFmtId="0" fontId="39" fillId="0" borderId="0" xfId="0" applyFont="1" applyFill="1" applyBorder="1" applyAlignment="1" applyProtection="1">
      <alignment horizontal="left" vertical="center" shrinkToFit="1"/>
      <protection hidden="1"/>
    </xf>
    <xf numFmtId="0" fontId="39" fillId="0" borderId="41" xfId="0" applyFont="1" applyFill="1" applyBorder="1" applyAlignment="1" applyProtection="1">
      <alignment horizontal="left" vertical="center" shrinkToFit="1"/>
      <protection hidden="1"/>
    </xf>
    <xf numFmtId="0" fontId="7" fillId="27" borderId="13" xfId="0" applyFont="1" applyFill="1" applyBorder="1" applyAlignment="1" applyProtection="1">
      <alignment horizontal="center" vertical="center" wrapText="1"/>
      <protection hidden="1"/>
    </xf>
    <xf numFmtId="0" fontId="36" fillId="0" borderId="14" xfId="0" applyFont="1" applyFill="1" applyBorder="1" applyAlignment="1" applyProtection="1">
      <alignment horizontal="center" vertical="center" wrapText="1"/>
      <protection hidden="1"/>
    </xf>
    <xf numFmtId="0" fontId="36" fillId="0" borderId="11" xfId="0" applyFont="1" applyFill="1" applyBorder="1" applyAlignment="1" applyProtection="1">
      <alignment horizontal="center" vertical="center" wrapText="1"/>
      <protection hidden="1"/>
    </xf>
    <xf numFmtId="10" fontId="31" fillId="0" borderId="10" xfId="0" applyNumberFormat="1" applyFont="1" applyBorder="1" applyAlignment="1" applyProtection="1">
      <alignment horizontal="center" vertical="center"/>
      <protection hidden="1"/>
    </xf>
    <xf numFmtId="10" fontId="31" fillId="0" borderId="28" xfId="0" applyNumberFormat="1" applyFont="1" applyBorder="1" applyAlignment="1" applyProtection="1">
      <alignment horizontal="center" vertical="center"/>
      <protection hidden="1"/>
    </xf>
    <xf numFmtId="10" fontId="31" fillId="0" borderId="21" xfId="0" applyNumberFormat="1" applyFont="1" applyBorder="1" applyAlignment="1" applyProtection="1">
      <alignment horizontal="center" vertical="center"/>
      <protection hidden="1"/>
    </xf>
    <xf numFmtId="0" fontId="62" fillId="37" borderId="10" xfId="0" applyFont="1" applyFill="1" applyBorder="1" applyAlignment="1" applyProtection="1">
      <alignment horizontal="center" vertical="center" shrinkToFit="1"/>
      <protection hidden="1"/>
    </xf>
    <xf numFmtId="0" fontId="39" fillId="0" borderId="38" xfId="0" applyFont="1" applyFill="1" applyBorder="1" applyAlignment="1" applyProtection="1">
      <alignment horizontal="right" vertical="center"/>
      <protection hidden="1"/>
    </xf>
    <xf numFmtId="0" fontId="39" fillId="0" borderId="40" xfId="0" applyFont="1" applyBorder="1" applyAlignment="1" applyProtection="1">
      <alignment horizontal="left" vertical="center"/>
      <protection hidden="1"/>
    </xf>
    <xf numFmtId="0" fontId="39" fillId="0" borderId="0" xfId="0" applyFont="1" applyBorder="1" applyAlignment="1" applyProtection="1">
      <alignment horizontal="left" vertical="center"/>
      <protection hidden="1"/>
    </xf>
    <xf numFmtId="0" fontId="39" fillId="0" borderId="41" xfId="0" applyFont="1" applyBorder="1" applyAlignment="1" applyProtection="1">
      <alignment horizontal="left" vertical="center"/>
      <protection hidden="1"/>
    </xf>
    <xf numFmtId="0" fontId="44" fillId="0" borderId="10"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6" fillId="0" borderId="0" xfId="0" applyFont="1" applyAlignment="1" applyProtection="1">
      <alignment horizontal="center" vertical="center"/>
      <protection hidden="1"/>
    </xf>
  </cellXfs>
  <cellStyles count="54">
    <cellStyle name="_x000e__x0008__x000a_" xfId="1"/>
    <cellStyle name="_x000e__x0008__x000a_ 2" xfId="2"/>
    <cellStyle name="_x000a_386grabber=v" xfId="3"/>
    <cellStyle name="20% - 輔色1" xfId="4" builtinId="30" customBuiltin="1"/>
    <cellStyle name="20% - 輔色2" xfId="5" builtinId="34" customBuiltin="1"/>
    <cellStyle name="20% - 輔色3" xfId="6" builtinId="38" customBuiltin="1"/>
    <cellStyle name="20% - 輔色4" xfId="7" builtinId="42" customBuiltin="1"/>
    <cellStyle name="20% - 輔色5" xfId="8" builtinId="46" customBuiltin="1"/>
    <cellStyle name="20% - 輔色6" xfId="9" builtinId="50" customBuiltin="1"/>
    <cellStyle name="40% - 輔色1" xfId="10" builtinId="31" customBuiltin="1"/>
    <cellStyle name="40% - 輔色2" xfId="11" builtinId="35" customBuiltin="1"/>
    <cellStyle name="40% - 輔色3" xfId="12" builtinId="39" customBuiltin="1"/>
    <cellStyle name="40% - 輔色4" xfId="13" builtinId="43" customBuiltin="1"/>
    <cellStyle name="40% - 輔色5" xfId="14" builtinId="47" customBuiltin="1"/>
    <cellStyle name="40% - 輔色6" xfId="15" builtinId="51" customBuiltin="1"/>
    <cellStyle name="60% - 輔色1" xfId="16" builtinId="32" customBuiltin="1"/>
    <cellStyle name="60% - 輔色2" xfId="17" builtinId="36" customBuiltin="1"/>
    <cellStyle name="60% - 輔色3" xfId="18" builtinId="40" customBuiltin="1"/>
    <cellStyle name="60% - 輔色4" xfId="19" builtinId="44" customBuiltin="1"/>
    <cellStyle name="60% - 輔色5" xfId="20" builtinId="48" customBuiltin="1"/>
    <cellStyle name="60% - 輔色6" xfId="21" builtinId="52" customBuiltin="1"/>
    <cellStyle name="一般" xfId="0" builtinId="0"/>
    <cellStyle name="一般_AUT-TEST" xfId="22"/>
    <cellStyle name="一般_data" xfId="23"/>
    <cellStyle name="一般_Sheet1" xfId="24"/>
    <cellStyle name="一般_TSB-安心守護HIH專案試算表" xfId="25"/>
    <cellStyle name="一般_工作表2" xfId="26"/>
    <cellStyle name="一般_我用的-年齡計算函數e" xfId="27"/>
    <cellStyle name="一般_複本 年金金額表_for 商行" xfId="28"/>
    <cellStyle name="千分位" xfId="29" builtinId="3"/>
    <cellStyle name="中等" xfId="30" builtinId="28" customBuiltin="1"/>
    <cellStyle name="合計" xfId="31" builtinId="25" customBuiltin="1"/>
    <cellStyle name="好" xfId="32" builtinId="26" customBuiltin="1"/>
    <cellStyle name="百分比" xfId="33" builtinId="5"/>
    <cellStyle name="計算方式" xfId="34" builtinId="22" customBuiltin="1"/>
    <cellStyle name="連結的儲存格" xfId="35" builtinId="24" customBuiltin="1"/>
    <cellStyle name="備註" xfId="36" builtinId="10" customBuiltin="1"/>
    <cellStyle name="說明文字" xfId="37" builtinId="53" customBuiltin="1"/>
    <cellStyle name="輔色1" xfId="38" builtinId="29" customBuiltin="1"/>
    <cellStyle name="輔色2" xfId="39" builtinId="33" customBuiltin="1"/>
    <cellStyle name="輔色3" xfId="40" builtinId="37" customBuiltin="1"/>
    <cellStyle name="輔色4" xfId="41" builtinId="41" customBuiltin="1"/>
    <cellStyle name="輔色5" xfId="42" builtinId="45" customBuiltin="1"/>
    <cellStyle name="輔色6" xfId="43" builtinId="49" customBuiltin="1"/>
    <cellStyle name="標題" xfId="44" builtinId="15" customBuiltin="1"/>
    <cellStyle name="標題 1" xfId="45" builtinId="16" customBuiltin="1"/>
    <cellStyle name="標題 2" xfId="46" builtinId="17" customBuiltin="1"/>
    <cellStyle name="標題 3" xfId="47" builtinId="18" customBuiltin="1"/>
    <cellStyle name="標題 4" xfId="48" builtinId="19" customBuiltin="1"/>
    <cellStyle name="輸入" xfId="49" builtinId="20" customBuiltin="1"/>
    <cellStyle name="輸出" xfId="50" builtinId="21" customBuiltin="1"/>
    <cellStyle name="檢查儲存格" xfId="51" builtinId="23" customBuiltin="1"/>
    <cellStyle name="壞" xfId="52" builtinId="27" customBuiltin="1"/>
    <cellStyle name="警告文字" xfId="53" builtinId="11" customBuiltin="1"/>
  </cellStyles>
  <dxfs count="38">
    <dxf>
      <font>
        <b/>
        <i val="0"/>
        <condense val="0"/>
        <extend val="0"/>
        <color indexed="10"/>
      </font>
    </dxf>
    <dxf>
      <font>
        <b/>
        <i val="0"/>
        <strike/>
        <condense val="0"/>
        <extend val="0"/>
        <color indexed="9"/>
      </font>
      <fill>
        <patternFill>
          <bgColor indexed="10"/>
        </patternFill>
      </fill>
    </dxf>
    <dxf>
      <fill>
        <patternFill>
          <bgColor indexed="42"/>
        </patternFill>
      </fill>
    </dxf>
    <dxf>
      <fill>
        <patternFill>
          <bgColor indexed="42"/>
        </patternFill>
      </fill>
    </dxf>
    <dxf>
      <fill>
        <patternFill>
          <bgColor indexed="42"/>
        </patternFill>
      </fill>
    </dxf>
    <dxf>
      <font>
        <b/>
        <i val="0"/>
        <strike/>
        <color theme="0"/>
      </font>
      <fill>
        <patternFill>
          <bgColor rgb="FFFF0000"/>
        </patternFill>
      </fill>
    </dxf>
    <dxf>
      <font>
        <b/>
        <i val="0"/>
        <strike/>
        <condense val="0"/>
        <extend val="0"/>
        <color indexed="10"/>
      </font>
    </dxf>
    <dxf>
      <font>
        <b/>
        <i val="0"/>
        <strike/>
        <condense val="0"/>
        <extend val="0"/>
        <color indexed="10"/>
      </font>
    </dxf>
    <dxf>
      <font>
        <b/>
        <i val="0"/>
        <strike/>
        <condense val="0"/>
        <extend val="0"/>
        <color indexed="10"/>
      </font>
    </dxf>
    <dxf>
      <font>
        <b/>
        <i val="0"/>
        <strike/>
        <condense val="0"/>
        <extend val="0"/>
        <color indexed="10"/>
      </font>
    </dxf>
    <dxf>
      <font>
        <b/>
        <i val="0"/>
        <strike/>
        <condense val="0"/>
        <extend val="0"/>
        <color indexed="9"/>
      </font>
      <fill>
        <patternFill>
          <bgColor indexed="10"/>
        </patternFill>
      </fill>
    </dxf>
    <dxf>
      <font>
        <b/>
        <i val="0"/>
        <condense val="0"/>
        <extend val="0"/>
        <color indexed="9"/>
      </font>
      <fill>
        <patternFill>
          <bgColor indexed="10"/>
        </patternFill>
      </fill>
    </dxf>
    <dxf>
      <font>
        <b/>
        <i val="0"/>
        <strike/>
        <condense val="0"/>
        <extend val="0"/>
        <color indexed="9"/>
      </font>
      <fill>
        <patternFill>
          <bgColor indexed="10"/>
        </patternFill>
      </fill>
    </dxf>
    <dxf>
      <font>
        <color theme="0"/>
      </font>
      <fill>
        <patternFill>
          <bgColor theme="0"/>
        </patternFill>
      </fill>
      <border>
        <left/>
        <right/>
        <top/>
        <bottom/>
      </border>
    </dxf>
    <dxf>
      <font>
        <b/>
        <i val="0"/>
        <strike/>
        <condense val="0"/>
        <extend val="0"/>
        <color indexed="9"/>
      </font>
      <fill>
        <patternFill>
          <bgColor indexed="10"/>
        </patternFill>
      </fill>
    </dxf>
    <dxf>
      <font>
        <b/>
        <i val="0"/>
        <condense val="0"/>
        <extend val="0"/>
        <color indexed="9"/>
      </font>
      <fill>
        <patternFill>
          <bgColor indexed="10"/>
        </patternFill>
      </fill>
    </dxf>
    <dxf>
      <font>
        <b/>
        <i val="0"/>
        <strike/>
        <condense val="0"/>
        <extend val="0"/>
        <color indexed="9"/>
      </font>
      <fill>
        <patternFill>
          <bgColor indexed="10"/>
        </patternFill>
      </fill>
    </dxf>
    <dxf>
      <font>
        <condense val="0"/>
        <extend val="0"/>
        <color indexed="9"/>
      </font>
      <fill>
        <patternFill>
          <bgColor indexed="9"/>
        </patternFill>
      </fill>
      <border>
        <left/>
        <right/>
        <top/>
        <bottom/>
      </border>
    </dxf>
    <dxf>
      <font>
        <b/>
        <i val="0"/>
        <strike/>
        <color theme="0"/>
        <name val="新細明體"/>
        <scheme val="none"/>
      </font>
      <fill>
        <patternFill>
          <bgColor rgb="FFFF0000"/>
        </patternFill>
      </fill>
    </dxf>
    <dxf>
      <font>
        <color theme="0"/>
      </font>
      <fill>
        <patternFill>
          <bgColor theme="0"/>
        </patternFill>
      </fill>
      <border>
        <left/>
        <right/>
        <top/>
        <bottom/>
      </border>
    </dxf>
    <dxf>
      <font>
        <b/>
        <i val="0"/>
        <strike/>
        <color theme="0"/>
        <name val="新細明體"/>
        <scheme val="none"/>
      </font>
      <fill>
        <patternFill>
          <bgColor rgb="FFFF0000"/>
        </patternFill>
      </fill>
    </dxf>
    <dxf>
      <font>
        <b/>
        <i val="0"/>
        <strike/>
        <condense val="0"/>
        <extend val="0"/>
        <color indexed="10"/>
      </font>
    </dxf>
    <dxf>
      <font>
        <b/>
        <i val="0"/>
        <strike/>
        <condense val="0"/>
        <extend val="0"/>
        <color indexed="10"/>
      </font>
    </dxf>
    <dxf>
      <font>
        <b/>
        <i val="0"/>
        <strike/>
        <condense val="0"/>
        <extend val="0"/>
        <color indexed="10"/>
      </font>
    </dxf>
    <dxf>
      <font>
        <b/>
        <i val="0"/>
        <strike/>
        <condense val="0"/>
        <extend val="0"/>
        <color indexed="10"/>
      </font>
    </dxf>
    <dxf>
      <font>
        <condense val="0"/>
        <extend val="0"/>
        <color indexed="9"/>
      </font>
      <fill>
        <patternFill patternType="none">
          <bgColor indexed="65"/>
        </patternFill>
      </fill>
    </dxf>
    <dxf>
      <font>
        <condense val="0"/>
        <extend val="0"/>
        <color indexed="9"/>
      </font>
      <fill>
        <patternFill>
          <bgColor indexed="9"/>
        </patternFill>
      </fill>
    </dxf>
    <dxf>
      <font>
        <condense val="0"/>
        <extend val="0"/>
        <color auto="1"/>
      </font>
      <fill>
        <patternFill>
          <bgColor indexed="41"/>
        </patternFill>
      </fill>
    </dxf>
    <dxf>
      <font>
        <condense val="0"/>
        <extend val="0"/>
        <color indexed="9"/>
      </font>
      <fill>
        <patternFill>
          <bgColor indexed="9"/>
        </patternFill>
      </fill>
    </dxf>
    <dxf>
      <font>
        <condense val="0"/>
        <extend val="0"/>
        <color auto="1"/>
      </font>
      <fill>
        <patternFill>
          <bgColor indexed="41"/>
        </patternFill>
      </fill>
    </dxf>
    <dxf>
      <font>
        <condense val="0"/>
        <extend val="0"/>
        <color indexed="9"/>
      </font>
      <fill>
        <patternFill>
          <bgColor indexed="9"/>
        </patternFill>
      </fill>
    </dxf>
    <dxf>
      <font>
        <condense val="0"/>
        <extend val="0"/>
        <color auto="1"/>
      </font>
      <fill>
        <patternFill>
          <bgColor indexed="41"/>
        </patternFill>
      </fill>
    </dxf>
    <dxf>
      <font>
        <condense val="0"/>
        <extend val="0"/>
        <color indexed="9"/>
      </font>
      <fill>
        <patternFill>
          <bgColor indexed="9"/>
        </patternFill>
      </fill>
    </dxf>
    <dxf>
      <font>
        <condense val="0"/>
        <extend val="0"/>
        <color auto="1"/>
      </font>
      <fill>
        <patternFill>
          <bgColor indexed="41"/>
        </patternFill>
      </fill>
    </dxf>
    <dxf>
      <font>
        <condense val="0"/>
        <extend val="0"/>
        <color indexed="9"/>
      </font>
      <fill>
        <patternFill>
          <bgColor indexed="9"/>
        </patternFill>
      </fill>
    </dxf>
    <dxf>
      <font>
        <condense val="0"/>
        <extend val="0"/>
        <color auto="1"/>
      </font>
      <fill>
        <patternFill>
          <bgColor indexed="41"/>
        </patternFill>
      </fill>
    </dxf>
    <dxf>
      <border>
        <bottom style="thin">
          <color indexed="10"/>
        </bottom>
      </border>
    </dxf>
    <dxf>
      <border>
        <bottom style="thin">
          <color indexed="10"/>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9</xdr:col>
      <xdr:colOff>514350</xdr:colOff>
      <xdr:row>5</xdr:row>
      <xdr:rowOff>123825</xdr:rowOff>
    </xdr:from>
    <xdr:to>
      <xdr:col>13</xdr:col>
      <xdr:colOff>95250</xdr:colOff>
      <xdr:row>27</xdr:row>
      <xdr:rowOff>66675</xdr:rowOff>
    </xdr:to>
    <xdr:sp macro="" textlink="">
      <xdr:nvSpPr>
        <xdr:cNvPr id="17315" name="Rectangle 7"/>
        <xdr:cNvSpPr>
          <a:spLocks noChangeArrowheads="1"/>
        </xdr:cNvSpPr>
      </xdr:nvSpPr>
      <xdr:spPr bwMode="auto">
        <a:xfrm>
          <a:off x="7353300" y="962025"/>
          <a:ext cx="3057525" cy="2714625"/>
        </a:xfrm>
        <a:prstGeom prst="rect">
          <a:avLst/>
        </a:prstGeom>
        <a:noFill/>
        <a:ln w="38100">
          <a:solidFill>
            <a:srgbClr val="008080"/>
          </a:solidFill>
          <a:miter lim="800000"/>
          <a:headEnd/>
          <a:tailEnd/>
        </a:ln>
      </xdr:spPr>
    </xdr:sp>
    <xdr:clientData/>
  </xdr:twoCellAnchor>
  <xdr:twoCellAnchor>
    <xdr:from>
      <xdr:col>5</xdr:col>
      <xdr:colOff>276225</xdr:colOff>
      <xdr:row>4</xdr:row>
      <xdr:rowOff>9525</xdr:rowOff>
    </xdr:from>
    <xdr:to>
      <xdr:col>13</xdr:col>
      <xdr:colOff>238125</xdr:colOff>
      <xdr:row>46</xdr:row>
      <xdr:rowOff>0</xdr:rowOff>
    </xdr:to>
    <xdr:sp macro="" textlink="">
      <xdr:nvSpPr>
        <xdr:cNvPr id="17316" name="Rectangle 10"/>
        <xdr:cNvSpPr>
          <a:spLocks noChangeArrowheads="1"/>
        </xdr:cNvSpPr>
      </xdr:nvSpPr>
      <xdr:spPr bwMode="auto">
        <a:xfrm>
          <a:off x="3648075" y="590550"/>
          <a:ext cx="6905625" cy="3543300"/>
        </a:xfrm>
        <a:prstGeom prst="rect">
          <a:avLst/>
        </a:prstGeom>
        <a:noFill/>
        <a:ln w="38100">
          <a:solidFill>
            <a:srgbClr val="3366FF"/>
          </a:solidFill>
          <a:miter lim="800000"/>
          <a:headEnd/>
          <a:tailEnd/>
        </a:ln>
      </xdr:spPr>
    </xdr:sp>
    <xdr:clientData/>
  </xdr:twoCellAnchor>
  <xdr:twoCellAnchor>
    <xdr:from>
      <xdr:col>1</xdr:col>
      <xdr:colOff>9525</xdr:colOff>
      <xdr:row>4</xdr:row>
      <xdr:rowOff>9525</xdr:rowOff>
    </xdr:from>
    <xdr:to>
      <xdr:col>5</xdr:col>
      <xdr:colOff>190500</xdr:colOff>
      <xdr:row>45</xdr:row>
      <xdr:rowOff>200025</xdr:rowOff>
    </xdr:to>
    <xdr:sp macro="" textlink="">
      <xdr:nvSpPr>
        <xdr:cNvPr id="17317" name="Rectangle 11"/>
        <xdr:cNvSpPr>
          <a:spLocks noChangeArrowheads="1"/>
        </xdr:cNvSpPr>
      </xdr:nvSpPr>
      <xdr:spPr bwMode="auto">
        <a:xfrm>
          <a:off x="285750" y="590550"/>
          <a:ext cx="3276600" cy="3533775"/>
        </a:xfrm>
        <a:prstGeom prst="rect">
          <a:avLst/>
        </a:prstGeom>
        <a:noFill/>
        <a:ln w="38100">
          <a:solidFill>
            <a:srgbClr val="3366FF"/>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219075</xdr:colOff>
      <xdr:row>381</xdr:row>
      <xdr:rowOff>371475</xdr:rowOff>
    </xdr:from>
    <xdr:to>
      <xdr:col>8</xdr:col>
      <xdr:colOff>438150</xdr:colOff>
      <xdr:row>381</xdr:row>
      <xdr:rowOff>371475</xdr:rowOff>
    </xdr:to>
    <xdr:sp macro="" textlink="">
      <xdr:nvSpPr>
        <xdr:cNvPr id="28239" name="Line 353"/>
        <xdr:cNvSpPr>
          <a:spLocks noChangeShapeType="1"/>
        </xdr:cNvSpPr>
      </xdr:nvSpPr>
      <xdr:spPr bwMode="auto">
        <a:xfrm>
          <a:off x="1247775" y="76085700"/>
          <a:ext cx="3152775" cy="0"/>
        </a:xfrm>
        <a:prstGeom prst="line">
          <a:avLst/>
        </a:prstGeom>
        <a:noFill/>
        <a:ln w="19050">
          <a:solidFill>
            <a:srgbClr val="000000"/>
          </a:solidFill>
          <a:round/>
          <a:headEnd/>
          <a:tailEnd/>
        </a:ln>
      </xdr:spPr>
    </xdr:sp>
    <xdr:clientData/>
  </xdr:twoCellAnchor>
  <xdr:twoCellAnchor>
    <xdr:from>
      <xdr:col>10</xdr:col>
      <xdr:colOff>571500</xdr:colOff>
      <xdr:row>381</xdr:row>
      <xdr:rowOff>381000</xdr:rowOff>
    </xdr:from>
    <xdr:to>
      <xdr:col>13</xdr:col>
      <xdr:colOff>742950</xdr:colOff>
      <xdr:row>381</xdr:row>
      <xdr:rowOff>381000</xdr:rowOff>
    </xdr:to>
    <xdr:sp macro="" textlink="">
      <xdr:nvSpPr>
        <xdr:cNvPr id="28240" name="Line 355"/>
        <xdr:cNvSpPr>
          <a:spLocks noChangeShapeType="1"/>
        </xdr:cNvSpPr>
      </xdr:nvSpPr>
      <xdr:spPr bwMode="auto">
        <a:xfrm>
          <a:off x="6153150" y="76095225"/>
          <a:ext cx="2600325" cy="0"/>
        </a:xfrm>
        <a:prstGeom prst="line">
          <a:avLst/>
        </a:prstGeom>
        <a:noFill/>
        <a:ln w="19050">
          <a:solidFill>
            <a:srgbClr val="000000"/>
          </a:solidFill>
          <a:round/>
          <a:headEnd/>
          <a:tailEnd/>
        </a:ln>
      </xdr:spPr>
    </xdr:sp>
    <xdr:clientData/>
  </xdr:twoCellAnchor>
  <xdr:twoCellAnchor>
    <xdr:from>
      <xdr:col>255</xdr:col>
      <xdr:colOff>0</xdr:colOff>
      <xdr:row>602</xdr:row>
      <xdr:rowOff>76200</xdr:rowOff>
    </xdr:from>
    <xdr:to>
      <xdr:col>255</xdr:col>
      <xdr:colOff>0</xdr:colOff>
      <xdr:row>602</xdr:row>
      <xdr:rowOff>76200</xdr:rowOff>
    </xdr:to>
    <xdr:sp macro="" textlink="">
      <xdr:nvSpPr>
        <xdr:cNvPr id="28241" name="Line 356"/>
        <xdr:cNvSpPr>
          <a:spLocks noChangeShapeType="1"/>
        </xdr:cNvSpPr>
      </xdr:nvSpPr>
      <xdr:spPr bwMode="auto">
        <a:xfrm>
          <a:off x="9067800" y="104222550"/>
          <a:ext cx="0" cy="0"/>
        </a:xfrm>
        <a:prstGeom prst="line">
          <a:avLst/>
        </a:prstGeom>
        <a:noFill/>
        <a:ln w="19050">
          <a:solidFill>
            <a:srgbClr val="000000"/>
          </a:solidFill>
          <a:round/>
          <a:headEnd/>
          <a:tailEnd/>
        </a:ln>
      </xdr:spPr>
    </xdr:sp>
    <xdr:clientData/>
  </xdr:twoCellAnchor>
  <xdr:twoCellAnchor>
    <xdr:from>
      <xdr:col>255</xdr:col>
      <xdr:colOff>0</xdr:colOff>
      <xdr:row>606</xdr:row>
      <xdr:rowOff>76200</xdr:rowOff>
    </xdr:from>
    <xdr:to>
      <xdr:col>255</xdr:col>
      <xdr:colOff>0</xdr:colOff>
      <xdr:row>606</xdr:row>
      <xdr:rowOff>76200</xdr:rowOff>
    </xdr:to>
    <xdr:sp macro="" textlink="">
      <xdr:nvSpPr>
        <xdr:cNvPr id="28242" name="Line 357"/>
        <xdr:cNvSpPr>
          <a:spLocks noChangeShapeType="1"/>
        </xdr:cNvSpPr>
      </xdr:nvSpPr>
      <xdr:spPr bwMode="auto">
        <a:xfrm>
          <a:off x="9067800" y="104222550"/>
          <a:ext cx="0" cy="0"/>
        </a:xfrm>
        <a:prstGeom prst="line">
          <a:avLst/>
        </a:prstGeom>
        <a:noFill/>
        <a:ln w="19050">
          <a:solidFill>
            <a:srgbClr val="000000"/>
          </a:solidFill>
          <a:round/>
          <a:headEnd/>
          <a:tailEnd/>
        </a:ln>
      </xdr:spPr>
    </xdr:sp>
    <xdr:clientData/>
  </xdr:twoCellAnchor>
  <xdr:twoCellAnchor>
    <xdr:from>
      <xdr:col>5</xdr:col>
      <xdr:colOff>19050</xdr:colOff>
      <xdr:row>383</xdr:row>
      <xdr:rowOff>352425</xdr:rowOff>
    </xdr:from>
    <xdr:to>
      <xdr:col>8</xdr:col>
      <xdr:colOff>114300</xdr:colOff>
      <xdr:row>383</xdr:row>
      <xdr:rowOff>352425</xdr:rowOff>
    </xdr:to>
    <xdr:sp macro="" textlink="">
      <xdr:nvSpPr>
        <xdr:cNvPr id="28243" name="Line 358"/>
        <xdr:cNvSpPr>
          <a:spLocks noChangeShapeType="1"/>
        </xdr:cNvSpPr>
      </xdr:nvSpPr>
      <xdr:spPr bwMode="auto">
        <a:xfrm>
          <a:off x="1476375" y="76657200"/>
          <a:ext cx="2600325" cy="0"/>
        </a:xfrm>
        <a:prstGeom prst="line">
          <a:avLst/>
        </a:prstGeom>
        <a:noFill/>
        <a:ln w="19050">
          <a:solidFill>
            <a:srgbClr val="000000"/>
          </a:solidFill>
          <a:round/>
          <a:headEnd/>
          <a:tailEnd/>
        </a:ln>
      </xdr:spPr>
    </xdr:sp>
    <xdr:clientData/>
  </xdr:twoCellAnchor>
  <xdr:twoCellAnchor>
    <xdr:from>
      <xdr:col>255</xdr:col>
      <xdr:colOff>0</xdr:colOff>
      <xdr:row>608</xdr:row>
      <xdr:rowOff>76200</xdr:rowOff>
    </xdr:from>
    <xdr:to>
      <xdr:col>255</xdr:col>
      <xdr:colOff>0</xdr:colOff>
      <xdr:row>608</xdr:row>
      <xdr:rowOff>76200</xdr:rowOff>
    </xdr:to>
    <xdr:sp macro="" textlink="">
      <xdr:nvSpPr>
        <xdr:cNvPr id="28244" name="Line 359"/>
        <xdr:cNvSpPr>
          <a:spLocks noChangeShapeType="1"/>
        </xdr:cNvSpPr>
      </xdr:nvSpPr>
      <xdr:spPr bwMode="auto">
        <a:xfrm>
          <a:off x="9067800" y="104222550"/>
          <a:ext cx="0" cy="0"/>
        </a:xfrm>
        <a:prstGeom prst="line">
          <a:avLst/>
        </a:prstGeom>
        <a:noFill/>
        <a:ln w="19050">
          <a:solidFill>
            <a:srgbClr val="000000"/>
          </a:solidFill>
          <a:round/>
          <a:headEnd/>
          <a:tailEnd/>
        </a:ln>
      </xdr:spPr>
    </xdr:sp>
    <xdr:clientData/>
  </xdr:twoCellAnchor>
  <xdr:twoCellAnchor>
    <xdr:from>
      <xdr:col>255</xdr:col>
      <xdr:colOff>0</xdr:colOff>
      <xdr:row>609</xdr:row>
      <xdr:rowOff>19050</xdr:rowOff>
    </xdr:from>
    <xdr:to>
      <xdr:col>255</xdr:col>
      <xdr:colOff>0</xdr:colOff>
      <xdr:row>609</xdr:row>
      <xdr:rowOff>19050</xdr:rowOff>
    </xdr:to>
    <xdr:sp macro="" textlink="">
      <xdr:nvSpPr>
        <xdr:cNvPr id="28245" name="Line 360"/>
        <xdr:cNvSpPr>
          <a:spLocks noChangeShapeType="1"/>
        </xdr:cNvSpPr>
      </xdr:nvSpPr>
      <xdr:spPr bwMode="auto">
        <a:xfrm>
          <a:off x="9067800" y="104222550"/>
          <a:ext cx="0" cy="0"/>
        </a:xfrm>
        <a:prstGeom prst="line">
          <a:avLst/>
        </a:prstGeom>
        <a:noFill/>
        <a:ln w="19050">
          <a:solidFill>
            <a:srgbClr val="000000"/>
          </a:solidFill>
          <a:round/>
          <a:headEnd/>
          <a:tailEnd/>
        </a:ln>
      </xdr:spPr>
    </xdr:sp>
    <xdr:clientData/>
  </xdr:twoCellAnchor>
  <xdr:twoCellAnchor>
    <xdr:from>
      <xdr:col>255</xdr:col>
      <xdr:colOff>0</xdr:colOff>
      <xdr:row>609</xdr:row>
      <xdr:rowOff>19050</xdr:rowOff>
    </xdr:from>
    <xdr:to>
      <xdr:col>255</xdr:col>
      <xdr:colOff>0</xdr:colOff>
      <xdr:row>609</xdr:row>
      <xdr:rowOff>19050</xdr:rowOff>
    </xdr:to>
    <xdr:sp macro="" textlink="">
      <xdr:nvSpPr>
        <xdr:cNvPr id="28246" name="Line 361"/>
        <xdr:cNvSpPr>
          <a:spLocks noChangeShapeType="1"/>
        </xdr:cNvSpPr>
      </xdr:nvSpPr>
      <xdr:spPr bwMode="auto">
        <a:xfrm>
          <a:off x="9067800" y="104222550"/>
          <a:ext cx="0" cy="0"/>
        </a:xfrm>
        <a:prstGeom prst="line">
          <a:avLst/>
        </a:prstGeom>
        <a:noFill/>
        <a:ln w="19050">
          <a:solidFill>
            <a:srgbClr val="000000"/>
          </a:solidFill>
          <a:round/>
          <a:headEnd/>
          <a:tailEnd/>
        </a:ln>
      </xdr:spPr>
    </xdr:sp>
    <xdr:clientData/>
  </xdr:twoCellAnchor>
  <xdr:twoCellAnchor>
    <xdr:from>
      <xdr:col>9</xdr:col>
      <xdr:colOff>609600</xdr:colOff>
      <xdr:row>383</xdr:row>
      <xdr:rowOff>381000</xdr:rowOff>
    </xdr:from>
    <xdr:to>
      <xdr:col>12</xdr:col>
      <xdr:colOff>781050</xdr:colOff>
      <xdr:row>383</xdr:row>
      <xdr:rowOff>381000</xdr:rowOff>
    </xdr:to>
    <xdr:sp macro="" textlink="">
      <xdr:nvSpPr>
        <xdr:cNvPr id="28247" name="Line 363"/>
        <xdr:cNvSpPr>
          <a:spLocks noChangeShapeType="1"/>
        </xdr:cNvSpPr>
      </xdr:nvSpPr>
      <xdr:spPr bwMode="auto">
        <a:xfrm>
          <a:off x="5381625" y="76685775"/>
          <a:ext cx="2600325" cy="0"/>
        </a:xfrm>
        <a:prstGeom prst="line">
          <a:avLst/>
        </a:prstGeom>
        <a:noFill/>
        <a:ln w="19050">
          <a:solidFill>
            <a:srgbClr val="000000"/>
          </a:solidFill>
          <a:round/>
          <a:headEnd/>
          <a:tailEnd/>
        </a:ln>
      </xdr:spPr>
    </xdr:sp>
    <xdr:clientData/>
  </xdr:twoCellAnchor>
  <xdr:twoCellAnchor>
    <xdr:from>
      <xdr:col>255</xdr:col>
      <xdr:colOff>0</xdr:colOff>
      <xdr:row>614</xdr:row>
      <xdr:rowOff>66675</xdr:rowOff>
    </xdr:from>
    <xdr:to>
      <xdr:col>255</xdr:col>
      <xdr:colOff>0</xdr:colOff>
      <xdr:row>614</xdr:row>
      <xdr:rowOff>66675</xdr:rowOff>
    </xdr:to>
    <xdr:sp macro="" textlink="">
      <xdr:nvSpPr>
        <xdr:cNvPr id="28248" name="Line 364"/>
        <xdr:cNvSpPr>
          <a:spLocks noChangeShapeType="1"/>
        </xdr:cNvSpPr>
      </xdr:nvSpPr>
      <xdr:spPr bwMode="auto">
        <a:xfrm>
          <a:off x="9067800" y="104222550"/>
          <a:ext cx="0" cy="0"/>
        </a:xfrm>
        <a:prstGeom prst="line">
          <a:avLst/>
        </a:prstGeom>
        <a:noFill/>
        <a:ln w="19050">
          <a:solidFill>
            <a:srgbClr val="000000"/>
          </a:solidFill>
          <a:round/>
          <a:headEnd/>
          <a:tailEnd/>
        </a:ln>
      </xdr:spPr>
    </xdr:sp>
    <xdr:clientData/>
  </xdr:twoCellAnchor>
  <xdr:twoCellAnchor>
    <xdr:from>
      <xdr:col>1</xdr:col>
      <xdr:colOff>57150</xdr:colOff>
      <xdr:row>378</xdr:row>
      <xdr:rowOff>114300</xdr:rowOff>
    </xdr:from>
    <xdr:to>
      <xdr:col>14</xdr:col>
      <xdr:colOff>66675</xdr:colOff>
      <xdr:row>384</xdr:row>
      <xdr:rowOff>142875</xdr:rowOff>
    </xdr:to>
    <xdr:sp macro="" textlink="">
      <xdr:nvSpPr>
        <xdr:cNvPr id="28249" name="Rectangle 367"/>
        <xdr:cNvSpPr>
          <a:spLocks noChangeArrowheads="1"/>
        </xdr:cNvSpPr>
      </xdr:nvSpPr>
      <xdr:spPr bwMode="auto">
        <a:xfrm>
          <a:off x="180975" y="75161775"/>
          <a:ext cx="8705850" cy="1666875"/>
        </a:xfrm>
        <a:prstGeom prst="rect">
          <a:avLst/>
        </a:prstGeom>
        <a:noFill/>
        <a:ln w="19050">
          <a:solidFill>
            <a:srgbClr val="0000FF"/>
          </a:solidFill>
          <a:miter lim="800000"/>
          <a:headEnd/>
          <a:tailEnd/>
        </a:ln>
      </xdr:spPr>
    </xdr:sp>
    <xdr:clientData/>
  </xdr:twoCellAnchor>
  <xdr:twoCellAnchor>
    <xdr:from>
      <xdr:col>4</xdr:col>
      <xdr:colOff>219075</xdr:colOff>
      <xdr:row>440</xdr:row>
      <xdr:rowOff>371475</xdr:rowOff>
    </xdr:from>
    <xdr:to>
      <xdr:col>8</xdr:col>
      <xdr:colOff>438150</xdr:colOff>
      <xdr:row>440</xdr:row>
      <xdr:rowOff>371475</xdr:rowOff>
    </xdr:to>
    <xdr:sp macro="" textlink="">
      <xdr:nvSpPr>
        <xdr:cNvPr id="28250" name="Line 353"/>
        <xdr:cNvSpPr>
          <a:spLocks noChangeShapeType="1"/>
        </xdr:cNvSpPr>
      </xdr:nvSpPr>
      <xdr:spPr bwMode="auto">
        <a:xfrm>
          <a:off x="1247775" y="89154000"/>
          <a:ext cx="3152775" cy="0"/>
        </a:xfrm>
        <a:prstGeom prst="line">
          <a:avLst/>
        </a:prstGeom>
        <a:noFill/>
        <a:ln w="19050">
          <a:solidFill>
            <a:srgbClr val="000000"/>
          </a:solidFill>
          <a:round/>
          <a:headEnd/>
          <a:tailEnd/>
        </a:ln>
      </xdr:spPr>
    </xdr:sp>
    <xdr:clientData/>
  </xdr:twoCellAnchor>
  <xdr:twoCellAnchor>
    <xdr:from>
      <xdr:col>10</xdr:col>
      <xdr:colOff>571500</xdr:colOff>
      <xdr:row>440</xdr:row>
      <xdr:rowOff>381000</xdr:rowOff>
    </xdr:from>
    <xdr:to>
      <xdr:col>13</xdr:col>
      <xdr:colOff>742950</xdr:colOff>
      <xdr:row>440</xdr:row>
      <xdr:rowOff>381000</xdr:rowOff>
    </xdr:to>
    <xdr:sp macro="" textlink="">
      <xdr:nvSpPr>
        <xdr:cNvPr id="28251" name="Line 355"/>
        <xdr:cNvSpPr>
          <a:spLocks noChangeShapeType="1"/>
        </xdr:cNvSpPr>
      </xdr:nvSpPr>
      <xdr:spPr bwMode="auto">
        <a:xfrm>
          <a:off x="6153150" y="89163525"/>
          <a:ext cx="2600325" cy="0"/>
        </a:xfrm>
        <a:prstGeom prst="line">
          <a:avLst/>
        </a:prstGeom>
        <a:noFill/>
        <a:ln w="19050">
          <a:solidFill>
            <a:srgbClr val="000000"/>
          </a:solidFill>
          <a:round/>
          <a:headEnd/>
          <a:tailEnd/>
        </a:ln>
      </xdr:spPr>
    </xdr:sp>
    <xdr:clientData/>
  </xdr:twoCellAnchor>
  <xdr:twoCellAnchor>
    <xdr:from>
      <xdr:col>5</xdr:col>
      <xdr:colOff>19050</xdr:colOff>
      <xdr:row>442</xdr:row>
      <xdr:rowOff>352425</xdr:rowOff>
    </xdr:from>
    <xdr:to>
      <xdr:col>8</xdr:col>
      <xdr:colOff>114300</xdr:colOff>
      <xdr:row>442</xdr:row>
      <xdr:rowOff>352425</xdr:rowOff>
    </xdr:to>
    <xdr:sp macro="" textlink="">
      <xdr:nvSpPr>
        <xdr:cNvPr id="28252" name="Line 358"/>
        <xdr:cNvSpPr>
          <a:spLocks noChangeShapeType="1"/>
        </xdr:cNvSpPr>
      </xdr:nvSpPr>
      <xdr:spPr bwMode="auto">
        <a:xfrm>
          <a:off x="1476375" y="89725500"/>
          <a:ext cx="2600325" cy="0"/>
        </a:xfrm>
        <a:prstGeom prst="line">
          <a:avLst/>
        </a:prstGeom>
        <a:noFill/>
        <a:ln w="19050">
          <a:solidFill>
            <a:srgbClr val="000000"/>
          </a:solidFill>
          <a:round/>
          <a:headEnd/>
          <a:tailEnd/>
        </a:ln>
      </xdr:spPr>
    </xdr:sp>
    <xdr:clientData/>
  </xdr:twoCellAnchor>
  <xdr:twoCellAnchor>
    <xdr:from>
      <xdr:col>9</xdr:col>
      <xdr:colOff>609600</xdr:colOff>
      <xdr:row>442</xdr:row>
      <xdr:rowOff>381000</xdr:rowOff>
    </xdr:from>
    <xdr:to>
      <xdr:col>12</xdr:col>
      <xdr:colOff>781050</xdr:colOff>
      <xdr:row>442</xdr:row>
      <xdr:rowOff>381000</xdr:rowOff>
    </xdr:to>
    <xdr:sp macro="" textlink="">
      <xdr:nvSpPr>
        <xdr:cNvPr id="28253" name="Line 363"/>
        <xdr:cNvSpPr>
          <a:spLocks noChangeShapeType="1"/>
        </xdr:cNvSpPr>
      </xdr:nvSpPr>
      <xdr:spPr bwMode="auto">
        <a:xfrm>
          <a:off x="5381625" y="89754075"/>
          <a:ext cx="2600325" cy="0"/>
        </a:xfrm>
        <a:prstGeom prst="line">
          <a:avLst/>
        </a:prstGeom>
        <a:noFill/>
        <a:ln w="19050">
          <a:solidFill>
            <a:srgbClr val="000000"/>
          </a:solidFill>
          <a:round/>
          <a:headEnd/>
          <a:tailEnd/>
        </a:ln>
      </xdr:spPr>
    </xdr:sp>
    <xdr:clientData/>
  </xdr:twoCellAnchor>
  <xdr:twoCellAnchor>
    <xdr:from>
      <xdr:col>1</xdr:col>
      <xdr:colOff>57150</xdr:colOff>
      <xdr:row>437</xdr:row>
      <xdr:rowOff>114300</xdr:rowOff>
    </xdr:from>
    <xdr:to>
      <xdr:col>14</xdr:col>
      <xdr:colOff>66675</xdr:colOff>
      <xdr:row>443</xdr:row>
      <xdr:rowOff>142875</xdr:rowOff>
    </xdr:to>
    <xdr:sp macro="" textlink="">
      <xdr:nvSpPr>
        <xdr:cNvPr id="28254" name="Rectangle 367"/>
        <xdr:cNvSpPr>
          <a:spLocks noChangeArrowheads="1"/>
        </xdr:cNvSpPr>
      </xdr:nvSpPr>
      <xdr:spPr bwMode="auto">
        <a:xfrm>
          <a:off x="180975" y="88230075"/>
          <a:ext cx="8705850" cy="1666875"/>
        </a:xfrm>
        <a:prstGeom prst="rect">
          <a:avLst/>
        </a:prstGeom>
        <a:noFill/>
        <a:ln w="19050">
          <a:solidFill>
            <a:srgbClr val="0000FF"/>
          </a:solidFill>
          <a:miter lim="800000"/>
          <a:headEnd/>
          <a:tailEnd/>
        </a:ln>
      </xdr:spPr>
    </xdr:sp>
    <xdr:clientData/>
  </xdr:twoCellAnchor>
  <xdr:twoCellAnchor editAs="oneCell">
    <xdr:from>
      <xdr:col>2</xdr:col>
      <xdr:colOff>28575</xdr:colOff>
      <xdr:row>385</xdr:row>
      <xdr:rowOff>238125</xdr:rowOff>
    </xdr:from>
    <xdr:to>
      <xdr:col>6</xdr:col>
      <xdr:colOff>561975</xdr:colOff>
      <xdr:row>385</xdr:row>
      <xdr:rowOff>752475</xdr:rowOff>
    </xdr:to>
    <xdr:pic>
      <xdr:nvPicPr>
        <xdr:cNvPr id="28255" name="圖片 21" descr="C:\Users\AH063\Desktop\1040501-投資型變更\07050036102.gif"/>
        <xdr:cNvPicPr>
          <a:picLocks noChangeAspect="1" noChangeArrowheads="1"/>
        </xdr:cNvPicPr>
      </xdr:nvPicPr>
      <xdr:blipFill>
        <a:blip xmlns:r="http://schemas.openxmlformats.org/officeDocument/2006/relationships" r:embed="rId1" cstate="print"/>
        <a:srcRect/>
        <a:stretch>
          <a:fillRect/>
        </a:stretch>
      </xdr:blipFill>
      <xdr:spPr bwMode="auto">
        <a:xfrm>
          <a:off x="266700" y="77114400"/>
          <a:ext cx="2562225" cy="514350"/>
        </a:xfrm>
        <a:prstGeom prst="rect">
          <a:avLst/>
        </a:prstGeom>
        <a:noFill/>
        <a:ln w="9525">
          <a:noFill/>
          <a:miter lim="800000"/>
          <a:headEnd/>
          <a:tailEnd/>
        </a:ln>
      </xdr:spPr>
    </xdr:pic>
    <xdr:clientData/>
  </xdr:twoCellAnchor>
  <xdr:twoCellAnchor editAs="oneCell">
    <xdr:from>
      <xdr:col>2</xdr:col>
      <xdr:colOff>28575</xdr:colOff>
      <xdr:row>444</xdr:row>
      <xdr:rowOff>238125</xdr:rowOff>
    </xdr:from>
    <xdr:to>
      <xdr:col>6</xdr:col>
      <xdr:colOff>561975</xdr:colOff>
      <xdr:row>444</xdr:row>
      <xdr:rowOff>752475</xdr:rowOff>
    </xdr:to>
    <xdr:pic>
      <xdr:nvPicPr>
        <xdr:cNvPr id="28256" name="圖片 22" descr="C:\Users\AH063\Desktop\1040501-投資型變更\07050036102.gif"/>
        <xdr:cNvPicPr>
          <a:picLocks noChangeAspect="1" noChangeArrowheads="1"/>
        </xdr:cNvPicPr>
      </xdr:nvPicPr>
      <xdr:blipFill>
        <a:blip xmlns:r="http://schemas.openxmlformats.org/officeDocument/2006/relationships" r:embed="rId1" cstate="print"/>
        <a:srcRect/>
        <a:stretch>
          <a:fillRect/>
        </a:stretch>
      </xdr:blipFill>
      <xdr:spPr bwMode="auto">
        <a:xfrm>
          <a:off x="266700" y="90182700"/>
          <a:ext cx="256222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ntrol" Target="../activeX/activeX3.xml"/><Relationship Id="rId4"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sheetPr codeName="Sheet9">
    <pageSetUpPr fitToPage="1"/>
  </sheetPr>
  <dimension ref="A1:L122"/>
  <sheetViews>
    <sheetView topLeftCell="B1" zoomScaleNormal="100" zoomScaleSheetLayoutView="100" workbookViewId="0"/>
  </sheetViews>
  <sheetFormatPr defaultRowHeight="16.5"/>
  <cols>
    <col min="1" max="1" width="2.25" style="25" hidden="1" customWidth="1"/>
    <col min="2" max="2" width="2.625" style="25" customWidth="1"/>
    <col min="3" max="3" width="6" style="25" customWidth="1"/>
    <col min="4" max="4" width="6.875" style="24" customWidth="1"/>
    <col min="5" max="5" width="9.5" style="24" customWidth="1"/>
    <col min="6" max="6" width="9" style="25"/>
    <col min="7" max="7" width="13.75" style="24" customWidth="1"/>
    <col min="8" max="8" width="12.125" style="24" customWidth="1"/>
    <col min="9" max="9" width="17.625" style="24" customWidth="1"/>
    <col min="10" max="10" width="27" style="25" customWidth="1"/>
    <col min="11" max="11" width="14.5" style="25" customWidth="1"/>
    <col min="12" max="12" width="2.625" style="25" customWidth="1"/>
    <col min="13" max="16384" width="9" style="25"/>
  </cols>
  <sheetData>
    <row r="1" spans="1:11" s="24" customFormat="1" ht="7.5" customHeight="1">
      <c r="A1" s="192">
        <v>1</v>
      </c>
      <c r="B1" s="191"/>
      <c r="C1" s="192">
        <f ca="1">OP!C75</f>
        <v>7</v>
      </c>
      <c r="D1" s="192">
        <v>1</v>
      </c>
      <c r="E1" s="192">
        <v>2</v>
      </c>
      <c r="F1" s="192">
        <v>3</v>
      </c>
      <c r="G1" s="192">
        <v>4</v>
      </c>
      <c r="H1" s="192">
        <v>5</v>
      </c>
      <c r="I1" s="192">
        <v>6</v>
      </c>
      <c r="J1" s="192"/>
      <c r="K1" s="192"/>
    </row>
    <row r="2" spans="1:11" s="24" customFormat="1" ht="25.5">
      <c r="A2" s="192" t="str">
        <f>IF(SUM(G6:G120,I6:I120)&gt;0,1,"")</f>
        <v/>
      </c>
      <c r="B2" s="191"/>
      <c r="C2" s="454" t="str">
        <f>OP!C23&amp;"專案試算表-附表"</f>
        <v>富邦人壽真有利變額年金保險專案試算表-附表</v>
      </c>
      <c r="D2" s="454"/>
      <c r="E2" s="454"/>
      <c r="F2" s="454"/>
      <c r="G2" s="454"/>
      <c r="H2" s="454"/>
      <c r="I2" s="454"/>
      <c r="J2" s="454"/>
      <c r="K2" s="454"/>
    </row>
    <row r="3" spans="1:11" s="24" customFormat="1" ht="15" customHeight="1">
      <c r="A3" s="192"/>
      <c r="B3" s="191"/>
      <c r="C3" s="194" t="str">
        <f ca="1">"被保人："&amp;OP!$C$8&amp;"      生日："&amp;OP!$C$10&amp;"      保險年齡 ："&amp;OP!$D$5&amp;"歲"&amp;"      性別 ："&amp;IF(OP!$C$18=1,"男",IF(OP!$C$18=2,"女","無法辨別"))&amp;"      試算日："&amp;TEXT(OP!$C$3,"EEMMDD")</f>
        <v>被保人：富媽媽      生日：510505      保險年齡 ：55歲      性別 ：女      試算日：1060602</v>
      </c>
      <c r="D3" s="192"/>
      <c r="E3" s="192"/>
      <c r="F3" s="192"/>
      <c r="G3" s="192"/>
      <c r="H3" s="192"/>
      <c r="I3" s="192"/>
      <c r="J3" s="192"/>
      <c r="K3" s="192"/>
    </row>
    <row r="4" spans="1:11" s="24" customFormat="1">
      <c r="A4" s="192"/>
      <c r="B4" s="191"/>
      <c r="C4" s="194" t="s">
        <v>279</v>
      </c>
      <c r="D4" s="192"/>
      <c r="E4" s="192"/>
      <c r="F4" s="192"/>
      <c r="G4" s="192"/>
      <c r="H4" s="192"/>
      <c r="I4" s="192"/>
      <c r="J4" s="192"/>
      <c r="K4" s="192"/>
    </row>
    <row r="5" spans="1:11" ht="37.5" customHeight="1">
      <c r="A5" s="36"/>
      <c r="C5" s="229" t="s">
        <v>184</v>
      </c>
      <c r="D5" s="186" t="s">
        <v>266</v>
      </c>
      <c r="E5" s="186" t="s">
        <v>199</v>
      </c>
      <c r="F5" s="186" t="s">
        <v>280</v>
      </c>
      <c r="G5" s="186" t="s">
        <v>281</v>
      </c>
      <c r="H5" s="186" t="s">
        <v>282</v>
      </c>
      <c r="I5" s="186" t="s">
        <v>283</v>
      </c>
      <c r="J5" s="185" t="s">
        <v>268</v>
      </c>
      <c r="K5" s="186" t="s">
        <v>324</v>
      </c>
    </row>
    <row r="6" spans="1:11">
      <c r="A6" s="36">
        <v>1</v>
      </c>
      <c r="C6" s="185">
        <f ca="1">OP!$D$5</f>
        <v>55</v>
      </c>
      <c r="D6" s="185">
        <v>1</v>
      </c>
      <c r="E6" s="195">
        <v>0.05</v>
      </c>
      <c r="F6" s="185" t="str">
        <f>IF(D6="","","彈性繳")</f>
        <v>彈性繳</v>
      </c>
      <c r="G6" s="189"/>
      <c r="H6" s="190" t="s">
        <v>540</v>
      </c>
      <c r="I6" s="189"/>
      <c r="J6" s="184" t="str">
        <f ca="1">IF(D6=$C$1,"年金給付年度",IF(AND(G6="",I6=""),"",IF(OR(AND(OP!$C$22="VADT",G6+I6&lt;2000),AND(OP!$C$22="VADF",OR(AND(G6&lt;&gt;"",G6&lt;100),AND(I6&lt;&gt;"",I6&lt;100),AND(G6&lt;&gt;"",G6&gt;1000000),AND(I6&lt;&gt;"",I6&gt;1000000)))),"繳交金額設定不符核保規則",""))&amp;IF(AND(H6="月繳",I6&lt;&gt;""),"月繳首期須繳 2個月"&amp;TEXT(I6*2,"#,##0 元"),""))</f>
        <v/>
      </c>
      <c r="K6" s="189"/>
    </row>
    <row r="7" spans="1:11">
      <c r="A7" s="36">
        <v>2</v>
      </c>
      <c r="C7" s="185">
        <f ca="1">IF(D7="","",$C$6+N(D6))</f>
        <v>56</v>
      </c>
      <c r="D7" s="185">
        <f ca="1">IF(MAX($D$6:D6)+OP!$D$5-1&gt;80,"",D6+1)</f>
        <v>2</v>
      </c>
      <c r="E7" s="195">
        <v>0.05</v>
      </c>
      <c r="F7" s="185" t="str">
        <f t="shared" ref="F7:F74" ca="1" si="0">IF(D7="","","彈性繳")</f>
        <v>彈性繳</v>
      </c>
      <c r="G7" s="189"/>
      <c r="H7" s="190" t="s">
        <v>540</v>
      </c>
      <c r="I7" s="189"/>
      <c r="J7" s="184" t="str">
        <f ca="1">IF(D7=$C$1,"年金給付年度",IF(AND(G7="",I7=""),"",IF(OR(AND(OP!$C$22="VADT",G7+I7&lt;2000),AND(OP!$C$22="VADF",OR(AND(G7&lt;&gt;"",G7&lt;100),AND(I7&lt;&gt;"",I7&lt;100),AND(G7&lt;&gt;"",G7&gt;1000000),AND(I7&lt;&gt;"",I7&gt;1000000)))),"繳交金額設定不符核保規則",""))&amp;IF(AND(H7="月繳",I7&lt;&gt;""),"月繳首期須繳 2個月"&amp;TEXT(I7*2,"#,##0 元"),""))</f>
        <v/>
      </c>
      <c r="K7" s="189"/>
    </row>
    <row r="8" spans="1:11">
      <c r="A8" s="36">
        <v>3</v>
      </c>
      <c r="C8" s="185">
        <f t="shared" ref="C8:C75" ca="1" si="1">IF(D8="","",$C$6+N(D7))</f>
        <v>57</v>
      </c>
      <c r="D8" s="185">
        <f ca="1">IF(MAX($D$6:D7)+OP!$D$5-1&gt;80,"",D7+1)</f>
        <v>3</v>
      </c>
      <c r="E8" s="195">
        <v>0.05</v>
      </c>
      <c r="F8" s="185" t="str">
        <f t="shared" ca="1" si="0"/>
        <v>彈性繳</v>
      </c>
      <c r="G8" s="189"/>
      <c r="H8" s="190" t="s">
        <v>540</v>
      </c>
      <c r="I8" s="189"/>
      <c r="J8" s="184" t="str">
        <f ca="1">IF(D8=$C$1,"年金給付年度",IF(AND(G8="",I8=""),"",IF(OR(AND(OP!$C$22="VADT",G8+I8&lt;2000),AND(OP!$C$22="VADF",OR(AND(G8&lt;&gt;"",G8&lt;100),AND(I8&lt;&gt;"",I8&lt;100),AND(G8&lt;&gt;"",G8&gt;1000000),AND(I8&lt;&gt;"",I8&gt;1000000)))),"繳交金額設定不符核保規則",""))&amp;IF(AND(H8="月繳",I8&lt;&gt;""),"月繳首期須繳 2個月"&amp;TEXT(I8*2,"#,##0 元"),""))</f>
        <v/>
      </c>
      <c r="K8" s="189"/>
    </row>
    <row r="9" spans="1:11">
      <c r="A9" s="36">
        <v>4</v>
      </c>
      <c r="C9" s="185">
        <f t="shared" ca="1" si="1"/>
        <v>58</v>
      </c>
      <c r="D9" s="185">
        <f ca="1">IF(MAX($D$6:D8)+OP!$D$5-1&gt;80,"",D8+1)</f>
        <v>4</v>
      </c>
      <c r="E9" s="195">
        <v>0.05</v>
      </c>
      <c r="F9" s="185" t="str">
        <f t="shared" ca="1" si="0"/>
        <v>彈性繳</v>
      </c>
      <c r="G9" s="189"/>
      <c r="H9" s="190" t="s">
        <v>540</v>
      </c>
      <c r="I9" s="189"/>
      <c r="J9" s="184" t="str">
        <f ca="1">IF(D9=$C$1,"年金給付年度",IF(AND(G9="",I9=""),"",IF(OR(AND(OP!$C$22="VADT",G9+I9&lt;2000),AND(OP!$C$22="VADF",OR(AND(G9&lt;&gt;"",G9&lt;100),AND(I9&lt;&gt;"",I9&lt;100),AND(G9&lt;&gt;"",G9&gt;1000000),AND(I9&lt;&gt;"",I9&gt;1000000)))),"繳交金額設定不符核保規則",""))&amp;IF(AND(H9="月繳",I9&lt;&gt;""),"月繳首期須繳 2個月"&amp;TEXT(I9*2,"#,##0 元"),""))</f>
        <v/>
      </c>
      <c r="K9" s="189"/>
    </row>
    <row r="10" spans="1:11">
      <c r="A10" s="36">
        <v>5</v>
      </c>
      <c r="C10" s="185">
        <f t="shared" ca="1" si="1"/>
        <v>59</v>
      </c>
      <c r="D10" s="185">
        <f ca="1">IF(MAX($D$6:D9)+OP!$D$5-1&gt;80,"",D9+1)</f>
        <v>5</v>
      </c>
      <c r="E10" s="195">
        <v>0.05</v>
      </c>
      <c r="F10" s="185" t="str">
        <f t="shared" ca="1" si="0"/>
        <v>彈性繳</v>
      </c>
      <c r="G10" s="189"/>
      <c r="H10" s="190" t="s">
        <v>540</v>
      </c>
      <c r="I10" s="189"/>
      <c r="J10" s="184" t="str">
        <f ca="1">IF(D10=$C$1,"年金給付年度",IF(AND(G10="",I10=""),"",IF(OR(AND(OP!$C$22="VADT",G10+I10&lt;2000),AND(OP!$C$22="VADF",OR(AND(G10&lt;&gt;"",G10&lt;100),AND(I10&lt;&gt;"",I10&lt;100),AND(G10&lt;&gt;"",G10&gt;1000000),AND(I10&lt;&gt;"",I10&gt;1000000)))),"繳交金額設定不符核保規則",""))&amp;IF(AND(H10="月繳",I10&lt;&gt;""),"月繳首期須繳 2個月"&amp;TEXT(I10*2,"#,##0 元"),""))</f>
        <v/>
      </c>
      <c r="K10" s="189"/>
    </row>
    <row r="11" spans="1:11">
      <c r="A11" s="36">
        <v>6</v>
      </c>
      <c r="C11" s="185">
        <f t="shared" ca="1" si="1"/>
        <v>60</v>
      </c>
      <c r="D11" s="185">
        <f ca="1">IF(MAX($D$6:D10)+OP!$D$5-1&gt;80,"",D10+1)</f>
        <v>6</v>
      </c>
      <c r="E11" s="195">
        <v>0.05</v>
      </c>
      <c r="F11" s="185" t="str">
        <f t="shared" ca="1" si="0"/>
        <v>彈性繳</v>
      </c>
      <c r="G11" s="189"/>
      <c r="H11" s="190" t="s">
        <v>540</v>
      </c>
      <c r="I11" s="189"/>
      <c r="J11" s="184" t="str">
        <f ca="1">IF(D11=$C$1,"年金給付年度",IF(AND(G11="",I11=""),"",IF(OR(AND(OP!$C$22="VADT",G11+I11&lt;2000),AND(OP!$C$22="VADF",OR(AND(G11&lt;&gt;"",G11&lt;100),AND(I11&lt;&gt;"",I11&lt;100),AND(G11&lt;&gt;"",G11&gt;1000000),AND(I11&lt;&gt;"",I11&gt;1000000)))),"繳交金額設定不符核保規則",""))&amp;IF(AND(H11="月繳",I11&lt;&gt;""),"月繳首期須繳 2個月"&amp;TEXT(I11*2,"#,##0 元"),""))</f>
        <v/>
      </c>
      <c r="K11" s="189"/>
    </row>
    <row r="12" spans="1:11">
      <c r="A12" s="36">
        <v>7</v>
      </c>
      <c r="C12" s="185">
        <f t="shared" ca="1" si="1"/>
        <v>61</v>
      </c>
      <c r="D12" s="185">
        <f ca="1">IF(MAX($D$6:D11)+OP!$D$5-1&gt;80,"",D11+1)</f>
        <v>7</v>
      </c>
      <c r="E12" s="195">
        <v>0.05</v>
      </c>
      <c r="F12" s="185" t="str">
        <f t="shared" ca="1" si="0"/>
        <v>彈性繳</v>
      </c>
      <c r="G12" s="189"/>
      <c r="H12" s="190" t="s">
        <v>540</v>
      </c>
      <c r="I12" s="189"/>
      <c r="J12" s="184" t="str">
        <f ca="1">IF(D12=$C$1,"年金給付年度",IF(AND(G12="",I12=""),"",IF(OR(AND(OP!$C$22="VADT",G12+I12&lt;2000),AND(OP!$C$22="VADF",OR(AND(G12&lt;&gt;"",G12&lt;100),AND(I12&lt;&gt;"",I12&lt;100),AND(G12&lt;&gt;"",G12&gt;1000000),AND(I12&lt;&gt;"",I12&gt;1000000)))),"繳交金額設定不符核保規則",""))&amp;IF(AND(H12="月繳",I12&lt;&gt;""),"月繳首期須繳 2個月"&amp;TEXT(I12*2,"#,##0 元"),""))</f>
        <v>年金給付年度</v>
      </c>
      <c r="K12" s="189"/>
    </row>
    <row r="13" spans="1:11">
      <c r="A13" s="36">
        <v>8</v>
      </c>
      <c r="C13" s="185">
        <f t="shared" ca="1" si="1"/>
        <v>62</v>
      </c>
      <c r="D13" s="185">
        <f ca="1">IF(MAX($D$6:D12)+OP!$D$5-1&gt;80,"",D12+1)</f>
        <v>8</v>
      </c>
      <c r="E13" s="195">
        <v>0.05</v>
      </c>
      <c r="F13" s="185" t="str">
        <f t="shared" ca="1" si="0"/>
        <v>彈性繳</v>
      </c>
      <c r="G13" s="189"/>
      <c r="H13" s="190" t="s">
        <v>540</v>
      </c>
      <c r="I13" s="189"/>
      <c r="J13" s="184" t="str">
        <f ca="1">IF(D13=$C$1,"年金給付年度",IF(AND(G13="",I13=""),"",IF(OR(AND(OP!$C$22="VADT",G13+I13&lt;2000),AND(OP!$C$22="VADF",OR(AND(G13&lt;&gt;"",G13&lt;100),AND(I13&lt;&gt;"",I13&lt;100),AND(G13&lt;&gt;"",G13&gt;1000000),AND(I13&lt;&gt;"",I13&gt;1000000)))),"繳交金額設定不符核保規則",""))&amp;IF(AND(H13="月繳",I13&lt;&gt;""),"月繳首期須繳 2個月"&amp;TEXT(I13*2,"#,##0 元"),""))</f>
        <v/>
      </c>
      <c r="K13" s="189"/>
    </row>
    <row r="14" spans="1:11">
      <c r="A14" s="36">
        <v>9</v>
      </c>
      <c r="C14" s="185">
        <f t="shared" ca="1" si="1"/>
        <v>63</v>
      </c>
      <c r="D14" s="185">
        <f ca="1">IF(MAX($D$6:D13)+OP!$D$5-1&gt;80,"",D13+1)</f>
        <v>9</v>
      </c>
      <c r="E14" s="195">
        <v>0.05</v>
      </c>
      <c r="F14" s="185" t="str">
        <f t="shared" ca="1" si="0"/>
        <v>彈性繳</v>
      </c>
      <c r="G14" s="189"/>
      <c r="H14" s="190" t="s">
        <v>540</v>
      </c>
      <c r="I14" s="189"/>
      <c r="J14" s="184" t="str">
        <f ca="1">IF(D14=$C$1,"年金給付年度",IF(AND(G14="",I14=""),"",IF(OR(AND(OP!$C$22="VADT",G14+I14&lt;2000),AND(OP!$C$22="VADF",OR(AND(G14&lt;&gt;"",G14&lt;100),AND(I14&lt;&gt;"",I14&lt;100),AND(G14&lt;&gt;"",G14&gt;1000000),AND(I14&lt;&gt;"",I14&gt;1000000)))),"繳交金額設定不符核保規則",""))&amp;IF(AND(H14="月繳",I14&lt;&gt;""),"月繳首期須繳 2個月"&amp;TEXT(I14*2,"#,##0 元"),""))</f>
        <v/>
      </c>
      <c r="K14" s="189"/>
    </row>
    <row r="15" spans="1:11">
      <c r="A15" s="36">
        <v>10</v>
      </c>
      <c r="C15" s="185">
        <f t="shared" ca="1" si="1"/>
        <v>64</v>
      </c>
      <c r="D15" s="185">
        <f ca="1">IF(MAX($D$6:D14)+OP!$D$5-1&gt;80,"",D14+1)</f>
        <v>10</v>
      </c>
      <c r="E15" s="195">
        <v>0.05</v>
      </c>
      <c r="F15" s="185" t="str">
        <f t="shared" ca="1" si="0"/>
        <v>彈性繳</v>
      </c>
      <c r="G15" s="189"/>
      <c r="H15" s="190" t="s">
        <v>540</v>
      </c>
      <c r="I15" s="189"/>
      <c r="J15" s="184" t="str">
        <f ca="1">IF(D15=$C$1,"年金給付年度",IF(AND(G15="",I15=""),"",IF(OR(AND(OP!$C$22="VADT",G15+I15&lt;2000),AND(OP!$C$22="VADF",OR(AND(G15&lt;&gt;"",G15&lt;100),AND(I15&lt;&gt;"",I15&lt;100),AND(G15&lt;&gt;"",G15&gt;1000000),AND(I15&lt;&gt;"",I15&gt;1000000)))),"繳交金額設定不符核保規則",""))&amp;IF(AND(H15="月繳",I15&lt;&gt;""),"月繳首期須繳 2個月"&amp;TEXT(I15*2,"#,##0 元"),""))</f>
        <v/>
      </c>
      <c r="K15" s="189"/>
    </row>
    <row r="16" spans="1:11">
      <c r="A16" s="36">
        <v>11</v>
      </c>
      <c r="C16" s="185">
        <f t="shared" ca="1" si="1"/>
        <v>65</v>
      </c>
      <c r="D16" s="185">
        <f ca="1">IF(MAX($D$6:D15)+OP!$D$5-1&gt;80,"",D15+1)</f>
        <v>11</v>
      </c>
      <c r="E16" s="195">
        <v>0.05</v>
      </c>
      <c r="F16" s="185" t="str">
        <f t="shared" ca="1" si="0"/>
        <v>彈性繳</v>
      </c>
      <c r="G16" s="189"/>
      <c r="H16" s="190" t="s">
        <v>540</v>
      </c>
      <c r="I16" s="189"/>
      <c r="J16" s="184" t="str">
        <f ca="1">IF(D16=$C$1,"年金給付年度",IF(AND(G16="",I16=""),"",IF(OR(AND(OP!$C$22="VADT",G16+I16&lt;2000),AND(OP!$C$22="VADF",OR(AND(G16&lt;&gt;"",G16&lt;100),AND(I16&lt;&gt;"",I16&lt;100),AND(G16&lt;&gt;"",G16&gt;1000000),AND(I16&lt;&gt;"",I16&gt;1000000)))),"繳交金額設定不符核保規則",""))&amp;IF(AND(H16="月繳",I16&lt;&gt;""),"月繳首期須繳 2個月"&amp;TEXT(I16*2,"#,##0 元"),""))</f>
        <v/>
      </c>
      <c r="K16" s="189"/>
    </row>
    <row r="17" spans="1:11">
      <c r="A17" s="36">
        <v>12</v>
      </c>
      <c r="C17" s="185">
        <f t="shared" ca="1" si="1"/>
        <v>66</v>
      </c>
      <c r="D17" s="185">
        <f ca="1">IF(MAX($D$6:D16)+OP!$D$5-1&gt;80,"",D16+1)</f>
        <v>12</v>
      </c>
      <c r="E17" s="195">
        <v>0.05</v>
      </c>
      <c r="F17" s="185" t="str">
        <f t="shared" ca="1" si="0"/>
        <v>彈性繳</v>
      </c>
      <c r="G17" s="189"/>
      <c r="H17" s="190" t="s">
        <v>540</v>
      </c>
      <c r="I17" s="189"/>
      <c r="J17" s="184" t="str">
        <f ca="1">IF(D17=$C$1,"年金給付年度",IF(AND(G17="",I17=""),"",IF(OR(AND(OP!$C$22="VADT",G17+I17&lt;2000),AND(OP!$C$22="VADF",OR(AND(G17&lt;&gt;"",G17&lt;100),AND(I17&lt;&gt;"",I17&lt;100),AND(G17&lt;&gt;"",G17&gt;1000000),AND(I17&lt;&gt;"",I17&gt;1000000)))),"繳交金額設定不符核保規則",""))&amp;IF(AND(H17="月繳",I17&lt;&gt;""),"月繳首期須繳 2個月"&amp;TEXT(I17*2,"#,##0 元"),""))</f>
        <v/>
      </c>
      <c r="K17" s="189"/>
    </row>
    <row r="18" spans="1:11">
      <c r="A18" s="36">
        <v>13</v>
      </c>
      <c r="C18" s="185">
        <f t="shared" ca="1" si="1"/>
        <v>67</v>
      </c>
      <c r="D18" s="185">
        <f ca="1">IF(MAX($D$6:D17)+OP!$D$5-1&gt;80,"",D17+1)</f>
        <v>13</v>
      </c>
      <c r="E18" s="195">
        <v>0.05</v>
      </c>
      <c r="F18" s="185" t="str">
        <f t="shared" ca="1" si="0"/>
        <v>彈性繳</v>
      </c>
      <c r="G18" s="189"/>
      <c r="H18" s="190" t="s">
        <v>540</v>
      </c>
      <c r="I18" s="189"/>
      <c r="J18" s="184" t="str">
        <f ca="1">IF(D18=$C$1,"年金給付年度",IF(AND(G18="",I18=""),"",IF(OR(AND(OP!$C$22="VADT",G18+I18&lt;2000),AND(OP!$C$22="VADF",OR(AND(G18&lt;&gt;"",G18&lt;100),AND(I18&lt;&gt;"",I18&lt;100),AND(G18&lt;&gt;"",G18&gt;1000000),AND(I18&lt;&gt;"",I18&gt;1000000)))),"繳交金額設定不符核保規則",""))&amp;IF(AND(H18="月繳",I18&lt;&gt;""),"月繳首期須繳 2個月"&amp;TEXT(I18*2,"#,##0 元"),""))</f>
        <v/>
      </c>
      <c r="K18" s="189"/>
    </row>
    <row r="19" spans="1:11">
      <c r="A19" s="36">
        <v>14</v>
      </c>
      <c r="C19" s="185">
        <f t="shared" ca="1" si="1"/>
        <v>68</v>
      </c>
      <c r="D19" s="185">
        <f ca="1">IF(MAX($D$6:D18)+OP!$D$5-1&gt;80,"",D18+1)</f>
        <v>14</v>
      </c>
      <c r="E19" s="195">
        <v>0.05</v>
      </c>
      <c r="F19" s="185" t="str">
        <f t="shared" ca="1" si="0"/>
        <v>彈性繳</v>
      </c>
      <c r="G19" s="189"/>
      <c r="H19" s="190" t="s">
        <v>540</v>
      </c>
      <c r="I19" s="189"/>
      <c r="J19" s="184" t="str">
        <f ca="1">IF(D19=$C$1,"年金給付年度",IF(AND(G19="",I19=""),"",IF(OR(AND(OP!$C$22="VADT",G19+I19&lt;2000),AND(OP!$C$22="VADF",OR(AND(G19&lt;&gt;"",G19&lt;100),AND(I19&lt;&gt;"",I19&lt;100),AND(G19&lt;&gt;"",G19&gt;1000000),AND(I19&lt;&gt;"",I19&gt;1000000)))),"繳交金額設定不符核保規則",""))&amp;IF(AND(H19="月繳",I19&lt;&gt;""),"月繳首期須繳 2個月"&amp;TEXT(I19*2,"#,##0 元"),""))</f>
        <v/>
      </c>
      <c r="K19" s="189"/>
    </row>
    <row r="20" spans="1:11">
      <c r="A20" s="36">
        <v>15</v>
      </c>
      <c r="C20" s="185">
        <f t="shared" ca="1" si="1"/>
        <v>69</v>
      </c>
      <c r="D20" s="185">
        <f ca="1">IF(MAX($D$6:D19)+OP!$D$5-1&gt;80,"",D19+1)</f>
        <v>15</v>
      </c>
      <c r="E20" s="195">
        <v>0.05</v>
      </c>
      <c r="F20" s="185" t="str">
        <f t="shared" ca="1" si="0"/>
        <v>彈性繳</v>
      </c>
      <c r="G20" s="189"/>
      <c r="H20" s="190" t="s">
        <v>540</v>
      </c>
      <c r="I20" s="189"/>
      <c r="J20" s="184" t="str">
        <f ca="1">IF(D20=$C$1,"年金給付年度",IF(AND(G20="",I20=""),"",IF(OR(AND(OP!$C$22="VADT",G20+I20&lt;2000),AND(OP!$C$22="VADF",OR(AND(G20&lt;&gt;"",G20&lt;100),AND(I20&lt;&gt;"",I20&lt;100),AND(G20&lt;&gt;"",G20&gt;1000000),AND(I20&lt;&gt;"",I20&gt;1000000)))),"繳交金額設定不符核保規則",""))&amp;IF(AND(H20="月繳",I20&lt;&gt;""),"月繳首期須繳 2個月"&amp;TEXT(I20*2,"#,##0 元"),""))</f>
        <v/>
      </c>
      <c r="K20" s="189"/>
    </row>
    <row r="21" spans="1:11">
      <c r="A21" s="36">
        <v>16</v>
      </c>
      <c r="C21" s="185">
        <f t="shared" ca="1" si="1"/>
        <v>70</v>
      </c>
      <c r="D21" s="185">
        <f ca="1">IF(MAX($D$6:D20)+OP!$D$5-1&gt;80,"",D20+1)</f>
        <v>16</v>
      </c>
      <c r="E21" s="195">
        <v>0.05</v>
      </c>
      <c r="F21" s="185" t="str">
        <f t="shared" ca="1" si="0"/>
        <v>彈性繳</v>
      </c>
      <c r="G21" s="189"/>
      <c r="H21" s="190" t="s">
        <v>540</v>
      </c>
      <c r="I21" s="189"/>
      <c r="J21" s="184" t="str">
        <f ca="1">IF(D21=$C$1,"年金給付年度",IF(AND(G21="",I21=""),"",IF(OR(AND(OP!$C$22="VADT",G21+I21&lt;2000),AND(OP!$C$22="VADF",OR(AND(G21&lt;&gt;"",G21&lt;100),AND(I21&lt;&gt;"",I21&lt;100),AND(G21&lt;&gt;"",G21&gt;1000000),AND(I21&lt;&gt;"",I21&gt;1000000)))),"繳交金額設定不符核保規則",""))&amp;IF(AND(H21="月繳",I21&lt;&gt;""),"月繳首期須繳 2個月"&amp;TEXT(I21*2,"#,##0 元"),""))</f>
        <v/>
      </c>
      <c r="K21" s="189"/>
    </row>
    <row r="22" spans="1:11">
      <c r="A22" s="36">
        <v>17</v>
      </c>
      <c r="C22" s="185">
        <f t="shared" ca="1" si="1"/>
        <v>71</v>
      </c>
      <c r="D22" s="185">
        <f ca="1">IF(MAX($D$6:D21)+OP!$D$5-1&gt;80,"",D21+1)</f>
        <v>17</v>
      </c>
      <c r="E22" s="195">
        <v>0.05</v>
      </c>
      <c r="F22" s="185" t="str">
        <f t="shared" ca="1" si="0"/>
        <v>彈性繳</v>
      </c>
      <c r="G22" s="189"/>
      <c r="H22" s="190" t="s">
        <v>540</v>
      </c>
      <c r="I22" s="189"/>
      <c r="J22" s="184" t="str">
        <f ca="1">IF(D22=$C$1,"年金給付年度",IF(AND(G22="",I22=""),"",IF(OR(AND(OP!$C$22="VADT",G22+I22&lt;2000),AND(OP!$C$22="VADF",OR(AND(G22&lt;&gt;"",G22&lt;100),AND(I22&lt;&gt;"",I22&lt;100),AND(G22&lt;&gt;"",G22&gt;1000000),AND(I22&lt;&gt;"",I22&gt;1000000)))),"繳交金額設定不符核保規則",""))&amp;IF(AND(H22="月繳",I22&lt;&gt;""),"月繳首期須繳 2個月"&amp;TEXT(I22*2,"#,##0 元"),""))</f>
        <v/>
      </c>
      <c r="K22" s="189"/>
    </row>
    <row r="23" spans="1:11">
      <c r="A23" s="36">
        <v>18</v>
      </c>
      <c r="C23" s="185">
        <f t="shared" ca="1" si="1"/>
        <v>72</v>
      </c>
      <c r="D23" s="185">
        <f ca="1">IF(MAX($D$6:D22)+OP!$D$5-1&gt;80,"",D22+1)</f>
        <v>18</v>
      </c>
      <c r="E23" s="195">
        <v>0.05</v>
      </c>
      <c r="F23" s="185" t="str">
        <f t="shared" ca="1" si="0"/>
        <v>彈性繳</v>
      </c>
      <c r="G23" s="189"/>
      <c r="H23" s="190" t="s">
        <v>540</v>
      </c>
      <c r="I23" s="189"/>
      <c r="J23" s="184" t="str">
        <f ca="1">IF(D23=$C$1,"年金給付年度",IF(AND(G23="",I23=""),"",IF(OR(AND(OP!$C$22="VADT",G23+I23&lt;2000),AND(OP!$C$22="VADF",OR(AND(G23&lt;&gt;"",G23&lt;100),AND(I23&lt;&gt;"",I23&lt;100),AND(G23&lt;&gt;"",G23&gt;1000000),AND(I23&lt;&gt;"",I23&gt;1000000)))),"繳交金額設定不符核保規則",""))&amp;IF(AND(H23="月繳",I23&lt;&gt;""),"月繳首期須繳 2個月"&amp;TEXT(I23*2,"#,##0 元"),""))</f>
        <v/>
      </c>
      <c r="K23" s="189"/>
    </row>
    <row r="24" spans="1:11">
      <c r="A24" s="36">
        <v>19</v>
      </c>
      <c r="C24" s="185">
        <f t="shared" ca="1" si="1"/>
        <v>73</v>
      </c>
      <c r="D24" s="185">
        <f ca="1">IF(MAX($D$6:D23)+OP!$D$5-1&gt;80,"",D23+1)</f>
        <v>19</v>
      </c>
      <c r="E24" s="195">
        <v>0.05</v>
      </c>
      <c r="F24" s="185" t="str">
        <f t="shared" ca="1" si="0"/>
        <v>彈性繳</v>
      </c>
      <c r="G24" s="189"/>
      <c r="H24" s="190" t="s">
        <v>540</v>
      </c>
      <c r="I24" s="189"/>
      <c r="J24" s="184" t="str">
        <f ca="1">IF(D24=$C$1,"年金給付年度",IF(AND(G24="",I24=""),"",IF(OR(AND(OP!$C$22="VADT",G24+I24&lt;2000),AND(OP!$C$22="VADF",OR(AND(G24&lt;&gt;"",G24&lt;100),AND(I24&lt;&gt;"",I24&lt;100),AND(G24&lt;&gt;"",G24&gt;1000000),AND(I24&lt;&gt;"",I24&gt;1000000)))),"繳交金額設定不符核保規則",""))&amp;IF(AND(H24="月繳",I24&lt;&gt;""),"月繳首期須繳 2個月"&amp;TEXT(I24*2,"#,##0 元"),""))</f>
        <v/>
      </c>
      <c r="K24" s="189"/>
    </row>
    <row r="25" spans="1:11">
      <c r="A25" s="36">
        <v>20</v>
      </c>
      <c r="C25" s="185">
        <f t="shared" ca="1" si="1"/>
        <v>74</v>
      </c>
      <c r="D25" s="185">
        <f ca="1">IF(MAX($D$6:D24)+OP!$D$5-1&gt;80,"",D24+1)</f>
        <v>20</v>
      </c>
      <c r="E25" s="195">
        <v>0.05</v>
      </c>
      <c r="F25" s="185" t="str">
        <f t="shared" ca="1" si="0"/>
        <v>彈性繳</v>
      </c>
      <c r="G25" s="189"/>
      <c r="H25" s="190" t="s">
        <v>540</v>
      </c>
      <c r="I25" s="189"/>
      <c r="J25" s="184" t="str">
        <f ca="1">IF(D25=$C$1,"年金給付年度",IF(AND(G25="",I25=""),"",IF(OR(AND(OP!$C$22="VADT",G25+I25&lt;2000),AND(OP!$C$22="VADF",OR(AND(G25&lt;&gt;"",G25&lt;100),AND(I25&lt;&gt;"",I25&lt;100),AND(G25&lt;&gt;"",G25&gt;1000000),AND(I25&lt;&gt;"",I25&gt;1000000)))),"繳交金額設定不符核保規則",""))&amp;IF(AND(H25="月繳",I25&lt;&gt;""),"月繳首期須繳 2個月"&amp;TEXT(I25*2,"#,##0 元"),""))</f>
        <v/>
      </c>
      <c r="K25" s="189"/>
    </row>
    <row r="26" spans="1:11">
      <c r="A26" s="36">
        <v>21</v>
      </c>
      <c r="C26" s="185">
        <f t="shared" ca="1" si="1"/>
        <v>75</v>
      </c>
      <c r="D26" s="185">
        <f ca="1">IF(MAX($D$6:D25)+OP!$D$5-1&gt;80,"",D25+1)</f>
        <v>21</v>
      </c>
      <c r="E26" s="195">
        <v>0.05</v>
      </c>
      <c r="F26" s="185" t="str">
        <f t="shared" ca="1" si="0"/>
        <v>彈性繳</v>
      </c>
      <c r="G26" s="189"/>
      <c r="H26" s="190" t="s">
        <v>540</v>
      </c>
      <c r="I26" s="189"/>
      <c r="J26" s="184" t="str">
        <f ca="1">IF(D26=$C$1,"年金給付年度",IF(AND(G26="",I26=""),"",IF(OR(AND(OP!$C$22="VADT",G26+I26&lt;2000),AND(OP!$C$22="VADF",OR(AND(G26&lt;&gt;"",G26&lt;100),AND(I26&lt;&gt;"",I26&lt;100),AND(G26&lt;&gt;"",G26&gt;1000000),AND(I26&lt;&gt;"",I26&gt;1000000)))),"繳交金額設定不符核保規則",""))&amp;IF(AND(H26="月繳",I26&lt;&gt;""),"月繳首期須繳 2個月"&amp;TEXT(I26*2,"#,##0 元"),""))</f>
        <v/>
      </c>
      <c r="K26" s="189"/>
    </row>
    <row r="27" spans="1:11">
      <c r="A27" s="36">
        <v>22</v>
      </c>
      <c r="C27" s="185">
        <f t="shared" ca="1" si="1"/>
        <v>76</v>
      </c>
      <c r="D27" s="185">
        <f ca="1">IF(MAX($D$6:D26)+OP!$D$5-1&gt;80,"",D26+1)</f>
        <v>22</v>
      </c>
      <c r="E27" s="195">
        <v>0.05</v>
      </c>
      <c r="F27" s="185" t="str">
        <f t="shared" ca="1" si="0"/>
        <v>彈性繳</v>
      </c>
      <c r="G27" s="189"/>
      <c r="H27" s="190" t="s">
        <v>540</v>
      </c>
      <c r="I27" s="189"/>
      <c r="J27" s="184" t="str">
        <f ca="1">IF(D27=$C$1,"年金給付年度",IF(AND(G27="",I27=""),"",IF(OR(AND(OP!$C$22="VADT",G27+I27&lt;2000),AND(OP!$C$22="VADF",OR(AND(G27&lt;&gt;"",G27&lt;100),AND(I27&lt;&gt;"",I27&lt;100),AND(G27&lt;&gt;"",G27&gt;1000000),AND(I27&lt;&gt;"",I27&gt;1000000)))),"繳交金額設定不符核保規則",""))&amp;IF(AND(H27="月繳",I27&lt;&gt;""),"月繳首期須繳 2個月"&amp;TEXT(I27*2,"#,##0 元"),""))</f>
        <v/>
      </c>
      <c r="K27" s="189"/>
    </row>
    <row r="28" spans="1:11">
      <c r="A28" s="36">
        <v>23</v>
      </c>
      <c r="C28" s="185">
        <f t="shared" ca="1" si="1"/>
        <v>77</v>
      </c>
      <c r="D28" s="185">
        <f ca="1">IF(MAX($D$6:D27)+OP!$D$5-1&gt;80,"",D27+1)</f>
        <v>23</v>
      </c>
      <c r="E28" s="195">
        <v>0.05</v>
      </c>
      <c r="F28" s="185" t="str">
        <f t="shared" ca="1" si="0"/>
        <v>彈性繳</v>
      </c>
      <c r="G28" s="189"/>
      <c r="H28" s="190" t="s">
        <v>540</v>
      </c>
      <c r="I28" s="189"/>
      <c r="J28" s="184" t="str">
        <f ca="1">IF(D28=$C$1,"年金給付年度",IF(AND(G28="",I28=""),"",IF(OR(AND(OP!$C$22="VADT",G28+I28&lt;2000),AND(OP!$C$22="VADF",OR(AND(G28&lt;&gt;"",G28&lt;100),AND(I28&lt;&gt;"",I28&lt;100),AND(G28&lt;&gt;"",G28&gt;1000000),AND(I28&lt;&gt;"",I28&gt;1000000)))),"繳交金額設定不符核保規則",""))&amp;IF(AND(H28="月繳",I28&lt;&gt;""),"月繳首期須繳 2個月"&amp;TEXT(I28*2,"#,##0 元"),""))</f>
        <v/>
      </c>
      <c r="K28" s="189"/>
    </row>
    <row r="29" spans="1:11">
      <c r="A29" s="36">
        <v>24</v>
      </c>
      <c r="C29" s="185">
        <f t="shared" ca="1" si="1"/>
        <v>78</v>
      </c>
      <c r="D29" s="185">
        <f ca="1">IF(MAX($D$6:D28)+OP!$D$5-1&gt;80,"",D28+1)</f>
        <v>24</v>
      </c>
      <c r="E29" s="195">
        <v>0.05</v>
      </c>
      <c r="F29" s="185" t="str">
        <f t="shared" ca="1" si="0"/>
        <v>彈性繳</v>
      </c>
      <c r="G29" s="189"/>
      <c r="H29" s="190" t="s">
        <v>540</v>
      </c>
      <c r="I29" s="189"/>
      <c r="J29" s="184" t="str">
        <f ca="1">IF(D29=$C$1,"年金給付年度",IF(AND(G29="",I29=""),"",IF(OR(AND(OP!$C$22="VADT",G29+I29&lt;2000),AND(OP!$C$22="VADF",OR(AND(G29&lt;&gt;"",G29&lt;100),AND(I29&lt;&gt;"",I29&lt;100),AND(G29&lt;&gt;"",G29&gt;1000000),AND(I29&lt;&gt;"",I29&gt;1000000)))),"繳交金額設定不符核保規則",""))&amp;IF(AND(H29="月繳",I29&lt;&gt;""),"月繳首期須繳 2個月"&amp;TEXT(I29*2,"#,##0 元"),""))</f>
        <v/>
      </c>
      <c r="K29" s="189"/>
    </row>
    <row r="30" spans="1:11">
      <c r="A30" s="36">
        <v>25</v>
      </c>
      <c r="C30" s="185">
        <f t="shared" ca="1" si="1"/>
        <v>79</v>
      </c>
      <c r="D30" s="185">
        <f ca="1">IF(MAX($D$6:D29)+OP!$D$5-1&gt;80,"",D29+1)</f>
        <v>25</v>
      </c>
      <c r="E30" s="195">
        <v>0.05</v>
      </c>
      <c r="F30" s="185" t="str">
        <f t="shared" ca="1" si="0"/>
        <v>彈性繳</v>
      </c>
      <c r="G30" s="189"/>
      <c r="H30" s="190" t="s">
        <v>540</v>
      </c>
      <c r="I30" s="189"/>
      <c r="J30" s="184" t="str">
        <f ca="1">IF(D30=$C$1,"年金給付年度",IF(AND(G30="",I30=""),"",IF(OR(AND(OP!$C$22="VADT",G30+I30&lt;2000),AND(OP!$C$22="VADF",OR(AND(G30&lt;&gt;"",G30&lt;100),AND(I30&lt;&gt;"",I30&lt;100),AND(G30&lt;&gt;"",G30&gt;1000000),AND(I30&lt;&gt;"",I30&gt;1000000)))),"繳交金額設定不符核保規則",""))&amp;IF(AND(H30="月繳",I30&lt;&gt;""),"月繳首期須繳 2個月"&amp;TEXT(I30*2,"#,##0 元"),""))</f>
        <v/>
      </c>
      <c r="K30" s="189"/>
    </row>
    <row r="31" spans="1:11">
      <c r="A31" s="36">
        <v>26</v>
      </c>
      <c r="C31" s="185">
        <f t="shared" ca="1" si="1"/>
        <v>80</v>
      </c>
      <c r="D31" s="185">
        <f ca="1">IF(MAX($D$6:D30)+OP!$D$5-1&gt;80,"",D30+1)</f>
        <v>26</v>
      </c>
      <c r="E31" s="195">
        <v>0.05</v>
      </c>
      <c r="F31" s="185" t="str">
        <f t="shared" ca="1" si="0"/>
        <v>彈性繳</v>
      </c>
      <c r="G31" s="189"/>
      <c r="H31" s="190" t="s">
        <v>540</v>
      </c>
      <c r="I31" s="189"/>
      <c r="J31" s="184" t="str">
        <f ca="1">IF(D31=$C$1,"年金給付年度",IF(AND(G31="",I31=""),"",IF(OR(AND(OP!$C$22="VADT",G31+I31&lt;2000),AND(OP!$C$22="VADF",OR(AND(G31&lt;&gt;"",G31&lt;100),AND(I31&lt;&gt;"",I31&lt;100),AND(G31&lt;&gt;"",G31&gt;1000000),AND(I31&lt;&gt;"",I31&gt;1000000)))),"繳交金額設定不符核保規則",""))&amp;IF(AND(H31="月繳",I31&lt;&gt;""),"月繳首期須繳 2個月"&amp;TEXT(I31*2,"#,##0 元"),""))</f>
        <v/>
      </c>
      <c r="K31" s="189"/>
    </row>
    <row r="32" spans="1:11">
      <c r="A32" s="36">
        <v>27</v>
      </c>
      <c r="C32" s="185">
        <f t="shared" ca="1" si="1"/>
        <v>81</v>
      </c>
      <c r="D32" s="185">
        <f ca="1">IF(MAX($D$6:D31)+OP!$D$5-1&gt;80,"",D31+1)</f>
        <v>27</v>
      </c>
      <c r="E32" s="195">
        <v>0.05</v>
      </c>
      <c r="F32" s="185" t="str">
        <f t="shared" ca="1" si="0"/>
        <v>彈性繳</v>
      </c>
      <c r="G32" s="189"/>
      <c r="H32" s="190" t="s">
        <v>540</v>
      </c>
      <c r="I32" s="189"/>
      <c r="J32" s="184" t="str">
        <f ca="1">IF(D32=$C$1,"年金給付年度",IF(AND(G32="",I32=""),"",IF(OR(AND(OP!$C$22="VADT",G32+I32&lt;2000),AND(OP!$C$22="VADF",OR(AND(G32&lt;&gt;"",G32&lt;100),AND(I32&lt;&gt;"",I32&lt;100),AND(G32&lt;&gt;"",G32&gt;1000000),AND(I32&lt;&gt;"",I32&gt;1000000)))),"繳交金額設定不符核保規則",""))&amp;IF(AND(H32="月繳",I32&lt;&gt;""),"月繳首期須繳 2個月"&amp;TEXT(I32*2,"#,##0 元"),""))</f>
        <v/>
      </c>
      <c r="K32" s="189"/>
    </row>
    <row r="33" spans="1:11">
      <c r="A33" s="36">
        <v>28</v>
      </c>
      <c r="C33" s="185" t="str">
        <f t="shared" ca="1" si="1"/>
        <v/>
      </c>
      <c r="D33" s="185" t="str">
        <f ca="1">IF(MAX($D$6:D32)+OP!$D$5-1&gt;80,"",D32+1)</f>
        <v/>
      </c>
      <c r="E33" s="195">
        <v>0.05</v>
      </c>
      <c r="F33" s="185" t="str">
        <f t="shared" ca="1" si="0"/>
        <v/>
      </c>
      <c r="G33" s="189"/>
      <c r="H33" s="190" t="s">
        <v>540</v>
      </c>
      <c r="I33" s="189"/>
      <c r="J33" s="184" t="str">
        <f ca="1">IF(D33=$C$1,"年金給付年度",IF(AND(G33="",I33=""),"",IF(OR(AND(OP!$C$22="VADT",G33+I33&lt;2000),AND(OP!$C$22="VADF",OR(AND(G33&lt;&gt;"",G33&lt;100),AND(I33&lt;&gt;"",I33&lt;100),AND(G33&lt;&gt;"",G33&gt;1000000),AND(I33&lt;&gt;"",I33&gt;1000000)))),"繳交金額設定不符核保規則",""))&amp;IF(AND(H33="月繳",I33&lt;&gt;""),"月繳首期須繳 2個月"&amp;TEXT(I33*2,"#,##0 元"),""))</f>
        <v/>
      </c>
      <c r="K33" s="189"/>
    </row>
    <row r="34" spans="1:11">
      <c r="A34" s="36">
        <v>29</v>
      </c>
      <c r="C34" s="185" t="str">
        <f t="shared" ca="1" si="1"/>
        <v/>
      </c>
      <c r="D34" s="185" t="str">
        <f ca="1">IF(MAX($D$6:D33)+OP!$D$5-1&gt;80,"",D33+1)</f>
        <v/>
      </c>
      <c r="E34" s="195">
        <v>0.05</v>
      </c>
      <c r="F34" s="185" t="str">
        <f t="shared" ca="1" si="0"/>
        <v/>
      </c>
      <c r="G34" s="189"/>
      <c r="H34" s="190" t="s">
        <v>540</v>
      </c>
      <c r="I34" s="189"/>
      <c r="J34" s="184" t="str">
        <f ca="1">IF(D34=$C$1,"年金給付年度",IF(AND(G34="",I34=""),"",IF(OR(AND(OP!$C$22="VADT",G34+I34&lt;2000),AND(OP!$C$22="VADF",OR(AND(G34&lt;&gt;"",G34&lt;100),AND(I34&lt;&gt;"",I34&lt;100),AND(G34&lt;&gt;"",G34&gt;1000000),AND(I34&lt;&gt;"",I34&gt;1000000)))),"繳交金額設定不符核保規則",""))&amp;IF(AND(H34="月繳",I34&lt;&gt;""),"月繳首期須繳 2個月"&amp;TEXT(I34*2,"#,##0 元"),""))</f>
        <v/>
      </c>
      <c r="K34" s="189"/>
    </row>
    <row r="35" spans="1:11">
      <c r="A35" s="36">
        <v>30</v>
      </c>
      <c r="C35" s="185" t="str">
        <f t="shared" ca="1" si="1"/>
        <v/>
      </c>
      <c r="D35" s="185" t="str">
        <f ca="1">IF(MAX($D$6:D34)+OP!$D$5-1&gt;80,"",D34+1)</f>
        <v/>
      </c>
      <c r="E35" s="195">
        <v>0.05</v>
      </c>
      <c r="F35" s="185" t="str">
        <f t="shared" ca="1" si="0"/>
        <v/>
      </c>
      <c r="G35" s="189"/>
      <c r="H35" s="190" t="s">
        <v>540</v>
      </c>
      <c r="I35" s="189"/>
      <c r="J35" s="184" t="str">
        <f ca="1">IF(D35=$C$1,"年金給付年度",IF(AND(G35="",I35=""),"",IF(OR(AND(OP!$C$22="VADT",G35+I35&lt;2000),AND(OP!$C$22="VADF",OR(AND(G35&lt;&gt;"",G35&lt;100),AND(I35&lt;&gt;"",I35&lt;100),AND(G35&lt;&gt;"",G35&gt;1000000),AND(I35&lt;&gt;"",I35&gt;1000000)))),"繳交金額設定不符核保規則",""))&amp;IF(AND(H35="月繳",I35&lt;&gt;""),"月繳首期須繳 2個月"&amp;TEXT(I35*2,"#,##0 元"),""))</f>
        <v/>
      </c>
      <c r="K35" s="189"/>
    </row>
    <row r="36" spans="1:11">
      <c r="A36" s="36">
        <v>31</v>
      </c>
      <c r="C36" s="185" t="str">
        <f t="shared" ca="1" si="1"/>
        <v/>
      </c>
      <c r="D36" s="185" t="str">
        <f ca="1">IF(MAX($D$6:D35)+OP!$D$5-1&gt;80,"",D35+1)</f>
        <v/>
      </c>
      <c r="E36" s="195">
        <v>0.05</v>
      </c>
      <c r="F36" s="185" t="str">
        <f t="shared" ca="1" si="0"/>
        <v/>
      </c>
      <c r="G36" s="189"/>
      <c r="H36" s="190" t="s">
        <v>540</v>
      </c>
      <c r="I36" s="189"/>
      <c r="J36" s="184" t="str">
        <f ca="1">IF(D36=$C$1,"年金給付年度",IF(AND(G36="",I36=""),"",IF(OR(AND(OP!$C$22="VADT",G36+I36&lt;2000),AND(OP!$C$22="VADF",OR(AND(G36&lt;&gt;"",G36&lt;100),AND(I36&lt;&gt;"",I36&lt;100),AND(G36&lt;&gt;"",G36&gt;1000000),AND(I36&lt;&gt;"",I36&gt;1000000)))),"繳交金額設定不符核保規則",""))&amp;IF(AND(H36="月繳",I36&lt;&gt;""),"月繳首期須繳 2個月"&amp;TEXT(I36*2,"#,##0 元"),""))</f>
        <v/>
      </c>
      <c r="K36" s="189"/>
    </row>
    <row r="37" spans="1:11">
      <c r="A37" s="36">
        <v>32</v>
      </c>
      <c r="C37" s="185" t="str">
        <f t="shared" ca="1" si="1"/>
        <v/>
      </c>
      <c r="D37" s="185" t="str">
        <f ca="1">IF(MAX($D$6:D36)+OP!$D$5-1&gt;80,"",D36+1)</f>
        <v/>
      </c>
      <c r="E37" s="195">
        <v>0.05</v>
      </c>
      <c r="F37" s="185" t="str">
        <f t="shared" ca="1" si="0"/>
        <v/>
      </c>
      <c r="G37" s="189"/>
      <c r="H37" s="190" t="s">
        <v>540</v>
      </c>
      <c r="I37" s="189"/>
      <c r="J37" s="184" t="str">
        <f ca="1">IF(D37=$C$1,"年金給付年度",IF(AND(G37="",I37=""),"",IF(OR(AND(OP!$C$22="VADT",G37+I37&lt;2000),AND(OP!$C$22="VADF",OR(AND(G37&lt;&gt;"",G37&lt;100),AND(I37&lt;&gt;"",I37&lt;100),AND(G37&lt;&gt;"",G37&gt;1000000),AND(I37&lt;&gt;"",I37&gt;1000000)))),"繳交金額設定不符核保規則",""))&amp;IF(AND(H37="月繳",I37&lt;&gt;""),"月繳首期須繳 2個月"&amp;TEXT(I37*2,"#,##0 元"),""))</f>
        <v/>
      </c>
      <c r="K37" s="189"/>
    </row>
    <row r="38" spans="1:11">
      <c r="A38" s="36">
        <v>33</v>
      </c>
      <c r="C38" s="185" t="str">
        <f t="shared" ca="1" si="1"/>
        <v/>
      </c>
      <c r="D38" s="185" t="str">
        <f ca="1">IF(MAX($D$6:D37)+OP!$D$5-1&gt;80,"",D37+1)</f>
        <v/>
      </c>
      <c r="E38" s="195">
        <v>0.05</v>
      </c>
      <c r="F38" s="185" t="str">
        <f t="shared" ca="1" si="0"/>
        <v/>
      </c>
      <c r="G38" s="189"/>
      <c r="H38" s="190" t="s">
        <v>540</v>
      </c>
      <c r="I38" s="189"/>
      <c r="J38" s="184" t="str">
        <f ca="1">IF(D38=$C$1,"年金給付年度",IF(AND(G38="",I38=""),"",IF(OR(AND(OP!$C$22="VADT",G38+I38&lt;2000),AND(OP!$C$22="VADF",OR(AND(G38&lt;&gt;"",G38&lt;100),AND(I38&lt;&gt;"",I38&lt;100),AND(G38&lt;&gt;"",G38&gt;1000000),AND(I38&lt;&gt;"",I38&gt;1000000)))),"繳交金額設定不符核保規則",""))&amp;IF(AND(H38="月繳",I38&lt;&gt;""),"月繳首期須繳 2個月"&amp;TEXT(I38*2,"#,##0 元"),""))</f>
        <v/>
      </c>
      <c r="K38" s="189"/>
    </row>
    <row r="39" spans="1:11">
      <c r="A39" s="36">
        <v>34</v>
      </c>
      <c r="C39" s="185" t="str">
        <f t="shared" ca="1" si="1"/>
        <v/>
      </c>
      <c r="D39" s="185" t="str">
        <f ca="1">IF(MAX($D$6:D38)+OP!$D$5-1&gt;80,"",D38+1)</f>
        <v/>
      </c>
      <c r="E39" s="195">
        <v>0.05</v>
      </c>
      <c r="F39" s="185" t="str">
        <f t="shared" ca="1" si="0"/>
        <v/>
      </c>
      <c r="G39" s="189"/>
      <c r="H39" s="190" t="s">
        <v>540</v>
      </c>
      <c r="I39" s="189"/>
      <c r="J39" s="184" t="str">
        <f ca="1">IF(D39=$C$1,"年金給付年度",IF(AND(G39="",I39=""),"",IF(OR(AND(OP!$C$22="VADT",G39+I39&lt;2000),AND(OP!$C$22="VADF",OR(AND(G39&lt;&gt;"",G39&lt;100),AND(I39&lt;&gt;"",I39&lt;100),AND(G39&lt;&gt;"",G39&gt;1000000),AND(I39&lt;&gt;"",I39&gt;1000000)))),"繳交金額設定不符核保規則",""))&amp;IF(AND(H39="月繳",I39&lt;&gt;""),"月繳首期須繳 2個月"&amp;TEXT(I39*2,"#,##0 元"),""))</f>
        <v/>
      </c>
      <c r="K39" s="189"/>
    </row>
    <row r="40" spans="1:11">
      <c r="A40" s="36">
        <v>35</v>
      </c>
      <c r="C40" s="185" t="str">
        <f t="shared" ca="1" si="1"/>
        <v/>
      </c>
      <c r="D40" s="185" t="str">
        <f ca="1">IF(MAX($D$6:D39)+OP!$D$5-1&gt;80,"",D39+1)</f>
        <v/>
      </c>
      <c r="E40" s="195">
        <v>0.05</v>
      </c>
      <c r="F40" s="185" t="str">
        <f t="shared" ca="1" si="0"/>
        <v/>
      </c>
      <c r="G40" s="189"/>
      <c r="H40" s="190" t="s">
        <v>540</v>
      </c>
      <c r="I40" s="189"/>
      <c r="J40" s="184" t="str">
        <f ca="1">IF(D40=$C$1,"年金給付年度",IF(AND(G40="",I40=""),"",IF(OR(AND(OP!$C$22="VADT",G40+I40&lt;2000),AND(OP!$C$22="VADF",OR(AND(G40&lt;&gt;"",G40&lt;100),AND(I40&lt;&gt;"",I40&lt;100),AND(G40&lt;&gt;"",G40&gt;1000000),AND(I40&lt;&gt;"",I40&gt;1000000)))),"繳交金額設定不符核保規則",""))&amp;IF(AND(H40="月繳",I40&lt;&gt;""),"月繳首期須繳 2個月"&amp;TEXT(I40*2,"#,##0 元"),""))</f>
        <v/>
      </c>
      <c r="K40" s="189"/>
    </row>
    <row r="41" spans="1:11">
      <c r="A41" s="36">
        <v>36</v>
      </c>
      <c r="C41" s="185" t="str">
        <f t="shared" ca="1" si="1"/>
        <v/>
      </c>
      <c r="D41" s="185" t="str">
        <f ca="1">IF(MAX($D$6:D40)+OP!$D$5-1&gt;80,"",D40+1)</f>
        <v/>
      </c>
      <c r="E41" s="195">
        <v>0.05</v>
      </c>
      <c r="F41" s="185" t="str">
        <f t="shared" ca="1" si="0"/>
        <v/>
      </c>
      <c r="G41" s="189"/>
      <c r="H41" s="190" t="s">
        <v>540</v>
      </c>
      <c r="I41" s="189"/>
      <c r="J41" s="184" t="str">
        <f ca="1">IF(D41=$C$1,"年金給付年度",IF(AND(G41="",I41=""),"",IF(OR(AND(OP!$C$22="VADT",G41+I41&lt;2000),AND(OP!$C$22="VADF",OR(AND(G41&lt;&gt;"",G41&lt;100),AND(I41&lt;&gt;"",I41&lt;100),AND(G41&lt;&gt;"",G41&gt;1000000),AND(I41&lt;&gt;"",I41&gt;1000000)))),"繳交金額設定不符核保規則",""))&amp;IF(AND(H41="月繳",I41&lt;&gt;""),"月繳首期須繳 2個月"&amp;TEXT(I41*2,"#,##0 元"),""))</f>
        <v/>
      </c>
      <c r="K41" s="189"/>
    </row>
    <row r="42" spans="1:11">
      <c r="A42" s="36">
        <v>37</v>
      </c>
      <c r="C42" s="185" t="str">
        <f t="shared" ca="1" si="1"/>
        <v/>
      </c>
      <c r="D42" s="185" t="str">
        <f ca="1">IF(MAX($D$6:D41)+OP!$D$5-1&gt;80,"",D41+1)</f>
        <v/>
      </c>
      <c r="E42" s="195">
        <v>0.05</v>
      </c>
      <c r="F42" s="185" t="str">
        <f t="shared" ca="1" si="0"/>
        <v/>
      </c>
      <c r="G42" s="189"/>
      <c r="H42" s="190" t="s">
        <v>540</v>
      </c>
      <c r="I42" s="189"/>
      <c r="J42" s="184" t="str">
        <f ca="1">IF(D42=$C$1,"年金給付年度",IF(AND(G42="",I42=""),"",IF(OR(AND(OP!$C$22="VADT",G42+I42&lt;2000),AND(OP!$C$22="VADF",OR(AND(G42&lt;&gt;"",G42&lt;100),AND(I42&lt;&gt;"",I42&lt;100),AND(G42&lt;&gt;"",G42&gt;1000000),AND(I42&lt;&gt;"",I42&gt;1000000)))),"繳交金額設定不符核保規則",""))&amp;IF(AND(H42="月繳",I42&lt;&gt;""),"月繳首期須繳 2個月"&amp;TEXT(I42*2,"#,##0 元"),""))</f>
        <v/>
      </c>
      <c r="K42" s="189"/>
    </row>
    <row r="43" spans="1:11">
      <c r="A43" s="36">
        <v>38</v>
      </c>
      <c r="C43" s="185" t="str">
        <f t="shared" ca="1" si="1"/>
        <v/>
      </c>
      <c r="D43" s="185" t="str">
        <f ca="1">IF(MAX($D$6:D42)+OP!$D$5-1&gt;80,"",D42+1)</f>
        <v/>
      </c>
      <c r="E43" s="195">
        <v>0.05</v>
      </c>
      <c r="F43" s="185" t="str">
        <f t="shared" ca="1" si="0"/>
        <v/>
      </c>
      <c r="G43" s="189"/>
      <c r="H43" s="190" t="s">
        <v>540</v>
      </c>
      <c r="I43" s="189"/>
      <c r="J43" s="184" t="str">
        <f ca="1">IF(D43=$C$1,"年金給付年度",IF(AND(G43="",I43=""),"",IF(OR(AND(OP!$C$22="VADT",G43+I43&lt;2000),AND(OP!$C$22="VADF",OR(AND(G43&lt;&gt;"",G43&lt;100),AND(I43&lt;&gt;"",I43&lt;100),AND(G43&lt;&gt;"",G43&gt;1000000),AND(I43&lt;&gt;"",I43&gt;1000000)))),"繳交金額設定不符核保規則",""))&amp;IF(AND(H43="月繳",I43&lt;&gt;""),"月繳首期須繳 2個月"&amp;TEXT(I43*2,"#,##0 元"),""))</f>
        <v/>
      </c>
      <c r="K43" s="189"/>
    </row>
    <row r="44" spans="1:11">
      <c r="A44" s="36">
        <v>39</v>
      </c>
      <c r="C44" s="185" t="str">
        <f t="shared" ca="1" si="1"/>
        <v/>
      </c>
      <c r="D44" s="185" t="str">
        <f ca="1">IF(MAX($D$6:D43)+OP!$D$5-1&gt;80,"",D43+1)</f>
        <v/>
      </c>
      <c r="E44" s="195">
        <v>0.05</v>
      </c>
      <c r="F44" s="185" t="str">
        <f t="shared" ca="1" si="0"/>
        <v/>
      </c>
      <c r="G44" s="189"/>
      <c r="H44" s="190" t="s">
        <v>540</v>
      </c>
      <c r="I44" s="189"/>
      <c r="J44" s="184" t="str">
        <f ca="1">IF(D44=$C$1,"年金給付年度",IF(AND(G44="",I44=""),"",IF(OR(AND(OP!$C$22="VADT",G44+I44&lt;2000),AND(OP!$C$22="VADF",OR(AND(G44&lt;&gt;"",G44&lt;100),AND(I44&lt;&gt;"",I44&lt;100),AND(G44&lt;&gt;"",G44&gt;1000000),AND(I44&lt;&gt;"",I44&gt;1000000)))),"繳交金額設定不符核保規則",""))&amp;IF(AND(H44="月繳",I44&lt;&gt;""),"月繳首期須繳 2個月"&amp;TEXT(I44*2,"#,##0 元"),""))</f>
        <v/>
      </c>
      <c r="K44" s="189"/>
    </row>
    <row r="45" spans="1:11">
      <c r="A45" s="36">
        <v>40</v>
      </c>
      <c r="C45" s="185" t="str">
        <f t="shared" ca="1" si="1"/>
        <v/>
      </c>
      <c r="D45" s="185" t="str">
        <f ca="1">IF(MAX($D$6:D44)+OP!$D$5-1&gt;80,"",D44+1)</f>
        <v/>
      </c>
      <c r="E45" s="195">
        <v>0.05</v>
      </c>
      <c r="F45" s="185" t="str">
        <f t="shared" ca="1" si="0"/>
        <v/>
      </c>
      <c r="G45" s="189"/>
      <c r="H45" s="190" t="s">
        <v>540</v>
      </c>
      <c r="I45" s="189"/>
      <c r="J45" s="184" t="str">
        <f ca="1">IF(D45=$C$1,"年金給付年度",IF(AND(G45="",I45=""),"",IF(OR(AND(OP!$C$22="VADT",G45+I45&lt;2000),AND(OP!$C$22="VADF",OR(AND(G45&lt;&gt;"",G45&lt;100),AND(I45&lt;&gt;"",I45&lt;100),AND(G45&lt;&gt;"",G45&gt;1000000),AND(I45&lt;&gt;"",I45&gt;1000000)))),"繳交金額設定不符核保規則",""))&amp;IF(AND(H45="月繳",I45&lt;&gt;""),"月繳首期須繳 2個月"&amp;TEXT(I45*2,"#,##0 元"),""))</f>
        <v/>
      </c>
      <c r="K45" s="189"/>
    </row>
    <row r="46" spans="1:11">
      <c r="A46" s="36">
        <v>41</v>
      </c>
      <c r="C46" s="185" t="str">
        <f t="shared" ca="1" si="1"/>
        <v/>
      </c>
      <c r="D46" s="185" t="str">
        <f ca="1">IF(MAX($D$6:D45)+OP!$D$5-1&gt;80,"",D45+1)</f>
        <v/>
      </c>
      <c r="E46" s="195">
        <v>0.05</v>
      </c>
      <c r="F46" s="185" t="str">
        <f t="shared" ca="1" si="0"/>
        <v/>
      </c>
      <c r="G46" s="189"/>
      <c r="H46" s="190" t="s">
        <v>540</v>
      </c>
      <c r="I46" s="189"/>
      <c r="J46" s="184" t="str">
        <f ca="1">IF(D46=$C$1,"年金給付年度",IF(AND(G46="",I46=""),"",IF(OR(AND(OP!$C$22="VADT",G46+I46&lt;2000),AND(OP!$C$22="VADF",OR(AND(G46&lt;&gt;"",G46&lt;100),AND(I46&lt;&gt;"",I46&lt;100),AND(G46&lt;&gt;"",G46&gt;1000000),AND(I46&lt;&gt;"",I46&gt;1000000)))),"繳交金額設定不符核保規則",""))&amp;IF(AND(H46="月繳",I46&lt;&gt;""),"月繳首期須繳 2個月"&amp;TEXT(I46*2,"#,##0 元"),""))</f>
        <v/>
      </c>
      <c r="K46" s="189"/>
    </row>
    <row r="47" spans="1:11">
      <c r="A47" s="36">
        <v>42</v>
      </c>
      <c r="C47" s="185" t="str">
        <f t="shared" ca="1" si="1"/>
        <v/>
      </c>
      <c r="D47" s="185" t="str">
        <f ca="1">IF(MAX($D$6:D46)+OP!$D$5-1&gt;80,"",D46+1)</f>
        <v/>
      </c>
      <c r="E47" s="195">
        <v>0.05</v>
      </c>
      <c r="F47" s="185" t="str">
        <f t="shared" ca="1" si="0"/>
        <v/>
      </c>
      <c r="G47" s="189"/>
      <c r="H47" s="190" t="s">
        <v>540</v>
      </c>
      <c r="I47" s="189"/>
      <c r="J47" s="184" t="str">
        <f ca="1">IF(D47=$C$1,"年金給付年度",IF(AND(G47="",I47=""),"",IF(OR(AND(OP!$C$22="VADT",G47+I47&lt;2000),AND(OP!$C$22="VADF",OR(AND(G47&lt;&gt;"",G47&lt;100),AND(I47&lt;&gt;"",I47&lt;100),AND(G47&lt;&gt;"",G47&gt;1000000),AND(I47&lt;&gt;"",I47&gt;1000000)))),"繳交金額設定不符核保規則",""))&amp;IF(AND(H47="月繳",I47&lt;&gt;""),"月繳首期須繳 2個月"&amp;TEXT(I47*2,"#,##0 元"),""))</f>
        <v/>
      </c>
      <c r="K47" s="189"/>
    </row>
    <row r="48" spans="1:11">
      <c r="A48" s="36">
        <v>43</v>
      </c>
      <c r="C48" s="185" t="str">
        <f t="shared" ca="1" si="1"/>
        <v/>
      </c>
      <c r="D48" s="185" t="str">
        <f ca="1">IF(MAX($D$6:D47)+OP!$D$5-1&gt;80,"",D47+1)</f>
        <v/>
      </c>
      <c r="E48" s="195">
        <v>0.05</v>
      </c>
      <c r="F48" s="185" t="str">
        <f t="shared" ca="1" si="0"/>
        <v/>
      </c>
      <c r="G48" s="189"/>
      <c r="H48" s="190" t="s">
        <v>540</v>
      </c>
      <c r="I48" s="189"/>
      <c r="J48" s="184" t="str">
        <f ca="1">IF(D48=$C$1,"年金給付年度",IF(AND(G48="",I48=""),"",IF(OR(AND(OP!$C$22="VADT",G48+I48&lt;2000),AND(OP!$C$22="VADF",OR(AND(G48&lt;&gt;"",G48&lt;100),AND(I48&lt;&gt;"",I48&lt;100),AND(G48&lt;&gt;"",G48&gt;1000000),AND(I48&lt;&gt;"",I48&gt;1000000)))),"繳交金額設定不符核保規則",""))&amp;IF(AND(H48="月繳",I48&lt;&gt;""),"月繳首期須繳 2個月"&amp;TEXT(I48*2,"#,##0 元"),""))</f>
        <v/>
      </c>
      <c r="K48" s="189"/>
    </row>
    <row r="49" spans="1:12">
      <c r="A49" s="36">
        <v>44</v>
      </c>
      <c r="C49" s="185" t="str">
        <f t="shared" ca="1" si="1"/>
        <v/>
      </c>
      <c r="D49" s="185" t="str">
        <f ca="1">IF(MAX($D$6:D48)+OP!$D$5-1&gt;80,"",D48+1)</f>
        <v/>
      </c>
      <c r="E49" s="195">
        <v>0.05</v>
      </c>
      <c r="F49" s="185" t="str">
        <f t="shared" ca="1" si="0"/>
        <v/>
      </c>
      <c r="G49" s="189"/>
      <c r="H49" s="190" t="s">
        <v>540</v>
      </c>
      <c r="I49" s="189"/>
      <c r="J49" s="184" t="str">
        <f ca="1">IF(D49=$C$1,"年金給付年度",IF(AND(G49="",I49=""),"",IF(OR(AND(OP!$C$22="VADT",G49+I49&lt;2000),AND(OP!$C$22="VADF",OR(AND(G49&lt;&gt;"",G49&lt;100),AND(I49&lt;&gt;"",I49&lt;100),AND(G49&lt;&gt;"",G49&gt;1000000),AND(I49&lt;&gt;"",I49&gt;1000000)))),"繳交金額設定不符核保規則",""))&amp;IF(AND(H49="月繳",I49&lt;&gt;""),"月繳首期須繳 2個月"&amp;TEXT(I49*2,"#,##0 元"),""))</f>
        <v/>
      </c>
      <c r="K49" s="189"/>
    </row>
    <row r="50" spans="1:12">
      <c r="A50" s="36">
        <v>45</v>
      </c>
      <c r="C50" s="185" t="str">
        <f t="shared" ca="1" si="1"/>
        <v/>
      </c>
      <c r="D50" s="185" t="str">
        <f ca="1">IF(MAX($D$6:D49)+OP!$D$5-1&gt;80,"",D49+1)</f>
        <v/>
      </c>
      <c r="E50" s="195">
        <v>0.05</v>
      </c>
      <c r="F50" s="185" t="str">
        <f t="shared" ca="1" si="0"/>
        <v/>
      </c>
      <c r="G50" s="189"/>
      <c r="H50" s="190" t="s">
        <v>540</v>
      </c>
      <c r="I50" s="189"/>
      <c r="J50" s="184" t="str">
        <f ca="1">IF(D50=$C$1,"年金給付年度",IF(AND(G50="",I50=""),"",IF(OR(AND(OP!$C$22="VADT",G50+I50&lt;2000),AND(OP!$C$22="VADF",OR(AND(G50&lt;&gt;"",G50&lt;100),AND(I50&lt;&gt;"",I50&lt;100),AND(G50&lt;&gt;"",G50&gt;1000000),AND(I50&lt;&gt;"",I50&gt;1000000)))),"繳交金額設定不符核保規則",""))&amp;IF(AND(H50="月繳",I50&lt;&gt;""),"月繳首期須繳 2個月"&amp;TEXT(I50*2,"#,##0 元"),""))</f>
        <v/>
      </c>
      <c r="K50" s="189"/>
    </row>
    <row r="51" spans="1:12">
      <c r="A51" s="36">
        <v>46</v>
      </c>
      <c r="C51" s="185" t="str">
        <f t="shared" ca="1" si="1"/>
        <v/>
      </c>
      <c r="D51" s="185" t="str">
        <f ca="1">IF(MAX($D$6:D50)+OP!$D$5-1&gt;80,"",D50+1)</f>
        <v/>
      </c>
      <c r="E51" s="195">
        <v>0.05</v>
      </c>
      <c r="F51" s="185" t="str">
        <f t="shared" ca="1" si="0"/>
        <v/>
      </c>
      <c r="G51" s="189"/>
      <c r="H51" s="190" t="s">
        <v>540</v>
      </c>
      <c r="I51" s="189"/>
      <c r="J51" s="184" t="str">
        <f ca="1">IF(D51=$C$1,"年金給付年度",IF(AND(G51="",I51=""),"",IF(OR(AND(OP!$C$22="VADT",G51+I51&lt;2000),AND(OP!$C$22="VADF",OR(AND(G51&lt;&gt;"",G51&lt;100),AND(I51&lt;&gt;"",I51&lt;100),AND(G51&lt;&gt;"",G51&gt;1000000),AND(I51&lt;&gt;"",I51&gt;1000000)))),"繳交金額設定不符核保規則",""))&amp;IF(AND(H51="月繳",I51&lt;&gt;""),"月繳首期須繳 2個月"&amp;TEXT(I51*2,"#,##0 元"),""))</f>
        <v/>
      </c>
      <c r="K51" s="189"/>
    </row>
    <row r="52" spans="1:12">
      <c r="A52" s="36">
        <v>47</v>
      </c>
      <c r="C52" s="185" t="str">
        <f t="shared" ca="1" si="1"/>
        <v/>
      </c>
      <c r="D52" s="185" t="str">
        <f ca="1">IF(MAX($D$6:D51)+OP!$D$5-1&gt;80,"",D51+1)</f>
        <v/>
      </c>
      <c r="E52" s="195">
        <v>0.05</v>
      </c>
      <c r="F52" s="185" t="str">
        <f t="shared" ca="1" si="0"/>
        <v/>
      </c>
      <c r="G52" s="189"/>
      <c r="H52" s="190" t="s">
        <v>540</v>
      </c>
      <c r="I52" s="189"/>
      <c r="J52" s="184" t="str">
        <f ca="1">IF(D52=$C$1,"年金給付年度",IF(AND(G52="",I52=""),"",IF(OR(AND(OP!$C$22="VADT",G52+I52&lt;2000),AND(OP!$C$22="VADF",OR(AND(G52&lt;&gt;"",G52&lt;100),AND(I52&lt;&gt;"",I52&lt;100),AND(G52&lt;&gt;"",G52&gt;1000000),AND(I52&lt;&gt;"",I52&gt;1000000)))),"繳交金額設定不符核保規則",""))&amp;IF(AND(H52="月繳",I52&lt;&gt;""),"月繳首期須繳 2個月"&amp;TEXT(I52*2,"#,##0 元"),""))</f>
        <v/>
      </c>
      <c r="K52" s="189"/>
    </row>
    <row r="53" spans="1:12">
      <c r="A53" s="36">
        <v>48</v>
      </c>
      <c r="C53" s="185" t="str">
        <f t="shared" ca="1" si="1"/>
        <v/>
      </c>
      <c r="D53" s="185" t="str">
        <f ca="1">IF(MAX($D$6:D52)+OP!$D$5-1&gt;80,"",D52+1)</f>
        <v/>
      </c>
      <c r="E53" s="195">
        <v>0.05</v>
      </c>
      <c r="F53" s="185" t="str">
        <f t="shared" ca="1" si="0"/>
        <v/>
      </c>
      <c r="G53" s="189"/>
      <c r="H53" s="190" t="s">
        <v>540</v>
      </c>
      <c r="I53" s="189"/>
      <c r="J53" s="184" t="str">
        <f ca="1">IF(D53=$C$1,"年金給付年度",IF(AND(G53="",I53=""),"",IF(OR(AND(OP!$C$22="VADT",G53+I53&lt;2000),AND(OP!$C$22="VADF",OR(AND(G53&lt;&gt;"",G53&lt;100),AND(I53&lt;&gt;"",I53&lt;100),AND(G53&lt;&gt;"",G53&gt;1000000),AND(I53&lt;&gt;"",I53&gt;1000000)))),"繳交金額設定不符核保規則",""))&amp;IF(AND(H53="月繳",I53&lt;&gt;""),"月繳首期須繳 2個月"&amp;TEXT(I53*2,"#,##0 元"),""))</f>
        <v/>
      </c>
      <c r="K53" s="189"/>
    </row>
    <row r="54" spans="1:12">
      <c r="A54" s="36">
        <v>49</v>
      </c>
      <c r="C54" s="185" t="str">
        <f t="shared" ca="1" si="1"/>
        <v/>
      </c>
      <c r="D54" s="185" t="str">
        <f ca="1">IF(MAX($D$6:D53)+OP!$D$5-1&gt;80,"",D53+1)</f>
        <v/>
      </c>
      <c r="E54" s="195">
        <v>0.05</v>
      </c>
      <c r="F54" s="185" t="str">
        <f t="shared" ca="1" si="0"/>
        <v/>
      </c>
      <c r="G54" s="189"/>
      <c r="H54" s="190" t="s">
        <v>540</v>
      </c>
      <c r="I54" s="189"/>
      <c r="J54" s="184" t="str">
        <f ca="1">IF(D54=$C$1,"年金給付年度",IF(AND(G54="",I54=""),"",IF(OR(AND(OP!$C$22="VADT",G54+I54&lt;2000),AND(OP!$C$22="VADF",OR(AND(G54&lt;&gt;"",G54&lt;100),AND(I54&lt;&gt;"",I54&lt;100),AND(G54&lt;&gt;"",G54&gt;1000000),AND(I54&lt;&gt;"",I54&gt;1000000)))),"繳交金額設定不符核保規則",""))&amp;IF(AND(H54="月繳",I54&lt;&gt;""),"月繳首期須繳 2個月"&amp;TEXT(I54*2,"#,##0 元"),""))</f>
        <v/>
      </c>
      <c r="K54" s="189"/>
    </row>
    <row r="55" spans="1:12">
      <c r="A55" s="36">
        <v>50</v>
      </c>
      <c r="C55" s="185" t="str">
        <f t="shared" ca="1" si="1"/>
        <v/>
      </c>
      <c r="D55" s="185" t="str">
        <f ca="1">IF(MAX($D$6:D54)+OP!$D$5-1&gt;80,"",D54+1)</f>
        <v/>
      </c>
      <c r="E55" s="195">
        <v>0.05</v>
      </c>
      <c r="F55" s="185" t="str">
        <f t="shared" ca="1" si="0"/>
        <v/>
      </c>
      <c r="G55" s="189"/>
      <c r="H55" s="190" t="s">
        <v>540</v>
      </c>
      <c r="I55" s="189"/>
      <c r="J55" s="184" t="str">
        <f ca="1">IF(D55=$C$1,"年金給付年度",IF(AND(G55="",I55=""),"",IF(OR(AND(OP!$C$22="VADT",G55+I55&lt;2000),AND(OP!$C$22="VADF",OR(AND(G55&lt;&gt;"",G55&lt;100),AND(I55&lt;&gt;"",I55&lt;100),AND(G55&lt;&gt;"",G55&gt;1000000),AND(I55&lt;&gt;"",I55&gt;1000000)))),"繳交金額設定不符核保規則",""))&amp;IF(AND(H55="月繳",I55&lt;&gt;""),"月繳首期須繳 2個月"&amp;TEXT(I55*2,"#,##0 元"),""))</f>
        <v/>
      </c>
      <c r="K55" s="189"/>
    </row>
    <row r="56" spans="1:12">
      <c r="A56" s="36"/>
      <c r="C56" s="185" t="str">
        <f ca="1">IF(D56="","",$C$6+N(D55))</f>
        <v/>
      </c>
      <c r="D56" s="185" t="str">
        <f ca="1">IF(MAX($D$6:D55)+OP!$D$5-1&gt;80,"",D55+1)</f>
        <v/>
      </c>
      <c r="E56" s="195">
        <v>0.05</v>
      </c>
      <c r="F56" s="185" t="str">
        <f ca="1">IF(D56="","","彈性繳")</f>
        <v/>
      </c>
      <c r="G56" s="189"/>
      <c r="H56" s="190" t="s">
        <v>540</v>
      </c>
      <c r="I56" s="189"/>
      <c r="J56" s="184" t="str">
        <f ca="1">IF(D56=$C$1,"年金給付年度",IF(AND(G56="",I56=""),"",IF(OR(AND(OP!$C$22="VADT",G56+I56&lt;2000),AND(OP!$C$22="VADF",OR(AND(G56&lt;&gt;"",G56&lt;100),AND(I56&lt;&gt;"",I56&lt;100),AND(G56&lt;&gt;"",G56&gt;1000000),AND(I56&lt;&gt;"",I56&gt;1000000)))),"繳交金額設定不符核保規則",""))&amp;IF(AND(H56="月繳",I56&lt;&gt;""),"月繳首期須繳 2個月"&amp;TEXT(I56*2,"#,##0 元"),""))</f>
        <v/>
      </c>
      <c r="K56" s="189"/>
    </row>
    <row r="57" spans="1:12">
      <c r="A57" s="36"/>
      <c r="C57" s="185" t="str">
        <f ca="1">IF(D57="","",$C$6+N(D56))</f>
        <v/>
      </c>
      <c r="D57" s="185" t="str">
        <f ca="1">IF(MAX($D$6:D56)+OP!$D$5-1&gt;80,"",D56+1)</f>
        <v/>
      </c>
      <c r="E57" s="195">
        <v>0.05</v>
      </c>
      <c r="F57" s="185" t="str">
        <f ca="1">IF(D57="","","彈性繳")</f>
        <v/>
      </c>
      <c r="G57" s="189"/>
      <c r="H57" s="190" t="s">
        <v>540</v>
      </c>
      <c r="I57" s="189"/>
      <c r="J57" s="184" t="str">
        <f ca="1">IF(D57=$C$1,"年金給付年度",IF(AND(G57="",I57=""),"",IF(OR(AND(OP!$C$22="VADT",G57+I57&lt;2000),AND(OP!$C$22="VADF",OR(AND(G57&lt;&gt;"",G57&lt;100),AND(I57&lt;&gt;"",I57&lt;100),AND(G57&lt;&gt;"",G57&gt;1000000),AND(I57&lt;&gt;"",I57&gt;1000000)))),"繳交金額設定不符核保規則",""))&amp;IF(AND(H57="月繳",I57&lt;&gt;""),"月繳首期須繳 2個月"&amp;TEXT(I57*2,"#,##0 元"),""))</f>
        <v/>
      </c>
      <c r="K57" s="189"/>
    </row>
    <row r="58" spans="1:12">
      <c r="A58" s="36"/>
      <c r="C58" s="185" t="str">
        <f ca="1">IF(D58="","",$C$6+N(D57))</f>
        <v/>
      </c>
      <c r="D58" s="185" t="str">
        <f ca="1">IF(MAX($D$6:D57)+OP!$D$5-1&gt;80,"",D57+1)</f>
        <v/>
      </c>
      <c r="E58" s="195">
        <v>0.05</v>
      </c>
      <c r="F58" s="185" t="str">
        <f ca="1">IF(D58="","","彈性繳")</f>
        <v/>
      </c>
      <c r="G58" s="189"/>
      <c r="H58" s="190" t="s">
        <v>540</v>
      </c>
      <c r="I58" s="189"/>
      <c r="J58" s="184" t="str">
        <f ca="1">IF(D58=$C$1,"年金給付年度",IF(AND(G58="",I58=""),"",IF(OR(AND(OP!$C$22="VADT",G58+I58&lt;2000),AND(OP!$C$22="VADF",OR(AND(G58&lt;&gt;"",G58&lt;100),AND(I58&lt;&gt;"",I58&lt;100),AND(G58&lt;&gt;"",G58&gt;1000000),AND(I58&lt;&gt;"",I58&gt;1000000)))),"繳交金額設定不符核保規則",""))&amp;IF(AND(H58="月繳",I58&lt;&gt;""),"月繳首期須繳 2個月"&amp;TEXT(I58*2,"#,##0 元"),""))</f>
        <v/>
      </c>
      <c r="K58" s="189"/>
    </row>
    <row r="59" spans="1:12">
      <c r="A59" s="36"/>
      <c r="C59" s="300" t="s">
        <v>48</v>
      </c>
      <c r="D59" s="299"/>
      <c r="E59" s="299"/>
      <c r="F59" s="299"/>
      <c r="G59" s="299"/>
      <c r="J59" s="299"/>
      <c r="K59" s="299"/>
    </row>
    <row r="60" spans="1:12">
      <c r="A60" s="36"/>
      <c r="C60" s="164" t="str">
        <f>OP!$C$55</f>
        <v>V4.2-1060517</v>
      </c>
      <c r="G60" s="25"/>
      <c r="H60" s="25"/>
      <c r="J60" s="453">
        <f ca="1">TODAY()</f>
        <v>42888</v>
      </c>
      <c r="K60" s="453"/>
      <c r="L60" s="38" t="str">
        <f>IF(OP!E55="","",OP!E55)</f>
        <v/>
      </c>
    </row>
    <row r="61" spans="1:12" ht="9" customHeight="1">
      <c r="A61" s="36"/>
      <c r="C61" s="27"/>
      <c r="D61" s="27"/>
      <c r="E61" s="196"/>
      <c r="F61" s="27"/>
      <c r="G61" s="197"/>
      <c r="H61" s="125"/>
      <c r="I61" s="197"/>
      <c r="J61" s="123"/>
      <c r="K61" s="123"/>
    </row>
    <row r="62" spans="1:12" ht="33">
      <c r="A62" s="36"/>
      <c r="C62" s="186" t="s">
        <v>184</v>
      </c>
      <c r="D62" s="186" t="s">
        <v>266</v>
      </c>
      <c r="E62" s="186" t="s">
        <v>199</v>
      </c>
      <c r="F62" s="185" t="s">
        <v>24</v>
      </c>
      <c r="G62" s="185" t="s">
        <v>196</v>
      </c>
      <c r="H62" s="185" t="s">
        <v>24</v>
      </c>
      <c r="I62" s="185" t="s">
        <v>196</v>
      </c>
      <c r="J62" s="185" t="s">
        <v>268</v>
      </c>
      <c r="K62" s="185" t="s">
        <v>267</v>
      </c>
    </row>
    <row r="63" spans="1:12">
      <c r="A63" s="36">
        <v>54</v>
      </c>
      <c r="C63" s="185" t="str">
        <f ca="1">IF(D63="","",$C$6+N(D58))</f>
        <v/>
      </c>
      <c r="D63" s="185" t="str">
        <f ca="1">IF(MAX($D$6:D62)+OP!$D$5-1&gt;80,"",D58+1)</f>
        <v/>
      </c>
      <c r="E63" s="195">
        <v>0.05</v>
      </c>
      <c r="F63" s="185" t="str">
        <f t="shared" ca="1" si="0"/>
        <v/>
      </c>
      <c r="G63" s="189"/>
      <c r="H63" s="190" t="s">
        <v>540</v>
      </c>
      <c r="I63" s="189"/>
      <c r="J63" s="184" t="str">
        <f ca="1">IF(D63=$C$1,"年金給付年度",IF(AND(G63="",I63=""),"",IF(OR(AND(OP!$C$22="VADT",G63+I63&lt;2000),AND(OP!$C$22="VADF",OR(AND(G63&lt;&gt;"",G63&lt;100),AND(I63&lt;&gt;"",I63&lt;100),AND(G63&lt;&gt;"",G63&gt;1000000),AND(I63&lt;&gt;"",I63&gt;1000000)))),"繳交金額設定不符核保規則",""))&amp;IF(AND(H63="月繳",I63&lt;&gt;""),"月繳首期須繳 2個月"&amp;TEXT(I63*2,"#,##0 元"),""))</f>
        <v/>
      </c>
      <c r="K63" s="189"/>
    </row>
    <row r="64" spans="1:12">
      <c r="A64" s="36">
        <v>55</v>
      </c>
      <c r="C64" s="185" t="str">
        <f ca="1">IF(D64="","",$C$6+N(D63))</f>
        <v/>
      </c>
      <c r="D64" s="185" t="str">
        <f ca="1">IF(MAX($D$6:D63)+OP!$D$5-1&gt;80,"",D63+1)</f>
        <v/>
      </c>
      <c r="E64" s="195">
        <v>0.05</v>
      </c>
      <c r="F64" s="185" t="str">
        <f t="shared" ca="1" si="0"/>
        <v/>
      </c>
      <c r="G64" s="189"/>
      <c r="H64" s="190" t="s">
        <v>540</v>
      </c>
      <c r="I64" s="189"/>
      <c r="J64" s="184" t="str">
        <f ca="1">IF(D64=$C$1,"年金給付年度",IF(AND(G64="",I64=""),"",IF(OR(AND(OP!$C$22="VADT",G64+I64&lt;2000),AND(OP!$C$22="VADF",OR(AND(G64&lt;&gt;"",G64&lt;100),AND(I64&lt;&gt;"",I64&lt;100),AND(G64&lt;&gt;"",G64&gt;1000000),AND(I64&lt;&gt;"",I64&gt;1000000)))),"繳交金額設定不符核保規則",""))&amp;IF(AND(H64="月繳",I64&lt;&gt;""),"月繳首期須繳 2個月"&amp;TEXT(I64*2,"#,##0 元"),""))</f>
        <v/>
      </c>
      <c r="K64" s="189"/>
    </row>
    <row r="65" spans="1:11">
      <c r="A65" s="36">
        <v>56</v>
      </c>
      <c r="C65" s="185" t="str">
        <f t="shared" ca="1" si="1"/>
        <v/>
      </c>
      <c r="D65" s="185" t="str">
        <f ca="1">IF(MAX($D$6:D64)+OP!$D$5-1&gt;80,"",D64+1)</f>
        <v/>
      </c>
      <c r="E65" s="195">
        <v>0.05</v>
      </c>
      <c r="F65" s="185" t="str">
        <f t="shared" ca="1" si="0"/>
        <v/>
      </c>
      <c r="G65" s="189"/>
      <c r="H65" s="190" t="s">
        <v>540</v>
      </c>
      <c r="I65" s="189"/>
      <c r="J65" s="184" t="str">
        <f ca="1">IF(D65=$C$1,"年金給付年度",IF(AND(G65="",I65=""),"",IF(OR(AND(OP!$C$22="VADT",G65+I65&lt;2000),AND(OP!$C$22="VADF",OR(AND(G65&lt;&gt;"",G65&lt;100),AND(I65&lt;&gt;"",I65&lt;100),AND(G65&lt;&gt;"",G65&gt;1000000),AND(I65&lt;&gt;"",I65&gt;1000000)))),"繳交金額設定不符核保規則",""))&amp;IF(AND(H65="月繳",I65&lt;&gt;""),"月繳首期須繳 2個月"&amp;TEXT(I65*2,"#,##0 元"),""))</f>
        <v/>
      </c>
      <c r="K65" s="189"/>
    </row>
    <row r="66" spans="1:11">
      <c r="A66" s="36">
        <v>57</v>
      </c>
      <c r="C66" s="185" t="str">
        <f t="shared" ca="1" si="1"/>
        <v/>
      </c>
      <c r="D66" s="185" t="str">
        <f ca="1">IF(MAX($D$6:D65)+OP!$D$5-1&gt;80,"",D65+1)</f>
        <v/>
      </c>
      <c r="E66" s="195">
        <v>0.05</v>
      </c>
      <c r="F66" s="185" t="str">
        <f t="shared" ca="1" si="0"/>
        <v/>
      </c>
      <c r="G66" s="189"/>
      <c r="H66" s="190" t="s">
        <v>540</v>
      </c>
      <c r="I66" s="189"/>
      <c r="J66" s="184" t="str">
        <f ca="1">IF(D66=$C$1,"年金給付年度",IF(AND(G66="",I66=""),"",IF(OR(AND(OP!$C$22="VADT",G66+I66&lt;2000),AND(OP!$C$22="VADF",OR(AND(G66&lt;&gt;"",G66&lt;100),AND(I66&lt;&gt;"",I66&lt;100),AND(G66&lt;&gt;"",G66&gt;1000000),AND(I66&lt;&gt;"",I66&gt;1000000)))),"繳交金額設定不符核保規則",""))&amp;IF(AND(H66="月繳",I66&lt;&gt;""),"月繳首期須繳 2個月"&amp;TEXT(I66*2,"#,##0 元"),""))</f>
        <v/>
      </c>
      <c r="K66" s="189"/>
    </row>
    <row r="67" spans="1:11">
      <c r="A67" s="36">
        <v>58</v>
      </c>
      <c r="C67" s="185" t="str">
        <f t="shared" ca="1" si="1"/>
        <v/>
      </c>
      <c r="D67" s="185" t="str">
        <f ca="1">IF(MAX($D$6:D66)+OP!$D$5-1&gt;80,"",D66+1)</f>
        <v/>
      </c>
      <c r="E67" s="195">
        <v>0.05</v>
      </c>
      <c r="F67" s="185" t="str">
        <f t="shared" ca="1" si="0"/>
        <v/>
      </c>
      <c r="G67" s="189"/>
      <c r="H67" s="190" t="s">
        <v>540</v>
      </c>
      <c r="I67" s="189"/>
      <c r="J67" s="184" t="str">
        <f ca="1">IF(D67=$C$1,"年金給付年度",IF(AND(G67="",I67=""),"",IF(OR(AND(OP!$C$22="VADT",G67+I67&lt;2000),AND(OP!$C$22="VADF",OR(AND(G67&lt;&gt;"",G67&lt;100),AND(I67&lt;&gt;"",I67&lt;100),AND(G67&lt;&gt;"",G67&gt;1000000),AND(I67&lt;&gt;"",I67&gt;1000000)))),"繳交金額設定不符核保規則",""))&amp;IF(AND(H67="月繳",I67&lt;&gt;""),"月繳首期須繳 2個月"&amp;TEXT(I67*2,"#,##0 元"),""))</f>
        <v/>
      </c>
      <c r="K67" s="189"/>
    </row>
    <row r="68" spans="1:11">
      <c r="A68" s="36">
        <v>59</v>
      </c>
      <c r="C68" s="185" t="str">
        <f t="shared" ca="1" si="1"/>
        <v/>
      </c>
      <c r="D68" s="185" t="str">
        <f ca="1">IF(MAX($D$6:D67)+OP!$D$5-1&gt;80,"",D67+1)</f>
        <v/>
      </c>
      <c r="E68" s="195">
        <v>0.05</v>
      </c>
      <c r="F68" s="185" t="str">
        <f t="shared" ca="1" si="0"/>
        <v/>
      </c>
      <c r="G68" s="189"/>
      <c r="H68" s="190" t="s">
        <v>540</v>
      </c>
      <c r="I68" s="189"/>
      <c r="J68" s="184" t="str">
        <f ca="1">IF(D68=$C$1,"年金給付年度",IF(AND(G68="",I68=""),"",IF(OR(AND(OP!$C$22="VADT",G68+I68&lt;2000),AND(OP!$C$22="VADF",OR(AND(G68&lt;&gt;"",G68&lt;100),AND(I68&lt;&gt;"",I68&lt;100),AND(G68&lt;&gt;"",G68&gt;1000000),AND(I68&lt;&gt;"",I68&gt;1000000)))),"繳交金額設定不符核保規則",""))&amp;IF(AND(H68="月繳",I68&lt;&gt;""),"月繳首期須繳 2個月"&amp;TEXT(I68*2,"#,##0 元"),""))</f>
        <v/>
      </c>
      <c r="K68" s="189"/>
    </row>
    <row r="69" spans="1:11">
      <c r="A69" s="36">
        <v>60</v>
      </c>
      <c r="C69" s="185" t="str">
        <f t="shared" ca="1" si="1"/>
        <v/>
      </c>
      <c r="D69" s="185" t="str">
        <f ca="1">IF(MAX($D$6:D68)+OP!$D$5-1&gt;80,"",D68+1)</f>
        <v/>
      </c>
      <c r="E69" s="195">
        <v>0.05</v>
      </c>
      <c r="F69" s="185" t="str">
        <f t="shared" ca="1" si="0"/>
        <v/>
      </c>
      <c r="G69" s="189"/>
      <c r="H69" s="190" t="s">
        <v>540</v>
      </c>
      <c r="I69" s="189"/>
      <c r="J69" s="184" t="str">
        <f ca="1">IF(D69=$C$1,"年金給付年度",IF(AND(G69="",I69=""),"",IF(OR(AND(OP!$C$22="VADT",G69+I69&lt;2000),AND(OP!$C$22="VADF",OR(AND(G69&lt;&gt;"",G69&lt;100),AND(I69&lt;&gt;"",I69&lt;100),AND(G69&lt;&gt;"",G69&gt;1000000),AND(I69&lt;&gt;"",I69&gt;1000000)))),"繳交金額設定不符核保規則",""))&amp;IF(AND(H69="月繳",I69&lt;&gt;""),"月繳首期須繳 2個月"&amp;TEXT(I69*2,"#,##0 元"),""))</f>
        <v/>
      </c>
      <c r="K69" s="189"/>
    </row>
    <row r="70" spans="1:11">
      <c r="A70" s="36">
        <v>61</v>
      </c>
      <c r="C70" s="185" t="str">
        <f t="shared" ca="1" si="1"/>
        <v/>
      </c>
      <c r="D70" s="185" t="str">
        <f ca="1">IF(MAX($D$6:D69)+OP!$D$5-1&gt;80,"",D69+1)</f>
        <v/>
      </c>
      <c r="E70" s="195">
        <v>0.05</v>
      </c>
      <c r="F70" s="185" t="str">
        <f t="shared" ca="1" si="0"/>
        <v/>
      </c>
      <c r="G70" s="189"/>
      <c r="H70" s="190" t="s">
        <v>540</v>
      </c>
      <c r="I70" s="189"/>
      <c r="J70" s="184" t="str">
        <f ca="1">IF(D70=$C$1,"年金給付年度",IF(AND(G70="",I70=""),"",IF(OR(AND(OP!$C$22="VADT",G70+I70&lt;2000),AND(OP!$C$22="VADF",OR(AND(G70&lt;&gt;"",G70&lt;100),AND(I70&lt;&gt;"",I70&lt;100),AND(G70&lt;&gt;"",G70&gt;1000000),AND(I70&lt;&gt;"",I70&gt;1000000)))),"繳交金額設定不符核保規則",""))&amp;IF(AND(H70="月繳",I70&lt;&gt;""),"月繳首期須繳 2個月"&amp;TEXT(I70*2,"#,##0 元"),""))</f>
        <v/>
      </c>
      <c r="K70" s="189"/>
    </row>
    <row r="71" spans="1:11">
      <c r="A71" s="36">
        <v>62</v>
      </c>
      <c r="C71" s="185" t="str">
        <f t="shared" ca="1" si="1"/>
        <v/>
      </c>
      <c r="D71" s="185" t="str">
        <f ca="1">IF(MAX($D$6:D70)+OP!$D$5-1&gt;80,"",D70+1)</f>
        <v/>
      </c>
      <c r="E71" s="195">
        <v>0.05</v>
      </c>
      <c r="F71" s="185" t="str">
        <f t="shared" ca="1" si="0"/>
        <v/>
      </c>
      <c r="G71" s="189"/>
      <c r="H71" s="190" t="s">
        <v>540</v>
      </c>
      <c r="I71" s="189"/>
      <c r="J71" s="184" t="str">
        <f ca="1">IF(D71=$C$1,"年金給付年度",IF(AND(G71="",I71=""),"",IF(OR(AND(OP!$C$22="VADT",G71+I71&lt;2000),AND(OP!$C$22="VADF",OR(AND(G71&lt;&gt;"",G71&lt;100),AND(I71&lt;&gt;"",I71&lt;100),AND(G71&lt;&gt;"",G71&gt;1000000),AND(I71&lt;&gt;"",I71&gt;1000000)))),"繳交金額設定不符核保規則",""))&amp;IF(AND(H71="月繳",I71&lt;&gt;""),"月繳首期須繳 2個月"&amp;TEXT(I71*2,"#,##0 元"),""))</f>
        <v/>
      </c>
      <c r="K71" s="189"/>
    </row>
    <row r="72" spans="1:11">
      <c r="A72" s="36">
        <v>63</v>
      </c>
      <c r="C72" s="185" t="str">
        <f t="shared" ca="1" si="1"/>
        <v/>
      </c>
      <c r="D72" s="185" t="str">
        <f ca="1">IF(MAX($D$6:D71)+OP!$D$5-1&gt;80,"",D71+1)</f>
        <v/>
      </c>
      <c r="E72" s="195">
        <v>0.05</v>
      </c>
      <c r="F72" s="185" t="str">
        <f t="shared" ca="1" si="0"/>
        <v/>
      </c>
      <c r="G72" s="189"/>
      <c r="H72" s="190" t="s">
        <v>540</v>
      </c>
      <c r="I72" s="189"/>
      <c r="J72" s="184" t="str">
        <f ca="1">IF(D72=$C$1,"年金給付年度",IF(AND(G72="",I72=""),"",IF(OR(AND(OP!$C$22="VADT",G72+I72&lt;2000),AND(OP!$C$22="VADF",OR(AND(G72&lt;&gt;"",G72&lt;100),AND(I72&lt;&gt;"",I72&lt;100),AND(G72&lt;&gt;"",G72&gt;1000000),AND(I72&lt;&gt;"",I72&gt;1000000)))),"繳交金額設定不符核保規則",""))&amp;IF(AND(H72="月繳",I72&lt;&gt;""),"月繳首期須繳 2個月"&amp;TEXT(I72*2,"#,##0 元"),""))</f>
        <v/>
      </c>
      <c r="K72" s="189"/>
    </row>
    <row r="73" spans="1:11">
      <c r="A73" s="36">
        <v>64</v>
      </c>
      <c r="C73" s="185" t="str">
        <f t="shared" ca="1" si="1"/>
        <v/>
      </c>
      <c r="D73" s="185" t="str">
        <f ca="1">IF(MAX($D$6:D72)+OP!$D$5-1&gt;80,"",D72+1)</f>
        <v/>
      </c>
      <c r="E73" s="195">
        <v>0.05</v>
      </c>
      <c r="F73" s="185" t="str">
        <f t="shared" ca="1" si="0"/>
        <v/>
      </c>
      <c r="G73" s="189"/>
      <c r="H73" s="190" t="s">
        <v>540</v>
      </c>
      <c r="I73" s="189"/>
      <c r="J73" s="184" t="str">
        <f ca="1">IF(D73=$C$1,"年金給付年度",IF(AND(G73="",I73=""),"",IF(OR(AND(OP!$C$22="VADT",G73+I73&lt;2000),AND(OP!$C$22="VADF",OR(AND(G73&lt;&gt;"",G73&lt;100),AND(I73&lt;&gt;"",I73&lt;100),AND(G73&lt;&gt;"",G73&gt;1000000),AND(I73&lt;&gt;"",I73&gt;1000000)))),"繳交金額設定不符核保規則",""))&amp;IF(AND(H73="月繳",I73&lt;&gt;""),"月繳首期須繳 2個月"&amp;TEXT(I73*2,"#,##0 元"),""))</f>
        <v/>
      </c>
      <c r="K73" s="189"/>
    </row>
    <row r="74" spans="1:11">
      <c r="A74" s="36">
        <v>65</v>
      </c>
      <c r="C74" s="185" t="str">
        <f t="shared" ca="1" si="1"/>
        <v/>
      </c>
      <c r="D74" s="185" t="str">
        <f ca="1">IF(MAX($D$6:D73)+OP!$D$5-1&gt;80,"",D73+1)</f>
        <v/>
      </c>
      <c r="E74" s="195">
        <v>0.05</v>
      </c>
      <c r="F74" s="185" t="str">
        <f t="shared" ca="1" si="0"/>
        <v/>
      </c>
      <c r="G74" s="189"/>
      <c r="H74" s="190" t="s">
        <v>540</v>
      </c>
      <c r="I74" s="189"/>
      <c r="J74" s="184" t="str">
        <f ca="1">IF(D74=$C$1,"年金給付年度",IF(AND(G74="",I74=""),"",IF(OR(AND(OP!$C$22="VADT",G74+I74&lt;2000),AND(OP!$C$22="VADF",OR(AND(G74&lt;&gt;"",G74&lt;100),AND(I74&lt;&gt;"",I74&lt;100),AND(G74&lt;&gt;"",G74&gt;1000000),AND(I74&lt;&gt;"",I74&gt;1000000)))),"繳交金額設定不符核保規則",""))&amp;IF(AND(H74="月繳",I74&lt;&gt;""),"月繳首期須繳 2個月"&amp;TEXT(I74*2,"#,##0 元"),""))</f>
        <v/>
      </c>
      <c r="K74" s="189"/>
    </row>
    <row r="75" spans="1:11">
      <c r="A75" s="36">
        <v>66</v>
      </c>
      <c r="C75" s="185" t="str">
        <f t="shared" ca="1" si="1"/>
        <v/>
      </c>
      <c r="D75" s="185" t="str">
        <f ca="1">IF(MAX($D$6:D74)+OP!$D$5-1&gt;80,"",D74+1)</f>
        <v/>
      </c>
      <c r="E75" s="195">
        <v>0.05</v>
      </c>
      <c r="F75" s="185" t="str">
        <f t="shared" ref="F75:F120" ca="1" si="2">IF(D75="","","彈性繳")</f>
        <v/>
      </c>
      <c r="G75" s="189"/>
      <c r="H75" s="190" t="s">
        <v>540</v>
      </c>
      <c r="I75" s="189"/>
      <c r="J75" s="184" t="str">
        <f ca="1">IF(D75=$C$1,"年金給付年度",IF(AND(G75="",I75=""),"",IF(OR(AND(OP!$C$22="VADT",G75+I75&lt;2000),AND(OP!$C$22="VADF",OR(AND(G75&lt;&gt;"",G75&lt;100),AND(I75&lt;&gt;"",I75&lt;100),AND(G75&lt;&gt;"",G75&gt;1000000),AND(I75&lt;&gt;"",I75&gt;1000000)))),"繳交金額設定不符核保規則",""))&amp;IF(AND(H75="月繳",I75&lt;&gt;""),"月繳首期須繳 2個月"&amp;TEXT(I75*2,"#,##0 元"),""))</f>
        <v/>
      </c>
      <c r="K75" s="189"/>
    </row>
    <row r="76" spans="1:11">
      <c r="A76" s="36">
        <v>67</v>
      </c>
      <c r="C76" s="185" t="str">
        <f t="shared" ref="C76:C120" ca="1" si="3">IF(D76="","",$C$6+N(D75))</f>
        <v/>
      </c>
      <c r="D76" s="185" t="str">
        <f ca="1">IF(MAX($D$6:D75)+OP!$D$5-1&gt;80,"",D75+1)</f>
        <v/>
      </c>
      <c r="E76" s="195">
        <v>0.05</v>
      </c>
      <c r="F76" s="185" t="str">
        <f t="shared" ca="1" si="2"/>
        <v/>
      </c>
      <c r="G76" s="189"/>
      <c r="H76" s="190" t="s">
        <v>540</v>
      </c>
      <c r="I76" s="189"/>
      <c r="J76" s="184" t="str">
        <f ca="1">IF(D76=$C$1,"年金給付年度",IF(AND(G76="",I76=""),"",IF(OR(AND(OP!$C$22="VADT",G76+I76&lt;2000),AND(OP!$C$22="VADF",OR(AND(G76&lt;&gt;"",G76&lt;100),AND(I76&lt;&gt;"",I76&lt;100),AND(G76&lt;&gt;"",G76&gt;1000000),AND(I76&lt;&gt;"",I76&gt;1000000)))),"繳交金額設定不符核保規則",""))&amp;IF(AND(H76="月繳",I76&lt;&gt;""),"月繳首期須繳 2個月"&amp;TEXT(I76*2,"#,##0 元"),""))</f>
        <v/>
      </c>
      <c r="K76" s="189"/>
    </row>
    <row r="77" spans="1:11">
      <c r="A77" s="36">
        <v>68</v>
      </c>
      <c r="C77" s="185" t="str">
        <f t="shared" ca="1" si="3"/>
        <v/>
      </c>
      <c r="D77" s="185" t="str">
        <f ca="1">IF(MAX($D$6:D76)+OP!$D$5-1&gt;80,"",D76+1)</f>
        <v/>
      </c>
      <c r="E77" s="195">
        <v>0.05</v>
      </c>
      <c r="F77" s="185" t="str">
        <f t="shared" ca="1" si="2"/>
        <v/>
      </c>
      <c r="G77" s="189"/>
      <c r="H77" s="190" t="s">
        <v>540</v>
      </c>
      <c r="I77" s="189"/>
      <c r="J77" s="184" t="str">
        <f ca="1">IF(D77=$C$1,"年金給付年度",IF(AND(G77="",I77=""),"",IF(OR(AND(OP!$C$22="VADT",G77+I77&lt;2000),AND(OP!$C$22="VADF",OR(AND(G77&lt;&gt;"",G77&lt;100),AND(I77&lt;&gt;"",I77&lt;100),AND(G77&lt;&gt;"",G77&gt;1000000),AND(I77&lt;&gt;"",I77&gt;1000000)))),"繳交金額設定不符核保規則",""))&amp;IF(AND(H77="月繳",I77&lt;&gt;""),"月繳首期須繳 2個月"&amp;TEXT(I77*2,"#,##0 元"),""))</f>
        <v/>
      </c>
      <c r="K77" s="189"/>
    </row>
    <row r="78" spans="1:11">
      <c r="A78" s="36">
        <v>69</v>
      </c>
      <c r="C78" s="185" t="str">
        <f t="shared" ca="1" si="3"/>
        <v/>
      </c>
      <c r="D78" s="185" t="str">
        <f ca="1">IF(MAX($D$6:D77)+OP!$D$5-1&gt;80,"",D77+1)</f>
        <v/>
      </c>
      <c r="E78" s="195">
        <v>0.05</v>
      </c>
      <c r="F78" s="185" t="str">
        <f t="shared" ca="1" si="2"/>
        <v/>
      </c>
      <c r="G78" s="189"/>
      <c r="H78" s="190" t="s">
        <v>540</v>
      </c>
      <c r="I78" s="189"/>
      <c r="J78" s="184" t="str">
        <f ca="1">IF(D78=$C$1,"年金給付年度",IF(AND(G78="",I78=""),"",IF(OR(AND(OP!$C$22="VADT",G78+I78&lt;2000),AND(OP!$C$22="VADF",OR(AND(G78&lt;&gt;"",G78&lt;100),AND(I78&lt;&gt;"",I78&lt;100),AND(G78&lt;&gt;"",G78&gt;1000000),AND(I78&lt;&gt;"",I78&gt;1000000)))),"繳交金額設定不符核保規則",""))&amp;IF(AND(H78="月繳",I78&lt;&gt;""),"月繳首期須繳 2個月"&amp;TEXT(I78*2,"#,##0 元"),""))</f>
        <v/>
      </c>
      <c r="K78" s="189"/>
    </row>
    <row r="79" spans="1:11">
      <c r="A79" s="36">
        <v>70</v>
      </c>
      <c r="C79" s="185" t="str">
        <f t="shared" ca="1" si="3"/>
        <v/>
      </c>
      <c r="D79" s="185" t="str">
        <f ca="1">IF(MAX($D$6:D78)+OP!$D$5-1&gt;80,"",D78+1)</f>
        <v/>
      </c>
      <c r="E79" s="195">
        <v>0.05</v>
      </c>
      <c r="F79" s="185" t="str">
        <f t="shared" ca="1" si="2"/>
        <v/>
      </c>
      <c r="G79" s="189"/>
      <c r="H79" s="190" t="s">
        <v>540</v>
      </c>
      <c r="I79" s="189"/>
      <c r="J79" s="184" t="str">
        <f ca="1">IF(D79=$C$1,"年金給付年度",IF(AND(G79="",I79=""),"",IF(OR(AND(OP!$C$22="VADT",G79+I79&lt;2000),AND(OP!$C$22="VADF",OR(AND(G79&lt;&gt;"",G79&lt;100),AND(I79&lt;&gt;"",I79&lt;100),AND(G79&lt;&gt;"",G79&gt;1000000),AND(I79&lt;&gt;"",I79&gt;1000000)))),"繳交金額設定不符核保規則",""))&amp;IF(AND(H79="月繳",I79&lt;&gt;""),"月繳首期須繳 2個月"&amp;TEXT(I79*2,"#,##0 元"),""))</f>
        <v/>
      </c>
      <c r="K79" s="189"/>
    </row>
    <row r="80" spans="1:11">
      <c r="A80" s="36">
        <v>71</v>
      </c>
      <c r="C80" s="185" t="str">
        <f t="shared" ca="1" si="3"/>
        <v/>
      </c>
      <c r="D80" s="185" t="str">
        <f ca="1">IF(MAX($D$6:D79)+OP!$D$5-1&gt;80,"",D79+1)</f>
        <v/>
      </c>
      <c r="E80" s="195">
        <v>0.05</v>
      </c>
      <c r="F80" s="185" t="str">
        <f t="shared" ca="1" si="2"/>
        <v/>
      </c>
      <c r="G80" s="189"/>
      <c r="H80" s="190" t="s">
        <v>540</v>
      </c>
      <c r="I80" s="189"/>
      <c r="J80" s="184" t="str">
        <f ca="1">IF(D80=$C$1,"年金給付年度",IF(AND(G80="",I80=""),"",IF(OR(AND(OP!$C$22="VADT",G80+I80&lt;2000),AND(OP!$C$22="VADF",OR(AND(G80&lt;&gt;"",G80&lt;100),AND(I80&lt;&gt;"",I80&lt;100),AND(G80&lt;&gt;"",G80&gt;1000000),AND(I80&lt;&gt;"",I80&gt;1000000)))),"繳交金額設定不符核保規則",""))&amp;IF(AND(H80="月繳",I80&lt;&gt;""),"月繳首期須繳 2個月"&amp;TEXT(I80*2,"#,##0 元"),""))</f>
        <v/>
      </c>
      <c r="K80" s="189"/>
    </row>
    <row r="81" spans="1:11">
      <c r="A81" s="36">
        <v>72</v>
      </c>
      <c r="C81" s="185" t="str">
        <f t="shared" ca="1" si="3"/>
        <v/>
      </c>
      <c r="D81" s="185" t="str">
        <f ca="1">IF(MAX($D$6:D80)+OP!$D$5-1&gt;80,"",D80+1)</f>
        <v/>
      </c>
      <c r="E81" s="195">
        <v>0.05</v>
      </c>
      <c r="F81" s="185" t="str">
        <f t="shared" ca="1" si="2"/>
        <v/>
      </c>
      <c r="G81" s="189"/>
      <c r="H81" s="190" t="s">
        <v>540</v>
      </c>
      <c r="I81" s="189"/>
      <c r="J81" s="184" t="str">
        <f ca="1">IF(D81=$C$1,"年金給付年度",IF(AND(G81="",I81=""),"",IF(OR(AND(OP!$C$22="VADT",G81+I81&lt;2000),AND(OP!$C$22="VADF",OR(AND(G81&lt;&gt;"",G81&lt;100),AND(I81&lt;&gt;"",I81&lt;100),AND(G81&lt;&gt;"",G81&gt;1000000),AND(I81&lt;&gt;"",I81&gt;1000000)))),"繳交金額設定不符核保規則",""))&amp;IF(AND(H81="月繳",I81&lt;&gt;""),"月繳首期須繳 2個月"&amp;TEXT(I81*2,"#,##0 元"),""))</f>
        <v/>
      </c>
      <c r="K81" s="189"/>
    </row>
    <row r="82" spans="1:11">
      <c r="A82" s="36">
        <v>73</v>
      </c>
      <c r="C82" s="185" t="str">
        <f t="shared" ca="1" si="3"/>
        <v/>
      </c>
      <c r="D82" s="185" t="str">
        <f ca="1">IF(MAX($D$6:D81)+OP!$D$5-1&gt;80,"",D81+1)</f>
        <v/>
      </c>
      <c r="E82" s="195">
        <v>0.05</v>
      </c>
      <c r="F82" s="185" t="str">
        <f t="shared" ca="1" si="2"/>
        <v/>
      </c>
      <c r="G82" s="189"/>
      <c r="H82" s="190" t="s">
        <v>540</v>
      </c>
      <c r="I82" s="189"/>
      <c r="J82" s="184" t="str">
        <f ca="1">IF(D82=$C$1,"年金給付年度",IF(AND(G82="",I82=""),"",IF(OR(AND(OP!$C$22="VADT",G82+I82&lt;2000),AND(OP!$C$22="VADF",OR(AND(G82&lt;&gt;"",G82&lt;100),AND(I82&lt;&gt;"",I82&lt;100),AND(G82&lt;&gt;"",G82&gt;1000000),AND(I82&lt;&gt;"",I82&gt;1000000)))),"繳交金額設定不符核保規則",""))&amp;IF(AND(H82="月繳",I82&lt;&gt;""),"月繳首期須繳 2個月"&amp;TEXT(I82*2,"#,##0 元"),""))</f>
        <v/>
      </c>
      <c r="K82" s="189"/>
    </row>
    <row r="83" spans="1:11">
      <c r="A83" s="36">
        <v>74</v>
      </c>
      <c r="C83" s="185" t="str">
        <f t="shared" ca="1" si="3"/>
        <v/>
      </c>
      <c r="D83" s="185" t="str">
        <f ca="1">IF(MAX($D$6:D82)+OP!$D$5-1&gt;80,"",D82+1)</f>
        <v/>
      </c>
      <c r="E83" s="195">
        <v>0.05</v>
      </c>
      <c r="F83" s="185" t="str">
        <f t="shared" ca="1" si="2"/>
        <v/>
      </c>
      <c r="G83" s="189"/>
      <c r="H83" s="190" t="s">
        <v>540</v>
      </c>
      <c r="I83" s="189"/>
      <c r="J83" s="184" t="str">
        <f ca="1">IF(D83=$C$1,"年金給付年度",IF(AND(G83="",I83=""),"",IF(OR(AND(OP!$C$22="VADT",G83+I83&lt;2000),AND(OP!$C$22="VADF",OR(AND(G83&lt;&gt;"",G83&lt;100),AND(I83&lt;&gt;"",I83&lt;100),AND(G83&lt;&gt;"",G83&gt;1000000),AND(I83&lt;&gt;"",I83&gt;1000000)))),"繳交金額設定不符核保規則",""))&amp;IF(AND(H83="月繳",I83&lt;&gt;""),"月繳首期須繳 2個月"&amp;TEXT(I83*2,"#,##0 元"),""))</f>
        <v/>
      </c>
      <c r="K83" s="189"/>
    </row>
    <row r="84" spans="1:11">
      <c r="A84" s="36">
        <v>75</v>
      </c>
      <c r="C84" s="185" t="str">
        <f t="shared" ca="1" si="3"/>
        <v/>
      </c>
      <c r="D84" s="185" t="str">
        <f ca="1">IF(MAX($D$6:D83)+OP!$D$5-1&gt;80,"",D83+1)</f>
        <v/>
      </c>
      <c r="E84" s="195">
        <v>0.05</v>
      </c>
      <c r="F84" s="185" t="str">
        <f t="shared" ca="1" si="2"/>
        <v/>
      </c>
      <c r="G84" s="189"/>
      <c r="H84" s="190" t="s">
        <v>540</v>
      </c>
      <c r="I84" s="189"/>
      <c r="J84" s="184" t="str">
        <f ca="1">IF(D84=$C$1,"年金給付年度",IF(AND(G84="",I84=""),"",IF(OR(AND(OP!$C$22="VADT",G84+I84&lt;2000),AND(OP!$C$22="VADF",OR(AND(G84&lt;&gt;"",G84&lt;100),AND(I84&lt;&gt;"",I84&lt;100),AND(G84&lt;&gt;"",G84&gt;1000000),AND(I84&lt;&gt;"",I84&gt;1000000)))),"繳交金額設定不符核保規則",""))&amp;IF(AND(H84="月繳",I84&lt;&gt;""),"月繳首期須繳 2個月"&amp;TEXT(I84*2,"#,##0 元"),""))</f>
        <v/>
      </c>
      <c r="K84" s="189"/>
    </row>
    <row r="85" spans="1:11">
      <c r="A85" s="36">
        <v>76</v>
      </c>
      <c r="C85" s="185" t="str">
        <f t="shared" ca="1" si="3"/>
        <v/>
      </c>
      <c r="D85" s="185" t="str">
        <f ca="1">IF(MAX($D$6:D84)+OP!$D$5-1&gt;80,"",D84+1)</f>
        <v/>
      </c>
      <c r="E85" s="195">
        <v>0.05</v>
      </c>
      <c r="F85" s="185" t="str">
        <f t="shared" ca="1" si="2"/>
        <v/>
      </c>
      <c r="G85" s="189"/>
      <c r="H85" s="190" t="s">
        <v>540</v>
      </c>
      <c r="I85" s="189"/>
      <c r="J85" s="184" t="str">
        <f ca="1">IF(D85=$C$1,"年金給付年度",IF(AND(G85="",I85=""),"",IF(OR(AND(OP!$C$22="VADT",G85+I85&lt;2000),AND(OP!$C$22="VADF",OR(AND(G85&lt;&gt;"",G85&lt;100),AND(I85&lt;&gt;"",I85&lt;100),AND(G85&lt;&gt;"",G85&gt;1000000),AND(I85&lt;&gt;"",I85&gt;1000000)))),"繳交金額設定不符核保規則",""))&amp;IF(AND(H85="月繳",I85&lt;&gt;""),"月繳首期須繳 2個月"&amp;TEXT(I85*2,"#,##0 元"),""))</f>
        <v/>
      </c>
      <c r="K85" s="189"/>
    </row>
    <row r="86" spans="1:11">
      <c r="A86" s="36">
        <v>77</v>
      </c>
      <c r="C86" s="185" t="str">
        <f t="shared" ca="1" si="3"/>
        <v/>
      </c>
      <c r="D86" s="185" t="str">
        <f ca="1">IF(MAX($D$6:D85)+OP!$D$5-1&gt;80,"",D85+1)</f>
        <v/>
      </c>
      <c r="E86" s="195">
        <v>0.05</v>
      </c>
      <c r="F86" s="185" t="str">
        <f t="shared" ca="1" si="2"/>
        <v/>
      </c>
      <c r="G86" s="189"/>
      <c r="H86" s="190" t="s">
        <v>540</v>
      </c>
      <c r="I86" s="189"/>
      <c r="J86" s="184" t="str">
        <f ca="1">IF(D86=$C$1,"年金給付年度",IF(AND(G86="",I86=""),"",IF(OR(AND(OP!$C$22="VADT",G86+I86&lt;2000),AND(OP!$C$22="VADF",OR(AND(G86&lt;&gt;"",G86&lt;100),AND(I86&lt;&gt;"",I86&lt;100),AND(G86&lt;&gt;"",G86&gt;1000000),AND(I86&lt;&gt;"",I86&gt;1000000)))),"繳交金額設定不符核保規則",""))&amp;IF(AND(H86="月繳",I86&lt;&gt;""),"月繳首期須繳 2個月"&amp;TEXT(I86*2,"#,##0 元"),""))</f>
        <v/>
      </c>
      <c r="K86" s="189"/>
    </row>
    <row r="87" spans="1:11">
      <c r="A87" s="36">
        <v>78</v>
      </c>
      <c r="C87" s="185" t="str">
        <f t="shared" ca="1" si="3"/>
        <v/>
      </c>
      <c r="D87" s="185" t="str">
        <f ca="1">IF(MAX($D$6:D86)+OP!$D$5-1&gt;80,"",D86+1)</f>
        <v/>
      </c>
      <c r="E87" s="195">
        <v>0.05</v>
      </c>
      <c r="F87" s="185" t="str">
        <f t="shared" ca="1" si="2"/>
        <v/>
      </c>
      <c r="G87" s="189"/>
      <c r="H87" s="190" t="s">
        <v>540</v>
      </c>
      <c r="I87" s="189"/>
      <c r="J87" s="184" t="str">
        <f ca="1">IF(D87=$C$1,"年金給付年度",IF(AND(G87="",I87=""),"",IF(OR(AND(OP!$C$22="VADT",G87+I87&lt;2000),AND(OP!$C$22="VADF",OR(AND(G87&lt;&gt;"",G87&lt;100),AND(I87&lt;&gt;"",I87&lt;100),AND(G87&lt;&gt;"",G87&gt;1000000),AND(I87&lt;&gt;"",I87&gt;1000000)))),"繳交金額設定不符核保規則",""))&amp;IF(AND(H87="月繳",I87&lt;&gt;""),"月繳首期須繳 2個月"&amp;TEXT(I87*2,"#,##0 元"),""))</f>
        <v/>
      </c>
      <c r="K87" s="189"/>
    </row>
    <row r="88" spans="1:11">
      <c r="A88" s="36">
        <v>79</v>
      </c>
      <c r="C88" s="185" t="str">
        <f t="shared" ca="1" si="3"/>
        <v/>
      </c>
      <c r="D88" s="185" t="str">
        <f ca="1">IF(MAX($D$6:D87)+OP!$D$5-1&gt;80,"",D87+1)</f>
        <v/>
      </c>
      <c r="E88" s="195">
        <v>0.05</v>
      </c>
      <c r="F88" s="185" t="str">
        <f t="shared" ca="1" si="2"/>
        <v/>
      </c>
      <c r="G88" s="189"/>
      <c r="H88" s="190" t="s">
        <v>540</v>
      </c>
      <c r="I88" s="189"/>
      <c r="J88" s="184" t="str">
        <f ca="1">IF(D88=$C$1,"年金給付年度",IF(AND(G88="",I88=""),"",IF(OR(AND(OP!$C$22="VADT",G88+I88&lt;2000),AND(OP!$C$22="VADF",OR(AND(G88&lt;&gt;"",G88&lt;100),AND(I88&lt;&gt;"",I88&lt;100),AND(G88&lt;&gt;"",G88&gt;1000000),AND(I88&lt;&gt;"",I88&gt;1000000)))),"繳交金額設定不符核保規則",""))&amp;IF(AND(H88="月繳",I88&lt;&gt;""),"月繳首期須繳 2個月"&amp;TEXT(I88*2,"#,##0 元"),""))</f>
        <v/>
      </c>
      <c r="K88" s="189"/>
    </row>
    <row r="89" spans="1:11">
      <c r="A89" s="36">
        <v>80</v>
      </c>
      <c r="C89" s="185" t="str">
        <f t="shared" ca="1" si="3"/>
        <v/>
      </c>
      <c r="D89" s="185" t="str">
        <f ca="1">IF(MAX($D$6:D88)+OP!$D$5-1&gt;80,"",D88+1)</f>
        <v/>
      </c>
      <c r="E89" s="195">
        <v>0.05</v>
      </c>
      <c r="F89" s="185" t="str">
        <f t="shared" ca="1" si="2"/>
        <v/>
      </c>
      <c r="G89" s="189"/>
      <c r="H89" s="190" t="s">
        <v>540</v>
      </c>
      <c r="I89" s="189"/>
      <c r="J89" s="184" t="str">
        <f ca="1">IF(D89=$C$1,"年金給付年度",IF(AND(G89="",I89=""),"",IF(OR(AND(OP!$C$22="VADT",G89+I89&lt;2000),AND(OP!$C$22="VADF",OR(AND(G89&lt;&gt;"",G89&lt;100),AND(I89&lt;&gt;"",I89&lt;100),AND(G89&lt;&gt;"",G89&gt;1000000),AND(I89&lt;&gt;"",I89&gt;1000000)))),"繳交金額設定不符核保規則",""))&amp;IF(AND(H89="月繳",I89&lt;&gt;""),"月繳首期須繳 2個月"&amp;TEXT(I89*2,"#,##0 元"),""))</f>
        <v/>
      </c>
      <c r="K89" s="189"/>
    </row>
    <row r="90" spans="1:11">
      <c r="A90" s="36">
        <v>81</v>
      </c>
      <c r="C90" s="185" t="str">
        <f t="shared" ca="1" si="3"/>
        <v/>
      </c>
      <c r="D90" s="185" t="str">
        <f ca="1">IF(MAX($D$6:D89)+OP!$D$5-1&gt;80,"",D89+1)</f>
        <v/>
      </c>
      <c r="E90" s="195">
        <v>0.05</v>
      </c>
      <c r="F90" s="185" t="str">
        <f t="shared" ca="1" si="2"/>
        <v/>
      </c>
      <c r="G90" s="189"/>
      <c r="H90" s="190" t="s">
        <v>540</v>
      </c>
      <c r="I90" s="189"/>
      <c r="J90" s="184" t="str">
        <f ca="1">IF(D90=$C$1,"年金給付年度",IF(AND(G90="",I90=""),"",IF(OR(AND(OP!$C$22="VADT",G90+I90&lt;2000),AND(OP!$C$22="VADF",OR(AND(G90&lt;&gt;"",G90&lt;100),AND(I90&lt;&gt;"",I90&lt;100),AND(G90&lt;&gt;"",G90&gt;1000000),AND(I90&lt;&gt;"",I90&gt;1000000)))),"繳交金額設定不符核保規則",""))&amp;IF(AND(H90="月繳",I90&lt;&gt;""),"月繳首期須繳 2個月"&amp;TEXT(I90*2,"#,##0 元"),""))</f>
        <v/>
      </c>
      <c r="K90" s="189"/>
    </row>
    <row r="91" spans="1:11">
      <c r="A91" s="36">
        <v>82</v>
      </c>
      <c r="C91" s="185" t="str">
        <f t="shared" ca="1" si="3"/>
        <v/>
      </c>
      <c r="D91" s="185" t="str">
        <f ca="1">IF(MAX($D$6:D90)+OP!$D$5-1&gt;80,"",D90+1)</f>
        <v/>
      </c>
      <c r="E91" s="195">
        <v>0.05</v>
      </c>
      <c r="F91" s="185" t="str">
        <f t="shared" ca="1" si="2"/>
        <v/>
      </c>
      <c r="G91" s="189"/>
      <c r="H91" s="190" t="s">
        <v>540</v>
      </c>
      <c r="I91" s="189"/>
      <c r="J91" s="184" t="str">
        <f ca="1">IF(D91=$C$1,"年金給付年度",IF(AND(G91="",I91=""),"",IF(OR(AND(OP!$C$22="VADT",G91+I91&lt;2000),AND(OP!$C$22="VADF",OR(AND(G91&lt;&gt;"",G91&lt;100),AND(I91&lt;&gt;"",I91&lt;100),AND(G91&lt;&gt;"",G91&gt;1000000),AND(I91&lt;&gt;"",I91&gt;1000000)))),"繳交金額設定不符核保規則",""))&amp;IF(AND(H91="月繳",I91&lt;&gt;""),"月繳首期須繳 2個月"&amp;TEXT(I91*2,"#,##0 元"),""))</f>
        <v/>
      </c>
      <c r="K91" s="189"/>
    </row>
    <row r="92" spans="1:11">
      <c r="A92" s="36">
        <v>83</v>
      </c>
      <c r="C92" s="185" t="str">
        <f t="shared" ca="1" si="3"/>
        <v/>
      </c>
      <c r="D92" s="185" t="str">
        <f ca="1">IF(MAX($D$6:D91)+OP!$D$5-1&gt;80,"",D91+1)</f>
        <v/>
      </c>
      <c r="E92" s="195">
        <v>0.05</v>
      </c>
      <c r="F92" s="185" t="str">
        <f t="shared" ca="1" si="2"/>
        <v/>
      </c>
      <c r="G92" s="189"/>
      <c r="H92" s="190" t="s">
        <v>540</v>
      </c>
      <c r="I92" s="189"/>
      <c r="J92" s="184" t="str">
        <f ca="1">IF(D92=$C$1,"年金給付年度",IF(AND(G92="",I92=""),"",IF(OR(AND(OP!$C$22="VADT",G92+I92&lt;2000),AND(OP!$C$22="VADF",OR(AND(G92&lt;&gt;"",G92&lt;100),AND(I92&lt;&gt;"",I92&lt;100),AND(G92&lt;&gt;"",G92&gt;1000000),AND(I92&lt;&gt;"",I92&gt;1000000)))),"繳交金額設定不符核保規則",""))&amp;IF(AND(H92="月繳",I92&lt;&gt;""),"月繳首期須繳 2個月"&amp;TEXT(I92*2,"#,##0 元"),""))</f>
        <v/>
      </c>
      <c r="K92" s="189"/>
    </row>
    <row r="93" spans="1:11">
      <c r="A93" s="36">
        <v>84</v>
      </c>
      <c r="C93" s="185" t="str">
        <f t="shared" ca="1" si="3"/>
        <v/>
      </c>
      <c r="D93" s="185" t="str">
        <f ca="1">IF(MAX($D$6:D92)+OP!$D$5-1&gt;80,"",D92+1)</f>
        <v/>
      </c>
      <c r="E93" s="195">
        <v>0.05</v>
      </c>
      <c r="F93" s="185" t="str">
        <f t="shared" ca="1" si="2"/>
        <v/>
      </c>
      <c r="G93" s="189"/>
      <c r="H93" s="190" t="s">
        <v>540</v>
      </c>
      <c r="I93" s="189"/>
      <c r="J93" s="184" t="str">
        <f ca="1">IF(D93=$C$1,"年金給付年度",IF(AND(G93="",I93=""),"",IF(OR(AND(OP!$C$22="VADT",G93+I93&lt;2000),AND(OP!$C$22="VADF",OR(AND(G93&lt;&gt;"",G93&lt;100),AND(I93&lt;&gt;"",I93&lt;100),AND(G93&lt;&gt;"",G93&gt;1000000),AND(I93&lt;&gt;"",I93&gt;1000000)))),"繳交金額設定不符核保規則",""))&amp;IF(AND(H93="月繳",I93&lt;&gt;""),"月繳首期須繳 2個月"&amp;TEXT(I93*2,"#,##0 元"),""))</f>
        <v/>
      </c>
      <c r="K93" s="189"/>
    </row>
    <row r="94" spans="1:11">
      <c r="A94" s="36">
        <v>85</v>
      </c>
      <c r="C94" s="185" t="str">
        <f t="shared" ca="1" si="3"/>
        <v/>
      </c>
      <c r="D94" s="185" t="str">
        <f ca="1">IF(MAX($D$6:D93)+OP!$D$5-1&gt;80,"",D93+1)</f>
        <v/>
      </c>
      <c r="E94" s="195">
        <v>0.05</v>
      </c>
      <c r="F94" s="185" t="str">
        <f t="shared" ca="1" si="2"/>
        <v/>
      </c>
      <c r="G94" s="189"/>
      <c r="H94" s="190" t="s">
        <v>540</v>
      </c>
      <c r="I94" s="189"/>
      <c r="J94" s="184" t="str">
        <f ca="1">IF(D94=$C$1,"年金給付年度",IF(AND(G94="",I94=""),"",IF(OR(AND(OP!$C$22="VADT",G94+I94&lt;2000),AND(OP!$C$22="VADF",OR(AND(G94&lt;&gt;"",G94&lt;100),AND(I94&lt;&gt;"",I94&lt;100),AND(G94&lt;&gt;"",G94&gt;1000000),AND(I94&lt;&gt;"",I94&gt;1000000)))),"繳交金額設定不符核保規則",""))&amp;IF(AND(H94="月繳",I94&lt;&gt;""),"月繳首期須繳 2個月"&amp;TEXT(I94*2,"#,##0 元"),""))</f>
        <v/>
      </c>
      <c r="K94" s="189"/>
    </row>
    <row r="95" spans="1:11">
      <c r="A95" s="36">
        <v>86</v>
      </c>
      <c r="C95" s="185" t="str">
        <f t="shared" ca="1" si="3"/>
        <v/>
      </c>
      <c r="D95" s="185" t="str">
        <f ca="1">IF(MAX($D$6:D94)+OP!$D$5-1&gt;80,"",D94+1)</f>
        <v/>
      </c>
      <c r="E95" s="195">
        <v>0.05</v>
      </c>
      <c r="F95" s="185" t="str">
        <f t="shared" ca="1" si="2"/>
        <v/>
      </c>
      <c r="G95" s="189"/>
      <c r="H95" s="190" t="s">
        <v>540</v>
      </c>
      <c r="I95" s="189"/>
      <c r="J95" s="184" t="str">
        <f ca="1">IF(D95=$C$1,"年金給付年度",IF(AND(G95="",I95=""),"",IF(OR(AND(OP!$C$22="VADT",G95+I95&lt;2000),AND(OP!$C$22="VADF",OR(AND(G95&lt;&gt;"",G95&lt;100),AND(I95&lt;&gt;"",I95&lt;100),AND(G95&lt;&gt;"",G95&gt;1000000),AND(I95&lt;&gt;"",I95&gt;1000000)))),"繳交金額設定不符核保規則",""))&amp;IF(AND(H95="月繳",I95&lt;&gt;""),"月繳首期須繳 2個月"&amp;TEXT(I95*2,"#,##0 元"),""))</f>
        <v/>
      </c>
      <c r="K95" s="189"/>
    </row>
    <row r="96" spans="1:11">
      <c r="A96" s="36">
        <v>87</v>
      </c>
      <c r="C96" s="185" t="str">
        <f t="shared" ca="1" si="3"/>
        <v/>
      </c>
      <c r="D96" s="185" t="str">
        <f ca="1">IF(MAX($D$6:D95)+OP!$D$5-1&gt;80,"",D95+1)</f>
        <v/>
      </c>
      <c r="E96" s="195">
        <v>0.05</v>
      </c>
      <c r="F96" s="185" t="str">
        <f t="shared" ca="1" si="2"/>
        <v/>
      </c>
      <c r="G96" s="189"/>
      <c r="H96" s="190" t="s">
        <v>540</v>
      </c>
      <c r="I96" s="189"/>
      <c r="J96" s="184" t="str">
        <f ca="1">IF(D96=$C$1,"年金給付年度",IF(AND(G96="",I96=""),"",IF(OR(AND(OP!$C$22="VADT",G96+I96&lt;2000),AND(OP!$C$22="VADF",OR(AND(G96&lt;&gt;"",G96&lt;100),AND(I96&lt;&gt;"",I96&lt;100),AND(G96&lt;&gt;"",G96&gt;1000000),AND(I96&lt;&gt;"",I96&gt;1000000)))),"繳交金額設定不符核保規則",""))&amp;IF(AND(H96="月繳",I96&lt;&gt;""),"月繳首期須繳 2個月"&amp;TEXT(I96*2,"#,##0 元"),""))</f>
        <v/>
      </c>
      <c r="K96" s="189"/>
    </row>
    <row r="97" spans="1:11">
      <c r="A97" s="36">
        <v>88</v>
      </c>
      <c r="C97" s="185" t="str">
        <f t="shared" ca="1" si="3"/>
        <v/>
      </c>
      <c r="D97" s="185" t="str">
        <f ca="1">IF(MAX($D$6:D96)+OP!$D$5-1&gt;80,"",D96+1)</f>
        <v/>
      </c>
      <c r="E97" s="195">
        <v>0.05</v>
      </c>
      <c r="F97" s="185" t="str">
        <f t="shared" ca="1" si="2"/>
        <v/>
      </c>
      <c r="G97" s="189"/>
      <c r="H97" s="190" t="s">
        <v>540</v>
      </c>
      <c r="I97" s="189"/>
      <c r="J97" s="184" t="str">
        <f ca="1">IF(D97=$C$1,"年金給付年度",IF(AND(G97="",I97=""),"",IF(OR(AND(OP!$C$22="VADT",G97+I97&lt;2000),AND(OP!$C$22="VADF",OR(AND(G97&lt;&gt;"",G97&lt;100),AND(I97&lt;&gt;"",I97&lt;100),AND(G97&lt;&gt;"",G97&gt;1000000),AND(I97&lt;&gt;"",I97&gt;1000000)))),"繳交金額設定不符核保規則",""))&amp;IF(AND(H97="月繳",I97&lt;&gt;""),"月繳首期須繳 2個月"&amp;TEXT(I97*2,"#,##0 元"),""))</f>
        <v/>
      </c>
      <c r="K97" s="189"/>
    </row>
    <row r="98" spans="1:11">
      <c r="A98" s="36">
        <v>89</v>
      </c>
      <c r="C98" s="185" t="str">
        <f t="shared" ca="1" si="3"/>
        <v/>
      </c>
      <c r="D98" s="185" t="str">
        <f ca="1">IF(MAX($D$6:D97)+OP!$D$5-1&gt;80,"",D97+1)</f>
        <v/>
      </c>
      <c r="E98" s="195">
        <v>0.05</v>
      </c>
      <c r="F98" s="185" t="str">
        <f t="shared" ca="1" si="2"/>
        <v/>
      </c>
      <c r="G98" s="189"/>
      <c r="H98" s="190" t="s">
        <v>540</v>
      </c>
      <c r="I98" s="189"/>
      <c r="J98" s="184" t="str">
        <f ca="1">IF(D98=$C$1,"年金給付年度",IF(AND(G98="",I98=""),"",IF(OR(AND(OP!$C$22="VADT",G98+I98&lt;2000),AND(OP!$C$22="VADF",OR(AND(G98&lt;&gt;"",G98&lt;100),AND(I98&lt;&gt;"",I98&lt;100),AND(G98&lt;&gt;"",G98&gt;1000000),AND(I98&lt;&gt;"",I98&gt;1000000)))),"繳交金額設定不符核保規則",""))&amp;IF(AND(H98="月繳",I98&lt;&gt;""),"月繳首期須繳 2個月"&amp;TEXT(I98*2,"#,##0 元"),""))</f>
        <v/>
      </c>
      <c r="K98" s="189"/>
    </row>
    <row r="99" spans="1:11">
      <c r="A99" s="36">
        <v>90</v>
      </c>
      <c r="C99" s="185" t="str">
        <f t="shared" ca="1" si="3"/>
        <v/>
      </c>
      <c r="D99" s="185" t="str">
        <f ca="1">IF(MAX($D$6:D98)+OP!$D$5-1&gt;80,"",D98+1)</f>
        <v/>
      </c>
      <c r="E99" s="195">
        <v>0.05</v>
      </c>
      <c r="F99" s="185" t="str">
        <f t="shared" ca="1" si="2"/>
        <v/>
      </c>
      <c r="G99" s="189"/>
      <c r="H99" s="190" t="s">
        <v>540</v>
      </c>
      <c r="I99" s="189"/>
      <c r="J99" s="184" t="str">
        <f ca="1">IF(D99=$C$1,"年金給付年度",IF(AND(G99="",I99=""),"",IF(OR(AND(OP!$C$22="VADT",G99+I99&lt;2000),AND(OP!$C$22="VADF",OR(AND(G99&lt;&gt;"",G99&lt;100),AND(I99&lt;&gt;"",I99&lt;100),AND(G99&lt;&gt;"",G99&gt;1000000),AND(I99&lt;&gt;"",I99&gt;1000000)))),"繳交金額設定不符核保規則",""))&amp;IF(AND(H99="月繳",I99&lt;&gt;""),"月繳首期須繳 2個月"&amp;TEXT(I99*2,"#,##0 元"),""))</f>
        <v/>
      </c>
      <c r="K99" s="189"/>
    </row>
    <row r="100" spans="1:11">
      <c r="A100" s="36">
        <v>91</v>
      </c>
      <c r="C100" s="185" t="str">
        <f t="shared" ca="1" si="3"/>
        <v/>
      </c>
      <c r="D100" s="185" t="str">
        <f ca="1">IF(MAX($D$6:D99)+OP!$D$5-1&gt;80,"",D99+1)</f>
        <v/>
      </c>
      <c r="E100" s="195">
        <v>0.05</v>
      </c>
      <c r="F100" s="185" t="str">
        <f t="shared" ca="1" si="2"/>
        <v/>
      </c>
      <c r="G100" s="189"/>
      <c r="H100" s="190" t="s">
        <v>540</v>
      </c>
      <c r="I100" s="189"/>
      <c r="J100" s="184" t="str">
        <f ca="1">IF(D100=$C$1,"年金給付年度",IF(AND(G100="",I100=""),"",IF(OR(AND(OP!$C$22="VADT",G100+I100&lt;2000),AND(OP!$C$22="VADF",OR(AND(G100&lt;&gt;"",G100&lt;100),AND(I100&lt;&gt;"",I100&lt;100),AND(G100&lt;&gt;"",G100&gt;1000000),AND(I100&lt;&gt;"",I100&gt;1000000)))),"繳交金額設定不符核保規則",""))&amp;IF(AND(H100="月繳",I100&lt;&gt;""),"月繳首期須繳 2個月"&amp;TEXT(I100*2,"#,##0 元"),""))</f>
        <v/>
      </c>
      <c r="K100" s="189"/>
    </row>
    <row r="101" spans="1:11">
      <c r="A101" s="36">
        <v>92</v>
      </c>
      <c r="C101" s="185" t="str">
        <f t="shared" ca="1" si="3"/>
        <v/>
      </c>
      <c r="D101" s="185" t="str">
        <f ca="1">IF(MAX($D$6:D100)+OP!$D$5-1&gt;80,"",D100+1)</f>
        <v/>
      </c>
      <c r="E101" s="195">
        <v>0.05</v>
      </c>
      <c r="F101" s="185" t="str">
        <f t="shared" ca="1" si="2"/>
        <v/>
      </c>
      <c r="G101" s="189"/>
      <c r="H101" s="190" t="s">
        <v>540</v>
      </c>
      <c r="I101" s="189"/>
      <c r="J101" s="184" t="str">
        <f ca="1">IF(D101=$C$1,"年金給付年度",IF(AND(G101="",I101=""),"",IF(OR(AND(OP!$C$22="VADT",G101+I101&lt;2000),AND(OP!$C$22="VADF",OR(AND(G101&lt;&gt;"",G101&lt;100),AND(I101&lt;&gt;"",I101&lt;100),AND(G101&lt;&gt;"",G101&gt;1000000),AND(I101&lt;&gt;"",I101&gt;1000000)))),"繳交金額設定不符核保規則",""))&amp;IF(AND(H101="月繳",I101&lt;&gt;""),"月繳首期須繳 2個月"&amp;TEXT(I101*2,"#,##0 元"),""))</f>
        <v/>
      </c>
      <c r="K101" s="189"/>
    </row>
    <row r="102" spans="1:11">
      <c r="A102" s="36">
        <v>93</v>
      </c>
      <c r="C102" s="185" t="str">
        <f t="shared" ca="1" si="3"/>
        <v/>
      </c>
      <c r="D102" s="185" t="str">
        <f ca="1">IF(MAX($D$6:D101)+OP!$D$5-1&gt;80,"",D101+1)</f>
        <v/>
      </c>
      <c r="E102" s="195">
        <v>0.05</v>
      </c>
      <c r="F102" s="185" t="str">
        <f t="shared" ca="1" si="2"/>
        <v/>
      </c>
      <c r="G102" s="189"/>
      <c r="H102" s="190" t="s">
        <v>540</v>
      </c>
      <c r="I102" s="189"/>
      <c r="J102" s="184" t="str">
        <f ca="1">IF(D102=$C$1,"年金給付年度",IF(AND(G102="",I102=""),"",IF(OR(AND(OP!$C$22="VADT",G102+I102&lt;2000),AND(OP!$C$22="VADF",OR(AND(G102&lt;&gt;"",G102&lt;100),AND(I102&lt;&gt;"",I102&lt;100),AND(G102&lt;&gt;"",G102&gt;1000000),AND(I102&lt;&gt;"",I102&gt;1000000)))),"繳交金額設定不符核保規則",""))&amp;IF(AND(H102="月繳",I102&lt;&gt;""),"月繳首期須繳 2個月"&amp;TEXT(I102*2,"#,##0 元"),""))</f>
        <v/>
      </c>
      <c r="K102" s="189"/>
    </row>
    <row r="103" spans="1:11">
      <c r="A103" s="36">
        <v>94</v>
      </c>
      <c r="C103" s="185" t="str">
        <f t="shared" ca="1" si="3"/>
        <v/>
      </c>
      <c r="D103" s="185" t="str">
        <f ca="1">IF(MAX($D$6:D102)+OP!$D$5-1&gt;80,"",D102+1)</f>
        <v/>
      </c>
      <c r="E103" s="195">
        <v>0.05</v>
      </c>
      <c r="F103" s="185" t="str">
        <f t="shared" ca="1" si="2"/>
        <v/>
      </c>
      <c r="G103" s="189"/>
      <c r="H103" s="190" t="s">
        <v>540</v>
      </c>
      <c r="I103" s="189"/>
      <c r="J103" s="184" t="str">
        <f ca="1">IF(D103=$C$1,"年金給付年度",IF(AND(G103="",I103=""),"",IF(OR(AND(OP!$C$22="VADT",G103+I103&lt;2000),AND(OP!$C$22="VADF",OR(AND(G103&lt;&gt;"",G103&lt;100),AND(I103&lt;&gt;"",I103&lt;100),AND(G103&lt;&gt;"",G103&gt;1000000),AND(I103&lt;&gt;"",I103&gt;1000000)))),"繳交金額設定不符核保規則",""))&amp;IF(AND(H103="月繳",I103&lt;&gt;""),"月繳首期須繳 2個月"&amp;TEXT(I103*2,"#,##0 元"),""))</f>
        <v/>
      </c>
      <c r="K103" s="189"/>
    </row>
    <row r="104" spans="1:11">
      <c r="A104" s="36">
        <v>95</v>
      </c>
      <c r="C104" s="185" t="str">
        <f t="shared" ca="1" si="3"/>
        <v/>
      </c>
      <c r="D104" s="185" t="str">
        <f ca="1">IF(MAX($D$6:D103)+OP!$D$5-1&gt;80,"",D103+1)</f>
        <v/>
      </c>
      <c r="E104" s="195">
        <v>0.05</v>
      </c>
      <c r="F104" s="185" t="str">
        <f t="shared" ca="1" si="2"/>
        <v/>
      </c>
      <c r="G104" s="189"/>
      <c r="H104" s="190" t="s">
        <v>540</v>
      </c>
      <c r="I104" s="189"/>
      <c r="J104" s="184" t="str">
        <f ca="1">IF(D104=$C$1,"年金給付年度",IF(AND(G104="",I104=""),"",IF(OR(AND(OP!$C$22="VADT",G104+I104&lt;2000),AND(OP!$C$22="VADF",OR(AND(G104&lt;&gt;"",G104&lt;100),AND(I104&lt;&gt;"",I104&lt;100),AND(G104&lt;&gt;"",G104&gt;1000000),AND(I104&lt;&gt;"",I104&gt;1000000)))),"繳交金額設定不符核保規則",""))&amp;IF(AND(H104="月繳",I104&lt;&gt;""),"月繳首期須繳 2個月"&amp;TEXT(I104*2,"#,##0 元"),""))</f>
        <v/>
      </c>
      <c r="K104" s="189"/>
    </row>
    <row r="105" spans="1:11">
      <c r="A105" s="36">
        <v>96</v>
      </c>
      <c r="C105" s="185" t="str">
        <f t="shared" ca="1" si="3"/>
        <v/>
      </c>
      <c r="D105" s="185" t="str">
        <f ca="1">IF(MAX($D$6:D104)+OP!$D$5-1&gt;80,"",D104+1)</f>
        <v/>
      </c>
      <c r="E105" s="195">
        <v>0.05</v>
      </c>
      <c r="F105" s="185" t="str">
        <f t="shared" ca="1" si="2"/>
        <v/>
      </c>
      <c r="G105" s="189"/>
      <c r="H105" s="190" t="s">
        <v>540</v>
      </c>
      <c r="I105" s="189"/>
      <c r="J105" s="184" t="str">
        <f ca="1">IF(D105=$C$1,"年金給付年度",IF(AND(G105="",I105=""),"",IF(OR(AND(OP!$C$22="VADT",G105+I105&lt;2000),AND(OP!$C$22="VADF",OR(AND(G105&lt;&gt;"",G105&lt;100),AND(I105&lt;&gt;"",I105&lt;100),AND(G105&lt;&gt;"",G105&gt;1000000),AND(I105&lt;&gt;"",I105&gt;1000000)))),"繳交金額設定不符核保規則",""))&amp;IF(AND(H105="月繳",I105&lt;&gt;""),"月繳首期須繳 2個月"&amp;TEXT(I105*2,"#,##0 元"),""))</f>
        <v/>
      </c>
      <c r="K105" s="189"/>
    </row>
    <row r="106" spans="1:11">
      <c r="A106" s="36">
        <v>97</v>
      </c>
      <c r="C106" s="185" t="str">
        <f t="shared" ca="1" si="3"/>
        <v/>
      </c>
      <c r="D106" s="185" t="str">
        <f ca="1">IF(MAX($D$6:D105)+OP!$D$5-1&gt;80,"",D105+1)</f>
        <v/>
      </c>
      <c r="E106" s="195">
        <v>0.05</v>
      </c>
      <c r="F106" s="185" t="str">
        <f t="shared" ca="1" si="2"/>
        <v/>
      </c>
      <c r="G106" s="189"/>
      <c r="H106" s="190" t="s">
        <v>540</v>
      </c>
      <c r="I106" s="189"/>
      <c r="J106" s="184" t="str">
        <f ca="1">IF(D106=$C$1,"年金給付年度",IF(AND(G106="",I106=""),"",IF(OR(AND(OP!$C$22="VADT",G106+I106&lt;2000),AND(OP!$C$22="VADF",OR(AND(G106&lt;&gt;"",G106&lt;100),AND(I106&lt;&gt;"",I106&lt;100),AND(G106&lt;&gt;"",G106&gt;1000000),AND(I106&lt;&gt;"",I106&gt;1000000)))),"繳交金額設定不符核保規則",""))&amp;IF(AND(H106="月繳",I106&lt;&gt;""),"月繳首期須繳 2個月"&amp;TEXT(I106*2,"#,##0 元"),""))</f>
        <v/>
      </c>
      <c r="K106" s="189"/>
    </row>
    <row r="107" spans="1:11">
      <c r="A107" s="36">
        <v>98</v>
      </c>
      <c r="C107" s="185" t="str">
        <f t="shared" ca="1" si="3"/>
        <v/>
      </c>
      <c r="D107" s="185" t="str">
        <f ca="1">IF(MAX($D$6:D106)+OP!$D$5-1&gt;80,"",D106+1)</f>
        <v/>
      </c>
      <c r="E107" s="195">
        <v>0.05</v>
      </c>
      <c r="F107" s="185" t="str">
        <f t="shared" ca="1" si="2"/>
        <v/>
      </c>
      <c r="G107" s="189"/>
      <c r="H107" s="190" t="s">
        <v>540</v>
      </c>
      <c r="I107" s="189"/>
      <c r="J107" s="184" t="str">
        <f ca="1">IF(D107=$C$1,"年金給付年度",IF(AND(G107="",I107=""),"",IF(OR(AND(OP!$C$22="VADT",G107+I107&lt;2000),AND(OP!$C$22="VADF",OR(AND(G107&lt;&gt;"",G107&lt;100),AND(I107&lt;&gt;"",I107&lt;100),AND(G107&lt;&gt;"",G107&gt;1000000),AND(I107&lt;&gt;"",I107&gt;1000000)))),"繳交金額設定不符核保規則",""))&amp;IF(AND(H107="月繳",I107&lt;&gt;""),"月繳首期須繳 2個月"&amp;TEXT(I107*2,"#,##0 元"),""))</f>
        <v/>
      </c>
      <c r="K107" s="189"/>
    </row>
    <row r="108" spans="1:11">
      <c r="A108" s="36">
        <v>99</v>
      </c>
      <c r="C108" s="185" t="str">
        <f t="shared" ca="1" si="3"/>
        <v/>
      </c>
      <c r="D108" s="185" t="str">
        <f ca="1">IF(MAX($D$6:D107)+OP!$D$5-1&gt;80,"",D107+1)</f>
        <v/>
      </c>
      <c r="E108" s="195">
        <v>0.05</v>
      </c>
      <c r="F108" s="185" t="str">
        <f t="shared" ca="1" si="2"/>
        <v/>
      </c>
      <c r="G108" s="189"/>
      <c r="H108" s="190" t="s">
        <v>540</v>
      </c>
      <c r="I108" s="189"/>
      <c r="J108" s="184" t="str">
        <f ca="1">IF(D108=$C$1,"年金給付年度",IF(AND(G108="",I108=""),"",IF(OR(AND(OP!$C$22="VADT",G108+I108&lt;2000),AND(OP!$C$22="VADF",OR(AND(G108&lt;&gt;"",G108&lt;100),AND(I108&lt;&gt;"",I108&lt;100),AND(G108&lt;&gt;"",G108&gt;1000000),AND(I108&lt;&gt;"",I108&gt;1000000)))),"繳交金額設定不符核保規則",""))&amp;IF(AND(H108="月繳",I108&lt;&gt;""),"月繳首期須繳 2個月"&amp;TEXT(I108*2,"#,##0 元"),""))</f>
        <v/>
      </c>
      <c r="K108" s="189"/>
    </row>
    <row r="109" spans="1:11">
      <c r="A109" s="36">
        <v>100</v>
      </c>
      <c r="C109" s="185" t="str">
        <f t="shared" ca="1" si="3"/>
        <v/>
      </c>
      <c r="D109" s="185" t="str">
        <f ca="1">IF(MAX($D$6:D108)+OP!$D$5-1&gt;80,"",D108+1)</f>
        <v/>
      </c>
      <c r="E109" s="195">
        <v>0.05</v>
      </c>
      <c r="F109" s="185" t="str">
        <f t="shared" ca="1" si="2"/>
        <v/>
      </c>
      <c r="G109" s="189"/>
      <c r="H109" s="190" t="s">
        <v>540</v>
      </c>
      <c r="I109" s="189"/>
      <c r="J109" s="184" t="str">
        <f ca="1">IF(D109=$C$1,"年金給付年度",IF(AND(G109="",I109=""),"",IF(OR(AND(OP!$C$22="VADT",G109+I109&lt;2000),AND(OP!$C$22="VADF",OR(AND(G109&lt;&gt;"",G109&lt;100),AND(I109&lt;&gt;"",I109&lt;100),AND(G109&lt;&gt;"",G109&gt;1000000),AND(I109&lt;&gt;"",I109&gt;1000000)))),"繳交金額設定不符核保規則",""))&amp;IF(AND(H109="月繳",I109&lt;&gt;""),"月繳首期須繳 2個月"&amp;TEXT(I109*2,"#,##0 元"),""))</f>
        <v/>
      </c>
      <c r="K109" s="189"/>
    </row>
    <row r="110" spans="1:11">
      <c r="A110" s="36">
        <v>101</v>
      </c>
      <c r="C110" s="185" t="str">
        <f t="shared" ca="1" si="3"/>
        <v/>
      </c>
      <c r="D110" s="185" t="str">
        <f ca="1">IF(MAX($D$6:D109)+OP!$D$5-1&gt;80,"",D109+1)</f>
        <v/>
      </c>
      <c r="E110" s="195">
        <v>0.05</v>
      </c>
      <c r="F110" s="185" t="str">
        <f t="shared" ca="1" si="2"/>
        <v/>
      </c>
      <c r="G110" s="189"/>
      <c r="H110" s="190" t="s">
        <v>540</v>
      </c>
      <c r="I110" s="189"/>
      <c r="J110" s="184" t="str">
        <f ca="1">IF(D110=$C$1,"年金給付年度",IF(AND(G110="",I110=""),"",IF(OR(AND(OP!$C$22="VADT",G110+I110&lt;2000),AND(OP!$C$22="VADF",OR(AND(G110&lt;&gt;"",G110&lt;100),AND(I110&lt;&gt;"",I110&lt;100),AND(G110&lt;&gt;"",G110&gt;1000000),AND(I110&lt;&gt;"",I110&gt;1000000)))),"繳交金額設定不符核保規則",""))&amp;IF(AND(H110="月繳",I110&lt;&gt;""),"月繳首期須繳 2個月"&amp;TEXT(I110*2,"#,##0 元"),""))</f>
        <v/>
      </c>
      <c r="K110" s="189"/>
    </row>
    <row r="111" spans="1:11">
      <c r="A111" s="36">
        <v>102</v>
      </c>
      <c r="C111" s="185" t="str">
        <f t="shared" ca="1" si="3"/>
        <v/>
      </c>
      <c r="D111" s="185" t="str">
        <f ca="1">IF(MAX($D$6:D110)+OP!$D$5-1&gt;80,"",D110+1)</f>
        <v/>
      </c>
      <c r="E111" s="195">
        <v>0.05</v>
      </c>
      <c r="F111" s="185" t="str">
        <f t="shared" ca="1" si="2"/>
        <v/>
      </c>
      <c r="G111" s="189"/>
      <c r="H111" s="190" t="s">
        <v>540</v>
      </c>
      <c r="I111" s="189"/>
      <c r="J111" s="184" t="str">
        <f ca="1">IF(D111=$C$1,"年金給付年度",IF(AND(G111="",I111=""),"",IF(OR(AND(OP!$C$22="VADT",G111+I111&lt;2000),AND(OP!$C$22="VADF",OR(AND(G111&lt;&gt;"",G111&lt;100),AND(I111&lt;&gt;"",I111&lt;100),AND(G111&lt;&gt;"",G111&gt;1000000),AND(I111&lt;&gt;"",I111&gt;1000000)))),"繳交金額設定不符核保規則",""))&amp;IF(AND(H111="月繳",I111&lt;&gt;""),"月繳首期須繳 2個月"&amp;TEXT(I111*2,"#,##0 元"),""))</f>
        <v/>
      </c>
      <c r="K111" s="189"/>
    </row>
    <row r="112" spans="1:11">
      <c r="A112" s="36">
        <v>103</v>
      </c>
      <c r="C112" s="185" t="str">
        <f t="shared" ca="1" si="3"/>
        <v/>
      </c>
      <c r="D112" s="185" t="str">
        <f ca="1">IF(MAX($D$6:D111)+OP!$D$5-1&gt;80,"",D111+1)</f>
        <v/>
      </c>
      <c r="E112" s="195">
        <v>0.05</v>
      </c>
      <c r="F112" s="185" t="str">
        <f t="shared" ca="1" si="2"/>
        <v/>
      </c>
      <c r="G112" s="189"/>
      <c r="H112" s="190" t="s">
        <v>540</v>
      </c>
      <c r="I112" s="189"/>
      <c r="J112" s="184" t="str">
        <f ca="1">IF(D112=$C$1,"年金給付年度",IF(AND(G112="",I112=""),"",IF(OR(AND(OP!$C$22="VADT",G112+I112&lt;2000),AND(OP!$C$22="VADF",OR(AND(G112&lt;&gt;"",G112&lt;100),AND(I112&lt;&gt;"",I112&lt;100),AND(G112&lt;&gt;"",G112&gt;1000000),AND(I112&lt;&gt;"",I112&gt;1000000)))),"繳交金額設定不符核保規則",""))&amp;IF(AND(H112="月繳",I112&lt;&gt;""),"月繳首期須繳 2個月"&amp;TEXT(I112*2,"#,##0 元"),""))</f>
        <v/>
      </c>
      <c r="K112" s="189"/>
    </row>
    <row r="113" spans="1:11">
      <c r="A113" s="36">
        <v>104</v>
      </c>
      <c r="C113" s="185" t="str">
        <f t="shared" ca="1" si="3"/>
        <v/>
      </c>
      <c r="D113" s="185" t="str">
        <f ca="1">IF(MAX($D$6:D112)+OP!$D$5-1&gt;80,"",D112+1)</f>
        <v/>
      </c>
      <c r="E113" s="195">
        <v>0.05</v>
      </c>
      <c r="F113" s="185" t="str">
        <f t="shared" ca="1" si="2"/>
        <v/>
      </c>
      <c r="G113" s="189"/>
      <c r="H113" s="190" t="s">
        <v>540</v>
      </c>
      <c r="I113" s="189"/>
      <c r="J113" s="184" t="str">
        <f ca="1">IF(D113=$C$1,"年金給付年度",IF(AND(G113="",I113=""),"",IF(OR(AND(OP!$C$22="VADT",G113+I113&lt;2000),AND(OP!$C$22="VADF",OR(AND(G113&lt;&gt;"",G113&lt;100),AND(I113&lt;&gt;"",I113&lt;100),AND(G113&lt;&gt;"",G113&gt;1000000),AND(I113&lt;&gt;"",I113&gt;1000000)))),"繳交金額設定不符核保規則",""))&amp;IF(AND(H113="月繳",I113&lt;&gt;""),"月繳首期須繳 2個月"&amp;TEXT(I113*2,"#,##0 元"),""))</f>
        <v/>
      </c>
      <c r="K113" s="189"/>
    </row>
    <row r="114" spans="1:11">
      <c r="A114" s="36">
        <v>105</v>
      </c>
      <c r="C114" s="185" t="str">
        <f t="shared" ca="1" si="3"/>
        <v/>
      </c>
      <c r="D114" s="185" t="str">
        <f ca="1">IF(MAX($D$6:D113)+OP!$D$5-1&gt;80,"",D113+1)</f>
        <v/>
      </c>
      <c r="E114" s="195">
        <v>0.05</v>
      </c>
      <c r="F114" s="185" t="str">
        <f t="shared" ca="1" si="2"/>
        <v/>
      </c>
      <c r="G114" s="189"/>
      <c r="H114" s="190" t="s">
        <v>540</v>
      </c>
      <c r="I114" s="189"/>
      <c r="J114" s="184" t="str">
        <f ca="1">IF(D114=$C$1,"年金給付年度",IF(AND(G114="",I114=""),"",IF(OR(AND(OP!$C$22="VADT",G114+I114&lt;2000),AND(OP!$C$22="VADF",OR(AND(G114&lt;&gt;"",G114&lt;100),AND(I114&lt;&gt;"",I114&lt;100),AND(G114&lt;&gt;"",G114&gt;1000000),AND(I114&lt;&gt;"",I114&gt;1000000)))),"繳交金額設定不符核保規則",""))&amp;IF(AND(H114="月繳",I114&lt;&gt;""),"月繳首期須繳 2個月"&amp;TEXT(I114*2,"#,##0 元"),""))</f>
        <v/>
      </c>
      <c r="K114" s="189"/>
    </row>
    <row r="115" spans="1:11">
      <c r="A115" s="36">
        <v>106</v>
      </c>
      <c r="C115" s="185" t="str">
        <f t="shared" ca="1" si="3"/>
        <v/>
      </c>
      <c r="D115" s="185" t="str">
        <f ca="1">IF(MAX($D$6:D114)+OP!$D$5-1&gt;80,"",D114+1)</f>
        <v/>
      </c>
      <c r="E115" s="195">
        <v>0.05</v>
      </c>
      <c r="F115" s="185" t="str">
        <f t="shared" ca="1" si="2"/>
        <v/>
      </c>
      <c r="G115" s="189"/>
      <c r="H115" s="190" t="s">
        <v>540</v>
      </c>
      <c r="I115" s="189"/>
      <c r="J115" s="184" t="str">
        <f ca="1">IF(D115=$C$1,"年金給付年度",IF(AND(G115="",I115=""),"",IF(OR(AND(OP!$C$22="VADT",G115+I115&lt;2000),AND(OP!$C$22="VADF",OR(AND(G115&lt;&gt;"",G115&lt;100),AND(I115&lt;&gt;"",I115&lt;100),AND(G115&lt;&gt;"",G115&gt;1000000),AND(I115&lt;&gt;"",I115&gt;1000000)))),"繳交金額設定不符核保規則",""))&amp;IF(AND(H115="月繳",I115&lt;&gt;""),"月繳首期須繳 2個月"&amp;TEXT(I115*2,"#,##0 元"),""))</f>
        <v/>
      </c>
      <c r="K115" s="189"/>
    </row>
    <row r="116" spans="1:11">
      <c r="A116" s="36">
        <v>107</v>
      </c>
      <c r="C116" s="185" t="str">
        <f t="shared" ca="1" si="3"/>
        <v/>
      </c>
      <c r="D116" s="185" t="str">
        <f ca="1">IF(MAX($D$6:D115)+OP!$D$5-1&gt;80,"",D115+1)</f>
        <v/>
      </c>
      <c r="E116" s="195">
        <v>0.05</v>
      </c>
      <c r="F116" s="185" t="str">
        <f t="shared" ca="1" si="2"/>
        <v/>
      </c>
      <c r="G116" s="189"/>
      <c r="H116" s="190" t="s">
        <v>540</v>
      </c>
      <c r="I116" s="189"/>
      <c r="J116" s="184" t="str">
        <f ca="1">IF(D116=$C$1,"年金給付年度",IF(AND(G116="",I116=""),"",IF(OR(AND(OP!$C$22="VADT",G116+I116&lt;2000),AND(OP!$C$22="VADF",OR(AND(G116&lt;&gt;"",G116&lt;100),AND(I116&lt;&gt;"",I116&lt;100),AND(G116&lt;&gt;"",G116&gt;1000000),AND(I116&lt;&gt;"",I116&gt;1000000)))),"繳交金額設定不符核保規則",""))&amp;IF(AND(H116="月繳",I116&lt;&gt;""),"月繳首期須繳 2個月"&amp;TEXT(I116*2,"#,##0 元"),""))</f>
        <v/>
      </c>
      <c r="K116" s="189"/>
    </row>
    <row r="117" spans="1:11">
      <c r="A117" s="36">
        <v>108</v>
      </c>
      <c r="C117" s="185" t="str">
        <f t="shared" ca="1" si="3"/>
        <v/>
      </c>
      <c r="D117" s="185" t="str">
        <f ca="1">IF(MAX($D$6:D116)+OP!$D$5-1&gt;80,"",D116+1)</f>
        <v/>
      </c>
      <c r="E117" s="195">
        <v>0.05</v>
      </c>
      <c r="F117" s="185" t="str">
        <f t="shared" ca="1" si="2"/>
        <v/>
      </c>
      <c r="G117" s="189"/>
      <c r="H117" s="190" t="s">
        <v>540</v>
      </c>
      <c r="I117" s="189"/>
      <c r="J117" s="184" t="str">
        <f ca="1">IF(D117=$C$1,"年金給付年度",IF(AND(G117="",I117=""),"",IF(OR(AND(OP!$C$22="VADT",G117+I117&lt;2000),AND(OP!$C$22="VADF",OR(AND(G117&lt;&gt;"",G117&lt;100),AND(I117&lt;&gt;"",I117&lt;100),AND(G117&lt;&gt;"",G117&gt;1000000),AND(I117&lt;&gt;"",I117&gt;1000000)))),"繳交金額設定不符核保規則",""))&amp;IF(AND(H117="月繳",I117&lt;&gt;""),"月繳首期須繳 2個月"&amp;TEXT(I117*2,"#,##0 元"),""))</f>
        <v/>
      </c>
      <c r="K117" s="189"/>
    </row>
    <row r="118" spans="1:11">
      <c r="A118" s="36">
        <v>109</v>
      </c>
      <c r="C118" s="185" t="str">
        <f t="shared" ca="1" si="3"/>
        <v/>
      </c>
      <c r="D118" s="185" t="str">
        <f ca="1">IF(MAX($D$6:D117)+OP!$D$5-1&gt;80,"",D117+1)</f>
        <v/>
      </c>
      <c r="E118" s="195">
        <v>0.05</v>
      </c>
      <c r="F118" s="185" t="str">
        <f t="shared" ca="1" si="2"/>
        <v/>
      </c>
      <c r="G118" s="189"/>
      <c r="H118" s="190" t="s">
        <v>540</v>
      </c>
      <c r="I118" s="189"/>
      <c r="J118" s="184" t="str">
        <f ca="1">IF(D118=$C$1,"年金給付年度",IF(AND(G118="",I118=""),"",IF(OR(AND(OP!$C$22="VADT",G118+I118&lt;2000),AND(OP!$C$22="VADF",OR(AND(G118&lt;&gt;"",G118&lt;100),AND(I118&lt;&gt;"",I118&lt;100),AND(G118&lt;&gt;"",G118&gt;1000000),AND(I118&lt;&gt;"",I118&gt;1000000)))),"繳交金額設定不符核保規則",""))&amp;IF(AND(H118="月繳",I118&lt;&gt;""),"月繳首期須繳 2個月"&amp;TEXT(I118*2,"#,##0 元"),""))</f>
        <v/>
      </c>
      <c r="K118" s="189"/>
    </row>
    <row r="119" spans="1:11">
      <c r="A119" s="36">
        <v>110</v>
      </c>
      <c r="C119" s="185" t="str">
        <f t="shared" ca="1" si="3"/>
        <v/>
      </c>
      <c r="D119" s="185" t="str">
        <f ca="1">IF(MAX($D$6:D118)+OP!$D$5-1&gt;80,"",D118+1)</f>
        <v/>
      </c>
      <c r="E119" s="195">
        <v>0.05</v>
      </c>
      <c r="F119" s="185" t="str">
        <f t="shared" ca="1" si="2"/>
        <v/>
      </c>
      <c r="G119" s="189"/>
      <c r="H119" s="190" t="s">
        <v>540</v>
      </c>
      <c r="I119" s="189"/>
      <c r="J119" s="184" t="str">
        <f ca="1">IF(D119=$C$1,"年金給付年度",IF(AND(G119="",I119=""),"",IF(OR(AND(OP!$C$22="VADT",G119+I119&lt;2000),AND(OP!$C$22="VADF",OR(AND(G119&lt;&gt;"",G119&lt;100),AND(I119&lt;&gt;"",I119&lt;100),AND(G119&lt;&gt;"",G119&gt;1000000),AND(I119&lt;&gt;"",I119&gt;1000000)))),"繳交金額設定不符核保規則",""))&amp;IF(AND(H119="月繳",I119&lt;&gt;""),"月繳首期須繳 2個月"&amp;TEXT(I119*2,"#,##0 元"),""))</f>
        <v/>
      </c>
      <c r="K119" s="189"/>
    </row>
    <row r="120" spans="1:11">
      <c r="A120" s="36">
        <v>111</v>
      </c>
      <c r="C120" s="185" t="str">
        <f t="shared" ca="1" si="3"/>
        <v/>
      </c>
      <c r="D120" s="185" t="str">
        <f ca="1">IF(MAX($D$6:D119)+OP!$D$5-1&gt;80,"",D119+1)</f>
        <v/>
      </c>
      <c r="E120" s="195">
        <v>0.05</v>
      </c>
      <c r="F120" s="185" t="str">
        <f t="shared" ca="1" si="2"/>
        <v/>
      </c>
      <c r="G120" s="189"/>
      <c r="H120" s="190" t="s">
        <v>540</v>
      </c>
      <c r="I120" s="189"/>
      <c r="J120" s="184" t="str">
        <f ca="1">IF(D120=$C$1,"年金給付年度",IF(AND(G120="",I120=""),"",IF(OR(AND(OP!$C$22="VADT",G120+I120&lt;2000),AND(OP!$C$22="VADF",OR(AND(G120&lt;&gt;"",G120&lt;100),AND(I120&lt;&gt;"",I120&lt;100),AND(G120&lt;&gt;"",G120&gt;1000000),AND(I120&lt;&gt;"",I120&gt;1000000)))),"繳交金額設定不符核保規則",""))&amp;IF(AND(H120="月繳",I120&lt;&gt;""),"月繳首期須繳 2個月"&amp;TEXT(I120*2,"#,##0 元"),""))</f>
        <v/>
      </c>
      <c r="K120" s="189"/>
    </row>
    <row r="121" spans="1:11">
      <c r="A121" s="36"/>
      <c r="C121" s="300" t="s">
        <v>48</v>
      </c>
      <c r="D121" s="300"/>
      <c r="E121" s="300"/>
      <c r="F121" s="300"/>
      <c r="G121" s="300"/>
      <c r="H121" s="300"/>
      <c r="I121" s="300"/>
      <c r="J121" s="300"/>
      <c r="K121" s="300"/>
    </row>
    <row r="122" spans="1:11">
      <c r="A122" s="36"/>
      <c r="C122" s="164" t="str">
        <f>OP!$C$55</f>
        <v>V4.2-1060517</v>
      </c>
      <c r="G122" s="25"/>
      <c r="H122" s="25"/>
      <c r="J122" s="453">
        <f ca="1">TODAY()</f>
        <v>42888</v>
      </c>
      <c r="K122" s="453"/>
    </row>
  </sheetData>
  <sheetProtection selectLockedCells="1"/>
  <mergeCells count="3">
    <mergeCell ref="J122:K122"/>
    <mergeCell ref="J60:K60"/>
    <mergeCell ref="C2:K2"/>
  </mergeCells>
  <phoneticPr fontId="2" type="noConversion"/>
  <conditionalFormatting sqref="C6 F6">
    <cfRule type="expression" dxfId="37" priority="1" stopIfTrue="1">
      <formula>$C$1=D6</formula>
    </cfRule>
  </conditionalFormatting>
  <conditionalFormatting sqref="D6">
    <cfRule type="expression" dxfId="36" priority="2" stopIfTrue="1">
      <formula>$C$1=F6</formula>
    </cfRule>
  </conditionalFormatting>
  <conditionalFormatting sqref="H6:K58 H61:K61 H63:H120 J63:K120">
    <cfRule type="expression" dxfId="35" priority="3" stopIfTrue="1">
      <formula>$C$1=$D6</formula>
    </cfRule>
    <cfRule type="expression" dxfId="34" priority="4" stopIfTrue="1">
      <formula>MAX($D$5:$D6)&gt;=$C$1</formula>
    </cfRule>
  </conditionalFormatting>
  <conditionalFormatting sqref="E6:E58 C7:D58 C63:F120 G6:G58 F7:F58">
    <cfRule type="expression" dxfId="33" priority="5" stopIfTrue="1">
      <formula>$C$1=$D6</formula>
    </cfRule>
    <cfRule type="expression" dxfId="32" priority="6" stopIfTrue="1">
      <formula>MAX($D$6:$D5)&gt;=$C$1</formula>
    </cfRule>
  </conditionalFormatting>
  <conditionalFormatting sqref="C61:G61">
    <cfRule type="expression" dxfId="31" priority="7" stopIfTrue="1">
      <formula>$C$1=$D61</formula>
    </cfRule>
    <cfRule type="expression" dxfId="30" priority="8" stopIfTrue="1">
      <formula>MAX($D$6:$D55)&gt;=$C$1</formula>
    </cfRule>
  </conditionalFormatting>
  <conditionalFormatting sqref="G63:G120">
    <cfRule type="expression" dxfId="29" priority="9" stopIfTrue="1">
      <formula>$C$1=$D63</formula>
    </cfRule>
    <cfRule type="expression" dxfId="28" priority="10" stopIfTrue="1">
      <formula>MAX($D$6:$D$58,$D$63:$D63)&gt;=$C$1</formula>
    </cfRule>
  </conditionalFormatting>
  <conditionalFormatting sqref="I63:I120">
    <cfRule type="expression" dxfId="27" priority="11" stopIfTrue="1">
      <formula>$C$1=$D63</formula>
    </cfRule>
    <cfRule type="expression" dxfId="26" priority="12" stopIfTrue="1">
      <formula>MAX($D$5:$D$58,$D$63:$D63)&gt;=$C$1</formula>
    </cfRule>
  </conditionalFormatting>
  <dataValidations count="2">
    <dataValidation type="list" allowBlank="1" showInputMessage="1" showErrorMessage="1" sqref="H63:H120 H6:H58 H61">
      <formula1>"年繳,半年繳,季繳,月繳"</formula1>
    </dataValidation>
    <dataValidation type="decimal" allowBlank="1" showInputMessage="1" showErrorMessage="1" sqref="E63:E120 E6:E58 E61">
      <formula1>0</formula1>
      <formula2>0.09</formula2>
    </dataValidation>
  </dataValidations>
  <printOptions horizontalCentered="1"/>
  <pageMargins left="0.19685039370078741" right="0.19685039370078741" top="0.19685039370078741" bottom="0.19685039370078741" header="0.51181102362204722" footer="0.51181102362204722"/>
  <pageSetup paperSize="9" scale="81" fitToHeight="2"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3">
    <pageSetUpPr fitToPage="1"/>
  </sheetPr>
  <dimension ref="A1:D101"/>
  <sheetViews>
    <sheetView workbookViewId="0">
      <pane xSplit="1" ySplit="4" topLeftCell="B5" activePane="bottomRight" state="frozen"/>
      <selection pane="topRight" activeCell="B1" sqref="B1"/>
      <selection pane="bottomLeft" activeCell="A5" sqref="A5"/>
      <selection pane="bottomRight" activeCell="A2" sqref="A2:C101"/>
    </sheetView>
  </sheetViews>
  <sheetFormatPr defaultRowHeight="16.5"/>
  <cols>
    <col min="1" max="1" width="13.375" style="319" bestFit="1" customWidth="1"/>
    <col min="2" max="2" width="20.5" style="319" bestFit="1" customWidth="1"/>
    <col min="3" max="3" width="23.875" style="319" bestFit="1" customWidth="1"/>
    <col min="4" max="16384" width="9" style="319"/>
  </cols>
  <sheetData>
    <row r="1" spans="1:4" ht="18" customHeight="1">
      <c r="A1" s="294"/>
      <c r="B1" s="294"/>
      <c r="C1" s="294"/>
      <c r="D1" s="318"/>
    </row>
    <row r="2" spans="1:4" ht="18" customHeight="1">
      <c r="A2" s="216" t="s">
        <v>493</v>
      </c>
      <c r="B2" s="217"/>
      <c r="C2" s="218" t="s">
        <v>264</v>
      </c>
      <c r="D2" s="320"/>
    </row>
    <row r="3" spans="1:4" ht="18" customHeight="1">
      <c r="A3" s="428" t="s">
        <v>37</v>
      </c>
      <c r="B3" s="455">
        <v>5</v>
      </c>
      <c r="C3" s="455"/>
      <c r="D3" s="321"/>
    </row>
    <row r="4" spans="1:4" ht="18" customHeight="1">
      <c r="A4" s="430" t="s">
        <v>38</v>
      </c>
      <c r="B4" s="431" t="s">
        <v>39</v>
      </c>
      <c r="C4" s="431" t="s">
        <v>494</v>
      </c>
      <c r="D4" s="322"/>
    </row>
    <row r="5" spans="1:4" ht="18" customHeight="1">
      <c r="A5" s="429">
        <v>5</v>
      </c>
      <c r="B5" s="432"/>
      <c r="C5" s="432"/>
      <c r="D5" s="322"/>
    </row>
    <row r="6" spans="1:4" ht="18" customHeight="1">
      <c r="A6" s="429">
        <v>6</v>
      </c>
      <c r="B6" s="433">
        <v>467266.54856254923</v>
      </c>
      <c r="C6" s="433">
        <v>486166.20994824416</v>
      </c>
      <c r="D6" s="323"/>
    </row>
    <row r="7" spans="1:4" ht="18" customHeight="1">
      <c r="A7" s="429">
        <v>7</v>
      </c>
      <c r="B7" s="433">
        <v>464165.05834941554</v>
      </c>
      <c r="C7" s="433">
        <v>483343.06092262157</v>
      </c>
    </row>
    <row r="8" spans="1:4" ht="18" customHeight="1">
      <c r="A8" s="429">
        <v>8</v>
      </c>
      <c r="B8" s="433">
        <v>461014.27173623192</v>
      </c>
      <c r="C8" s="433">
        <v>480475.15141826461</v>
      </c>
    </row>
    <row r="9" spans="1:4" ht="18" customHeight="1">
      <c r="A9" s="429">
        <v>9</v>
      </c>
      <c r="B9" s="433">
        <v>457815.27130609361</v>
      </c>
      <c r="C9" s="433">
        <v>477561.94893254095</v>
      </c>
    </row>
    <row r="10" spans="1:4" ht="18" customHeight="1">
      <c r="A10" s="429">
        <v>10</v>
      </c>
      <c r="B10" s="433">
        <v>454567.95620982844</v>
      </c>
      <c r="C10" s="433">
        <v>474604.62738191814</v>
      </c>
      <c r="D10" s="322"/>
    </row>
    <row r="11" spans="1:4" ht="18" customHeight="1">
      <c r="A11" s="429">
        <v>11</v>
      </c>
      <c r="B11" s="433">
        <v>451273.15185045765</v>
      </c>
      <c r="C11" s="433">
        <v>471603.46857169154</v>
      </c>
      <c r="D11" s="323"/>
    </row>
    <row r="12" spans="1:4" ht="18" customHeight="1">
      <c r="A12" s="429">
        <v>12</v>
      </c>
      <c r="B12" s="433">
        <v>447931.38910368428</v>
      </c>
      <c r="C12" s="433">
        <v>468559.5710727729</v>
      </c>
    </row>
    <row r="13" spans="1:4" ht="18" customHeight="1">
      <c r="A13" s="429">
        <v>13</v>
      </c>
      <c r="B13" s="433">
        <v>444544.99626678519</v>
      </c>
      <c r="C13" s="433">
        <v>465473.18833875295</v>
      </c>
    </row>
    <row r="14" spans="1:4" ht="18" customHeight="1">
      <c r="A14" s="429">
        <v>14</v>
      </c>
      <c r="B14" s="433">
        <v>441117.90115401085</v>
      </c>
      <c r="C14" s="433">
        <v>462344.1632266657</v>
      </c>
    </row>
    <row r="15" spans="1:4" ht="18" customHeight="1">
      <c r="A15" s="429">
        <v>15</v>
      </c>
      <c r="B15" s="433">
        <v>437655.80875423684</v>
      </c>
      <c r="C15" s="433">
        <v>459172.32579338696</v>
      </c>
    </row>
    <row r="16" spans="1:4" ht="18" customHeight="1">
      <c r="A16" s="429">
        <v>16</v>
      </c>
      <c r="B16" s="433">
        <v>434164.36941692902</v>
      </c>
      <c r="C16" s="433">
        <v>455957.47399987641</v>
      </c>
    </row>
    <row r="17" spans="1:3" ht="18" customHeight="1">
      <c r="A17" s="429">
        <v>17</v>
      </c>
      <c r="B17" s="433">
        <v>430652.53673230833</v>
      </c>
      <c r="C17" s="433">
        <v>452700.96151976398</v>
      </c>
    </row>
    <row r="18" spans="1:3" ht="18" customHeight="1">
      <c r="A18" s="429">
        <v>18</v>
      </c>
      <c r="B18" s="433">
        <v>427123.32281804824</v>
      </c>
      <c r="C18" s="433">
        <v>449403.63553239126</v>
      </c>
    </row>
    <row r="19" spans="1:3" ht="18" customHeight="1">
      <c r="A19" s="429">
        <v>19</v>
      </c>
      <c r="B19" s="433">
        <v>423573.7637065156</v>
      </c>
      <c r="C19" s="433">
        <v>446065.04608479119</v>
      </c>
    </row>
    <row r="20" spans="1:3" ht="18" customHeight="1">
      <c r="A20" s="429">
        <v>20</v>
      </c>
      <c r="B20" s="433">
        <v>419993.08129534253</v>
      </c>
      <c r="C20" s="433">
        <v>442683.90725379268</v>
      </c>
    </row>
    <row r="21" spans="1:3" ht="18" customHeight="1">
      <c r="A21" s="429">
        <v>21</v>
      </c>
      <c r="B21" s="433">
        <v>416368.6561208418</v>
      </c>
      <c r="C21" s="433">
        <v>439257.73953342857</v>
      </c>
    </row>
    <row r="22" spans="1:3" ht="18" customHeight="1">
      <c r="A22" s="429">
        <v>22</v>
      </c>
      <c r="B22" s="433">
        <v>412689.47330367449</v>
      </c>
      <c r="C22" s="433">
        <v>435784.4803973512</v>
      </c>
    </row>
    <row r="23" spans="1:3" ht="18" customHeight="1">
      <c r="A23" s="429">
        <v>23</v>
      </c>
      <c r="B23" s="433">
        <v>408948.91174356284</v>
      </c>
      <c r="C23" s="433">
        <v>432261.70055330294</v>
      </c>
    </row>
    <row r="24" spans="1:3" ht="18" customHeight="1">
      <c r="A24" s="429">
        <v>24</v>
      </c>
      <c r="B24" s="433">
        <v>405145.62177818321</v>
      </c>
      <c r="C24" s="433">
        <v>428687.77295469947</v>
      </c>
    </row>
    <row r="25" spans="1:3" ht="18" customHeight="1">
      <c r="A25" s="429">
        <v>25</v>
      </c>
      <c r="B25" s="433">
        <v>401281.12844856089</v>
      </c>
      <c r="C25" s="433">
        <v>425061.08514804649</v>
      </c>
    </row>
    <row r="26" spans="1:3" ht="18" customHeight="1">
      <c r="A26" s="429">
        <v>26</v>
      </c>
      <c r="B26" s="433">
        <v>397358.63830132323</v>
      </c>
      <c r="C26" s="433">
        <v>421380.45067563944</v>
      </c>
    </row>
    <row r="27" spans="1:3" ht="18" customHeight="1">
      <c r="A27" s="429">
        <v>27</v>
      </c>
      <c r="B27" s="433">
        <v>393379.16033158766</v>
      </c>
      <c r="C27" s="433">
        <v>417644.71323247039</v>
      </c>
    </row>
    <row r="28" spans="1:3" ht="18" customHeight="1">
      <c r="A28" s="429">
        <v>28</v>
      </c>
      <c r="B28" s="433">
        <v>389343.69554053218</v>
      </c>
      <c r="C28" s="433">
        <v>413853.15990898671</v>
      </c>
    </row>
    <row r="29" spans="1:3" ht="18" customHeight="1">
      <c r="A29" s="429">
        <v>29</v>
      </c>
      <c r="B29" s="433">
        <v>385252.56135016051</v>
      </c>
      <c r="C29" s="433">
        <v>410005.10424903047</v>
      </c>
    </row>
    <row r="30" spans="1:3" ht="18" customHeight="1">
      <c r="A30" s="429">
        <v>30</v>
      </c>
      <c r="B30" s="433">
        <v>381106.42011764587</v>
      </c>
      <c r="C30" s="433">
        <v>406101.30777694518</v>
      </c>
    </row>
    <row r="31" spans="1:3" ht="18" customHeight="1">
      <c r="A31" s="429">
        <v>31</v>
      </c>
      <c r="B31" s="433">
        <v>376906.57647286996</v>
      </c>
      <c r="C31" s="433">
        <v>402142.09497531253</v>
      </c>
    </row>
    <row r="32" spans="1:3" ht="18" customHeight="1">
      <c r="A32" s="429">
        <v>32</v>
      </c>
      <c r="B32" s="433">
        <v>372655.27643405582</v>
      </c>
      <c r="C32" s="433">
        <v>398129.49706287356</v>
      </c>
    </row>
    <row r="33" spans="1:3" ht="18" customHeight="1">
      <c r="A33" s="429">
        <v>33</v>
      </c>
      <c r="B33" s="433">
        <v>368354.6806147038</v>
      </c>
      <c r="C33" s="433">
        <v>394064.01945063856</v>
      </c>
    </row>
    <row r="34" spans="1:3" ht="18" customHeight="1">
      <c r="A34" s="429">
        <v>34</v>
      </c>
      <c r="B34" s="433">
        <v>364006.58241519047</v>
      </c>
      <c r="C34" s="433">
        <v>389945.7722176488</v>
      </c>
    </row>
    <row r="35" spans="1:3" ht="18" customHeight="1">
      <c r="A35" s="429">
        <v>35</v>
      </c>
      <c r="B35" s="433">
        <v>359612.41750094655</v>
      </c>
      <c r="C35" s="433">
        <v>385773.47686976899</v>
      </c>
    </row>
    <row r="36" spans="1:3" ht="18" customHeight="1">
      <c r="A36" s="429">
        <v>36</v>
      </c>
      <c r="B36" s="433">
        <v>355174.24155096099</v>
      </c>
      <c r="C36" s="433">
        <v>381546.90927914542</v>
      </c>
    </row>
    <row r="37" spans="1:3" ht="18" customHeight="1">
      <c r="A37" s="429">
        <v>37</v>
      </c>
      <c r="B37" s="433">
        <v>350694.07910721604</v>
      </c>
      <c r="C37" s="433">
        <v>377265.16409862158</v>
      </c>
    </row>
    <row r="38" spans="1:3" ht="18" customHeight="1">
      <c r="A38" s="429">
        <v>38</v>
      </c>
      <c r="B38" s="433">
        <v>346175.06602510595</v>
      </c>
      <c r="C38" s="433">
        <v>372928.31960230466</v>
      </c>
    </row>
    <row r="39" spans="1:3" ht="18" customHeight="1">
      <c r="A39" s="429">
        <v>39</v>
      </c>
      <c r="B39" s="433">
        <v>341619.87931738934</v>
      </c>
      <c r="C39" s="433">
        <v>368536.41152024153</v>
      </c>
    </row>
    <row r="40" spans="1:3" ht="18" customHeight="1">
      <c r="A40" s="429">
        <v>40</v>
      </c>
      <c r="B40" s="433">
        <v>337032.13423094183</v>
      </c>
      <c r="C40" s="433">
        <v>364090.36906450405</v>
      </c>
    </row>
    <row r="41" spans="1:3" ht="18" customHeight="1">
      <c r="A41" s="429">
        <v>41</v>
      </c>
      <c r="B41" s="433">
        <v>332415.08487699128</v>
      </c>
      <c r="C41" s="433">
        <v>359590.07847338269</v>
      </c>
    </row>
    <row r="42" spans="1:3" ht="18" customHeight="1">
      <c r="A42" s="429">
        <v>42</v>
      </c>
      <c r="B42" s="433">
        <v>327770.23796080833</v>
      </c>
      <c r="C42" s="433">
        <v>355035.38651339355</v>
      </c>
    </row>
    <row r="43" spans="1:3" ht="18" customHeight="1">
      <c r="A43" s="429">
        <v>43</v>
      </c>
      <c r="B43" s="433">
        <v>323098.60009363916</v>
      </c>
      <c r="C43" s="433">
        <v>350426.10824814386</v>
      </c>
    </row>
    <row r="44" spans="1:3" ht="18" customHeight="1">
      <c r="A44" s="429">
        <v>44</v>
      </c>
      <c r="B44" s="433">
        <v>318399.13994624338</v>
      </c>
      <c r="C44" s="433">
        <v>345761.75629398174</v>
      </c>
    </row>
    <row r="45" spans="1:3" ht="18" customHeight="1">
      <c r="A45" s="429">
        <v>45</v>
      </c>
      <c r="B45" s="433">
        <v>313668.98671482847</v>
      </c>
      <c r="C45" s="433">
        <v>341041.88411983306</v>
      </c>
    </row>
    <row r="46" spans="1:3" ht="18" customHeight="1">
      <c r="A46" s="429">
        <v>46</v>
      </c>
      <c r="B46" s="433">
        <v>308905.95259128878</v>
      </c>
      <c r="C46" s="433">
        <v>336266.67110921326</v>
      </c>
    </row>
    <row r="47" spans="1:3" ht="18" customHeight="1">
      <c r="A47" s="429">
        <v>47</v>
      </c>
      <c r="B47" s="433">
        <v>304108.97069897671</v>
      </c>
      <c r="C47" s="433">
        <v>331436.60051221476</v>
      </c>
    </row>
    <row r="48" spans="1:3" ht="18" customHeight="1">
      <c r="A48" s="429">
        <v>48</v>
      </c>
      <c r="B48" s="433">
        <v>299278.76266684057</v>
      </c>
      <c r="C48" s="433">
        <v>326552.99985948333</v>
      </c>
    </row>
    <row r="49" spans="1:3" ht="18" customHeight="1">
      <c r="A49" s="429">
        <v>49</v>
      </c>
      <c r="B49" s="433">
        <v>294416.91925613844</v>
      </c>
      <c r="C49" s="433">
        <v>321617.89041395218</v>
      </c>
    </row>
    <row r="50" spans="1:3" ht="18" customHeight="1">
      <c r="A50" s="429">
        <v>50</v>
      </c>
      <c r="B50" s="433">
        <v>289525.13032857561</v>
      </c>
      <c r="C50" s="433">
        <v>316633.36222194764</v>
      </c>
    </row>
    <row r="51" spans="1:3" ht="18" customHeight="1">
      <c r="A51" s="429">
        <v>51</v>
      </c>
      <c r="B51" s="433">
        <v>284604.20912614086</v>
      </c>
      <c r="C51" s="433">
        <v>311601.51502831059</v>
      </c>
    </row>
    <row r="52" spans="1:3" ht="18" customHeight="1">
      <c r="A52" s="429">
        <v>52</v>
      </c>
      <c r="B52" s="433">
        <v>279655.13575052022</v>
      </c>
      <c r="C52" s="433">
        <v>306524.43565188418</v>
      </c>
    </row>
    <row r="53" spans="1:3" ht="18" customHeight="1">
      <c r="A53" s="429">
        <v>53</v>
      </c>
      <c r="B53" s="433">
        <v>274678.55691647012</v>
      </c>
      <c r="C53" s="433">
        <v>301401.97091775649</v>
      </c>
    </row>
    <row r="54" spans="1:3" ht="18" customHeight="1">
      <c r="A54" s="429">
        <v>54</v>
      </c>
      <c r="B54" s="433">
        <v>269676.35157783702</v>
      </c>
      <c r="C54" s="433">
        <v>296233.71997803013</v>
      </c>
    </row>
    <row r="55" spans="1:3" ht="18" customHeight="1">
      <c r="A55" s="429">
        <v>55</v>
      </c>
      <c r="B55" s="433">
        <v>264650.15671051753</v>
      </c>
      <c r="C55" s="433">
        <v>291018.67557788594</v>
      </c>
    </row>
    <row r="56" spans="1:3" ht="18" customHeight="1">
      <c r="A56" s="429">
        <v>56</v>
      </c>
      <c r="B56" s="433">
        <v>259602.55141285888</v>
      </c>
      <c r="C56" s="433">
        <v>285756.2718858025</v>
      </c>
    </row>
    <row r="57" spans="1:3" ht="18" customHeight="1">
      <c r="A57" s="429">
        <v>57</v>
      </c>
      <c r="B57" s="433">
        <v>254535.50622933364</v>
      </c>
      <c r="C57" s="433">
        <v>280448.19962606439</v>
      </c>
    </row>
    <row r="58" spans="1:3" ht="18" customHeight="1">
      <c r="A58" s="429">
        <v>58</v>
      </c>
      <c r="B58" s="433">
        <v>249450.48281778066</v>
      </c>
      <c r="C58" s="433">
        <v>275097.48549091705</v>
      </c>
    </row>
    <row r="59" spans="1:3" ht="18" customHeight="1">
      <c r="A59" s="429">
        <v>59</v>
      </c>
      <c r="B59" s="433">
        <v>244348.38549974206</v>
      </c>
      <c r="C59" s="433">
        <v>269709.37966235925</v>
      </c>
    </row>
    <row r="60" spans="1:3" ht="18" customHeight="1">
      <c r="A60" s="429">
        <v>60</v>
      </c>
      <c r="B60" s="433">
        <v>239232.62013601555</v>
      </c>
      <c r="C60" s="433">
        <v>264289.12419031194</v>
      </c>
    </row>
    <row r="61" spans="1:3" ht="18" customHeight="1">
      <c r="A61" s="429">
        <v>61</v>
      </c>
      <c r="B61" s="433">
        <v>234106.71497996038</v>
      </c>
      <c r="C61" s="433">
        <v>258841.09212570669</v>
      </c>
    </row>
    <row r="62" spans="1:3" ht="18" customHeight="1">
      <c r="A62" s="429">
        <v>62</v>
      </c>
      <c r="B62" s="433">
        <v>228970.9893390144</v>
      </c>
      <c r="C62" s="433">
        <v>253369.28113331841</v>
      </c>
    </row>
    <row r="63" spans="1:3" ht="18" customHeight="1">
      <c r="A63" s="429">
        <v>63</v>
      </c>
      <c r="B63" s="433">
        <v>223828.44609119027</v>
      </c>
      <c r="C63" s="433">
        <v>247876.14324721138</v>
      </c>
    </row>
    <row r="64" spans="1:3" ht="18" customHeight="1">
      <c r="A64" s="429">
        <v>64</v>
      </c>
      <c r="B64" s="433">
        <v>218681.14085464727</v>
      </c>
      <c r="C64" s="433">
        <v>242364.25235259702</v>
      </c>
    </row>
    <row r="65" spans="1:3" ht="18" customHeight="1">
      <c r="A65" s="429">
        <v>65</v>
      </c>
      <c r="B65" s="433">
        <v>213531.90723305437</v>
      </c>
      <c r="C65" s="433">
        <v>236836.89379336374</v>
      </c>
    </row>
    <row r="66" spans="1:3" ht="18" customHeight="1">
      <c r="A66" s="429">
        <v>66</v>
      </c>
      <c r="B66" s="433">
        <v>208387.09093481794</v>
      </c>
      <c r="C66" s="433">
        <v>231297.6540783075</v>
      </c>
    </row>
    <row r="67" spans="1:3" ht="18" customHeight="1">
      <c r="A67" s="429">
        <v>67</v>
      </c>
      <c r="B67" s="433">
        <v>203255.69264103117</v>
      </c>
      <c r="C67" s="433">
        <v>225750.29380664593</v>
      </c>
    </row>
    <row r="68" spans="1:3" ht="18" customHeight="1">
      <c r="A68" s="429">
        <v>68</v>
      </c>
      <c r="B68" s="433">
        <v>198148.18260909599</v>
      </c>
      <c r="C68" s="433">
        <v>220197.17756281493</v>
      </c>
    </row>
    <row r="69" spans="1:3" ht="18" customHeight="1">
      <c r="A69" s="429">
        <v>69</v>
      </c>
      <c r="B69" s="433">
        <v>193072.16750708179</v>
      </c>
      <c r="C69" s="433">
        <v>214641.79864973258</v>
      </c>
    </row>
    <row r="70" spans="1:3" ht="18" customHeight="1">
      <c r="A70" s="429">
        <v>70</v>
      </c>
      <c r="B70" s="433">
        <v>188033.18295981412</v>
      </c>
      <c r="C70" s="433">
        <v>209085.69814615656</v>
      </c>
    </row>
    <row r="71" spans="1:3" ht="18" customHeight="1">
      <c r="A71" s="429">
        <v>71</v>
      </c>
      <c r="B71" s="433">
        <v>183033.78782881566</v>
      </c>
      <c r="C71" s="433">
        <v>203529.99156613322</v>
      </c>
    </row>
    <row r="72" spans="1:3" ht="18" customHeight="1">
      <c r="A72" s="429">
        <v>72</v>
      </c>
      <c r="B72" s="433">
        <v>178075.34281113363</v>
      </c>
      <c r="C72" s="433">
        <v>197977.31511849313</v>
      </c>
    </row>
    <row r="73" spans="1:3" ht="18" customHeight="1">
      <c r="A73" s="429">
        <v>73</v>
      </c>
      <c r="B73" s="433">
        <v>173159.26210758378</v>
      </c>
      <c r="C73" s="433">
        <v>192430.84480138106</v>
      </c>
    </row>
    <row r="74" spans="1:3" ht="18" customHeight="1">
      <c r="A74" s="429">
        <v>74</v>
      </c>
      <c r="B74" s="433">
        <v>168288.04668509343</v>
      </c>
      <c r="C74" s="433">
        <v>186894.56085281738</v>
      </c>
    </row>
    <row r="75" spans="1:3" ht="18" customHeight="1">
      <c r="A75" s="429">
        <v>75</v>
      </c>
      <c r="B75" s="433">
        <v>163463.66268951265</v>
      </c>
      <c r="C75" s="433">
        <v>181372.49470799282</v>
      </c>
    </row>
    <row r="76" spans="1:3" ht="18" customHeight="1">
      <c r="A76" s="429">
        <v>76</v>
      </c>
      <c r="B76" s="433">
        <v>158688.78734599217</v>
      </c>
      <c r="C76" s="433">
        <v>175869.86171134381</v>
      </c>
    </row>
    <row r="77" spans="1:3" ht="18" customHeight="1">
      <c r="A77" s="429">
        <v>77</v>
      </c>
      <c r="B77" s="433">
        <v>153965.4347220218</v>
      </c>
      <c r="C77" s="433">
        <v>170392.02728956865</v>
      </c>
    </row>
    <row r="78" spans="1:3" ht="18" customHeight="1">
      <c r="A78" s="429">
        <v>78</v>
      </c>
      <c r="B78" s="433">
        <v>149297.00462686428</v>
      </c>
      <c r="C78" s="433">
        <v>164944.12129230949</v>
      </c>
    </row>
    <row r="79" spans="1:3" ht="18" customHeight="1">
      <c r="A79" s="429">
        <v>79</v>
      </c>
      <c r="B79" s="433">
        <v>144686.9182711796</v>
      </c>
      <c r="C79" s="433">
        <v>159533.12867069908</v>
      </c>
    </row>
    <row r="80" spans="1:3" ht="18" customHeight="1">
      <c r="A80" s="429">
        <v>80</v>
      </c>
      <c r="B80" s="433">
        <v>140139.12371748663</v>
      </c>
      <c r="C80" s="433">
        <v>154166.75523563879</v>
      </c>
    </row>
    <row r="81" spans="1:3" ht="18" customHeight="1">
      <c r="A81" s="429">
        <v>81</v>
      </c>
      <c r="B81" s="433">
        <v>135657.0676134176</v>
      </c>
      <c r="C81" s="433">
        <v>148854.61966670249</v>
      </c>
    </row>
    <row r="82" spans="1:3">
      <c r="A82" s="429">
        <v>82</v>
      </c>
      <c r="B82" s="433">
        <v>131244.01755177797</v>
      </c>
      <c r="C82" s="433">
        <v>143608.84324849717</v>
      </c>
    </row>
    <row r="83" spans="1:3">
      <c r="A83" s="429">
        <v>83</v>
      </c>
      <c r="B83" s="433">
        <v>126903.39311846733</v>
      </c>
      <c r="C83" s="433">
        <v>138440.0656865559</v>
      </c>
    </row>
    <row r="84" spans="1:3">
      <c r="A84" s="429">
        <v>84</v>
      </c>
      <c r="B84" s="433">
        <v>122638.89416944316</v>
      </c>
      <c r="C84" s="433">
        <v>133360.19789438648</v>
      </c>
    </row>
    <row r="85" spans="1:3">
      <c r="A85" s="429">
        <v>85</v>
      </c>
      <c r="B85" s="433">
        <v>118454.05357654451</v>
      </c>
      <c r="C85" s="433">
        <v>128381.65775856488</v>
      </c>
    </row>
    <row r="86" spans="1:3">
      <c r="A86" s="429">
        <v>86</v>
      </c>
      <c r="B86" s="433">
        <v>114352.83373541724</v>
      </c>
      <c r="C86" s="433">
        <v>123517.80701911975</v>
      </c>
    </row>
    <row r="87" spans="1:3">
      <c r="A87" s="434">
        <v>87</v>
      </c>
      <c r="B87" s="433">
        <v>110344.32524661312</v>
      </c>
      <c r="C87" s="433">
        <v>118752.78503103992</v>
      </c>
    </row>
    <row r="88" spans="1:3">
      <c r="A88" s="434">
        <v>88</v>
      </c>
      <c r="B88" s="433">
        <v>106431.05857784458</v>
      </c>
      <c r="C88" s="433">
        <v>114092.25150776464</v>
      </c>
    </row>
    <row r="89" spans="1:3">
      <c r="A89" s="434">
        <v>89</v>
      </c>
      <c r="B89" s="433">
        <v>102615.21610258239</v>
      </c>
      <c r="C89" s="433">
        <v>109541.80636637467</v>
      </c>
    </row>
    <row r="90" spans="1:3">
      <c r="A90" s="434">
        <v>90</v>
      </c>
      <c r="B90" s="433">
        <v>98898.384986618767</v>
      </c>
      <c r="C90" s="433">
        <v>105106.48700669527</v>
      </c>
    </row>
    <row r="91" spans="1:3">
      <c r="A91" s="434">
        <v>91</v>
      </c>
      <c r="B91" s="433">
        <v>95281.620811069341</v>
      </c>
      <c r="C91" s="433">
        <v>100790.82187845359</v>
      </c>
    </row>
    <row r="92" spans="1:3">
      <c r="A92" s="434">
        <v>92</v>
      </c>
      <c r="B92" s="433">
        <v>91765.174814412851</v>
      </c>
      <c r="C92" s="433">
        <v>96598.710625951542</v>
      </c>
    </row>
    <row r="93" spans="1:3">
      <c r="A93" s="434">
        <v>93</v>
      </c>
      <c r="B93" s="433">
        <v>88348.457175323798</v>
      </c>
      <c r="C93" s="433">
        <v>92533.25748868857</v>
      </c>
    </row>
    <row r="94" spans="1:3">
      <c r="A94" s="434">
        <v>94</v>
      </c>
      <c r="B94" s="433">
        <v>85029.869393900663</v>
      </c>
      <c r="C94" s="433">
        <v>88596.55975477118</v>
      </c>
    </row>
    <row r="95" spans="1:3">
      <c r="A95" s="434">
        <v>95</v>
      </c>
      <c r="B95" s="433">
        <v>81806.383579007655</v>
      </c>
      <c r="C95" s="433">
        <v>84789.410171794749</v>
      </c>
    </row>
    <row r="96" spans="1:3">
      <c r="A96" s="434">
        <v>96</v>
      </c>
      <c r="B96" s="433">
        <v>78673.387756618526</v>
      </c>
      <c r="C96" s="433">
        <v>81111.062468391072</v>
      </c>
    </row>
    <row r="97" spans="1:3">
      <c r="A97" s="434">
        <v>97</v>
      </c>
      <c r="B97" s="433">
        <v>75624.218328535906</v>
      </c>
      <c r="C97" s="433">
        <v>77558.740942345205</v>
      </c>
    </row>
    <row r="98" spans="1:3">
      <c r="A98" s="434">
        <v>98</v>
      </c>
      <c r="B98" s="433">
        <v>72649.552145405731</v>
      </c>
      <c r="C98" s="433">
        <v>74127.098348757019</v>
      </c>
    </row>
    <row r="99" spans="1:3">
      <c r="A99" s="434">
        <v>99</v>
      </c>
      <c r="B99" s="433">
        <v>69736.651556909463</v>
      </c>
      <c r="C99" s="433">
        <v>70807.491500308752</v>
      </c>
    </row>
    <row r="100" spans="1:3">
      <c r="A100" s="434">
        <v>100</v>
      </c>
      <c r="B100" s="433">
        <v>66868.324573248101</v>
      </c>
      <c r="C100" s="433">
        <v>67586.97023234739</v>
      </c>
    </row>
    <row r="101" spans="1:3">
      <c r="A101" s="429">
        <f>A100+1</f>
        <v>101</v>
      </c>
      <c r="B101" s="433">
        <v>64021.514502234102</v>
      </c>
      <c r="C101" s="433">
        <v>64446.786208208403</v>
      </c>
    </row>
  </sheetData>
  <mergeCells count="1">
    <mergeCell ref="B3:C3"/>
  </mergeCells>
  <phoneticPr fontId="2" type="noConversion"/>
  <pageMargins left="0.75" right="0.75" top="0.39" bottom="0.41" header="0.41" footer="0.41"/>
  <pageSetup paperSize="9" scale="57"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4"/>
  <dimension ref="A1:BW1168"/>
  <sheetViews>
    <sheetView workbookViewId="0">
      <pane xSplit="8" ySplit="3" topLeftCell="AS4" activePane="bottomRight" state="frozen"/>
      <selection activeCell="C109" sqref="C109"/>
      <selection pane="topRight" activeCell="C109" sqref="C109"/>
      <selection pane="bottomLeft" activeCell="C109" sqref="C109"/>
      <selection pane="bottomRight" activeCell="AU11" sqref="AU11"/>
    </sheetView>
  </sheetViews>
  <sheetFormatPr defaultRowHeight="16.5"/>
  <cols>
    <col min="1" max="1" width="4.25" style="1" customWidth="1"/>
    <col min="2" max="2" width="9.5" style="1" customWidth="1"/>
    <col min="3" max="3" width="5.5" style="1" customWidth="1"/>
    <col min="4" max="4" width="11.625" style="1" customWidth="1"/>
    <col min="5" max="5" width="9" style="1" customWidth="1"/>
    <col min="6" max="6" width="4.125" style="1" customWidth="1"/>
    <col min="7" max="10" width="10.5" style="1" customWidth="1"/>
    <col min="11" max="11" width="11.125" style="1" customWidth="1"/>
    <col min="12" max="14" width="10" style="1" customWidth="1"/>
    <col min="15" max="15" width="13.375" style="1" customWidth="1"/>
    <col min="16" max="16" width="9.125" style="1" customWidth="1"/>
    <col min="17" max="18" width="9" style="1" customWidth="1"/>
    <col min="19" max="20" width="7.5" style="7" customWidth="1"/>
    <col min="21" max="21" width="10" style="7" customWidth="1"/>
    <col min="22" max="22" width="14.375" style="7" customWidth="1"/>
    <col min="23" max="25" width="13.875" style="7" customWidth="1"/>
    <col min="26" max="28" width="11.125" style="1" customWidth="1"/>
    <col min="29" max="29" width="9.5" style="1" customWidth="1"/>
    <col min="30" max="30" width="9.125" style="1" customWidth="1"/>
    <col min="31" max="31" width="8.5" style="1" customWidth="1"/>
    <col min="32" max="33" width="12.75" style="1" customWidth="1"/>
    <col min="34" max="34" width="15" style="1" customWidth="1"/>
    <col min="35" max="35" width="10" style="7" customWidth="1"/>
    <col min="36" max="36" width="13.875" style="1" customWidth="1"/>
    <col min="37" max="38" width="11.125" style="1" customWidth="1"/>
    <col min="39" max="40" width="9" style="1" customWidth="1"/>
    <col min="41" max="41" width="10" style="1" customWidth="1"/>
    <col min="42" max="42" width="9" style="1" customWidth="1"/>
    <col min="43" max="43" width="9.5" style="1" customWidth="1"/>
    <col min="44" max="44" width="9.625" style="1" customWidth="1"/>
    <col min="45" max="45" width="9" style="1" customWidth="1"/>
    <col min="46" max="46" width="11.125" style="1" customWidth="1"/>
    <col min="47" max="47" width="9" style="1" customWidth="1"/>
    <col min="48" max="48" width="11.125" style="1" customWidth="1"/>
    <col min="49" max="50" width="12.25" style="1" customWidth="1"/>
    <col min="51" max="52" width="11.125" style="1" customWidth="1"/>
    <col min="53" max="53" width="11.25" style="1" customWidth="1"/>
    <col min="54" max="54" width="14.375" style="1" customWidth="1"/>
    <col min="55" max="55" width="11.125" style="1" customWidth="1"/>
    <col min="56" max="58" width="9" style="1" customWidth="1"/>
    <col min="59" max="59" width="10" style="1" customWidth="1"/>
    <col min="60" max="60" width="9" style="1" customWidth="1"/>
    <col min="61" max="63" width="10" style="1" customWidth="1"/>
    <col min="64" max="66" width="9" style="1" customWidth="1"/>
    <col min="67" max="67" width="11.875" style="1" customWidth="1"/>
    <col min="68" max="68" width="11.375" style="1" customWidth="1"/>
    <col min="69" max="69" width="10.625" style="1" customWidth="1"/>
    <col min="70" max="72" width="9" style="1" customWidth="1"/>
    <col min="73" max="73" width="11.625" style="1" customWidth="1"/>
    <col min="74" max="75" width="10" style="1" customWidth="1"/>
    <col min="76" max="16384" width="9" style="1"/>
  </cols>
  <sheetData>
    <row r="1" spans="1:75">
      <c r="A1" s="15">
        <f ca="1">TODAY()</f>
        <v>42888</v>
      </c>
      <c r="B1" s="15"/>
      <c r="C1" s="1">
        <v>12</v>
      </c>
      <c r="D1" s="1">
        <v>110</v>
      </c>
      <c r="F1" s="16"/>
      <c r="G1" s="15">
        <f>OP!$N$110</f>
        <v>45079</v>
      </c>
      <c r="H1" s="15"/>
      <c r="I1" s="15"/>
      <c r="J1" s="11">
        <f>IF(OP!C121=0,0,0.0025)</f>
        <v>2.5000000000000001E-3</v>
      </c>
      <c r="K1" s="1">
        <f ca="1">OP!D5</f>
        <v>55</v>
      </c>
      <c r="Q1" s="1">
        <v>40</v>
      </c>
      <c r="W1" s="20">
        <f>OP!C85</f>
        <v>30000000</v>
      </c>
      <c r="X1" s="140"/>
      <c r="Y1" s="140"/>
      <c r="Z1" s="180">
        <f>-OP!$C$121</f>
        <v>-0.05</v>
      </c>
      <c r="AA1" s="1">
        <v>0</v>
      </c>
      <c r="AB1" s="180">
        <f>OP!$C$121</f>
        <v>0.05</v>
      </c>
      <c r="AC1" s="1">
        <v>100000</v>
      </c>
      <c r="AE1" s="1">
        <v>1</v>
      </c>
      <c r="AF1" s="1">
        <f>IF(OP!C22="VADF",2,0)</f>
        <v>0</v>
      </c>
      <c r="AG1" s="1">
        <f ca="1">DATEDIF(DATE(B4+1911,C4,D4),DATE(B16+1911,C16,D16),"d")</f>
        <v>365</v>
      </c>
      <c r="AU1" s="348">
        <v>1</v>
      </c>
      <c r="AV1" s="348">
        <v>2</v>
      </c>
      <c r="AW1" s="348">
        <v>3</v>
      </c>
      <c r="AX1" s="348">
        <v>4</v>
      </c>
      <c r="AY1" s="350">
        <v>2000000</v>
      </c>
      <c r="AZ1" s="350">
        <v>5000000</v>
      </c>
      <c r="BA1" s="350">
        <v>10000000</v>
      </c>
      <c r="BC1" s="315" t="s">
        <v>330</v>
      </c>
      <c r="BD1" s="314">
        <f>IF(輸入頁!$D$30=計算!$BC$1,0,1%)</f>
        <v>0.01</v>
      </c>
      <c r="BI1" s="35" t="s">
        <v>331</v>
      </c>
    </row>
    <row r="2" spans="1:75">
      <c r="A2" s="1" t="s">
        <v>0</v>
      </c>
      <c r="B2" s="1" t="s">
        <v>13</v>
      </c>
      <c r="C2" s="1" t="s">
        <v>1</v>
      </c>
      <c r="D2" s="1" t="s">
        <v>12</v>
      </c>
      <c r="E2" s="1" t="s">
        <v>3</v>
      </c>
      <c r="F2" s="1" t="s">
        <v>20</v>
      </c>
      <c r="G2" s="1" t="s">
        <v>19</v>
      </c>
      <c r="H2" s="1" t="s">
        <v>6</v>
      </c>
      <c r="J2" s="1" t="s">
        <v>193</v>
      </c>
      <c r="K2" s="1" t="s">
        <v>2</v>
      </c>
      <c r="L2" s="456" t="s">
        <v>30</v>
      </c>
      <c r="M2" s="456"/>
      <c r="N2" s="456"/>
      <c r="O2" s="1" t="s">
        <v>4</v>
      </c>
      <c r="P2" s="1" t="s">
        <v>192</v>
      </c>
      <c r="Q2" s="1" t="s">
        <v>11</v>
      </c>
      <c r="R2" s="1" t="s">
        <v>245</v>
      </c>
      <c r="S2" s="7" t="s">
        <v>15</v>
      </c>
      <c r="T2" s="7" t="s">
        <v>20</v>
      </c>
      <c r="U2" s="1" t="s">
        <v>29</v>
      </c>
      <c r="V2" s="7" t="s">
        <v>27</v>
      </c>
      <c r="W2" s="7" t="s">
        <v>26</v>
      </c>
      <c r="X2" s="7" t="s">
        <v>224</v>
      </c>
      <c r="Y2" s="7" t="s">
        <v>244</v>
      </c>
      <c r="Z2" s="457" t="s">
        <v>14</v>
      </c>
      <c r="AA2" s="457"/>
      <c r="AB2" s="457"/>
      <c r="AC2" s="456" t="s">
        <v>9</v>
      </c>
      <c r="AD2" s="456"/>
      <c r="AE2" s="456"/>
      <c r="AF2" s="456" t="s">
        <v>10</v>
      </c>
      <c r="AG2" s="456"/>
      <c r="AH2" s="456"/>
      <c r="AJ2" s="456" t="s">
        <v>36</v>
      </c>
      <c r="AK2" s="456"/>
      <c r="AL2" s="456"/>
      <c r="AN2" s="1" t="s">
        <v>233</v>
      </c>
      <c r="AO2" s="1">
        <v>1</v>
      </c>
      <c r="AQ2" s="1">
        <v>1</v>
      </c>
      <c r="AU2" s="349">
        <v>0.05</v>
      </c>
      <c r="AV2" s="349">
        <v>0.04</v>
      </c>
      <c r="AW2" s="349">
        <v>0.03</v>
      </c>
      <c r="AX2" s="349">
        <v>0.02</v>
      </c>
      <c r="BB2" s="1" t="s">
        <v>304</v>
      </c>
      <c r="BD2" s="1" t="s">
        <v>302</v>
      </c>
      <c r="BF2" s="1" t="s">
        <v>303</v>
      </c>
      <c r="BI2" s="317">
        <f>輸入頁!D38</f>
        <v>0</v>
      </c>
      <c r="BL2" s="1" t="s">
        <v>332</v>
      </c>
      <c r="BO2" s="1" t="s">
        <v>334</v>
      </c>
      <c r="BR2" s="1" t="s">
        <v>333</v>
      </c>
      <c r="BU2" s="1" t="s">
        <v>337</v>
      </c>
    </row>
    <row r="3" spans="1:75">
      <c r="B3" s="35">
        <f ca="1">N(YEAR(A1)-1911)</f>
        <v>106</v>
      </c>
      <c r="C3" s="35">
        <f ca="1">N(MONTH(A1))</f>
        <v>6</v>
      </c>
      <c r="D3" s="35">
        <f ca="1">N(DAY(A1))</f>
        <v>2</v>
      </c>
      <c r="E3" s="35">
        <f>N(YEAR(G1)-1911)</f>
        <v>112</v>
      </c>
      <c r="F3" s="35">
        <f>N(MONTH(G1))</f>
        <v>6</v>
      </c>
      <c r="G3" s="35">
        <f>N(DAY(G1))</f>
        <v>2</v>
      </c>
      <c r="L3" s="10" t="s">
        <v>17</v>
      </c>
      <c r="M3" s="10" t="s">
        <v>16</v>
      </c>
      <c r="N3" s="10" t="s">
        <v>18</v>
      </c>
      <c r="S3" s="7">
        <v>1</v>
      </c>
      <c r="T3" s="7">
        <v>2</v>
      </c>
      <c r="U3" s="1">
        <v>3</v>
      </c>
      <c r="V3" s="7">
        <v>4</v>
      </c>
      <c r="W3" s="7">
        <v>5</v>
      </c>
      <c r="X3" s="7">
        <v>6</v>
      </c>
      <c r="Y3" s="7">
        <v>7</v>
      </c>
      <c r="Z3" s="199">
        <v>8</v>
      </c>
      <c r="AA3" s="7">
        <v>9</v>
      </c>
      <c r="AB3" s="199">
        <v>10</v>
      </c>
      <c r="AC3" s="7">
        <v>11</v>
      </c>
      <c r="AD3" s="199">
        <v>12</v>
      </c>
      <c r="AE3" s="7">
        <v>13</v>
      </c>
      <c r="AF3" s="199">
        <v>14</v>
      </c>
      <c r="AG3" s="7">
        <v>15</v>
      </c>
      <c r="AH3" s="199">
        <v>16</v>
      </c>
      <c r="AI3" s="7">
        <v>17</v>
      </c>
      <c r="AJ3" s="199">
        <v>18</v>
      </c>
      <c r="AK3" s="7">
        <v>19</v>
      </c>
      <c r="AL3" s="199">
        <v>20</v>
      </c>
      <c r="AM3" s="1">
        <f ca="1">C3</f>
        <v>6</v>
      </c>
      <c r="AN3" s="10" t="s">
        <v>197</v>
      </c>
      <c r="AO3" s="10" t="s">
        <v>196</v>
      </c>
      <c r="AP3" s="10" t="s">
        <v>198</v>
      </c>
      <c r="AQ3" s="10" t="s">
        <v>196</v>
      </c>
      <c r="AR3" s="10" t="s">
        <v>4</v>
      </c>
      <c r="AS3" s="10" t="s">
        <v>267</v>
      </c>
      <c r="AT3" s="415" t="s">
        <v>410</v>
      </c>
      <c r="AU3" s="10" t="s">
        <v>305</v>
      </c>
      <c r="AV3" s="10" t="s">
        <v>300</v>
      </c>
      <c r="AW3" s="10" t="s">
        <v>307</v>
      </c>
      <c r="AX3" s="10" t="s">
        <v>308</v>
      </c>
      <c r="AY3" s="10" t="s">
        <v>309</v>
      </c>
      <c r="AZ3" s="10" t="s">
        <v>310</v>
      </c>
      <c r="BA3" s="415" t="s">
        <v>411</v>
      </c>
      <c r="BB3" s="10" t="s">
        <v>306</v>
      </c>
      <c r="BC3" s="10" t="s">
        <v>300</v>
      </c>
      <c r="BD3" s="10" t="s">
        <v>301</v>
      </c>
      <c r="BE3" s="10" t="s">
        <v>300</v>
      </c>
      <c r="BF3" s="10" t="s">
        <v>301</v>
      </c>
      <c r="BG3" s="10" t="s">
        <v>300</v>
      </c>
      <c r="BI3" s="23" t="s">
        <v>335</v>
      </c>
      <c r="BJ3" s="23">
        <v>0</v>
      </c>
      <c r="BK3" s="23" t="s">
        <v>336</v>
      </c>
      <c r="BL3" s="23" t="s">
        <v>335</v>
      </c>
      <c r="BM3" s="23">
        <v>0</v>
      </c>
      <c r="BN3" s="23" t="s">
        <v>336</v>
      </c>
      <c r="BO3" s="23" t="s">
        <v>335</v>
      </c>
      <c r="BP3" s="23">
        <v>0</v>
      </c>
      <c r="BQ3" s="23" t="s">
        <v>336</v>
      </c>
      <c r="BR3" s="23" t="s">
        <v>335</v>
      </c>
      <c r="BS3" s="23">
        <v>0</v>
      </c>
      <c r="BT3" s="23" t="s">
        <v>336</v>
      </c>
      <c r="BU3" s="23" t="s">
        <v>335</v>
      </c>
      <c r="BV3" s="23">
        <v>0</v>
      </c>
      <c r="BW3" s="23" t="s">
        <v>336</v>
      </c>
    </row>
    <row r="4" spans="1:75">
      <c r="A4" s="1">
        <v>1</v>
      </c>
      <c r="B4" s="1">
        <f ca="1">B3</f>
        <v>106</v>
      </c>
      <c r="C4" s="1">
        <f ca="1">C3</f>
        <v>6</v>
      </c>
      <c r="D4" s="1">
        <f ca="1">$D$3</f>
        <v>2</v>
      </c>
      <c r="E4" s="1">
        <f ca="1">IF($K$1+A4-1&gt;$D$1,"",$K$1+A4-1)</f>
        <v>55</v>
      </c>
      <c r="F4" s="11" t="str">
        <f ca="1">IF(AND(DATE($E$3+1911,$F$3,$G$3)&gt;DATE(B4+1911,C4,D4),DATE($E$3+1911,$F$3,$G$3)&lt;=DATE(B5+1911,C5,D5)),"F","")</f>
        <v/>
      </c>
      <c r="G4" s="6">
        <f ca="1">DATEDIF(DATE(B4+1911,C4,D4),DATE(B16+1911,C16,D16),"d")</f>
        <v>365</v>
      </c>
      <c r="H4" s="8">
        <f ca="1">DATEDIF(DATE(B4+1911,C4,D4),IF(F4="F",DATE($E$3+1911,$F$3,$G$3),DATE(B5+1911,C5,D5)),"d")</f>
        <v>30</v>
      </c>
      <c r="I4" s="8" t="str">
        <f t="shared" ref="I4:I67" ca="1" si="0">A4&amp;C4</f>
        <v>16</v>
      </c>
      <c r="J4" s="13">
        <f>IF(繳費報酬率資料!$A$1=1,VALUE(OP!$C$121),VLOOKUP(A4,MP,2,0))</f>
        <v>0.05</v>
      </c>
      <c r="K4" s="14">
        <f ca="1">IF(繳費報酬率資料!$A$1=1,$AU4+$AV4,$BB4+$BC4)</f>
        <v>2000000</v>
      </c>
      <c r="L4" s="2"/>
      <c r="M4" s="2"/>
      <c r="N4" s="2"/>
      <c r="O4" s="261">
        <f ca="1">IF(K4=0,0,$AR4)</f>
        <v>80000</v>
      </c>
      <c r="P4" s="261">
        <f>OP!$C$141</f>
        <v>0</v>
      </c>
      <c r="Q4" s="3">
        <f>IF(A4&gt;MAX(OP!$R$17:$R$26),0,VLOOKUP(A4,fees,3,FALSE))</f>
        <v>0.01</v>
      </c>
      <c r="R4" s="200" t="str">
        <f ca="1">IF(OR(C5&lt;&gt;$C$3,E4=""),"",A4)</f>
        <v/>
      </c>
      <c r="S4" s="9" t="str">
        <f ca="1">IF(COUNTIF(($T$4:T4),"F")&gt;=1,"",IF(OR(C5&lt;&gt;$C$3,E4=""),"",A4))</f>
        <v/>
      </c>
      <c r="T4" s="20" t="str">
        <f t="shared" ref="T4:T67" ca="1" si="1">IF(F4&lt;&gt;"","F","")</f>
        <v/>
      </c>
      <c r="U4" s="2"/>
      <c r="V4" s="9"/>
      <c r="W4" s="19">
        <f ca="1">IF(COUNTIF($T$4:T4,"F")=1,,MAX(SUM($K$4:K4),0))</f>
        <v>2000000</v>
      </c>
      <c r="X4" s="19"/>
      <c r="Y4" s="19">
        <f ca="1">K4-O4</f>
        <v>1920000</v>
      </c>
      <c r="Z4" s="2">
        <f ca="1">($K4-$O4-$P4)*((1+(-J4))^(1/12))-$U4</f>
        <v>1911810.5879470836</v>
      </c>
      <c r="AA4" s="2">
        <f ca="1">($K4-$O4-$P4)*((1+($AA$1))^(1/12))-$U4</f>
        <v>1920000</v>
      </c>
      <c r="AB4" s="2">
        <f ca="1">($K4-$O4-$P4)*((1+(J4))^(1/12))-$U4</f>
        <v>1927822.3176646049</v>
      </c>
      <c r="AC4" s="12"/>
      <c r="AD4" s="12"/>
      <c r="AE4" s="12"/>
      <c r="AF4" s="282">
        <f ca="1">ROUND(Z4*(1-$Q4),$AF$1)</f>
        <v>1892692</v>
      </c>
      <c r="AG4" s="282">
        <f ca="1">ROUND(AA4*(1-$Q4),$AF$1)</f>
        <v>1900800</v>
      </c>
      <c r="AH4" s="282">
        <f ca="1">ROUND(AB4*(1-$Q4),$AF$1)</f>
        <v>1908544</v>
      </c>
      <c r="AI4" s="23" t="str">
        <f t="shared" ref="AI4:AI67" ca="1" si="2">IF($G$3=D5,A5,A4)&amp;"-"&amp;AM4</f>
        <v>1-</v>
      </c>
      <c r="AJ4" s="281" t="str">
        <f ca="1">IF(E4&gt;111,,IF(AND(OP!$C$99=1,T4="F"),Z4,IF(AND(OP!$C$99=2,COUNTIF($T$4:T4,"F")=1),OP!$C$97+IF(F4="F",OP!$C$98,0),"")))</f>
        <v/>
      </c>
      <c r="AK4" s="281" t="str">
        <f ca="1">IF(E4&gt;111,,IF(AND(OP!$D$99=1,T4="F"),AA4,IF(AND(OP!$D$99=2,COUNTIF($T$4:T4,"F")=1),OP!$D$97+IF(F4="F",OP!$D$98,0),"")))</f>
        <v/>
      </c>
      <c r="AL4" s="281" t="str">
        <f ca="1">IF(E4&gt;111,,IF(AND(OP!$E$99=1,T4="F"),AB4,IF(AND(OP!$E$99=2,COUNTIF($T$4:T4,"F")=1),OP!$E$97+IF(F4="F",OP!$E$98,0),"")))</f>
        <v/>
      </c>
      <c r="AM4" s="1" t="str">
        <f ca="1">IF(AND(AK4&lt;&gt;"",AM3=""),1,IF(AND(AK4&lt;&gt;"",AM3&gt;0),IF(AM3=12,1,AM3+1),""))</f>
        <v/>
      </c>
      <c r="AN4" s="1">
        <f>IF(OR(VLOOKUP($A4,MP,5,0)="年繳",VLOOKUP($A4,MP,5,0)="半年繳",VLOOKUP($A4,MP,5,0)="季繳",VLOOKUP($A4,MP,5,0)="月繳"),1,"")</f>
        <v>1</v>
      </c>
      <c r="AO4" s="286">
        <f ca="1">IF(C4=$C$3,ROUND(VLOOKUP(A4,MP,4,0),0),0)+IF(AN4=1,ROUND(VLOOKUP(A4,MP,6,0),0)*AO2,0)</f>
        <v>0</v>
      </c>
      <c r="AP4" s="1">
        <f ca="1">IF(AND(A4&lt;=OP!$C$120,COUNTIF(PAY,C4)=1),1,"")</f>
        <v>1</v>
      </c>
      <c r="AR4" s="301">
        <f ca="1">IF(繳費報酬率資料!$A$1=1,$AY4+$AZ4,$BF4+$BG4)</f>
        <v>80000</v>
      </c>
      <c r="AT4" s="298">
        <f ca="1">AU4+AV4</f>
        <v>2000000</v>
      </c>
      <c r="AU4" s="298">
        <f ca="1">IF(AND(A4&lt;=OP!$C$120,COUNTIF(PAY,C4)=1),OP!$C$122*OP!$D$120,0)</f>
        <v>50000</v>
      </c>
      <c r="AV4" s="298">
        <f>OP!$C$125</f>
        <v>1950000</v>
      </c>
      <c r="AW4" s="180">
        <f ca="1">HLOOKUP(IF($AT4&lt;$AY$1,1,IF(AND($AT4&gt;=$AY$1,$AT4&lt;$AZ$1),2,IF(AND($AT4&gt;=$AZ$1,$AT4&lt;$BA$1),3,IF(AND($AT4&gt;=$BA$1),4,1)))),PR,2,0)</f>
        <v>0.04</v>
      </c>
      <c r="AX4" s="180">
        <f ca="1">HLOOKUP(IF($AT4&lt;$AY$1,1,IF(AND($AT4&gt;=$AY$1,$AT4&lt;$AZ$1),2,IF(AND($AT4&gt;=$AZ$1,$AT4&lt;$BA$1),3,IF(AND($AT4&gt;=$BA$1),4,1)))),PR,2,0)</f>
        <v>0.04</v>
      </c>
      <c r="AY4" s="286">
        <f ca="1">ROUND(AU4*AW4,0)</f>
        <v>2000</v>
      </c>
      <c r="AZ4" s="286">
        <f ca="1">ROUND(AV4*AX4,0)</f>
        <v>78000</v>
      </c>
      <c r="BA4" s="286">
        <f ca="1">BB4+BC4</f>
        <v>0</v>
      </c>
      <c r="BB4" s="286">
        <f ca="1">IF(C4=$C$3,ROUND(VLOOKUP(A4,MP,6,0),0)*OP!$D$120,0)</f>
        <v>0</v>
      </c>
      <c r="BC4" s="286">
        <f ca="1">IF(AND(C4=$C$3,AN4=1),ROUND(VLOOKUP(A4,MP,4,0),0)*AO2,0)</f>
        <v>0</v>
      </c>
      <c r="BD4" s="180">
        <f ca="1">HLOOKUP(IF($BA4&lt;$AY$1,1,IF(AND($BA4&gt;=$AY$1,$BA4&lt;$AZ$1),2,IF(AND($BA4&gt;=$AZ$1,$BA4&lt;$BA$1),3,IF(AND($BA4&gt;=$BA$1),4,1)))),PR,2,0)</f>
        <v>0.05</v>
      </c>
      <c r="BE4" s="180">
        <f ca="1">HLOOKUP(IF($BA4&lt;$AY$1,1,IF(AND($BA4&gt;=$AY$1,$BA4&lt;$AZ$1),2,IF(AND($BA4&gt;=$AZ$1,$BA4&lt;$BA$1),3,IF(AND($BA4&gt;=$BA$1),4,1)))),PR,2,0)</f>
        <v>0.05</v>
      </c>
      <c r="BF4" s="286">
        <f ca="1">ROUND(BB4*BD4,0)</f>
        <v>0</v>
      </c>
      <c r="BG4" s="286">
        <f ca="1">ROUND(BC4*BE4,0)</f>
        <v>0</v>
      </c>
    </row>
    <row r="5" spans="1:75">
      <c r="A5" s="1">
        <f t="shared" ref="A5:A68" ca="1" si="3">IF(C5=$C$4,A4+1,A4)</f>
        <v>1</v>
      </c>
      <c r="B5" s="1">
        <f ca="1">IF(C5=1,B4+1,B4)</f>
        <v>106</v>
      </c>
      <c r="C5" s="1">
        <f ca="1">IF(C4=12,1,C4+1)</f>
        <v>7</v>
      </c>
      <c r="D5" s="1">
        <f ca="1">MIN($D$3,VLOOKUP(C5,OP!$S$30:$T$41,2))</f>
        <v>2</v>
      </c>
      <c r="E5" s="1">
        <f t="shared" ref="E5:E68" ca="1" si="4">IF($K$1+A5-1&gt;$D$1,"",$K$1+A5-1)</f>
        <v>55</v>
      </c>
      <c r="F5" s="11" t="str">
        <f t="shared" ref="F5:F68" ca="1" si="5">IF(AND(DATE($E$3+1911,$F$3,$G$3)&gt;DATE(B5+1911,C5,D5),DATE($E$3+1911,$F$3,$G$3)&lt;=DATE(B6+1911,C6,D6)),"F","")</f>
        <v/>
      </c>
      <c r="G5" s="8">
        <f ca="1">G4</f>
        <v>365</v>
      </c>
      <c r="H5" s="8">
        <f t="shared" ref="H5:H68" ca="1" si="6">DATEDIF(DATE(B5+1911,C5,D5),IF(F5="F",DATE($E$3+1911,$F$3,$G$3),DATE(B6+1911,C6,D6)),"d")</f>
        <v>31</v>
      </c>
      <c r="I5" s="8" t="str">
        <f t="shared" ca="1" si="0"/>
        <v>17</v>
      </c>
      <c r="J5" s="13">
        <f>IF(繳費報酬率資料!$A$1=1,VALUE(OP!$C$121),VLOOKUP(A5,MP,2,0))</f>
        <v>0.05</v>
      </c>
      <c r="K5" s="14">
        <f ca="1">IF(SUM($K$4:K4,IF(繳費報酬率資料!$A$1=1,$AU5+$AV5,$BB5+$BC5))&gt;OP!$L$58,0,IF(繳費報酬率資料!$A$1=1,$AU5+$AV5,$BB5+$BC5))</f>
        <v>0</v>
      </c>
      <c r="L5" s="2"/>
      <c r="M5" s="2"/>
      <c r="N5" s="2"/>
      <c r="O5" s="261">
        <f t="shared" ref="O5:O68" ca="1" si="7">IF(K5=0,0,$AR5)</f>
        <v>0</v>
      </c>
      <c r="P5" s="261">
        <f ca="1">IF(MAX(Z4:AB4)=0,0,P4)</f>
        <v>0</v>
      </c>
      <c r="Q5" s="3">
        <f ca="1">IF(A5&gt;MAX(OP!$R$17:$R$26),0,VLOOKUP(A5,fees,3,FALSE))</f>
        <v>0.01</v>
      </c>
      <c r="R5" s="200" t="str">
        <f t="shared" ref="R5:R68" ca="1" si="8">IF(OR(C6&lt;&gt;$C$3,E5=""),"",A5)</f>
        <v/>
      </c>
      <c r="S5" s="9" t="str">
        <f ca="1">IF(COUNTIF(($T$4:T4),"F")&gt;=1,"",IF(OR(C6&lt;&gt;$C$3,E5=""),"",A5))</f>
        <v/>
      </c>
      <c r="T5" s="20" t="str">
        <f t="shared" ca="1" si="1"/>
        <v/>
      </c>
      <c r="U5" s="2">
        <f ca="1">IF(IF(OP!$C$83=1,$Z4,IF(OP!$C$83=2,$AA4,IF(OP!$C$83=3,$AB4,)))+$K5-$O5-$P5-$AS5&lt;OP!$C$142,0,$AS5)</f>
        <v>0</v>
      </c>
      <c r="V5" s="9"/>
      <c r="W5" s="19">
        <f ca="1">MAX(SUM($K$4:K5),0)</f>
        <v>2000000</v>
      </c>
      <c r="X5" s="19"/>
      <c r="Y5" s="19">
        <f ca="1">Y4+K5-O5</f>
        <v>1920000</v>
      </c>
      <c r="Z5" s="2">
        <f ca="1">IF(MIN($Z$4:Z4)=0,0,MAX(0,($Z4+$K5-$O5-$P5)*IF(AND(F5="F",$D$3&lt;&gt;$G$3),((1+(-J5))^(H5/MIN(G5,365))),((1+(-J5))^(1/12)))-$U5))</f>
        <v>1903656.1063471737</v>
      </c>
      <c r="AA5" s="2">
        <f ca="1">IF(MIN($AA$4:AA4)=0,0,MAX(0,($AA4+$K5-$O5-$P5)*IF(AND(F5="F",$D$3&lt;&gt;$G$3),((1+$AA$1)^(H5/MIN(G5,365))),((1+$AA$1)^(1/12)))-$U5))</f>
        <v>1920000</v>
      </c>
      <c r="AB5" s="2">
        <f ca="1">IF(MIN($AB$4:AB4)=0,0,MAX(0,($AB4+$K5-$O5-$P5)*IF(AND(F5="F",$D$3&lt;&gt;$G$3),((1+(J5))^(H5/MIN(G5,365))),((1+(J5))^(1/12)))-$U5))</f>
        <v>1935676.5044196504</v>
      </c>
      <c r="AC5" s="5"/>
      <c r="AD5" s="5"/>
      <c r="AE5" s="5"/>
      <c r="AF5" s="282">
        <f t="shared" ref="AF5:AF68" ca="1" si="9">ROUND(Z5*(1-$Q5),$AF$1)</f>
        <v>1884620</v>
      </c>
      <c r="AG5" s="282">
        <f t="shared" ref="AG5:AG68" ca="1" si="10">ROUND(AA5*(1-$Q5),$AF$1)</f>
        <v>1900800</v>
      </c>
      <c r="AH5" s="282">
        <f t="shared" ref="AH5:AH68" ca="1" si="11">ROUND(AB5*(1-$Q5),$AF$1)</f>
        <v>1916320</v>
      </c>
      <c r="AI5" s="23" t="str">
        <f t="shared" ca="1" si="2"/>
        <v>1-</v>
      </c>
      <c r="AJ5" s="282" t="str">
        <f ca="1">IF(E5&gt;111,,IF(AND(OP!$C$99=1,T5="F"),Z5,IF(AND(OP!$C$99=2,COUNTIF($T$4:T5,"F")=1),OP!$C$97+IF(F5="F",OP!$C$98,0),"")))</f>
        <v/>
      </c>
      <c r="AK5" s="282" t="str">
        <f ca="1">IF(E5&gt;111,,IF(AND(OP!$D$99=1,T5="F"),AA5,IF(AND(OP!$D$99=2,COUNTIF($T$4:T5,"F")=1),OP!$D$97+IF(F5="F",OP!$D$98,0),"")))</f>
        <v/>
      </c>
      <c r="AL5" s="282" t="str">
        <f ca="1">IF(E5&gt;111,,IF(AND(OP!$E$99=1,T5="F"),AB5,IF(AND(OP!$E$99=2,COUNTIF($T$4:T5,"F")=1),OP!$E$97+IF(F5="F",OP!$E$98,0),"")))</f>
        <v/>
      </c>
      <c r="AM5" s="1" t="str">
        <f ca="1">IF(AND(AK5&lt;&gt;"",AM4=""),1,IF(AND(AK5&lt;&gt;"",AM4&gt;0),IF(AM4=12,1,AM4+1),""))</f>
        <v/>
      </c>
      <c r="AN5" s="1" t="str">
        <f ca="1">IF(OR(VLOOKUP($A5,MP,5,0)="月繳"),1,"")</f>
        <v/>
      </c>
      <c r="AO5" s="1">
        <f t="shared" ref="AO5:AO68" ca="1" si="12">IF(ISNA(VLOOKUP(A5,MP,2,0)),,IF(C5=$C$3,ROUND(VLOOKUP(A5,MP,4,0),0),0)+IF(AN5=1,ROUND(VLOOKUP(A5,MP,6,0),0),0))</f>
        <v>0</v>
      </c>
      <c r="AP5" s="1" t="str">
        <f ca="1">IF(AND(A5&lt;=OP!$C$120,COUNTIF(PAY,C5)=1),1,"")</f>
        <v/>
      </c>
      <c r="AR5" s="301">
        <f ca="1">IF(繳費報酬率資料!$A$1=1,$AY5+$AZ5,$BF5+$BG5)</f>
        <v>0</v>
      </c>
      <c r="AS5" s="1">
        <f ca="1">IF(C5&lt;&gt;IF($C$3=1,12,$C$3-1),0,IF(繳費報酬率資料!$A$1&lt;&gt;1,VLOOKUP($A5,MP,8,0),IF(AND($A5&gt;=OP!$C$79,$A5&lt;=OP!$C$80),OP!$C$78,)))</f>
        <v>0</v>
      </c>
      <c r="AT5" s="298">
        <f t="shared" ref="AT5:AT68" ca="1" si="13">AU5+AV5</f>
        <v>0</v>
      </c>
      <c r="AU5" s="298"/>
      <c r="AV5" s="298">
        <f ca="1">IF(AND(A5&gt;=OP!$C$132,A5&lt;=OP!$C$133,$C$3=C5),OP!$C$135,0)</f>
        <v>0</v>
      </c>
      <c r="AW5" s="180">
        <f>HLOOKUP(IF($AU5&lt;$AY$1,1,IF(AND($AU5&gt;=$AY$1,$AU5&lt;$AZ$1),2,IF(AND($AU5&gt;=$AZ$1,$AU5&lt;$BA$1),3,IF(AND($AU5&gt;=$BA$1),4,1)))),PR,2,0)</f>
        <v>0.05</v>
      </c>
      <c r="AX5" s="180">
        <f ca="1">HLOOKUP(IF($AV5&lt;$AY$1,1,IF(AND($AV5&gt;=$AY$1,$AV5&lt;$AZ$1),2,IF(AND($AV5&gt;=$AZ$1,$AV5&lt;$BA$1),3,IF(AND($AV5&gt;=$BA$1),4,1)))),PR,2,0)</f>
        <v>0.05</v>
      </c>
      <c r="AY5" s="286">
        <f t="shared" ref="AY5:AY68" si="14">ROUND(AU5*AW5,0)</f>
        <v>0</v>
      </c>
      <c r="AZ5" s="286">
        <f t="shared" ref="AZ5:AZ68" ca="1" si="15">ROUND(AV5*AX5,0)</f>
        <v>0</v>
      </c>
      <c r="BA5" s="286">
        <f t="shared" ref="BA5:BA68" ca="1" si="16">BB5+BC5</f>
        <v>0</v>
      </c>
      <c r="BB5" s="286"/>
      <c r="BC5" s="286">
        <f t="shared" ref="BC5:BC68" ca="1" si="17">IF(ISNA(VLOOKUP(A5,MP,4,0)),,IF(AND(C5=$C$3,AN5=1),ROUND(VLOOKUP(A5,MP,4,0),0),0))</f>
        <v>0</v>
      </c>
      <c r="BD5" s="180">
        <f>HLOOKUP(IF($BB5&lt;$AY$1,1,IF(AND($BB5&gt;=$AY$1,$BB5&lt;$AZ$1),2,IF(AND($BB5&gt;=$AZ$1,$BB5&lt;$BA$1),3,IF(AND($BB5&gt;=$BA$1),4,1)))),PR,2,0)</f>
        <v>0.05</v>
      </c>
      <c r="BE5" s="180">
        <f ca="1">HLOOKUP(IF($BC5&lt;$AY$1,1,IF(AND($BC5&gt;=$AY$1,$BC5&lt;$AZ$1),2,IF(AND($BC5&gt;=$AZ$1,$BC5&lt;$BA$1),3,IF(AND($BC5&gt;=$BA$1),4,1)))),PR,2,0)</f>
        <v>0.05</v>
      </c>
      <c r="BF5" s="286">
        <f t="shared" ref="BF5:BF68" si="18">ROUND(BB5*BD5,0)</f>
        <v>0</v>
      </c>
      <c r="BG5" s="286">
        <f t="shared" ref="BG5:BG68" ca="1" si="19">ROUND(BC5*BE5,0)</f>
        <v>0</v>
      </c>
      <c r="BI5" s="286">
        <f ca="1">ROUND(Z4*($BI$2/12),0)</f>
        <v>0</v>
      </c>
      <c r="BJ5" s="286">
        <f ca="1">ROUND(AA4*($BI$2/12),0)</f>
        <v>0</v>
      </c>
      <c r="BK5" s="286">
        <f ca="1">ROUND(AB4*($BI$2/12),0)</f>
        <v>0</v>
      </c>
      <c r="BL5" s="286">
        <f ca="1">IF(BI5&lt;2000,BI5,0)</f>
        <v>0</v>
      </c>
      <c r="BM5" s="286">
        <f ca="1">IF(BJ5&lt;2000,BJ5,0)</f>
        <v>0</v>
      </c>
      <c r="BN5" s="286">
        <f ca="1">IF(BK5&lt;2000,BK5,0)</f>
        <v>0</v>
      </c>
      <c r="BO5" s="286">
        <f ca="1">BL5</f>
        <v>0</v>
      </c>
      <c r="BP5" s="286">
        <f ca="1">BM5</f>
        <v>0</v>
      </c>
      <c r="BQ5" s="286">
        <f ca="1">BN5</f>
        <v>0</v>
      </c>
      <c r="BR5" s="286">
        <f ca="1">IF(BI5&gt;=2000,BI5,0)</f>
        <v>0</v>
      </c>
      <c r="BS5" s="286">
        <f ca="1">IF(BJ5&gt;=2000,BJ5,0)</f>
        <v>0</v>
      </c>
      <c r="BT5" s="286">
        <f ca="1">IF(BK5&gt;=2000,BK5,0)</f>
        <v>0</v>
      </c>
    </row>
    <row r="6" spans="1:75">
      <c r="A6" s="1">
        <f t="shared" ca="1" si="3"/>
        <v>1</v>
      </c>
      <c r="B6" s="1">
        <f t="shared" ref="B6:B69" ca="1" si="20">IF(C6=1,B5+1,B5)</f>
        <v>106</v>
      </c>
      <c r="C6" s="1">
        <f t="shared" ref="C6:C69" ca="1" si="21">IF(C5=12,1,C5+1)</f>
        <v>8</v>
      </c>
      <c r="D6" s="1">
        <f ca="1">MIN($D$3,VLOOKUP(C6,OP!$S$30:$T$41,2))</f>
        <v>2</v>
      </c>
      <c r="E6" s="1">
        <f t="shared" ca="1" si="4"/>
        <v>55</v>
      </c>
      <c r="F6" s="11" t="str">
        <f t="shared" ca="1" si="5"/>
        <v/>
      </c>
      <c r="G6" s="8">
        <f t="shared" ref="G6:G15" ca="1" si="22">G5</f>
        <v>365</v>
      </c>
      <c r="H6" s="8">
        <f t="shared" ca="1" si="6"/>
        <v>31</v>
      </c>
      <c r="I6" s="8" t="str">
        <f t="shared" ca="1" si="0"/>
        <v>18</v>
      </c>
      <c r="J6" s="13">
        <f>IF(繳費報酬率資料!$A$1=1,VALUE(OP!$C$121),VLOOKUP(A6,MP,2,0))</f>
        <v>0.05</v>
      </c>
      <c r="K6" s="14">
        <f ca="1">IF(SUM($K$4:K5,IF(繳費報酬率資料!$A$1=1,$AU6+$AV6,$BB6+$BC6))&gt;OP!$L$58,0,IF(繳費報酬率資料!$A$1=1,$AU6+$AV6,$BB6+$BC6))</f>
        <v>0</v>
      </c>
      <c r="L6" s="2"/>
      <c r="M6" s="2"/>
      <c r="N6" s="2"/>
      <c r="O6" s="261">
        <f t="shared" ca="1" si="7"/>
        <v>0</v>
      </c>
      <c r="P6" s="261">
        <f t="shared" ref="P6:P69" ca="1" si="23">IF(MAX(Z5:AB5)=0,0,P5)</f>
        <v>0</v>
      </c>
      <c r="Q6" s="3">
        <f ca="1">IF(A6&gt;MAX(OP!$R$17:$R$26),0,VLOOKUP(A6,fees,3,FALSE))</f>
        <v>0.01</v>
      </c>
      <c r="R6" s="200" t="str">
        <f t="shared" ca="1" si="8"/>
        <v/>
      </c>
      <c r="S6" s="9" t="str">
        <f ca="1">IF(COUNTIF(($T$4:T5),"F")&gt;=1,"",IF(OR(C7&lt;&gt;$C$3,E6=""),"",A6))</f>
        <v/>
      </c>
      <c r="T6" s="20" t="str">
        <f t="shared" ca="1" si="1"/>
        <v/>
      </c>
      <c r="U6" s="2">
        <f ca="1">IF(IF(OP!$C$83=1,$Z5,IF(OP!$C$83=2,$AA5,IF(OP!$C$83=3,$AB5,)))+$K6-$O6-$P6-$AS6&lt;OP!$C$142,0,$AS6)</f>
        <v>0</v>
      </c>
      <c r="V6" s="9"/>
      <c r="W6" s="19">
        <f ca="1">MAX(SUM($K$4:K6),0)</f>
        <v>2000000</v>
      </c>
      <c r="X6" s="19"/>
      <c r="Y6" s="19">
        <f t="shared" ref="Y6:Y69" ca="1" si="24">Y5+K6-O6</f>
        <v>1920000</v>
      </c>
      <c r="Z6" s="2">
        <f ca="1">IF(MIN($Z$4:Z5)=0,0,MAX(0,($Z5+$K6-$O6-$P6)*IF(AND(F6="F",$D$3&lt;&gt;$G$3),((1+(-J6))^(H6/MIN(G6,365))),((1+(-J6))^(1/12)))-$U6))</f>
        <v>1895536.4062107531</v>
      </c>
      <c r="AA6" s="2">
        <f ca="1">IF(MIN($AA$4:AA5)=0,0,MAX(0,($AA5+$K6-$O6-$P6)*IF(AND(F6="F",$D$3&lt;&gt;$G$3),((1+$AA$1)^(H6/MIN(G6,365))),((1+$AA$1)^(1/12)))-$U6))</f>
        <v>1920000</v>
      </c>
      <c r="AB6" s="2">
        <f ca="1">IF(MIN($AB$4:AB5)=0,0,MAX(0,($AB5+$K6-$O6-$P6)*IF(AND(F6="F",$D$3&lt;&gt;$G$3),((1+(J6))^(H6/MIN(G6,365))),((1+(J6))^(1/12)))-$U6))</f>
        <v>1943562.6901037558</v>
      </c>
      <c r="AC6" s="5"/>
      <c r="AD6" s="5"/>
      <c r="AE6" s="5"/>
      <c r="AF6" s="282">
        <f t="shared" ca="1" si="9"/>
        <v>1876581</v>
      </c>
      <c r="AG6" s="282">
        <f t="shared" ca="1" si="10"/>
        <v>1900800</v>
      </c>
      <c r="AH6" s="282">
        <f t="shared" ca="1" si="11"/>
        <v>1924127</v>
      </c>
      <c r="AI6" s="23" t="str">
        <f t="shared" ca="1" si="2"/>
        <v>1-</v>
      </c>
      <c r="AJ6" s="282" t="str">
        <f ca="1">IF(E6&gt;111,,IF(AND(OP!$C$99=1,T6="F"),Z6,IF(AND(OP!$C$99=2,COUNTIF($T$4:T6,"F")=1),OP!$C$97+IF(F6="F",OP!$C$98,0),"")))</f>
        <v/>
      </c>
      <c r="AK6" s="282" t="str">
        <f ca="1">IF(E6&gt;111,,IF(AND(OP!$D$99=1,T6="F"),AA6,IF(AND(OP!$D$99=2,COUNTIF($T$4:T6,"F")=1),OP!$D$97+IF(F6="F",OP!$D$98,0),"")))</f>
        <v/>
      </c>
      <c r="AL6" s="282" t="str">
        <f ca="1">IF(E6&gt;111,,IF(AND(OP!$E$99=1,T6="F"),AB6,IF(AND(OP!$E$99=2,COUNTIF($T$4:T6,"F")=1),OP!$E$97+IF(F6="F",OP!$E$98,0),"")))</f>
        <v/>
      </c>
      <c r="AM6" s="1" t="str">
        <f t="shared" ref="AM6:AM68" ca="1" si="25">IF(AND(AK6&lt;&gt;"",AM5=""),1,IF(AND(AK6&lt;&gt;"",AM5&gt;0),IF(AM5=12,1,AM5+1),""))</f>
        <v/>
      </c>
      <c r="AN6" s="1" t="str">
        <f ca="1">IF(OR(VLOOKUP($A6,MP,5,0)="月繳"),1,"")</f>
        <v/>
      </c>
      <c r="AO6" s="1">
        <f t="shared" ca="1" si="12"/>
        <v>0</v>
      </c>
      <c r="AP6" s="1" t="str">
        <f ca="1">IF(AND(A6&lt;=OP!$C$120,COUNTIF(PAY,C6)=1),1,"")</f>
        <v/>
      </c>
      <c r="AR6" s="301">
        <f ca="1">IF(繳費報酬率資料!$A$1=1,$AY6+$AZ6,$BF6+$BG6)</f>
        <v>0</v>
      </c>
      <c r="AS6" s="1">
        <f ca="1">IF(C6&lt;&gt;IF($C$3=1,12,$C$3-1),0,IF(繳費報酬率資料!$A$1&lt;&gt;1,VLOOKUP($A6,MP,8,0),IF(AND($A6&gt;=OP!$C$79,$A6&lt;=OP!$C$80),OP!$C$78,)))</f>
        <v>0</v>
      </c>
      <c r="AT6" s="298">
        <f t="shared" ca="1" si="13"/>
        <v>0</v>
      </c>
      <c r="AU6" s="298">
        <f ca="1">IF(AND(A6&lt;=OP!$C$120,COUNTIF(PAY,C6)=1),OP!$C$123,0)</f>
        <v>0</v>
      </c>
      <c r="AV6" s="298">
        <f ca="1">IF(AND(A6&gt;=OP!$C$132,A6&lt;=OP!$C$133,$C$3=C6),OP!$C$135,0)</f>
        <v>0</v>
      </c>
      <c r="AW6" s="180">
        <f t="shared" ref="AW6:AW68" ca="1" si="26">HLOOKUP(IF($AU6&lt;$AY$1,1,IF(AND($AU6&gt;=$AY$1,$AU6&lt;$AZ$1),2,IF(AND($AU6&gt;=$AZ$1,$AU6&lt;$BA$1),3,IF(AND($AU6&gt;=$BA$1),4,1)))),PR,2,0)</f>
        <v>0.05</v>
      </c>
      <c r="AX6" s="180">
        <f t="shared" ref="AX6:AX68" ca="1" si="27">HLOOKUP(IF($AV6&lt;$AY$1,1,IF(AND($AV6&gt;=$AY$1,$AV6&lt;$AZ$1),2,IF(AND($AV6&gt;=$AZ$1,$AV6&lt;$BA$1),3,IF(AND($AV6&gt;=$BA$1),4,1)))),PR,2,0)</f>
        <v>0.05</v>
      </c>
      <c r="AY6" s="286">
        <f t="shared" ca="1" si="14"/>
        <v>0</v>
      </c>
      <c r="AZ6" s="286">
        <f t="shared" ca="1" si="15"/>
        <v>0</v>
      </c>
      <c r="BA6" s="286">
        <f t="shared" ca="1" si="16"/>
        <v>0</v>
      </c>
      <c r="BB6" s="286">
        <f t="shared" ref="BB6:BB68" ca="1" si="28">IF(ISNA(VLOOKUP(A6,MP,2,0)),,IF(C6=$C$3,ROUND(VLOOKUP(A6,MP,6,0),0),0))</f>
        <v>0</v>
      </c>
      <c r="BC6" s="286">
        <f t="shared" ca="1" si="17"/>
        <v>0</v>
      </c>
      <c r="BD6" s="180">
        <f t="shared" ref="BD6:BD68" ca="1" si="29">HLOOKUP(IF($BB6&lt;$AY$1,1,IF(AND($BB6&gt;=$AY$1,$BB6&lt;$AZ$1),2,IF(AND($BB6&gt;=$AZ$1,$BB6&lt;$BA$1),3,IF(AND($BB6&gt;=$BA$1),4,1)))),PR,2,0)</f>
        <v>0.05</v>
      </c>
      <c r="BE6" s="180">
        <f t="shared" ref="BE6:BE68" ca="1" si="30">HLOOKUP(IF($BC6&lt;$AY$1,1,IF(AND($BC6&gt;=$AY$1,$BC6&lt;$AZ$1),2,IF(AND($BC6&gt;=$AZ$1,$BC6&lt;$BA$1),3,IF(AND($BC6&gt;=$BA$1),4,1)))),PR,2,0)</f>
        <v>0.05</v>
      </c>
      <c r="BF6" s="286">
        <f t="shared" ca="1" si="18"/>
        <v>0</v>
      </c>
      <c r="BG6" s="286">
        <f t="shared" ca="1" si="19"/>
        <v>0</v>
      </c>
      <c r="BI6" s="286">
        <f t="shared" ref="BI6:BI27" ca="1" si="31">ROUND(Z5*($BI$2/12),0)</f>
        <v>0</v>
      </c>
      <c r="BJ6" s="286">
        <f t="shared" ref="BJ6:BJ27" ca="1" si="32">ROUND(AA5*($BI$2/12),0)</f>
        <v>0</v>
      </c>
      <c r="BK6" s="286">
        <f t="shared" ref="BK6:BK27" ca="1" si="33">ROUND(AB5*($BI$2/12),0)</f>
        <v>0</v>
      </c>
      <c r="BL6" s="286">
        <f t="shared" ref="BL6:BL27" ca="1" si="34">IF(BI6&lt;2000,BI6,0)</f>
        <v>0</v>
      </c>
      <c r="BM6" s="286">
        <f t="shared" ref="BM6:BM27" ca="1" si="35">IF(BJ6&lt;2000,BJ6,0)</f>
        <v>0</v>
      </c>
      <c r="BN6" s="286">
        <f t="shared" ref="BN6:BN27" ca="1" si="36">IF(BK6&lt;2000,BK6,0)</f>
        <v>0</v>
      </c>
      <c r="BO6" s="286">
        <f ca="1">BO5+BL6</f>
        <v>0</v>
      </c>
      <c r="BP6" s="286">
        <f ca="1">BP5+BM6</f>
        <v>0</v>
      </c>
      <c r="BQ6" s="286">
        <f t="shared" ref="BP6:BQ21" ca="1" si="37">BQ5+BN6</f>
        <v>0</v>
      </c>
      <c r="BR6" s="286">
        <f t="shared" ref="BR6:BR27" ca="1" si="38">IF(BI6&gt;=2000,BI6,0)</f>
        <v>0</v>
      </c>
      <c r="BS6" s="286">
        <f t="shared" ref="BS6:BS27" ca="1" si="39">IF(BJ6&gt;=2000,BJ6,0)</f>
        <v>0</v>
      </c>
      <c r="BT6" s="286">
        <f t="shared" ref="BT6:BT27" ca="1" si="40">IF(BK6&gt;=2000,BK6,0)</f>
        <v>0</v>
      </c>
    </row>
    <row r="7" spans="1:75">
      <c r="A7" s="1">
        <f t="shared" ca="1" si="3"/>
        <v>1</v>
      </c>
      <c r="B7" s="1">
        <f t="shared" ca="1" si="20"/>
        <v>106</v>
      </c>
      <c r="C7" s="1">
        <f t="shared" ca="1" si="21"/>
        <v>9</v>
      </c>
      <c r="D7" s="1">
        <f ca="1">MIN($D$3,VLOOKUP(C7,OP!$S$30:$T$41,2))</f>
        <v>2</v>
      </c>
      <c r="E7" s="1">
        <f t="shared" ca="1" si="4"/>
        <v>55</v>
      </c>
      <c r="F7" s="11" t="str">
        <f t="shared" ca="1" si="5"/>
        <v/>
      </c>
      <c r="G7" s="8">
        <f t="shared" ca="1" si="22"/>
        <v>365</v>
      </c>
      <c r="H7" s="8">
        <f t="shared" ca="1" si="6"/>
        <v>30</v>
      </c>
      <c r="I7" s="8" t="str">
        <f t="shared" ca="1" si="0"/>
        <v>19</v>
      </c>
      <c r="J7" s="13">
        <f>IF(繳費報酬率資料!$A$1=1,VALUE(OP!$C$121),VLOOKUP(A7,MP,2,0))</f>
        <v>0.05</v>
      </c>
      <c r="K7" s="14">
        <f ca="1">IF(SUM($K$4:K6,IF(繳費報酬率資料!$A$1=1,$AU7+$AV7,$BB7+$BC7))&gt;OP!$L$58,0,IF(繳費報酬率資料!$A$1=1,$AU7+$AV7,$BB7+$BC7))</f>
        <v>0</v>
      </c>
      <c r="L7" s="2"/>
      <c r="M7" s="2"/>
      <c r="N7" s="2"/>
      <c r="O7" s="261">
        <f t="shared" ca="1" si="7"/>
        <v>0</v>
      </c>
      <c r="P7" s="261">
        <f ca="1">IF(MAX(Z6:AB6)=0,0,P6)</f>
        <v>0</v>
      </c>
      <c r="Q7" s="3">
        <f ca="1">IF(A7&gt;MAX(OP!$R$17:$R$26),0,VLOOKUP(A7,fees,3,FALSE))</f>
        <v>0.01</v>
      </c>
      <c r="R7" s="200" t="str">
        <f t="shared" ca="1" si="8"/>
        <v/>
      </c>
      <c r="S7" s="9" t="str">
        <f ca="1">IF(COUNTIF(($T$4:T6),"F")&gt;=1,"",IF(OR(C8&lt;&gt;$C$3,E7=""),"",A7))</f>
        <v/>
      </c>
      <c r="T7" s="20" t="str">
        <f t="shared" ca="1" si="1"/>
        <v/>
      </c>
      <c r="U7" s="2">
        <f ca="1">IF(IF(OP!$C$83=1,$Z6,IF(OP!$C$83=2,$AA6,IF(OP!$C$83=3,$AB6,)))+$K7-$O7-$P7-$AS7&lt;OP!$C$142,0,$AS7)</f>
        <v>0</v>
      </c>
      <c r="V7" s="9"/>
      <c r="W7" s="19">
        <f ca="1">MAX(SUM($K$4:K7),0)</f>
        <v>2000000</v>
      </c>
      <c r="X7" s="19"/>
      <c r="Y7" s="19">
        <f t="shared" ca="1" si="24"/>
        <v>1920000</v>
      </c>
      <c r="Z7" s="2">
        <f ca="1">IF(MIN($Z$4:Z6)=0,0,MAX(0,($Z6+$K7-$O7-$P7)*IF(AND(F7="F",$D$3&lt;&gt;$G$3),((1+(-J7))^(H7/MIN(G7,365))),((1+(-J7))^(1/12)))-$U7))</f>
        <v>1887451.3391837925</v>
      </c>
      <c r="AA7" s="2">
        <f ca="1">IF(MIN($AA$4:AA6)=0,0,MAX(0,($AA6+$K7-$O7-$P7)*IF(AND(F7="F",$D$3&lt;&gt;$G$3),((1+$AA$1)^(H7/MIN(G7,365))),((1+$AA$1)^(1/12)))-$U7))</f>
        <v>1920000</v>
      </c>
      <c r="AB7" s="2">
        <f ca="1">IF(MIN($AB$4:AB6)=0,0,MAX(0,($AB6+$K7-$O7-$P7)*IF(AND(F7="F",$D$3&lt;&gt;$G$3),((1+(J7))^(H7/MIN(G7,365))),((1+(J7))^(1/12)))-$U7))</f>
        <v>1951481.005084519</v>
      </c>
      <c r="AC7" s="5"/>
      <c r="AD7" s="5"/>
      <c r="AE7" s="5"/>
      <c r="AF7" s="282">
        <f t="shared" ca="1" si="9"/>
        <v>1868577</v>
      </c>
      <c r="AG7" s="282">
        <f t="shared" ca="1" si="10"/>
        <v>1900800</v>
      </c>
      <c r="AH7" s="282">
        <f t="shared" ca="1" si="11"/>
        <v>1931966</v>
      </c>
      <c r="AI7" s="23" t="str">
        <f t="shared" ca="1" si="2"/>
        <v>1-</v>
      </c>
      <c r="AJ7" s="282" t="str">
        <f ca="1">IF(E7&gt;111,,IF(AND(OP!$C$99=1,T7="F"),Z7,IF(AND(OP!$C$99=2,COUNTIF($T$4:T7,"F")=1),OP!$C$97+IF(F7="F",OP!$C$98,0),"")))</f>
        <v/>
      </c>
      <c r="AK7" s="282" t="str">
        <f ca="1">IF(E7&gt;111,,IF(AND(OP!$D$99=1,T7="F"),AA7,IF(AND(OP!$D$99=2,COUNTIF($T$4:T7,"F")=1),OP!$D$97+IF(F7="F",OP!$D$98,0),"")))</f>
        <v/>
      </c>
      <c r="AL7" s="282" t="str">
        <f ca="1">IF(E7&gt;111,,IF(AND(OP!$E$99=1,T7="F"),AB7,IF(AND(OP!$E$99=2,COUNTIF($T$4:T7,"F")=1),OP!$E$97+IF(F7="F",OP!$E$98,0),"")))</f>
        <v/>
      </c>
      <c r="AM7" s="1" t="str">
        <f ca="1">IF(AND(AK7&lt;&gt;"",AM6=""),1,IF(AND(AK7&lt;&gt;"",AM6&gt;0),IF(AM6=12,1,AM6+1),""))</f>
        <v/>
      </c>
      <c r="AN7" s="1" t="str">
        <f ca="1">IF(OR(VLOOKUP($A7,MP,5,0)="季繳",VLOOKUP($A7,MP,5,0)="月繳"),1,"")</f>
        <v/>
      </c>
      <c r="AO7" s="1">
        <f t="shared" ca="1" si="12"/>
        <v>0</v>
      </c>
      <c r="AP7" s="1" t="str">
        <f ca="1">IF(AND(A7&lt;=OP!$C$120,COUNTIF(PAY,C7)=1),1,"")</f>
        <v/>
      </c>
      <c r="AR7" s="301">
        <f ca="1">IF(繳費報酬率資料!$A$1=1,$AY7+$AZ7,$BF7+$BG7)</f>
        <v>0</v>
      </c>
      <c r="AS7" s="1">
        <f ca="1">IF(C7&lt;&gt;IF($C$3=1,12,$C$3-1),0,IF(繳費報酬率資料!$A$1&lt;&gt;1,VLOOKUP($A7,MP,8,0),IF(AND($A7&gt;=OP!$C$79,$A7&lt;=OP!$C$80),OP!$C$78,)))</f>
        <v>0</v>
      </c>
      <c r="AT7" s="298">
        <f t="shared" ca="1" si="13"/>
        <v>0</v>
      </c>
      <c r="AU7" s="298">
        <f ca="1">IF(AND(A7&lt;=OP!$C$120,COUNTIF(PAY,C7)=1),OP!$C$123,0)</f>
        <v>0</v>
      </c>
      <c r="AV7" s="298">
        <f ca="1">IF(AND(A7&gt;=OP!$C$132,A7&lt;=OP!$C$133,$C$3=C7),OP!$C$135,0)</f>
        <v>0</v>
      </c>
      <c r="AW7" s="180">
        <f t="shared" ca="1" si="26"/>
        <v>0.05</v>
      </c>
      <c r="AX7" s="180">
        <f t="shared" ca="1" si="27"/>
        <v>0.05</v>
      </c>
      <c r="AY7" s="286">
        <f t="shared" ca="1" si="14"/>
        <v>0</v>
      </c>
      <c r="AZ7" s="286">
        <f t="shared" ca="1" si="15"/>
        <v>0</v>
      </c>
      <c r="BA7" s="286">
        <f t="shared" ca="1" si="16"/>
        <v>0</v>
      </c>
      <c r="BB7" s="286">
        <f t="shared" ca="1" si="28"/>
        <v>0</v>
      </c>
      <c r="BC7" s="286">
        <f t="shared" ca="1" si="17"/>
        <v>0</v>
      </c>
      <c r="BD7" s="180">
        <f t="shared" ca="1" si="29"/>
        <v>0.05</v>
      </c>
      <c r="BE7" s="180">
        <f t="shared" ca="1" si="30"/>
        <v>0.05</v>
      </c>
      <c r="BF7" s="286">
        <f t="shared" ca="1" si="18"/>
        <v>0</v>
      </c>
      <c r="BG7" s="286">
        <f t="shared" ca="1" si="19"/>
        <v>0</v>
      </c>
      <c r="BI7" s="286">
        <f t="shared" ca="1" si="31"/>
        <v>0</v>
      </c>
      <c r="BJ7" s="286">
        <f t="shared" ca="1" si="32"/>
        <v>0</v>
      </c>
      <c r="BK7" s="286">
        <f t="shared" ca="1" si="33"/>
        <v>0</v>
      </c>
      <c r="BL7" s="286">
        <f t="shared" ca="1" si="34"/>
        <v>0</v>
      </c>
      <c r="BM7" s="286">
        <f t="shared" ca="1" si="35"/>
        <v>0</v>
      </c>
      <c r="BN7" s="286">
        <f t="shared" ca="1" si="36"/>
        <v>0</v>
      </c>
      <c r="BO7" s="286">
        <f t="shared" ref="BO7:BO27" ca="1" si="41">BO6+BL7</f>
        <v>0</v>
      </c>
      <c r="BP7" s="286">
        <f ca="1">BP6+BM7</f>
        <v>0</v>
      </c>
      <c r="BQ7" s="286">
        <f t="shared" ca="1" si="37"/>
        <v>0</v>
      </c>
      <c r="BR7" s="286">
        <f t="shared" ca="1" si="38"/>
        <v>0</v>
      </c>
      <c r="BS7" s="286">
        <f t="shared" ca="1" si="39"/>
        <v>0</v>
      </c>
      <c r="BT7" s="286">
        <f t="shared" ca="1" si="40"/>
        <v>0</v>
      </c>
    </row>
    <row r="8" spans="1:75">
      <c r="A8" s="1">
        <f t="shared" ca="1" si="3"/>
        <v>1</v>
      </c>
      <c r="B8" s="1">
        <f t="shared" ca="1" si="20"/>
        <v>106</v>
      </c>
      <c r="C8" s="1">
        <f t="shared" ca="1" si="21"/>
        <v>10</v>
      </c>
      <c r="D8" s="1">
        <f ca="1">MIN($D$3,VLOOKUP(C8,OP!$S$30:$T$41,2))</f>
        <v>2</v>
      </c>
      <c r="E8" s="1">
        <f t="shared" ca="1" si="4"/>
        <v>55</v>
      </c>
      <c r="F8" s="11" t="str">
        <f t="shared" ca="1" si="5"/>
        <v/>
      </c>
      <c r="G8" s="8">
        <f t="shared" ca="1" si="22"/>
        <v>365</v>
      </c>
      <c r="H8" s="8">
        <f t="shared" ca="1" si="6"/>
        <v>31</v>
      </c>
      <c r="I8" s="8" t="str">
        <f t="shared" ca="1" si="0"/>
        <v>110</v>
      </c>
      <c r="J8" s="13">
        <f>IF(繳費報酬率資料!$A$1=1,VALUE(OP!$C$121),VLOOKUP(A8,MP,2,0))</f>
        <v>0.05</v>
      </c>
      <c r="K8" s="14">
        <f ca="1">IF(SUM($K$4:K7,IF(繳費報酬率資料!$A$1=1,$AU8+$AV8,$BB8+$BC8))&gt;OP!$L$58,0,IF(繳費報酬率資料!$A$1=1,$AU8+$AV8,$BB8+$BC8))</f>
        <v>0</v>
      </c>
      <c r="L8" s="2"/>
      <c r="M8" s="2"/>
      <c r="N8" s="2"/>
      <c r="O8" s="261">
        <f t="shared" ca="1" si="7"/>
        <v>0</v>
      </c>
      <c r="P8" s="261">
        <f t="shared" ca="1" si="23"/>
        <v>0</v>
      </c>
      <c r="Q8" s="3">
        <f ca="1">IF(A8&gt;MAX(OP!$R$17:$R$26),0,VLOOKUP(A8,fees,3,FALSE))</f>
        <v>0.01</v>
      </c>
      <c r="R8" s="200" t="str">
        <f t="shared" ca="1" si="8"/>
        <v/>
      </c>
      <c r="S8" s="9" t="str">
        <f ca="1">IF(COUNTIF(($T$4:T7),"F")&gt;=1,"",IF(OR(C9&lt;&gt;$C$3,E8=""),"",A8))</f>
        <v/>
      </c>
      <c r="T8" s="20" t="str">
        <f t="shared" ca="1" si="1"/>
        <v/>
      </c>
      <c r="U8" s="2">
        <f ca="1">IF(IF(OP!$C$83=1,$Z7,IF(OP!$C$83=2,$AA7,IF(OP!$C$83=3,$AB7,)))+$K8-$O8-$P8-$AS8&lt;OP!$C$142,0,$AS8)</f>
        <v>0</v>
      </c>
      <c r="V8" s="9"/>
      <c r="W8" s="19">
        <f ca="1">MAX(SUM($K$4:K8),0)</f>
        <v>2000000</v>
      </c>
      <c r="X8" s="19"/>
      <c r="Y8" s="19">
        <f t="shared" ca="1" si="24"/>
        <v>1920000</v>
      </c>
      <c r="Z8" s="2">
        <f ca="1">IF(MIN($Z$4:Z7)=0,0,MAX(0,($Z7+$K8-$O8-$P8)*IF(AND(F8="F",$D$3&lt;&gt;$G$3),((1+(-J8))^(H8/MIN(G8,365))),((1+(-J8))^(1/12)))-$U8))</f>
        <v>1879400.7575450398</v>
      </c>
      <c r="AA8" s="2">
        <f ca="1">IF(MIN($AA$4:AA7)=0,0,MAX(0,($AA7+$K8-$O8-$P8)*IF(AND(F8="F",$D$3&lt;&gt;$G$3),((1+$AA$1)^(H8/MIN(G8,365))),((1+$AA$1)^(1/12)))-$U8))</f>
        <v>1920000</v>
      </c>
      <c r="AB8" s="2">
        <f ca="1">IF(MIN($AB$4:AB7)=0,0,MAX(0,($AB7+$K8-$O8-$P8)*IF(AND(F8="F",$D$3&lt;&gt;$G$3),((1+(J8))^(H8/MIN(G8,365))),((1+(J8))^(1/12)))-$U8))</f>
        <v>1959431.5802606719</v>
      </c>
      <c r="AC8" s="5"/>
      <c r="AD8" s="5"/>
      <c r="AE8" s="5"/>
      <c r="AF8" s="282">
        <f t="shared" ca="1" si="9"/>
        <v>1860607</v>
      </c>
      <c r="AG8" s="282">
        <f t="shared" ca="1" si="10"/>
        <v>1900800</v>
      </c>
      <c r="AH8" s="282">
        <f t="shared" ca="1" si="11"/>
        <v>1939837</v>
      </c>
      <c r="AI8" s="23" t="str">
        <f t="shared" ca="1" si="2"/>
        <v>1-</v>
      </c>
      <c r="AJ8" s="282" t="str">
        <f ca="1">IF(E8&gt;111,,IF(AND(OP!$C$99=1,T8="F"),Z8,IF(AND(OP!$C$99=2,COUNTIF($T$4:T8,"F")=1),OP!$C$97+IF(F8="F",OP!$C$98,0),"")))</f>
        <v/>
      </c>
      <c r="AK8" s="282" t="str">
        <f ca="1">IF(E8&gt;111,,IF(AND(OP!$D$99=1,T8="F"),AA8,IF(AND(OP!$D$99=2,COUNTIF($T$4:T8,"F")=1),OP!$D$97+IF(F8="F",OP!$D$98,0),"")))</f>
        <v/>
      </c>
      <c r="AL8" s="282" t="str">
        <f ca="1">IF(E8&gt;111,,IF(AND(OP!$E$99=1,T8="F"),AB8,IF(AND(OP!$E$99=2,COUNTIF($T$4:T8,"F")=1),OP!$E$97+IF(F8="F",OP!$E$98,0),"")))</f>
        <v/>
      </c>
      <c r="AM8" s="1" t="str">
        <f t="shared" ca="1" si="25"/>
        <v/>
      </c>
      <c r="AN8" s="1" t="str">
        <f ca="1">IF(OR(VLOOKUP($A8,MP,5,0)="月繳"),1,"")</f>
        <v/>
      </c>
      <c r="AO8" s="1">
        <f t="shared" ca="1" si="12"/>
        <v>0</v>
      </c>
      <c r="AP8" s="1" t="str">
        <f ca="1">IF(AND(A8&lt;=OP!$C$120,COUNTIF(PAY,C8)=1),1,"")</f>
        <v/>
      </c>
      <c r="AR8" s="301">
        <f ca="1">IF(繳費報酬率資料!$A$1=1,$AY8+$AZ8,$BF8+$BG8)</f>
        <v>0</v>
      </c>
      <c r="AS8" s="1">
        <f ca="1">IF(C8&lt;&gt;IF($C$3=1,12,$C$3-1),0,IF(繳費報酬率資料!$A$1&lt;&gt;1,VLOOKUP($A8,MP,8,0),IF(AND($A8&gt;=OP!$C$79,$A8&lt;=OP!$C$80),OP!$C$78,)))</f>
        <v>0</v>
      </c>
      <c r="AT8" s="298">
        <f t="shared" ca="1" si="13"/>
        <v>0</v>
      </c>
      <c r="AU8" s="298">
        <f ca="1">IF(AND(A8&lt;=OP!$C$120,COUNTIF(PAY,C8)=1),OP!$C$123,0)</f>
        <v>0</v>
      </c>
      <c r="AV8" s="298">
        <f ca="1">IF(AND(A8&gt;=OP!$C$132,A8&lt;=OP!$C$133,$C$3=C8),OP!$C$135,0)</f>
        <v>0</v>
      </c>
      <c r="AW8" s="180">
        <f t="shared" ca="1" si="26"/>
        <v>0.05</v>
      </c>
      <c r="AX8" s="180">
        <f t="shared" ca="1" si="27"/>
        <v>0.05</v>
      </c>
      <c r="AY8" s="286">
        <f t="shared" ca="1" si="14"/>
        <v>0</v>
      </c>
      <c r="AZ8" s="286">
        <f t="shared" ca="1" si="15"/>
        <v>0</v>
      </c>
      <c r="BA8" s="286">
        <f t="shared" ca="1" si="16"/>
        <v>0</v>
      </c>
      <c r="BB8" s="286">
        <f t="shared" ca="1" si="28"/>
        <v>0</v>
      </c>
      <c r="BC8" s="286">
        <f t="shared" ca="1" si="17"/>
        <v>0</v>
      </c>
      <c r="BD8" s="180">
        <f t="shared" ca="1" si="29"/>
        <v>0.05</v>
      </c>
      <c r="BE8" s="180">
        <f t="shared" ca="1" si="30"/>
        <v>0.05</v>
      </c>
      <c r="BF8" s="286">
        <f t="shared" ca="1" si="18"/>
        <v>0</v>
      </c>
      <c r="BG8" s="286">
        <f t="shared" ca="1" si="19"/>
        <v>0</v>
      </c>
      <c r="BI8" s="286">
        <f t="shared" ca="1" si="31"/>
        <v>0</v>
      </c>
      <c r="BJ8" s="286">
        <f t="shared" ca="1" si="32"/>
        <v>0</v>
      </c>
      <c r="BK8" s="286">
        <f t="shared" ca="1" si="33"/>
        <v>0</v>
      </c>
      <c r="BL8" s="286">
        <f t="shared" ca="1" si="34"/>
        <v>0</v>
      </c>
      <c r="BM8" s="286">
        <f t="shared" ca="1" si="35"/>
        <v>0</v>
      </c>
      <c r="BN8" s="286">
        <f t="shared" ca="1" si="36"/>
        <v>0</v>
      </c>
      <c r="BO8" s="286">
        <f t="shared" ca="1" si="41"/>
        <v>0</v>
      </c>
      <c r="BP8" s="286">
        <f t="shared" ca="1" si="37"/>
        <v>0</v>
      </c>
      <c r="BQ8" s="286">
        <f t="shared" ca="1" si="37"/>
        <v>0</v>
      </c>
      <c r="BR8" s="286">
        <f t="shared" ca="1" si="38"/>
        <v>0</v>
      </c>
      <c r="BS8" s="286">
        <f t="shared" ca="1" si="39"/>
        <v>0</v>
      </c>
      <c r="BT8" s="286">
        <f t="shared" ca="1" si="40"/>
        <v>0</v>
      </c>
    </row>
    <row r="9" spans="1:75">
      <c r="A9" s="1">
        <f t="shared" ca="1" si="3"/>
        <v>1</v>
      </c>
      <c r="B9" s="1">
        <f t="shared" ca="1" si="20"/>
        <v>106</v>
      </c>
      <c r="C9" s="1">
        <f t="shared" ca="1" si="21"/>
        <v>11</v>
      </c>
      <c r="D9" s="1">
        <f ca="1">MIN($D$3,VLOOKUP(C9,OP!$S$30:$T$41,2))</f>
        <v>2</v>
      </c>
      <c r="E9" s="1">
        <f t="shared" ca="1" si="4"/>
        <v>55</v>
      </c>
      <c r="F9" s="11" t="str">
        <f t="shared" ca="1" si="5"/>
        <v/>
      </c>
      <c r="G9" s="8">
        <f t="shared" ca="1" si="22"/>
        <v>365</v>
      </c>
      <c r="H9" s="8">
        <f t="shared" ca="1" si="6"/>
        <v>30</v>
      </c>
      <c r="I9" s="8" t="str">
        <f t="shared" ca="1" si="0"/>
        <v>111</v>
      </c>
      <c r="J9" s="13">
        <f>IF(繳費報酬率資料!$A$1=1,VALUE(OP!$C$121),VLOOKUP(A9,MP,2,0))</f>
        <v>0.05</v>
      </c>
      <c r="K9" s="14">
        <f ca="1">IF(SUM($K$4:K8,IF(繳費報酬率資料!$A$1=1,$AU9+$AV9,$BB9+$BC9))&gt;OP!$L$58,0,IF(繳費報酬率資料!$A$1=1,$AU9+$AV9,$BB9+$BC9))</f>
        <v>0</v>
      </c>
      <c r="L9" s="2"/>
      <c r="M9" s="2"/>
      <c r="N9" s="2"/>
      <c r="O9" s="261">
        <f t="shared" ca="1" si="7"/>
        <v>0</v>
      </c>
      <c r="P9" s="261">
        <f t="shared" ca="1" si="23"/>
        <v>0</v>
      </c>
      <c r="Q9" s="3">
        <f ca="1">IF(A9&gt;MAX(OP!$R$17:$R$26),0,VLOOKUP(A9,fees,3,FALSE))</f>
        <v>0.01</v>
      </c>
      <c r="R9" s="200" t="str">
        <f t="shared" ca="1" si="8"/>
        <v/>
      </c>
      <c r="S9" s="9" t="str">
        <f ca="1">IF(COUNTIF(($T$4:T8),"F")&gt;=1,"",IF(OR(C10&lt;&gt;$C$3,E9=""),"",A9))</f>
        <v/>
      </c>
      <c r="T9" s="20" t="str">
        <f t="shared" ca="1" si="1"/>
        <v/>
      </c>
      <c r="U9" s="2">
        <f ca="1">IF(IF(OP!$C$83=1,$Z8,IF(OP!$C$83=2,$AA8,IF(OP!$C$83=3,$AB8,)))+$K9-$O9-$P9-$AS9&lt;OP!$C$142,0,$AS9)</f>
        <v>0</v>
      </c>
      <c r="V9" s="9"/>
      <c r="W9" s="19">
        <f ca="1">MAX(SUM($K$4:K9),0)</f>
        <v>2000000</v>
      </c>
      <c r="X9" s="19"/>
      <c r="Y9" s="19">
        <f t="shared" ca="1" si="24"/>
        <v>1920000</v>
      </c>
      <c r="Z9" s="2">
        <f ca="1">IF(MIN($Z$4:Z8)=0,0,MAX(0,($Z8+$K9-$O9-$P9)*IF(AND(F9="F",$D$3&lt;&gt;$G$3),((1+(-J9))^(H9/MIN(G9,365))),((1+(-J9))^(1/12)))-$U9))</f>
        <v>1871384.5142033212</v>
      </c>
      <c r="AA9" s="2">
        <f ca="1">IF(MIN($AA$4:AA8)=0,0,MAX(0,($AA8+$K9-$O9-$P9)*IF(AND(F9="F",$D$3&lt;&gt;$G$3),((1+$AA$1)^(H9/MIN(G9,365))),((1+$AA$1)^(1/12)))-$U9))</f>
        <v>1920000</v>
      </c>
      <c r="AB9" s="2">
        <f ca="1">IF(MIN($AB$4:AB8)=0,0,MAX(0,($AB8+$K9-$O9-$P9)*IF(AND(F9="F",$D$3&lt;&gt;$G$3),((1+(J9))^(H9/MIN(G9,365))),((1+(J9))^(1/12)))-$U9))</f>
        <v>1967414.5470642436</v>
      </c>
      <c r="AC9" s="5"/>
      <c r="AD9" s="5"/>
      <c r="AE9" s="5"/>
      <c r="AF9" s="282">
        <f t="shared" ca="1" si="9"/>
        <v>1852671</v>
      </c>
      <c r="AG9" s="282">
        <f t="shared" ca="1" si="10"/>
        <v>1900800</v>
      </c>
      <c r="AH9" s="282">
        <f t="shared" ca="1" si="11"/>
        <v>1947740</v>
      </c>
      <c r="AI9" s="23" t="str">
        <f t="shared" ca="1" si="2"/>
        <v>1-</v>
      </c>
      <c r="AJ9" s="282" t="str">
        <f ca="1">IF(E9&gt;111,,IF(AND(OP!$C$99=1,T9="F"),Z9,IF(AND(OP!$C$99=2,COUNTIF($T$4:T9,"F")=1),OP!$C$97+IF(F9="F",OP!$C$98,0),"")))</f>
        <v/>
      </c>
      <c r="AK9" s="282" t="str">
        <f ca="1">IF(E9&gt;111,,IF(AND(OP!$D$99=1,T9="F"),AA9,IF(AND(OP!$D$99=2,COUNTIF($T$4:T9,"F")=1),OP!$D$97+IF(F9="F",OP!$D$98,0),"")))</f>
        <v/>
      </c>
      <c r="AL9" s="282" t="str">
        <f ca="1">IF(E9&gt;111,,IF(AND(OP!$E$99=1,T9="F"),AB9,IF(AND(OP!$E$99=2,COUNTIF($T$4:T9,"F")=1),OP!$E$97+IF(F9="F",OP!$E$98,0),"")))</f>
        <v/>
      </c>
      <c r="AM9" s="1" t="str">
        <f t="shared" ca="1" si="25"/>
        <v/>
      </c>
      <c r="AN9" s="1" t="str">
        <f ca="1">IF(OR(VLOOKUP($A9,MP,5,0)="月繳"),1,"")</f>
        <v/>
      </c>
      <c r="AO9" s="1">
        <f t="shared" ca="1" si="12"/>
        <v>0</v>
      </c>
      <c r="AP9" s="1" t="str">
        <f ca="1">IF(AND(A9&lt;=OP!$C$120,COUNTIF(PAY,C9)=1),1,"")</f>
        <v/>
      </c>
      <c r="AR9" s="301">
        <f ca="1">IF(繳費報酬率資料!$A$1=1,$AY9+$AZ9,$BF9+$BG9)</f>
        <v>0</v>
      </c>
      <c r="AS9" s="1">
        <f ca="1">IF(C9&lt;&gt;IF($C$3=1,12,$C$3-1),0,IF(繳費報酬率資料!$A$1&lt;&gt;1,VLOOKUP($A9,MP,8,0),IF(AND($A9&gt;=OP!$C$79,$A9&lt;=OP!$C$80),OP!$C$78,)))</f>
        <v>0</v>
      </c>
      <c r="AT9" s="298">
        <f t="shared" ca="1" si="13"/>
        <v>0</v>
      </c>
      <c r="AU9" s="298">
        <f ca="1">IF(AND(A9&lt;=OP!$C$120,COUNTIF(PAY,C9)=1),OP!$C$123,0)</f>
        <v>0</v>
      </c>
      <c r="AV9" s="298">
        <f ca="1">IF(AND(A9&gt;=OP!$C$132,A9&lt;=OP!$C$133,$C$3=C9),OP!$C$135,0)</f>
        <v>0</v>
      </c>
      <c r="AW9" s="180">
        <f t="shared" ca="1" si="26"/>
        <v>0.05</v>
      </c>
      <c r="AX9" s="180">
        <f t="shared" ca="1" si="27"/>
        <v>0.05</v>
      </c>
      <c r="AY9" s="286">
        <f t="shared" ca="1" si="14"/>
        <v>0</v>
      </c>
      <c r="AZ9" s="286">
        <f t="shared" ca="1" si="15"/>
        <v>0</v>
      </c>
      <c r="BA9" s="286">
        <f t="shared" ca="1" si="16"/>
        <v>0</v>
      </c>
      <c r="BB9" s="286">
        <f t="shared" ca="1" si="28"/>
        <v>0</v>
      </c>
      <c r="BC9" s="286">
        <f t="shared" ca="1" si="17"/>
        <v>0</v>
      </c>
      <c r="BD9" s="180">
        <f t="shared" ca="1" si="29"/>
        <v>0.05</v>
      </c>
      <c r="BE9" s="180">
        <f t="shared" ca="1" si="30"/>
        <v>0.05</v>
      </c>
      <c r="BF9" s="286">
        <f t="shared" ca="1" si="18"/>
        <v>0</v>
      </c>
      <c r="BG9" s="286">
        <f t="shared" ca="1" si="19"/>
        <v>0</v>
      </c>
      <c r="BI9" s="286">
        <f t="shared" ca="1" si="31"/>
        <v>0</v>
      </c>
      <c r="BJ9" s="286">
        <f t="shared" ca="1" si="32"/>
        <v>0</v>
      </c>
      <c r="BK9" s="286">
        <f t="shared" ca="1" si="33"/>
        <v>0</v>
      </c>
      <c r="BL9" s="286">
        <f t="shared" ca="1" si="34"/>
        <v>0</v>
      </c>
      <c r="BM9" s="286">
        <f t="shared" ca="1" si="35"/>
        <v>0</v>
      </c>
      <c r="BN9" s="286">
        <f t="shared" ca="1" si="36"/>
        <v>0</v>
      </c>
      <c r="BO9" s="286">
        <f t="shared" ca="1" si="41"/>
        <v>0</v>
      </c>
      <c r="BP9" s="286">
        <f t="shared" ca="1" si="37"/>
        <v>0</v>
      </c>
      <c r="BQ9" s="286">
        <f t="shared" ca="1" si="37"/>
        <v>0</v>
      </c>
      <c r="BR9" s="286">
        <f t="shared" ca="1" si="38"/>
        <v>0</v>
      </c>
      <c r="BS9" s="286">
        <f t="shared" ca="1" si="39"/>
        <v>0</v>
      </c>
      <c r="BT9" s="286">
        <f t="shared" ca="1" si="40"/>
        <v>0</v>
      </c>
    </row>
    <row r="10" spans="1:75">
      <c r="A10" s="1">
        <f t="shared" ca="1" si="3"/>
        <v>1</v>
      </c>
      <c r="B10" s="1">
        <f t="shared" ca="1" si="20"/>
        <v>106</v>
      </c>
      <c r="C10" s="1">
        <f t="shared" ca="1" si="21"/>
        <v>12</v>
      </c>
      <c r="D10" s="1">
        <f ca="1">MIN($D$3,VLOOKUP(C10,OP!$S$30:$T$41,2))</f>
        <v>2</v>
      </c>
      <c r="E10" s="1">
        <f t="shared" ca="1" si="4"/>
        <v>55</v>
      </c>
      <c r="F10" s="11" t="str">
        <f t="shared" ca="1" si="5"/>
        <v/>
      </c>
      <c r="G10" s="8">
        <f t="shared" ca="1" si="22"/>
        <v>365</v>
      </c>
      <c r="H10" s="8">
        <f t="shared" ca="1" si="6"/>
        <v>31</v>
      </c>
      <c r="I10" s="8" t="str">
        <f t="shared" ca="1" si="0"/>
        <v>112</v>
      </c>
      <c r="J10" s="13">
        <f>IF(繳費報酬率資料!$A$1=1,VALUE(OP!$C$121),VLOOKUP(A10,MP,2,0))</f>
        <v>0.05</v>
      </c>
      <c r="K10" s="14">
        <f ca="1">IF(SUM($K$4:K9,IF(繳費報酬率資料!$A$1=1,$AU10+$AV10,$BB10+$BC10))&gt;OP!$L$58,0,IF(繳費報酬率資料!$A$1=1,$AU10+$AV10,$BB10+$BC10))</f>
        <v>0</v>
      </c>
      <c r="L10" s="2"/>
      <c r="M10" s="2"/>
      <c r="N10" s="2"/>
      <c r="O10" s="261">
        <f t="shared" ca="1" si="7"/>
        <v>0</v>
      </c>
      <c r="P10" s="261">
        <f t="shared" ca="1" si="23"/>
        <v>0</v>
      </c>
      <c r="Q10" s="3">
        <f ca="1">IF(A10&gt;MAX(OP!$R$17:$R$26),0,VLOOKUP(A10,fees,3,FALSE))</f>
        <v>0.01</v>
      </c>
      <c r="R10" s="200" t="str">
        <f t="shared" ca="1" si="8"/>
        <v/>
      </c>
      <c r="S10" s="9" t="str">
        <f ca="1">IF(COUNTIF(($T$4:T9),"F")&gt;=1,"",IF(OR(C11&lt;&gt;$C$3,E10=""),"",A10))</f>
        <v/>
      </c>
      <c r="T10" s="20" t="str">
        <f t="shared" ca="1" si="1"/>
        <v/>
      </c>
      <c r="U10" s="2">
        <f ca="1">IF(IF(OP!$C$83=1,$Z9,IF(OP!$C$83=2,$AA9,IF(OP!$C$83=3,$AB9,)))+$K10-$O10-$P10-$AS10&lt;OP!$C$142,0,$AS10)</f>
        <v>0</v>
      </c>
      <c r="V10" s="9"/>
      <c r="W10" s="19">
        <f ca="1">MAX(SUM($K$4:K10),0)</f>
        <v>2000000</v>
      </c>
      <c r="X10" s="19"/>
      <c r="Y10" s="19">
        <f t="shared" ca="1" si="24"/>
        <v>1920000</v>
      </c>
      <c r="Z10" s="2">
        <f ca="1">IF(MIN($Z$4:Z9)=0,0,MAX(0,($Z9+$K10-$O10-$P10)*IF(AND(F10="F",$D$3&lt;&gt;$G$3),((1+(-J10))^(H10/MIN(G10,365))),((1+(-J10))^(1/12)))-$U10))</f>
        <v>1863402.4626948535</v>
      </c>
      <c r="AA10" s="2">
        <f ca="1">IF(MIN($AA$4:AA9)=0,0,MAX(0,($AA9+$K10-$O10-$P10)*IF(AND(F10="F",$D$3&lt;&gt;$G$3),((1+$AA$1)^(H10/MIN(G10,365))),((1+$AA$1)^(1/12)))-$U10))</f>
        <v>1920000</v>
      </c>
      <c r="AB10" s="2">
        <f ca="1">IF(MIN($AB$4:AB9)=0,0,MAX(0,($AB9+$K10-$O10-$P10)*IF(AND(F10="F",$D$3&lt;&gt;$G$3),((1+(J10))^(H10/MIN(G10,365))),((1+(J10))^(1/12)))-$U10))</f>
        <v>1975430.0374627337</v>
      </c>
      <c r="AC10" s="5"/>
      <c r="AD10" s="5"/>
      <c r="AE10" s="5"/>
      <c r="AF10" s="282">
        <f t="shared" ca="1" si="9"/>
        <v>1844768</v>
      </c>
      <c r="AG10" s="282">
        <f t="shared" ca="1" si="10"/>
        <v>1900800</v>
      </c>
      <c r="AH10" s="282">
        <f t="shared" ca="1" si="11"/>
        <v>1955676</v>
      </c>
      <c r="AI10" s="23" t="str">
        <f t="shared" ca="1" si="2"/>
        <v>1-</v>
      </c>
      <c r="AJ10" s="282" t="str">
        <f ca="1">IF(E10&gt;111,,IF(AND(OP!$C$99=1,T10="F"),Z10,IF(AND(OP!$C$99=2,COUNTIF($T$4:T10,"F")=1),OP!$C$97+IF(F10="F",OP!$C$98,0),"")))</f>
        <v/>
      </c>
      <c r="AK10" s="282" t="str">
        <f ca="1">IF(E10&gt;111,,IF(AND(OP!$D$99=1,T10="F"),AA10,IF(AND(OP!$D$99=2,COUNTIF($T$4:T10,"F")=1),OP!$D$97+IF(F10="F",OP!$D$98,0),"")))</f>
        <v/>
      </c>
      <c r="AL10" s="282" t="str">
        <f ca="1">IF(E10&gt;111,,IF(AND(OP!$E$99=1,T10="F"),AB10,IF(AND(OP!$E$99=2,COUNTIF($T$4:T10,"F")=1),OP!$E$97+IF(F10="F",OP!$E$98,0),"")))</f>
        <v/>
      </c>
      <c r="AM10" s="1" t="str">
        <f t="shared" ca="1" si="25"/>
        <v/>
      </c>
      <c r="AN10" s="1" t="str">
        <f ca="1">IF(OR(VLOOKUP($A10,MP,5,0)="半年繳",VLOOKUP($A10,MP,5,0)="季繳",VLOOKUP($A10,MP,5,0)="月繳"),1,"")</f>
        <v/>
      </c>
      <c r="AO10" s="1">
        <f t="shared" ca="1" si="12"/>
        <v>0</v>
      </c>
      <c r="AP10" s="1" t="str">
        <f ca="1">IF(AND(A10&lt;=OP!$C$120,COUNTIF(PAY,C10)=1),1,"")</f>
        <v/>
      </c>
      <c r="AR10" s="301">
        <f ca="1">IF(繳費報酬率資料!$A$1=1,$AY10+$AZ10,$BF10+$BG10)</f>
        <v>0</v>
      </c>
      <c r="AS10" s="1">
        <f ca="1">IF(C10&lt;&gt;IF($C$3=1,12,$C$3-1),0,IF(繳費報酬率資料!$A$1&lt;&gt;1,VLOOKUP($A10,MP,8,0),IF(AND($A10&gt;=OP!$C$79,$A10&lt;=OP!$C$80),OP!$C$78,)))</f>
        <v>0</v>
      </c>
      <c r="AT10" s="298">
        <f t="shared" ca="1" si="13"/>
        <v>0</v>
      </c>
      <c r="AU10" s="298">
        <f ca="1">IF(AND(A10&lt;=OP!$C$120,COUNTIF(PAY,C10)=1),OP!$C$123,0)</f>
        <v>0</v>
      </c>
      <c r="AV10" s="298">
        <f ca="1">IF(AND(A10&gt;=OP!$C$132,A10&lt;=OP!$C$133,$C$3=C10),OP!$C$135,0)</f>
        <v>0</v>
      </c>
      <c r="AW10" s="180">
        <f t="shared" ca="1" si="26"/>
        <v>0.05</v>
      </c>
      <c r="AX10" s="180">
        <f t="shared" ca="1" si="27"/>
        <v>0.05</v>
      </c>
      <c r="AY10" s="286">
        <f t="shared" ca="1" si="14"/>
        <v>0</v>
      </c>
      <c r="AZ10" s="286">
        <f t="shared" ca="1" si="15"/>
        <v>0</v>
      </c>
      <c r="BA10" s="286">
        <f t="shared" ca="1" si="16"/>
        <v>0</v>
      </c>
      <c r="BB10" s="286">
        <f t="shared" ca="1" si="28"/>
        <v>0</v>
      </c>
      <c r="BC10" s="286">
        <f t="shared" ca="1" si="17"/>
        <v>0</v>
      </c>
      <c r="BD10" s="180">
        <f t="shared" ca="1" si="29"/>
        <v>0.05</v>
      </c>
      <c r="BE10" s="180">
        <f t="shared" ca="1" si="30"/>
        <v>0.05</v>
      </c>
      <c r="BF10" s="286">
        <f t="shared" ca="1" si="18"/>
        <v>0</v>
      </c>
      <c r="BG10" s="286">
        <f t="shared" ca="1" si="19"/>
        <v>0</v>
      </c>
      <c r="BI10" s="286">
        <f t="shared" ca="1" si="31"/>
        <v>0</v>
      </c>
      <c r="BJ10" s="286">
        <f t="shared" ca="1" si="32"/>
        <v>0</v>
      </c>
      <c r="BK10" s="286">
        <f t="shared" ca="1" si="33"/>
        <v>0</v>
      </c>
      <c r="BL10" s="286">
        <f t="shared" ca="1" si="34"/>
        <v>0</v>
      </c>
      <c r="BM10" s="286">
        <f t="shared" ca="1" si="35"/>
        <v>0</v>
      </c>
      <c r="BN10" s="286">
        <f t="shared" ca="1" si="36"/>
        <v>0</v>
      </c>
      <c r="BO10" s="286">
        <f t="shared" ca="1" si="41"/>
        <v>0</v>
      </c>
      <c r="BP10" s="286">
        <f t="shared" ca="1" si="37"/>
        <v>0</v>
      </c>
      <c r="BQ10" s="286">
        <f t="shared" ca="1" si="37"/>
        <v>0</v>
      </c>
      <c r="BR10" s="286">
        <f t="shared" ca="1" si="38"/>
        <v>0</v>
      </c>
      <c r="BS10" s="286">
        <f t="shared" ca="1" si="39"/>
        <v>0</v>
      </c>
      <c r="BT10" s="286">
        <f t="shared" ca="1" si="40"/>
        <v>0</v>
      </c>
    </row>
    <row r="11" spans="1:75">
      <c r="A11" s="1">
        <f t="shared" ca="1" si="3"/>
        <v>1</v>
      </c>
      <c r="B11" s="1">
        <f t="shared" ca="1" si="20"/>
        <v>107</v>
      </c>
      <c r="C11" s="1">
        <f t="shared" ca="1" si="21"/>
        <v>1</v>
      </c>
      <c r="D11" s="1">
        <f ca="1">MIN($D$3,VLOOKUP(C11,OP!$S$30:$T$41,2))</f>
        <v>2</v>
      </c>
      <c r="E11" s="1">
        <f t="shared" ca="1" si="4"/>
        <v>55</v>
      </c>
      <c r="F11" s="11" t="str">
        <f t="shared" ca="1" si="5"/>
        <v/>
      </c>
      <c r="G11" s="8">
        <f t="shared" ca="1" si="22"/>
        <v>365</v>
      </c>
      <c r="H11" s="8">
        <f t="shared" ca="1" si="6"/>
        <v>31</v>
      </c>
      <c r="I11" s="8" t="str">
        <f t="shared" ca="1" si="0"/>
        <v>11</v>
      </c>
      <c r="J11" s="13">
        <f>IF(繳費報酬率資料!$A$1=1,VALUE(OP!$C$121),VLOOKUP(A11,MP,2,0))</f>
        <v>0.05</v>
      </c>
      <c r="K11" s="14">
        <f ca="1">IF(SUM($K$4:K10,IF(繳費報酬率資料!$A$1=1,$AU11+$AV11,$BB11+$BC11))&gt;OP!$L$58,0,IF(繳費報酬率資料!$A$1=1,$AU11+$AV11,$BB11+$BC11))</f>
        <v>0</v>
      </c>
      <c r="L11" s="2"/>
      <c r="M11" s="2"/>
      <c r="N11" s="2"/>
      <c r="O11" s="261">
        <f t="shared" ca="1" si="7"/>
        <v>0</v>
      </c>
      <c r="P11" s="261">
        <f t="shared" ca="1" si="23"/>
        <v>0</v>
      </c>
      <c r="Q11" s="3">
        <f ca="1">IF(A11&gt;MAX(OP!$R$17:$R$26),0,VLOOKUP(A11,fees,3,FALSE))</f>
        <v>0.01</v>
      </c>
      <c r="R11" s="200" t="str">
        <f t="shared" ca="1" si="8"/>
        <v/>
      </c>
      <c r="S11" s="9" t="str">
        <f ca="1">IF(COUNTIF(($T$4:T10),"F")&gt;=1,"",IF(OR(C12&lt;&gt;$C$3,E11=""),"",A11))</f>
        <v/>
      </c>
      <c r="T11" s="20" t="str">
        <f t="shared" ca="1" si="1"/>
        <v/>
      </c>
      <c r="U11" s="2">
        <f ca="1">IF(IF(OP!$C$83=1,$Z10,IF(OP!$C$83=2,$AA10,IF(OP!$C$83=3,$AB10,)))+$K11-$O11-$P11-$AS11&lt;OP!$C$142,0,$AS11)</f>
        <v>0</v>
      </c>
      <c r="V11" s="9"/>
      <c r="W11" s="19">
        <f ca="1">MAX(SUM($K$4:K11),0)</f>
        <v>2000000</v>
      </c>
      <c r="X11" s="19"/>
      <c r="Y11" s="19">
        <f t="shared" ca="1" si="24"/>
        <v>1920000</v>
      </c>
      <c r="Z11" s="2">
        <f ca="1">IF(MIN($Z$4:Z10)=0,0,MAX(0,($Z10+$K11-$O11-$P11)*IF(AND(F11="F",$D$3&lt;&gt;$G$3),((1+(-J11))^(H11/MIN(G11,365))),((1+(-J11))^(1/12)))-$U11))</f>
        <v>1855454.4571805685</v>
      </c>
      <c r="AA11" s="2">
        <f ca="1">IF(MIN($AA$4:AA10)=0,0,MAX(0,($AA10+$K11-$O11-$P11)*IF(AND(F11="F",$D$3&lt;&gt;$G$3),((1+$AA$1)^(H11/MIN(G11,365))),((1+$AA$1)^(1/12)))-$U11))</f>
        <v>1920000</v>
      </c>
      <c r="AB11" s="2">
        <f ca="1">IF(MIN($AB$4:AB10)=0,0,MAX(0,($AB10+$K11-$O11-$P11)*IF(AND(F11="F",$D$3&lt;&gt;$G$3),((1+(J11))^(H11/MIN(G11,365))),((1+(J11))^(1/12)))-$U11))</f>
        <v>1983478.1839612939</v>
      </c>
      <c r="AC11" s="5"/>
      <c r="AD11" s="5"/>
      <c r="AE11" s="5"/>
      <c r="AF11" s="282">
        <f t="shared" ca="1" si="9"/>
        <v>1836900</v>
      </c>
      <c r="AG11" s="282">
        <f t="shared" ca="1" si="10"/>
        <v>1900800</v>
      </c>
      <c r="AH11" s="282">
        <f t="shared" ca="1" si="11"/>
        <v>1963643</v>
      </c>
      <c r="AI11" s="23" t="str">
        <f t="shared" ca="1" si="2"/>
        <v>1-</v>
      </c>
      <c r="AJ11" s="282" t="str">
        <f ca="1">IF(E11&gt;111,,IF(AND(OP!$C$99=1,T11="F"),Z11,IF(AND(OP!$C$99=2,COUNTIF($T$4:T11,"F")=1),OP!$C$97+IF(F11="F",OP!$C$98,0),"")))</f>
        <v/>
      </c>
      <c r="AK11" s="282" t="str">
        <f ca="1">IF(E11&gt;111,,IF(AND(OP!$D$99=1,T11="F"),AA11,IF(AND(OP!$D$99=2,COUNTIF($T$4:T11,"F")=1),OP!$D$97+IF(F11="F",OP!$D$98,0),"")))</f>
        <v/>
      </c>
      <c r="AL11" s="282" t="str">
        <f ca="1">IF(E11&gt;111,,IF(AND(OP!$E$99=1,T11="F"),AB11,IF(AND(OP!$E$99=2,COUNTIF($T$4:T11,"F")=1),OP!$E$97+IF(F11="F",OP!$E$98,0),"")))</f>
        <v/>
      </c>
      <c r="AM11" s="1" t="str">
        <f t="shared" ca="1" si="25"/>
        <v/>
      </c>
      <c r="AN11" s="1" t="str">
        <f ca="1">IF(OR(VLOOKUP($A11,MP,5,0)="月繳"),1,"")</f>
        <v/>
      </c>
      <c r="AO11" s="1">
        <f t="shared" ca="1" si="12"/>
        <v>0</v>
      </c>
      <c r="AP11" s="1" t="str">
        <f ca="1">IF(AND(A11&lt;=OP!$C$120,COUNTIF(PAY,C11)=1),1,"")</f>
        <v/>
      </c>
      <c r="AR11" s="301">
        <f ca="1">IF(繳費報酬率資料!$A$1=1,$AY11+$AZ11,$BF11+$BG11)</f>
        <v>0</v>
      </c>
      <c r="AS11" s="1">
        <f ca="1">IF(C11&lt;&gt;IF($C$3=1,12,$C$3-1),0,IF(繳費報酬率資料!$A$1&lt;&gt;1,VLOOKUP($A11,MP,8,0),IF(AND($A11&gt;=OP!$C$79,$A11&lt;=OP!$C$80),OP!$C$78,)))</f>
        <v>0</v>
      </c>
      <c r="AT11" s="298">
        <f t="shared" ca="1" si="13"/>
        <v>0</v>
      </c>
      <c r="AU11" s="298">
        <f ca="1">IF(AND(A11&lt;=OP!$C$120,COUNTIF(PAY,C11)=1),OP!$C$123,0)</f>
        <v>0</v>
      </c>
      <c r="AV11" s="298">
        <f ca="1">IF(AND(A11&gt;=OP!$C$132,A11&lt;=OP!$C$133,$C$3=C11),OP!$C$135,0)</f>
        <v>0</v>
      </c>
      <c r="AW11" s="180">
        <f t="shared" ca="1" si="26"/>
        <v>0.05</v>
      </c>
      <c r="AX11" s="180">
        <f t="shared" ca="1" si="27"/>
        <v>0.05</v>
      </c>
      <c r="AY11" s="286">
        <f t="shared" ca="1" si="14"/>
        <v>0</v>
      </c>
      <c r="AZ11" s="286">
        <f t="shared" ca="1" si="15"/>
        <v>0</v>
      </c>
      <c r="BA11" s="286">
        <f t="shared" ca="1" si="16"/>
        <v>0</v>
      </c>
      <c r="BB11" s="286">
        <f t="shared" ca="1" si="28"/>
        <v>0</v>
      </c>
      <c r="BC11" s="286">
        <f t="shared" ca="1" si="17"/>
        <v>0</v>
      </c>
      <c r="BD11" s="180">
        <f t="shared" ca="1" si="29"/>
        <v>0.05</v>
      </c>
      <c r="BE11" s="180">
        <f t="shared" ca="1" si="30"/>
        <v>0.05</v>
      </c>
      <c r="BF11" s="286">
        <f t="shared" ca="1" si="18"/>
        <v>0</v>
      </c>
      <c r="BG11" s="286">
        <f t="shared" ca="1" si="19"/>
        <v>0</v>
      </c>
      <c r="BI11" s="286">
        <f t="shared" ca="1" si="31"/>
        <v>0</v>
      </c>
      <c r="BJ11" s="286">
        <f t="shared" ca="1" si="32"/>
        <v>0</v>
      </c>
      <c r="BK11" s="286">
        <f t="shared" ca="1" si="33"/>
        <v>0</v>
      </c>
      <c r="BL11" s="286">
        <f t="shared" ca="1" si="34"/>
        <v>0</v>
      </c>
      <c r="BM11" s="286">
        <f t="shared" ca="1" si="35"/>
        <v>0</v>
      </c>
      <c r="BN11" s="286">
        <f t="shared" ca="1" si="36"/>
        <v>0</v>
      </c>
      <c r="BO11" s="286">
        <f t="shared" ca="1" si="41"/>
        <v>0</v>
      </c>
      <c r="BP11" s="286">
        <f t="shared" ca="1" si="37"/>
        <v>0</v>
      </c>
      <c r="BQ11" s="286">
        <f t="shared" ca="1" si="37"/>
        <v>0</v>
      </c>
      <c r="BR11" s="286">
        <f t="shared" ca="1" si="38"/>
        <v>0</v>
      </c>
      <c r="BS11" s="286">
        <f t="shared" ca="1" si="39"/>
        <v>0</v>
      </c>
      <c r="BT11" s="286">
        <f t="shared" ca="1" si="40"/>
        <v>0</v>
      </c>
    </row>
    <row r="12" spans="1:75">
      <c r="A12" s="1">
        <f t="shared" ca="1" si="3"/>
        <v>1</v>
      </c>
      <c r="B12" s="1">
        <f t="shared" ca="1" si="20"/>
        <v>107</v>
      </c>
      <c r="C12" s="1">
        <f t="shared" ca="1" si="21"/>
        <v>2</v>
      </c>
      <c r="D12" s="1">
        <f ca="1">MIN($D$3,VLOOKUP(C12,OP!$S$30:$T$41,2))</f>
        <v>2</v>
      </c>
      <c r="E12" s="1">
        <f t="shared" ca="1" si="4"/>
        <v>55</v>
      </c>
      <c r="F12" s="11" t="str">
        <f t="shared" ca="1" si="5"/>
        <v/>
      </c>
      <c r="G12" s="8">
        <f t="shared" ca="1" si="22"/>
        <v>365</v>
      </c>
      <c r="H12" s="8">
        <f t="shared" ca="1" si="6"/>
        <v>28</v>
      </c>
      <c r="I12" s="8" t="str">
        <f t="shared" ca="1" si="0"/>
        <v>12</v>
      </c>
      <c r="J12" s="13">
        <f>IF(繳費報酬率資料!$A$1=1,VALUE(OP!$C$121),VLOOKUP(A12,MP,2,0))</f>
        <v>0.05</v>
      </c>
      <c r="K12" s="14">
        <f ca="1">IF(SUM($K$4:K11,IF(繳費報酬率資料!$A$1=1,$AU12+$AV12,$BB12+$BC12))&gt;OP!$L$58,0,IF(繳費報酬率資料!$A$1=1,$AU12+$AV12,$BB12+$BC12))</f>
        <v>0</v>
      </c>
      <c r="L12" s="2"/>
      <c r="M12" s="2"/>
      <c r="N12" s="2"/>
      <c r="O12" s="261">
        <f t="shared" ca="1" si="7"/>
        <v>0</v>
      </c>
      <c r="P12" s="261">
        <f t="shared" ca="1" si="23"/>
        <v>0</v>
      </c>
      <c r="Q12" s="3">
        <f ca="1">IF(A12&gt;MAX(OP!$R$17:$R$26),0,VLOOKUP(A12,fees,3,FALSE))</f>
        <v>0.01</v>
      </c>
      <c r="R12" s="200" t="str">
        <f t="shared" ca="1" si="8"/>
        <v/>
      </c>
      <c r="S12" s="9" t="str">
        <f ca="1">IF(COUNTIF(($T$4:T11),"F")&gt;=1,"",IF(OR(C13&lt;&gt;$C$3,E12=""),"",A12))</f>
        <v/>
      </c>
      <c r="T12" s="20" t="str">
        <f t="shared" ca="1" si="1"/>
        <v/>
      </c>
      <c r="U12" s="2">
        <f ca="1">IF(IF(OP!$C$83=1,$Z11,IF(OP!$C$83=2,$AA11,IF(OP!$C$83=3,$AB11,)))+$K12-$O12-$P12-$AS12&lt;OP!$C$142,0,$AS12)</f>
        <v>0</v>
      </c>
      <c r="V12" s="9"/>
      <c r="W12" s="19">
        <f ca="1">MAX(SUM($K$4:K12),0)</f>
        <v>2000000</v>
      </c>
      <c r="X12" s="19"/>
      <c r="Y12" s="19">
        <f t="shared" ca="1" si="24"/>
        <v>1920000</v>
      </c>
      <c r="Z12" s="2">
        <f ca="1">IF(MIN($Z$4:Z11)=0,0,MAX(0,($Z11+$K12-$O12-$P12)*IF(AND(F12="F",$D$3&lt;&gt;$G$3),((1+(-J12))^(H12/MIN(G12,365))),((1+(-J12))^(1/12)))-$U12))</f>
        <v>1847540.3524434476</v>
      </c>
      <c r="AA12" s="2">
        <f ca="1">IF(MIN($AA$4:AA11)=0,0,MAX(0,($AA11+$K12-$O12-$P12)*IF(AND(F12="F",$D$3&lt;&gt;$G$3),((1+$AA$1)^(H12/MIN(G12,365))),((1+$AA$1)^(1/12)))-$U12))</f>
        <v>1920000</v>
      </c>
      <c r="AB12" s="2">
        <f ca="1">IF(MIN($AB$4:AB11)=0,0,MAX(0,($AB11+$K12-$O12-$P12)*IF(AND(F12="F",$D$3&lt;&gt;$G$3),((1+(J12))^(H12/MIN(G12,365))),((1+(J12))^(1/12)))-$U12))</f>
        <v>1991559.1196049182</v>
      </c>
      <c r="AC12" s="5"/>
      <c r="AD12" s="5"/>
      <c r="AE12" s="5"/>
      <c r="AF12" s="282">
        <f t="shared" ca="1" si="9"/>
        <v>1829065</v>
      </c>
      <c r="AG12" s="282">
        <f t="shared" ca="1" si="10"/>
        <v>1900800</v>
      </c>
      <c r="AH12" s="282">
        <f t="shared" ca="1" si="11"/>
        <v>1971644</v>
      </c>
      <c r="AI12" s="23" t="str">
        <f t="shared" ca="1" si="2"/>
        <v>1-</v>
      </c>
      <c r="AJ12" s="282" t="str">
        <f ca="1">IF(E12&gt;111,,IF(AND(OP!$C$99=1,T12="F"),Z12,IF(AND(OP!$C$99=2,COUNTIF($T$4:T12,"F")=1),OP!$C$97+IF(F12="F",OP!$C$98,0),"")))</f>
        <v/>
      </c>
      <c r="AK12" s="282" t="str">
        <f ca="1">IF(E12&gt;111,,IF(AND(OP!$D$99=1,T12="F"),AA12,IF(AND(OP!$D$99=2,COUNTIF($T$4:T12,"F")=1),OP!$D$97+IF(F12="F",OP!$D$98,0),"")))</f>
        <v/>
      </c>
      <c r="AL12" s="282" t="str">
        <f ca="1">IF(E12&gt;111,,IF(AND(OP!$E$99=1,T12="F"),AB12,IF(AND(OP!$E$99=2,COUNTIF($T$4:T12,"F")=1),OP!$E$97+IF(F12="F",OP!$E$98,0),"")))</f>
        <v/>
      </c>
      <c r="AM12" s="1" t="str">
        <f t="shared" ca="1" si="25"/>
        <v/>
      </c>
      <c r="AN12" s="1" t="str">
        <f ca="1">IF(OR(VLOOKUP($A12,MP,5,0)="月繳"),1,"")</f>
        <v/>
      </c>
      <c r="AO12" s="1">
        <f t="shared" ca="1" si="12"/>
        <v>0</v>
      </c>
      <c r="AP12" s="1" t="str">
        <f ca="1">IF(AND(A12&lt;=OP!$C$120,COUNTIF(PAY,C12)=1),1,"")</f>
        <v/>
      </c>
      <c r="AR12" s="301">
        <f ca="1">IF(繳費報酬率資料!$A$1=1,$AY12+$AZ12,$BF12+$BG12)</f>
        <v>0</v>
      </c>
      <c r="AS12" s="1">
        <f ca="1">IF(C12&lt;&gt;IF($C$3=1,12,$C$3-1),0,IF(繳費報酬率資料!$A$1&lt;&gt;1,VLOOKUP($A12,MP,8,0),IF(AND($A12&gt;=OP!$C$79,$A12&lt;=OP!$C$80),OP!$C$78,)))</f>
        <v>0</v>
      </c>
      <c r="AT12" s="298">
        <f t="shared" ca="1" si="13"/>
        <v>0</v>
      </c>
      <c r="AU12" s="298">
        <f ca="1">IF(AND(A12&lt;=OP!$C$120,COUNTIF(PAY,C12)=1),OP!$C$123,0)</f>
        <v>0</v>
      </c>
      <c r="AV12" s="298">
        <f ca="1">IF(AND(A12&gt;=OP!$C$132,A12&lt;=OP!$C$133,$C$3=C12),OP!$C$135,0)</f>
        <v>0</v>
      </c>
      <c r="AW12" s="180">
        <f t="shared" ca="1" si="26"/>
        <v>0.05</v>
      </c>
      <c r="AX12" s="180">
        <f t="shared" ca="1" si="27"/>
        <v>0.05</v>
      </c>
      <c r="AY12" s="286">
        <f t="shared" ca="1" si="14"/>
        <v>0</v>
      </c>
      <c r="AZ12" s="286">
        <f t="shared" ca="1" si="15"/>
        <v>0</v>
      </c>
      <c r="BA12" s="286">
        <f t="shared" ca="1" si="16"/>
        <v>0</v>
      </c>
      <c r="BB12" s="286">
        <f t="shared" ca="1" si="28"/>
        <v>0</v>
      </c>
      <c r="BC12" s="286">
        <f t="shared" ca="1" si="17"/>
        <v>0</v>
      </c>
      <c r="BD12" s="180">
        <f t="shared" ca="1" si="29"/>
        <v>0.05</v>
      </c>
      <c r="BE12" s="180">
        <f t="shared" ca="1" si="30"/>
        <v>0.05</v>
      </c>
      <c r="BF12" s="286">
        <f t="shared" ca="1" si="18"/>
        <v>0</v>
      </c>
      <c r="BG12" s="286">
        <f t="shared" ca="1" si="19"/>
        <v>0</v>
      </c>
      <c r="BI12" s="286">
        <f t="shared" ca="1" si="31"/>
        <v>0</v>
      </c>
      <c r="BJ12" s="286">
        <f t="shared" ca="1" si="32"/>
        <v>0</v>
      </c>
      <c r="BK12" s="286">
        <f t="shared" ca="1" si="33"/>
        <v>0</v>
      </c>
      <c r="BL12" s="286">
        <f t="shared" ca="1" si="34"/>
        <v>0</v>
      </c>
      <c r="BM12" s="286">
        <f t="shared" ca="1" si="35"/>
        <v>0</v>
      </c>
      <c r="BN12" s="286">
        <f t="shared" ca="1" si="36"/>
        <v>0</v>
      </c>
      <c r="BO12" s="286">
        <f t="shared" ca="1" si="41"/>
        <v>0</v>
      </c>
      <c r="BP12" s="286">
        <f t="shared" ca="1" si="37"/>
        <v>0</v>
      </c>
      <c r="BQ12" s="286">
        <f t="shared" ca="1" si="37"/>
        <v>0</v>
      </c>
      <c r="BR12" s="286">
        <f t="shared" ca="1" si="38"/>
        <v>0</v>
      </c>
      <c r="BS12" s="286">
        <f t="shared" ca="1" si="39"/>
        <v>0</v>
      </c>
      <c r="BT12" s="286">
        <f t="shared" ca="1" si="40"/>
        <v>0</v>
      </c>
    </row>
    <row r="13" spans="1:75">
      <c r="A13" s="1">
        <f t="shared" ca="1" si="3"/>
        <v>1</v>
      </c>
      <c r="B13" s="1">
        <f t="shared" ca="1" si="20"/>
        <v>107</v>
      </c>
      <c r="C13" s="1">
        <f t="shared" ca="1" si="21"/>
        <v>3</v>
      </c>
      <c r="D13" s="1">
        <f ca="1">MIN($D$3,VLOOKUP(C13,OP!$S$30:$T$41,2))</f>
        <v>2</v>
      </c>
      <c r="E13" s="1">
        <f t="shared" ca="1" si="4"/>
        <v>55</v>
      </c>
      <c r="F13" s="11" t="str">
        <f t="shared" ca="1" si="5"/>
        <v/>
      </c>
      <c r="G13" s="8">
        <f t="shared" ca="1" si="22"/>
        <v>365</v>
      </c>
      <c r="H13" s="8">
        <f t="shared" ca="1" si="6"/>
        <v>31</v>
      </c>
      <c r="I13" s="8" t="str">
        <f t="shared" ca="1" si="0"/>
        <v>13</v>
      </c>
      <c r="J13" s="13">
        <f>IF(繳費報酬率資料!$A$1=1,VALUE(OP!$C$121),VLOOKUP(A13,MP,2,0))</f>
        <v>0.05</v>
      </c>
      <c r="K13" s="14">
        <f ca="1">IF(SUM($K$4:K12,IF(繳費報酬率資料!$A$1=1,$AU13+$AV13,$BB13+$BC13))&gt;OP!$L$58,0,IF(繳費報酬率資料!$A$1=1,$AU13+$AV13,$BB13+$BC13))</f>
        <v>0</v>
      </c>
      <c r="L13" s="2"/>
      <c r="M13" s="2"/>
      <c r="N13" s="2"/>
      <c r="O13" s="261">
        <f t="shared" ca="1" si="7"/>
        <v>0</v>
      </c>
      <c r="P13" s="261">
        <f t="shared" ca="1" si="23"/>
        <v>0</v>
      </c>
      <c r="Q13" s="3">
        <f ca="1">IF(A13&gt;MAX(OP!$R$17:$R$26),0,VLOOKUP(A13,fees,3,FALSE))</f>
        <v>0.01</v>
      </c>
      <c r="R13" s="200" t="str">
        <f t="shared" ca="1" si="8"/>
        <v/>
      </c>
      <c r="S13" s="9" t="str">
        <f ca="1">IF(COUNTIF(($T$4:T12),"F")&gt;=1,"",IF(OR(C14&lt;&gt;$C$3,E13=""),"",A13))</f>
        <v/>
      </c>
      <c r="T13" s="20" t="str">
        <f t="shared" ca="1" si="1"/>
        <v/>
      </c>
      <c r="U13" s="2">
        <f ca="1">IF(IF(OP!$C$83=1,$Z12,IF(OP!$C$83=2,$AA12,IF(OP!$C$83=3,$AB12,)))+$K13-$O13-$P13-$AS13&lt;OP!$C$142,0,$AS13)</f>
        <v>0</v>
      </c>
      <c r="V13" s="9"/>
      <c r="W13" s="19">
        <f ca="1">MAX(SUM($K$4:K13),0)</f>
        <v>2000000</v>
      </c>
      <c r="X13" s="19"/>
      <c r="Y13" s="19">
        <f t="shared" ca="1" si="24"/>
        <v>1920000</v>
      </c>
      <c r="Z13" s="2">
        <f ca="1">IF(MIN($Z$4:Z12)=0,0,MAX(0,($Z12+$K13-$O13-$P13)*IF(AND(F13="F",$D$3&lt;&gt;$G$3),((1+(-J13))^(H13/MIN(G13,365))),((1+(-J13))^(1/12)))-$U13))</f>
        <v>1839660.0038858696</v>
      </c>
      <c r="AA13" s="2">
        <f ca="1">IF(MIN($AA$4:AA12)=0,0,MAX(0,($AA12+$K13-$O13-$P13)*IF(AND(F13="F",$D$3&lt;&gt;$G$3),((1+$AA$1)^(H13/MIN(G13,365))),((1+$AA$1)^(1/12)))-$U13))</f>
        <v>1920000</v>
      </c>
      <c r="AB13" s="2">
        <f ca="1">IF(MIN($AB$4:AB12)=0,0,MAX(0,($AB12+$K13-$O13-$P13)*IF(AND(F13="F",$D$3&lt;&gt;$G$3),((1+(J13))^(H13/MIN(G13,365))),((1+(J13))^(1/12)))-$U13))</f>
        <v>1999672.9779806423</v>
      </c>
      <c r="AC13" s="5"/>
      <c r="AD13" s="5"/>
      <c r="AE13" s="5"/>
      <c r="AF13" s="282">
        <f t="shared" ca="1" si="9"/>
        <v>1821263</v>
      </c>
      <c r="AG13" s="282">
        <f t="shared" ca="1" si="10"/>
        <v>1900800</v>
      </c>
      <c r="AH13" s="282">
        <f t="shared" ca="1" si="11"/>
        <v>1979676</v>
      </c>
      <c r="AI13" s="23" t="str">
        <f t="shared" ca="1" si="2"/>
        <v>1-</v>
      </c>
      <c r="AJ13" s="282" t="str">
        <f ca="1">IF(E13&gt;111,,IF(AND(OP!$C$99=1,T13="F"),Z13,IF(AND(OP!$C$99=2,COUNTIF($T$4:T13,"F")=1),OP!$C$97+IF(F13="F",OP!$C$98,0),"")))</f>
        <v/>
      </c>
      <c r="AK13" s="282" t="str">
        <f ca="1">IF(E13&gt;111,,IF(AND(OP!$D$99=1,T13="F"),AA13,IF(AND(OP!$D$99=2,COUNTIF($T$4:T13,"F")=1),OP!$D$97+IF(F13="F",OP!$D$98,0),"")))</f>
        <v/>
      </c>
      <c r="AL13" s="282" t="str">
        <f ca="1">IF(E13&gt;111,,IF(AND(OP!$E$99=1,T13="F"),AB13,IF(AND(OP!$E$99=2,COUNTIF($T$4:T13,"F")=1),OP!$E$97+IF(F13="F",OP!$E$98,0),"")))</f>
        <v/>
      </c>
      <c r="AM13" s="1" t="str">
        <f t="shared" ca="1" si="25"/>
        <v/>
      </c>
      <c r="AN13" s="1" t="str">
        <f ca="1">IF(OR(VLOOKUP($A13,MP,5,0)="季繳",VLOOKUP($A13,MP,5,0)="月繳"),1,"")</f>
        <v/>
      </c>
      <c r="AO13" s="1">
        <f t="shared" ca="1" si="12"/>
        <v>0</v>
      </c>
      <c r="AP13" s="1" t="str">
        <f ca="1">IF(AND(A13&lt;=OP!$C$120,COUNTIF(PAY,C13)=1),1,"")</f>
        <v/>
      </c>
      <c r="AR13" s="301">
        <f ca="1">IF(繳費報酬率資料!$A$1=1,$AY13+$AZ13,$BF13+$BG13)</f>
        <v>0</v>
      </c>
      <c r="AS13" s="1">
        <f ca="1">IF(C13&lt;&gt;IF($C$3=1,12,$C$3-1),0,IF(繳費報酬率資料!$A$1&lt;&gt;1,VLOOKUP($A13,MP,8,0),IF(AND($A13&gt;=OP!$C$79,$A13&lt;=OP!$C$80),OP!$C$78,)))</f>
        <v>0</v>
      </c>
      <c r="AT13" s="298">
        <f t="shared" ca="1" si="13"/>
        <v>0</v>
      </c>
      <c r="AU13" s="298">
        <f ca="1">IF(AND(A13&lt;=OP!$C$120,COUNTIF(PAY,C13)=1),OP!$C$123,0)</f>
        <v>0</v>
      </c>
      <c r="AV13" s="298">
        <f ca="1">IF(AND(A13&gt;=OP!$C$132,A13&lt;=OP!$C$133,$C$3=C13),OP!$C$135,0)</f>
        <v>0</v>
      </c>
      <c r="AW13" s="180">
        <f t="shared" ca="1" si="26"/>
        <v>0.05</v>
      </c>
      <c r="AX13" s="180">
        <f t="shared" ca="1" si="27"/>
        <v>0.05</v>
      </c>
      <c r="AY13" s="286">
        <f t="shared" ca="1" si="14"/>
        <v>0</v>
      </c>
      <c r="AZ13" s="286">
        <f t="shared" ca="1" si="15"/>
        <v>0</v>
      </c>
      <c r="BA13" s="286">
        <f t="shared" ca="1" si="16"/>
        <v>0</v>
      </c>
      <c r="BB13" s="286">
        <f t="shared" ca="1" si="28"/>
        <v>0</v>
      </c>
      <c r="BC13" s="286">
        <f t="shared" ca="1" si="17"/>
        <v>0</v>
      </c>
      <c r="BD13" s="180">
        <f t="shared" ca="1" si="29"/>
        <v>0.05</v>
      </c>
      <c r="BE13" s="180">
        <f t="shared" ca="1" si="30"/>
        <v>0.05</v>
      </c>
      <c r="BF13" s="286">
        <f t="shared" ca="1" si="18"/>
        <v>0</v>
      </c>
      <c r="BG13" s="286">
        <f t="shared" ca="1" si="19"/>
        <v>0</v>
      </c>
      <c r="BI13" s="286">
        <f t="shared" ca="1" si="31"/>
        <v>0</v>
      </c>
      <c r="BJ13" s="286">
        <f t="shared" ca="1" si="32"/>
        <v>0</v>
      </c>
      <c r="BK13" s="286">
        <f t="shared" ca="1" si="33"/>
        <v>0</v>
      </c>
      <c r="BL13" s="286">
        <f t="shared" ca="1" si="34"/>
        <v>0</v>
      </c>
      <c r="BM13" s="286">
        <f t="shared" ca="1" si="35"/>
        <v>0</v>
      </c>
      <c r="BN13" s="286">
        <f t="shared" ca="1" si="36"/>
        <v>0</v>
      </c>
      <c r="BO13" s="286">
        <f t="shared" ca="1" si="41"/>
        <v>0</v>
      </c>
      <c r="BP13" s="286">
        <f t="shared" ca="1" si="37"/>
        <v>0</v>
      </c>
      <c r="BQ13" s="286">
        <f t="shared" ca="1" si="37"/>
        <v>0</v>
      </c>
      <c r="BR13" s="286">
        <f t="shared" ca="1" si="38"/>
        <v>0</v>
      </c>
      <c r="BS13" s="286">
        <f t="shared" ca="1" si="39"/>
        <v>0</v>
      </c>
      <c r="BT13" s="286">
        <f t="shared" ca="1" si="40"/>
        <v>0</v>
      </c>
    </row>
    <row r="14" spans="1:75">
      <c r="A14" s="1">
        <f t="shared" ca="1" si="3"/>
        <v>1</v>
      </c>
      <c r="B14" s="1">
        <f t="shared" ca="1" si="20"/>
        <v>107</v>
      </c>
      <c r="C14" s="1">
        <f t="shared" ca="1" si="21"/>
        <v>4</v>
      </c>
      <c r="D14" s="1">
        <f ca="1">MIN($D$3,VLOOKUP(C14,OP!$S$30:$T$41,2))</f>
        <v>2</v>
      </c>
      <c r="E14" s="1">
        <f t="shared" ca="1" si="4"/>
        <v>55</v>
      </c>
      <c r="F14" s="11" t="str">
        <f t="shared" ca="1" si="5"/>
        <v/>
      </c>
      <c r="G14" s="8">
        <f t="shared" ca="1" si="22"/>
        <v>365</v>
      </c>
      <c r="H14" s="8">
        <f t="shared" ca="1" si="6"/>
        <v>30</v>
      </c>
      <c r="I14" s="8" t="str">
        <f t="shared" ca="1" si="0"/>
        <v>14</v>
      </c>
      <c r="J14" s="13">
        <f>IF(繳費報酬率資料!$A$1=1,VALUE(OP!$C$121),VLOOKUP(A14,MP,2,0))</f>
        <v>0.05</v>
      </c>
      <c r="K14" s="14">
        <f ca="1">IF(SUM($K$4:K13,IF(繳費報酬率資料!$A$1=1,$AU14+$AV14,$BB14+$BC14))&gt;OP!$L$58,0,IF(繳費報酬率資料!$A$1=1,$AU14+$AV14,$BB14+$BC14))</f>
        <v>0</v>
      </c>
      <c r="L14" s="2"/>
      <c r="M14" s="2"/>
      <c r="N14" s="2"/>
      <c r="O14" s="261">
        <f t="shared" ca="1" si="7"/>
        <v>0</v>
      </c>
      <c r="P14" s="261">
        <f t="shared" ca="1" si="23"/>
        <v>0</v>
      </c>
      <c r="Q14" s="3">
        <f ca="1">IF(A14&gt;MAX(OP!$R$17:$R$26),0,VLOOKUP(A14,fees,3,FALSE))</f>
        <v>0.01</v>
      </c>
      <c r="R14" s="200" t="str">
        <f t="shared" ca="1" si="8"/>
        <v/>
      </c>
      <c r="S14" s="9" t="str">
        <f ca="1">IF(COUNTIF(($T$4:T13),"F")&gt;=1,"",IF(OR(C15&lt;&gt;$C$3,E14=""),"",A14))</f>
        <v/>
      </c>
      <c r="T14" s="20" t="str">
        <f t="shared" ca="1" si="1"/>
        <v/>
      </c>
      <c r="U14" s="2">
        <f ca="1">IF(IF(OP!$C$83=1,$Z13,IF(OP!$C$83=2,$AA13,IF(OP!$C$83=3,$AB13,)))+$K14-$O14-$P14-$AS14&lt;OP!$C$142,0,$AS14)</f>
        <v>0</v>
      </c>
      <c r="V14" s="9"/>
      <c r="W14" s="19">
        <f ca="1">MAX(SUM($K$4:K14),0)</f>
        <v>2000000</v>
      </c>
      <c r="X14" s="19"/>
      <c r="Y14" s="19">
        <f t="shared" ca="1" si="24"/>
        <v>1920000</v>
      </c>
      <c r="Z14" s="2">
        <f ca="1">IF(MIN($Z$4:Z13)=0,0,MAX(0,($Z13+$K14-$O14-$P14)*IF(AND(F14="F",$D$3&lt;&gt;$G$3),((1+(-J14))^(H14/MIN(G14,365))),((1+(-J14))^(1/12)))-$U14))</f>
        <v>1831813.2675269679</v>
      </c>
      <c r="AA14" s="2">
        <f ca="1">IF(MIN($AA$4:AA13)=0,0,MAX(0,($AA13+$K14-$O14-$P14)*IF(AND(F14="F",$D$3&lt;&gt;$G$3),((1+$AA$1)^(H14/MIN(G14,365))),((1+$AA$1)^(1/12)))-$U14))</f>
        <v>1920000</v>
      </c>
      <c r="AB14" s="2">
        <f ca="1">IF(MIN($AB$4:AB13)=0,0,MAX(0,($AB13+$K14-$O14-$P14)*IF(AND(F14="F",$D$3&lt;&gt;$G$3),((1+(J14))^(H14/MIN(G14,365))),((1+(J14))^(1/12)))-$U14))</f>
        <v>2007819.8932197522</v>
      </c>
      <c r="AC14" s="5"/>
      <c r="AD14" s="5"/>
      <c r="AE14" s="5"/>
      <c r="AF14" s="282">
        <f t="shared" ca="1" si="9"/>
        <v>1813495</v>
      </c>
      <c r="AG14" s="282">
        <f t="shared" ca="1" si="10"/>
        <v>1900800</v>
      </c>
      <c r="AH14" s="282">
        <f t="shared" ca="1" si="11"/>
        <v>1987742</v>
      </c>
      <c r="AI14" s="23" t="str">
        <f t="shared" ca="1" si="2"/>
        <v>1-</v>
      </c>
      <c r="AJ14" s="282" t="str">
        <f ca="1">IF(E14&gt;111,,IF(AND(OP!$C$99=1,T14="F"),Z14,IF(AND(OP!$C$99=2,COUNTIF($T$4:T14,"F")=1),OP!$C$97+IF(F14="F",OP!$C$98,0),"")))</f>
        <v/>
      </c>
      <c r="AK14" s="282" t="str">
        <f ca="1">IF(E14&gt;111,,IF(AND(OP!$D$99=1,T14="F"),AA14,IF(AND(OP!$D$99=2,COUNTIF($T$4:T14,"F")=1),OP!$D$97+IF(F14="F",OP!$D$98,0),"")))</f>
        <v/>
      </c>
      <c r="AL14" s="282" t="str">
        <f ca="1">IF(E14&gt;111,,IF(AND(OP!$E$99=1,T14="F"),AB14,IF(AND(OP!$E$99=2,COUNTIF($T$4:T14,"F")=1),OP!$E$97+IF(F14="F",OP!$E$98,0),"")))</f>
        <v/>
      </c>
      <c r="AM14" s="1" t="str">
        <f t="shared" ca="1" si="25"/>
        <v/>
      </c>
      <c r="AN14" s="1" t="str">
        <f ca="1">IF(OR(VLOOKUP($A14,MP,5,0)="月繳"),1,"")</f>
        <v/>
      </c>
      <c r="AO14" s="1">
        <f t="shared" ca="1" si="12"/>
        <v>0</v>
      </c>
      <c r="AP14" s="1" t="str">
        <f ca="1">IF(AND(A14&lt;=OP!$C$120,COUNTIF(PAY,C14)=1),1,"")</f>
        <v/>
      </c>
      <c r="AR14" s="301">
        <f ca="1">IF(繳費報酬率資料!$A$1=1,$AY14+$AZ14,$BF14+$BG14)</f>
        <v>0</v>
      </c>
      <c r="AS14" s="1">
        <f ca="1">IF(C14&lt;&gt;IF($C$3=1,12,$C$3-1),0,IF(繳費報酬率資料!$A$1&lt;&gt;1,VLOOKUP($A14,MP,8,0),IF(AND($A14&gt;=OP!$C$79,$A14&lt;=OP!$C$80),OP!$C$78,)))</f>
        <v>0</v>
      </c>
      <c r="AT14" s="298">
        <f t="shared" ca="1" si="13"/>
        <v>0</v>
      </c>
      <c r="AU14" s="298">
        <f ca="1">IF(AND(A14&lt;=OP!$C$120,COUNTIF(PAY,C14)=1),OP!$C$123,0)</f>
        <v>0</v>
      </c>
      <c r="AV14" s="298">
        <f ca="1">IF(AND(A14&gt;=OP!$C$132,A14&lt;=OP!$C$133,$C$3=C14),OP!$C$135,0)</f>
        <v>0</v>
      </c>
      <c r="AW14" s="180">
        <f t="shared" ca="1" si="26"/>
        <v>0.05</v>
      </c>
      <c r="AX14" s="180">
        <f t="shared" ca="1" si="27"/>
        <v>0.05</v>
      </c>
      <c r="AY14" s="286">
        <f t="shared" ca="1" si="14"/>
        <v>0</v>
      </c>
      <c r="AZ14" s="286">
        <f t="shared" ca="1" si="15"/>
        <v>0</v>
      </c>
      <c r="BA14" s="286">
        <f t="shared" ca="1" si="16"/>
        <v>0</v>
      </c>
      <c r="BB14" s="286">
        <f t="shared" ca="1" si="28"/>
        <v>0</v>
      </c>
      <c r="BC14" s="286">
        <f t="shared" ca="1" si="17"/>
        <v>0</v>
      </c>
      <c r="BD14" s="180">
        <f t="shared" ca="1" si="29"/>
        <v>0.05</v>
      </c>
      <c r="BE14" s="180">
        <f t="shared" ca="1" si="30"/>
        <v>0.05</v>
      </c>
      <c r="BF14" s="286">
        <f t="shared" ca="1" si="18"/>
        <v>0</v>
      </c>
      <c r="BG14" s="286">
        <f t="shared" ca="1" si="19"/>
        <v>0</v>
      </c>
      <c r="BI14" s="286">
        <f t="shared" ca="1" si="31"/>
        <v>0</v>
      </c>
      <c r="BJ14" s="286">
        <f t="shared" ca="1" si="32"/>
        <v>0</v>
      </c>
      <c r="BK14" s="286">
        <f t="shared" ca="1" si="33"/>
        <v>0</v>
      </c>
      <c r="BL14" s="286">
        <f t="shared" ca="1" si="34"/>
        <v>0</v>
      </c>
      <c r="BM14" s="286">
        <f t="shared" ca="1" si="35"/>
        <v>0</v>
      </c>
      <c r="BN14" s="286">
        <f t="shared" ca="1" si="36"/>
        <v>0</v>
      </c>
      <c r="BO14" s="286">
        <f t="shared" ca="1" si="41"/>
        <v>0</v>
      </c>
      <c r="BP14" s="286">
        <f t="shared" ca="1" si="37"/>
        <v>0</v>
      </c>
      <c r="BQ14" s="286">
        <f t="shared" ca="1" si="37"/>
        <v>0</v>
      </c>
      <c r="BR14" s="286">
        <f t="shared" ca="1" si="38"/>
        <v>0</v>
      </c>
      <c r="BS14" s="286">
        <f t="shared" ca="1" si="39"/>
        <v>0</v>
      </c>
      <c r="BT14" s="286">
        <f t="shared" ca="1" si="40"/>
        <v>0</v>
      </c>
    </row>
    <row r="15" spans="1:75">
      <c r="A15" s="1">
        <f t="shared" ca="1" si="3"/>
        <v>1</v>
      </c>
      <c r="B15" s="1">
        <f t="shared" ca="1" si="20"/>
        <v>107</v>
      </c>
      <c r="C15" s="1">
        <f t="shared" ca="1" si="21"/>
        <v>5</v>
      </c>
      <c r="D15" s="1">
        <f ca="1">MIN($D$3,VLOOKUP(C15,OP!$S$30:$T$41,2))</f>
        <v>2</v>
      </c>
      <c r="E15" s="1">
        <f t="shared" ca="1" si="4"/>
        <v>55</v>
      </c>
      <c r="F15" s="11" t="str">
        <f t="shared" ca="1" si="5"/>
        <v/>
      </c>
      <c r="G15" s="8">
        <f t="shared" ca="1" si="22"/>
        <v>365</v>
      </c>
      <c r="H15" s="8">
        <f t="shared" ca="1" si="6"/>
        <v>31</v>
      </c>
      <c r="I15" s="8" t="str">
        <f t="shared" ca="1" si="0"/>
        <v>15</v>
      </c>
      <c r="J15" s="13">
        <f>IF(繳費報酬率資料!$A$1=1,VALUE(OP!$C$121),VLOOKUP(A15,MP,2,0))</f>
        <v>0.05</v>
      </c>
      <c r="K15" s="14">
        <f ca="1">IF(SUM($K$4:K14,IF(繳費報酬率資料!$A$1=1,$AU15+$AV15,$BB15+$BC15))&gt;OP!$L$58,0,IF(繳費報酬率資料!$A$1=1,$AU15+$AV15,$BB15+$BC15))</f>
        <v>0</v>
      </c>
      <c r="L15" s="2">
        <f ca="1">ROUND(IF(OP!$C$78&lt;(IF(OR($T15="F",$E15&gt;=111),0,Z14+$K15-$O15+IF($C$1=1,OP!$C$78,IF($C16=$C$3,SUM(AC4:AC15,0)))))*5%,0,(OP!$C$78-((IF(OR($T15="F",$E15&gt;=111),0,Z14+$K15-$O15+IF($C$1=1,AC15,IF($C16=$C$3,SUM(AC4:AC15,0)))))*5%))*$Q15),0)</f>
        <v>0</v>
      </c>
      <c r="M15" s="2">
        <f ca="1">ROUND(IF(OP!$C$78&lt;(IF(OR($T15="F",$E15&gt;=111),0,AA14+$K15-$O15+IF($C$1=1,AD15,IF($C16=$C$3,SUM(AD4:AD15,0)))))*5%,0,(OP!$C$78-((IF(OR($T15="F",$E15&gt;=111),0,AA14+$K15-$O15+IF($C$1=1,AD15,IF($C16=$C$3,SUM(AD4:AD15,0)))))*5%))*$Q15),0)</f>
        <v>0</v>
      </c>
      <c r="N15" s="2">
        <f ca="1">ROUND(IF(OP!$C$78&lt;(IF(OR($T15="F",$E15&gt;=111),0,AB14+$K15-$O15+IF($C$1=1,AE15,IF($C16=$C$3,SUM(AE4:AE15,0)))))*5%,0,(OP!$C$78-((IF(OR($T15="F",$E15&gt;=111),0,AB14+$K15-$O15+IF($C$1=1,AE15,IF($C16=$C$3,SUM(AE4:AE15,0)))))*5%))*$Q15),0)</f>
        <v>0</v>
      </c>
      <c r="O15" s="261">
        <f t="shared" ca="1" si="7"/>
        <v>0</v>
      </c>
      <c r="P15" s="261">
        <f t="shared" ca="1" si="23"/>
        <v>0</v>
      </c>
      <c r="Q15" s="3">
        <f ca="1">IF(A15&gt;MAX(OP!$R$17:$R$26),0,VLOOKUP(A15,fees,3,FALSE))</f>
        <v>0.01</v>
      </c>
      <c r="R15" s="200">
        <f t="shared" ca="1" si="8"/>
        <v>1</v>
      </c>
      <c r="S15" s="9">
        <f ca="1">IF(COUNTIF(($T$4:T14),"F")&gt;=1,"",IF(OR(C16&lt;&gt;$C$3,E15=""),"",A15))</f>
        <v>1</v>
      </c>
      <c r="T15" s="20" t="str">
        <f t="shared" ca="1" si="1"/>
        <v/>
      </c>
      <c r="U15" s="2">
        <f ca="1">IF(IF(OP!$C$83=1,$Z14,IF(OP!$C$83=2,$AA14,IF(OP!$C$83=3,$AB14,)))+$K15-$O15-$P15-$AS15&lt;OP!$C$142,0,$AS15)</f>
        <v>0</v>
      </c>
      <c r="V15" s="19">
        <f ca="1">SUM(K4:K15)</f>
        <v>2000000</v>
      </c>
      <c r="W15" s="19">
        <f ca="1">MAX(SUM($K$4:K15),0)</f>
        <v>2000000</v>
      </c>
      <c r="X15" s="19">
        <f ca="1">SUM(O4:P15)</f>
        <v>80000</v>
      </c>
      <c r="Y15" s="19">
        <f t="shared" ca="1" si="24"/>
        <v>1920000</v>
      </c>
      <c r="Z15" s="2">
        <f ca="1">IF(MIN($Z$4:Z14)=0,0,MAX(0,($Z14+$K15-$O15-$P15)*IF(AND(F15="F",$D$3&lt;&gt;$G$3),((1+(-J15))^(H15/MIN(G15,365))),((1+(-J15))^(1/12)))-$U15))</f>
        <v>1824000.0000000005</v>
      </c>
      <c r="AA15" s="2">
        <f ca="1">IF(MIN($AA$4:AA14)=0,0,MAX(0,($AA14+$K15-$O15-$P15)*IF(AND(F15="F",$D$3&lt;&gt;$G$3),((1+$AA$1)^(H15/MIN(G15,365))),((1+$AA$1)^(1/12)))-$U15))</f>
        <v>1920000</v>
      </c>
      <c r="AB15" s="2">
        <f ca="1">IF(MIN($AB$4:AB14)=0,0,MAX(0,($AB14+$K15-$O15-$P15)*IF(AND(F15="F",$D$3&lt;&gt;$G$3),((1+(J15))^(H15/MIN(G15,365))),((1+(J15))^(1/12)))-$U15))</f>
        <v>2016000.0000000012</v>
      </c>
      <c r="AC15" s="5"/>
      <c r="AD15" s="5"/>
      <c r="AE15" s="5"/>
      <c r="AF15" s="282">
        <f t="shared" ca="1" si="9"/>
        <v>1805760</v>
      </c>
      <c r="AG15" s="282">
        <f t="shared" ca="1" si="10"/>
        <v>1900800</v>
      </c>
      <c r="AH15" s="282">
        <f t="shared" ca="1" si="11"/>
        <v>1995840</v>
      </c>
      <c r="AI15" s="23" t="str">
        <f t="shared" ca="1" si="2"/>
        <v>2-</v>
      </c>
      <c r="AJ15" s="282" t="str">
        <f ca="1">IF(E15&gt;111,,IF(AND(OP!$C$99=1,T15="F"),Z15,IF(AND(OP!$C$99=2,COUNTIF($T$4:T15,"F")=1),OP!$C$97+IF(F15="F",OP!$C$98,0),"")))</f>
        <v/>
      </c>
      <c r="AK15" s="282" t="str">
        <f ca="1">IF(E15&gt;111,,IF(AND(OP!$D$99=1,T15="F"),AA15,IF(AND(OP!$D$99=2,COUNTIF($T$4:T15,"F")=1),OP!$D$97+IF(F15="F",OP!$D$98,0),"")))</f>
        <v/>
      </c>
      <c r="AL15" s="282" t="str">
        <f ca="1">IF(E15&gt;111,,IF(AND(OP!$E$99=1,T15="F"),AB15,IF(AND(OP!$E$99=2,COUNTIF($T$4:T15,"F")=1),OP!$E$97+IF(F15="F",OP!$E$98,0),"")))</f>
        <v/>
      </c>
      <c r="AM15" s="1" t="str">
        <f t="shared" ca="1" si="25"/>
        <v/>
      </c>
      <c r="AN15" s="1" t="str">
        <f ca="1">IF(OR(VLOOKUP($A15,MP,5,0)="月繳"),1,"")</f>
        <v/>
      </c>
      <c r="AO15" s="1">
        <f t="shared" ca="1" si="12"/>
        <v>0</v>
      </c>
      <c r="AP15" s="1" t="str">
        <f ca="1">IF(AND(A15&lt;=OP!$C$120,COUNTIF(PAY,C15)=1),1,"")</f>
        <v/>
      </c>
      <c r="AR15" s="301">
        <f ca="1">IF(繳費報酬率資料!$A$1=1,$AY15+$AZ15,$BF15+$BG15)</f>
        <v>0</v>
      </c>
      <c r="AS15" s="1">
        <f ca="1">IF(C15&lt;&gt;IF($C$3=1,12,$C$3-1),0,IF(繳費報酬率資料!$A$1&lt;&gt;1,VLOOKUP($A15,MP,8,0),IF(AND($A15&gt;=OP!$C$79,$A15&lt;=OP!$C$80),OP!$C$78,)))</f>
        <v>0</v>
      </c>
      <c r="AT15" s="298">
        <f t="shared" ca="1" si="13"/>
        <v>0</v>
      </c>
      <c r="AU15" s="298">
        <f ca="1">IF(AND(A15&lt;=OP!$C$120,COUNTIF(PAY,C15)=1),OP!$C$123,0)</f>
        <v>0</v>
      </c>
      <c r="AV15" s="298">
        <f ca="1">IF(AND(A15&gt;=OP!$C$132,A15&lt;=OP!$C$133,$C$3=C15),OP!$C$135,0)</f>
        <v>0</v>
      </c>
      <c r="AW15" s="180">
        <f t="shared" ca="1" si="26"/>
        <v>0.05</v>
      </c>
      <c r="AX15" s="180">
        <f t="shared" ca="1" si="27"/>
        <v>0.05</v>
      </c>
      <c r="AY15" s="286">
        <f t="shared" ca="1" si="14"/>
        <v>0</v>
      </c>
      <c r="AZ15" s="286">
        <f t="shared" ca="1" si="15"/>
        <v>0</v>
      </c>
      <c r="BA15" s="286">
        <f t="shared" ca="1" si="16"/>
        <v>0</v>
      </c>
      <c r="BB15" s="286">
        <f t="shared" ca="1" si="28"/>
        <v>0</v>
      </c>
      <c r="BC15" s="286">
        <f t="shared" ca="1" si="17"/>
        <v>0</v>
      </c>
      <c r="BD15" s="180">
        <f t="shared" ca="1" si="29"/>
        <v>0.05</v>
      </c>
      <c r="BE15" s="180">
        <f ca="1">HLOOKUP(IF($BC15&lt;$AY$1,1,IF(AND($BC15&gt;=$AY$1,$BC15&lt;$AZ$1),2,IF(AND($BC15&gt;=$AZ$1,$BC15&lt;$BA$1),3,IF(AND($BC15&gt;=$BA$1),4,1)))),PR,2,0)</f>
        <v>0.05</v>
      </c>
      <c r="BF15" s="286">
        <f t="shared" ca="1" si="18"/>
        <v>0</v>
      </c>
      <c r="BG15" s="286">
        <f t="shared" ca="1" si="19"/>
        <v>0</v>
      </c>
      <c r="BI15" s="286">
        <f t="shared" ca="1" si="31"/>
        <v>0</v>
      </c>
      <c r="BJ15" s="286">
        <f t="shared" ca="1" si="32"/>
        <v>0</v>
      </c>
      <c r="BK15" s="286">
        <f t="shared" ca="1" si="33"/>
        <v>0</v>
      </c>
      <c r="BL15" s="286">
        <f t="shared" ca="1" si="34"/>
        <v>0</v>
      </c>
      <c r="BM15" s="286">
        <f t="shared" ca="1" si="35"/>
        <v>0</v>
      </c>
      <c r="BN15" s="286">
        <f t="shared" ca="1" si="36"/>
        <v>0</v>
      </c>
      <c r="BO15" s="286">
        <f t="shared" ca="1" si="41"/>
        <v>0</v>
      </c>
      <c r="BP15" s="286">
        <f t="shared" ca="1" si="37"/>
        <v>0</v>
      </c>
      <c r="BQ15" s="286">
        <f t="shared" ca="1" si="37"/>
        <v>0</v>
      </c>
      <c r="BR15" s="286">
        <f t="shared" ca="1" si="38"/>
        <v>0</v>
      </c>
      <c r="BS15" s="286">
        <f t="shared" ca="1" si="39"/>
        <v>0</v>
      </c>
      <c r="BT15" s="286">
        <f t="shared" ca="1" si="40"/>
        <v>0</v>
      </c>
      <c r="BU15" s="286">
        <f ca="1">SUM(BR4:BR15)</f>
        <v>0</v>
      </c>
      <c r="BV15" s="286">
        <f ca="1">SUM(BS4:BS15)</f>
        <v>0</v>
      </c>
      <c r="BW15" s="286">
        <f ca="1">SUM(BT4:BT15)</f>
        <v>0</v>
      </c>
    </row>
    <row r="16" spans="1:75">
      <c r="A16" s="4">
        <f t="shared" ca="1" si="3"/>
        <v>2</v>
      </c>
      <c r="B16" s="1">
        <f t="shared" ca="1" si="20"/>
        <v>107</v>
      </c>
      <c r="C16" s="1">
        <f t="shared" ca="1" si="21"/>
        <v>6</v>
      </c>
      <c r="D16" s="1">
        <f ca="1">MIN($D$3,VLOOKUP(C16,OP!$S$30:$T$41,2))</f>
        <v>2</v>
      </c>
      <c r="E16" s="1">
        <f t="shared" ca="1" si="4"/>
        <v>56</v>
      </c>
      <c r="F16" s="11" t="str">
        <f t="shared" ca="1" si="5"/>
        <v/>
      </c>
      <c r="G16" s="6">
        <f ca="1">DATEDIF(DATE(B16+1911,C16,D16),DATE(B28+1911,C28,D28),"d")</f>
        <v>365</v>
      </c>
      <c r="H16" s="8">
        <f t="shared" ca="1" si="6"/>
        <v>30</v>
      </c>
      <c r="I16" s="8" t="str">
        <f t="shared" ca="1" si="0"/>
        <v>26</v>
      </c>
      <c r="J16" s="13">
        <f>IF(繳費報酬率資料!$A$1=1,VALUE(OP!$C$121),VLOOKUP(A16,MP,2,0))</f>
        <v>0.05</v>
      </c>
      <c r="K16" s="14">
        <f ca="1">IF(SUM($K$4:K15,IF(繳費報酬率資料!$A$1=1,$AU16+$AV16,$BB16+$BC16))&gt;OP!$L$58,0,IF(繳費報酬率資料!$A$1=1,$AU16+$AV16,$BB16+$BC16))</f>
        <v>0</v>
      </c>
      <c r="L16" s="2"/>
      <c r="M16" s="2"/>
      <c r="N16" s="2"/>
      <c r="O16" s="261">
        <f t="shared" ca="1" si="7"/>
        <v>0</v>
      </c>
      <c r="P16" s="261">
        <f ca="1">IF(MAX(Z15:AB15)=0,0,P15)</f>
        <v>0</v>
      </c>
      <c r="Q16" s="3">
        <f ca="1">IF(A16&gt;MAX(OP!$R$17:$R$26),0,VLOOKUP(A16,fees,3,FALSE))</f>
        <v>0</v>
      </c>
      <c r="R16" s="200" t="str">
        <f t="shared" ca="1" si="8"/>
        <v/>
      </c>
      <c r="S16" s="9" t="str">
        <f ca="1">IF(COUNTIF(($T$4:T15),"F")&gt;=1,"",IF(OR(C17&lt;&gt;$C$3,E16=""),"",A16))</f>
        <v/>
      </c>
      <c r="T16" s="20" t="str">
        <f t="shared" ca="1" si="1"/>
        <v/>
      </c>
      <c r="U16" s="2">
        <f ca="1">IF(IF(OP!$C$83=1,$Z15,IF(OP!$C$83=2,$AA15,IF(OP!$C$83=3,$AB15,)))+$K16-$O16-$P16-$AS16&lt;OP!$C$142,0,$AS16)</f>
        <v>0</v>
      </c>
      <c r="V16" s="9"/>
      <c r="W16" s="19">
        <f ca="1">MAX(SUM($K$4:K16),0)</f>
        <v>2000000</v>
      </c>
      <c r="X16" s="19"/>
      <c r="Y16" s="19">
        <f t="shared" ca="1" si="24"/>
        <v>1920000</v>
      </c>
      <c r="Z16" s="2">
        <f ca="1">IF(MIN($Z$4:Z15)=0,0,MAX(0,($Z15+$K16-$O16-$P16)*IF(AND(F16="F",$D$3&lt;&gt;$G$3),((1+(-J16))^(H16/MIN(G16,365))),((1+(-J16))^(1/12)))-$U16))</f>
        <v>1816220.0585497299</v>
      </c>
      <c r="AA16" s="2">
        <f ca="1">IF(MIN($AA$4:AA15)=0,0,MAX(0,($AA15+$K16-$O16-$P16)*IF(AND(F16="F",$D$3&lt;&gt;$G$3),((1+$AA$1)^(H16/MIN(G16,365))),((1+$AA$1)^(1/12)))-$U16))</f>
        <v>1920000</v>
      </c>
      <c r="AB16" s="2">
        <f ca="1">IF(MIN($AB$4:AB15)=0,0,MAX(0,($AB15+$K16-$O16-$P16)*IF(AND(F16="F",$D$3&lt;&gt;$G$3),((1+(J16))^(H16/MIN(G16,365))),((1+(J16))^(1/12)))-$U16))</f>
        <v>2024213.4335478363</v>
      </c>
      <c r="AC16" s="21"/>
      <c r="AD16" s="21"/>
      <c r="AE16" s="21"/>
      <c r="AF16" s="282">
        <f t="shared" ca="1" si="9"/>
        <v>1816220</v>
      </c>
      <c r="AG16" s="282">
        <f t="shared" ca="1" si="10"/>
        <v>1920000</v>
      </c>
      <c r="AH16" s="282">
        <f t="shared" ca="1" si="11"/>
        <v>2024213</v>
      </c>
      <c r="AI16" s="23" t="str">
        <f t="shared" ca="1" si="2"/>
        <v>2-</v>
      </c>
      <c r="AJ16" s="281" t="str">
        <f ca="1">IF(E16&gt;111,,IF(AND(OP!$C$99=1,T16="F"),Z16,IF(AND(OP!$C$99=2,COUNTIF($T$4:T16,"F")=1),OP!$C$97+IF(F16="F",OP!$C$98,0),"")))</f>
        <v/>
      </c>
      <c r="AK16" s="281" t="str">
        <f ca="1">IF(E16&gt;111,,IF(AND(OP!$D$99=1,T16="F"),AA16,IF(AND(OP!$D$99=2,COUNTIF($T$4:T16,"F")=1),OP!$D$97+IF(F16="F",OP!$D$98,0),"")))</f>
        <v/>
      </c>
      <c r="AL16" s="281" t="str">
        <f ca="1">IF(E16&gt;111,,IF(AND(OP!$E$99=1,T16="F"),AB16,IF(AND(OP!$E$99=2,COUNTIF($T$4:T16,"F")=1),OP!$E$97+IF(F16="F",OP!$E$98,0),"")))</f>
        <v/>
      </c>
      <c r="AM16" s="1" t="str">
        <f t="shared" ca="1" si="25"/>
        <v/>
      </c>
      <c r="AN16" s="1">
        <f ca="1">IF(OR(VLOOKUP($A16,MP,5,0)="年繳",VLOOKUP($A16,MP,5,0)="半年繳",VLOOKUP($A16,MP,5,0)="季繳",VLOOKUP($A16,MP,5,0)="月繳"),1,"")</f>
        <v>1</v>
      </c>
      <c r="AO16" s="1">
        <f t="shared" ca="1" si="12"/>
        <v>0</v>
      </c>
      <c r="AP16" s="1" t="str">
        <f ca="1">IF(AND(A16&lt;=OP!$C$120,COUNTIF(PAY,C16)=1),1,"")</f>
        <v/>
      </c>
      <c r="AR16" s="301">
        <f ca="1">IF(繳費報酬率資料!$A$1=1,$AY16+$AZ16,$BF16+$BG16)</f>
        <v>0</v>
      </c>
      <c r="AS16" s="1">
        <f ca="1">IF(C16&lt;&gt;IF($C$3=1,12,$C$3-1),0,IF(繳費報酬率資料!$A$1&lt;&gt;1,VLOOKUP($A16,MP,8,0),IF(AND($A16&gt;=OP!$C$79,$A16&lt;=OP!$C$80),OP!$C$78,)))</f>
        <v>0</v>
      </c>
      <c r="AT16" s="298">
        <f t="shared" ca="1" si="13"/>
        <v>0</v>
      </c>
      <c r="AU16" s="298">
        <f ca="1">IF(AND(A16&lt;=OP!$C$120,COUNTIF(PAY,C16)=1),OP!$C$123,0)</f>
        <v>0</v>
      </c>
      <c r="AV16" s="298">
        <f ca="1">IF(AND(A16&gt;=OP!$C$132,A16&lt;=OP!$C$133,$C$3=C16),OP!$C$135,0)</f>
        <v>0</v>
      </c>
      <c r="AW16" s="180">
        <f t="shared" ca="1" si="26"/>
        <v>0.05</v>
      </c>
      <c r="AX16" s="180">
        <f t="shared" ca="1" si="27"/>
        <v>0.05</v>
      </c>
      <c r="AY16" s="286">
        <f t="shared" ca="1" si="14"/>
        <v>0</v>
      </c>
      <c r="AZ16" s="286">
        <f t="shared" ca="1" si="15"/>
        <v>0</v>
      </c>
      <c r="BA16" s="286">
        <f t="shared" ca="1" si="16"/>
        <v>0</v>
      </c>
      <c r="BB16" s="286">
        <f t="shared" ca="1" si="28"/>
        <v>0</v>
      </c>
      <c r="BC16" s="286">
        <f t="shared" ca="1" si="17"/>
        <v>0</v>
      </c>
      <c r="BD16" s="180">
        <f t="shared" ca="1" si="29"/>
        <v>0.05</v>
      </c>
      <c r="BE16" s="180">
        <f t="shared" ca="1" si="30"/>
        <v>0.05</v>
      </c>
      <c r="BF16" s="286">
        <f t="shared" ca="1" si="18"/>
        <v>0</v>
      </c>
      <c r="BG16" s="286">
        <f t="shared" ca="1" si="19"/>
        <v>0</v>
      </c>
      <c r="BI16" s="286">
        <f t="shared" ca="1" si="31"/>
        <v>0</v>
      </c>
      <c r="BJ16" s="286">
        <f t="shared" ca="1" si="32"/>
        <v>0</v>
      </c>
      <c r="BK16" s="286">
        <f t="shared" ca="1" si="33"/>
        <v>0</v>
      </c>
      <c r="BL16" s="286">
        <f t="shared" ca="1" si="34"/>
        <v>0</v>
      </c>
      <c r="BM16" s="286">
        <f t="shared" ca="1" si="35"/>
        <v>0</v>
      </c>
      <c r="BN16" s="286">
        <f t="shared" ca="1" si="36"/>
        <v>0</v>
      </c>
      <c r="BO16" s="286">
        <f t="shared" ca="1" si="41"/>
        <v>0</v>
      </c>
      <c r="BP16" s="286">
        <f t="shared" ca="1" si="37"/>
        <v>0</v>
      </c>
      <c r="BQ16" s="286">
        <f t="shared" ca="1" si="37"/>
        <v>0</v>
      </c>
      <c r="BR16" s="286">
        <f t="shared" ca="1" si="38"/>
        <v>0</v>
      </c>
      <c r="BS16" s="286">
        <f t="shared" ca="1" si="39"/>
        <v>0</v>
      </c>
      <c r="BT16" s="286">
        <f t="shared" ca="1" si="40"/>
        <v>0</v>
      </c>
    </row>
    <row r="17" spans="1:75">
      <c r="A17" s="1">
        <f t="shared" ca="1" si="3"/>
        <v>2</v>
      </c>
      <c r="B17" s="1">
        <f t="shared" ca="1" si="20"/>
        <v>107</v>
      </c>
      <c r="C17" s="1">
        <f t="shared" ca="1" si="21"/>
        <v>7</v>
      </c>
      <c r="D17" s="1">
        <f ca="1">MIN($D$3,VLOOKUP(C17,OP!$S$30:$T$41,2))</f>
        <v>2</v>
      </c>
      <c r="E17" s="1">
        <f t="shared" ca="1" si="4"/>
        <v>56</v>
      </c>
      <c r="F17" s="11" t="str">
        <f t="shared" ca="1" si="5"/>
        <v/>
      </c>
      <c r="G17" s="8">
        <f t="shared" ref="G17:G27" ca="1" si="42">G16</f>
        <v>365</v>
      </c>
      <c r="H17" s="8">
        <f t="shared" ca="1" si="6"/>
        <v>31</v>
      </c>
      <c r="I17" s="8" t="str">
        <f t="shared" ca="1" si="0"/>
        <v>27</v>
      </c>
      <c r="J17" s="13">
        <f>IF(繳費報酬率資料!$A$1=1,VALUE(OP!$C$121),VLOOKUP(A17,MP,2,0))</f>
        <v>0.05</v>
      </c>
      <c r="K17" s="14">
        <f ca="1">IF(SUM($K$4:K16,IF(繳費報酬率資料!$A$1=1,$AU17+$AV17,$BB17+$BC17))&gt;OP!$L$58,0,IF(繳費報酬率資料!$A$1=1,$AU17+$AV17,$BB17+$BC17))</f>
        <v>0</v>
      </c>
      <c r="L17" s="2"/>
      <c r="M17" s="2"/>
      <c r="N17" s="2"/>
      <c r="O17" s="261">
        <f t="shared" ca="1" si="7"/>
        <v>0</v>
      </c>
      <c r="P17" s="261">
        <f t="shared" ca="1" si="23"/>
        <v>0</v>
      </c>
      <c r="Q17" s="3">
        <f ca="1">IF(A17&gt;MAX(OP!$R$17:$R$26),0,VLOOKUP(A17,fees,3,FALSE))</f>
        <v>0</v>
      </c>
      <c r="R17" s="200" t="str">
        <f t="shared" ca="1" si="8"/>
        <v/>
      </c>
      <c r="S17" s="9" t="str">
        <f ca="1">IF(COUNTIF(($T$4:T16),"F")&gt;=1,"",IF(OR(C18&lt;&gt;$C$3,E17=""),"",A17))</f>
        <v/>
      </c>
      <c r="T17" s="20" t="str">
        <f t="shared" ca="1" si="1"/>
        <v/>
      </c>
      <c r="U17" s="2">
        <f ca="1">IF(IF(OP!$C$83=1,$Z16,IF(OP!$C$83=2,$AA16,IF(OP!$C$83=3,$AB16,)))+$K17-$O17-$P17-$AS17&lt;OP!$C$142,0,$AS17)</f>
        <v>0</v>
      </c>
      <c r="V17" s="9"/>
      <c r="W17" s="19">
        <f ca="1">MAX(SUM($K$4:K17),0)</f>
        <v>2000000</v>
      </c>
      <c r="X17" s="19"/>
      <c r="Y17" s="19">
        <f t="shared" ca="1" si="24"/>
        <v>1920000</v>
      </c>
      <c r="Z17" s="2">
        <f ca="1">IF(MIN($Z$4:Z16)=0,0,MAX(0,($Z16+$K17-$O17-$P17)*IF(AND(F17="F",$D$3&lt;&gt;$G$3),((1+(-J17))^(H17/MIN(G17,365))),((1+(-J17))^(1/12)))-$U17))</f>
        <v>1808473.3010298153</v>
      </c>
      <c r="AA17" s="2">
        <f ca="1">IF(MIN($AA$4:AA16)=0,0,MAX(0,($AA16+$K17-$O17-$P17)*IF(AND(F17="F",$D$3&lt;&gt;$G$3),((1+$AA$1)^(H17/MIN(G17,365))),((1+$AA$1)^(1/12)))-$U17))</f>
        <v>1920000</v>
      </c>
      <c r="AB17" s="2">
        <f ca="1">IF(MIN($AB$4:AB16)=0,0,MAX(0,($AB16+$K17-$O17-$P17)*IF(AND(F17="F",$D$3&lt;&gt;$G$3),((1+(J17))^(H17/MIN(G17,365))),((1+(J17))^(1/12)))-$U17))</f>
        <v>2032460.3296406339</v>
      </c>
      <c r="AC17" s="5"/>
      <c r="AD17" s="5"/>
      <c r="AE17" s="5"/>
      <c r="AF17" s="282">
        <f t="shared" ca="1" si="9"/>
        <v>1808473</v>
      </c>
      <c r="AG17" s="282">
        <f t="shared" ca="1" si="10"/>
        <v>1920000</v>
      </c>
      <c r="AH17" s="282">
        <f t="shared" ca="1" si="11"/>
        <v>2032460</v>
      </c>
      <c r="AI17" s="23" t="str">
        <f t="shared" ca="1" si="2"/>
        <v>2-</v>
      </c>
      <c r="AJ17" s="282" t="str">
        <f ca="1">IF(E17&gt;111,,IF(AND(OP!$C$99=1,T17="F"),Z17,IF(AND(OP!$C$99=2,COUNTIF($T$4:T17,"F")=1),OP!$C$97+IF(F17="F",OP!$C$98,0),"")))</f>
        <v/>
      </c>
      <c r="AK17" s="282" t="str">
        <f ca="1">IF(E17&gt;111,,IF(AND(OP!$D$99=1,T17="F"),AA17,IF(AND(OP!$D$99=2,COUNTIF($T$4:T17,"F")=1),OP!$D$97+IF(F17="F",OP!$D$98,0),"")))</f>
        <v/>
      </c>
      <c r="AL17" s="282" t="str">
        <f ca="1">IF(E17&gt;111,,IF(AND(OP!$E$99=1,T17="F"),AB17,IF(AND(OP!$E$99=2,COUNTIF($T$4:T17,"F")=1),OP!$E$97+IF(F17="F",OP!$E$98,0),"")))</f>
        <v/>
      </c>
      <c r="AM17" s="1" t="str">
        <f t="shared" ca="1" si="25"/>
        <v/>
      </c>
      <c r="AN17" s="1" t="str">
        <f ca="1">IF(OR(VLOOKUP($A17,MP,5,0)="月繳"),1,"")</f>
        <v/>
      </c>
      <c r="AO17" s="1">
        <f t="shared" ca="1" si="12"/>
        <v>0</v>
      </c>
      <c r="AP17" s="1" t="str">
        <f ca="1">IF(AND(A17&lt;=OP!$C$120,COUNTIF(PAY,C17)=1),1,"")</f>
        <v/>
      </c>
      <c r="AR17" s="301">
        <f ca="1">IF(繳費報酬率資料!$A$1=1,$AY17+$AZ17,$BF17+$BG17)</f>
        <v>0</v>
      </c>
      <c r="AS17" s="1">
        <f ca="1">IF(C17&lt;&gt;IF($C$3=1,12,$C$3-1),0,IF(繳費報酬率資料!$A$1&lt;&gt;1,VLOOKUP($A17,MP,8,0),IF(AND($A17&gt;=OP!$C$79,$A17&lt;=OP!$C$80),OP!$C$78,)))</f>
        <v>0</v>
      </c>
      <c r="AT17" s="298">
        <f t="shared" ca="1" si="13"/>
        <v>0</v>
      </c>
      <c r="AU17" s="298">
        <f ca="1">IF(AND(A17&lt;=OP!$C$120,COUNTIF(PAY,C17)=1),OP!$C$123,0)</f>
        <v>0</v>
      </c>
      <c r="AV17" s="298">
        <f ca="1">IF(AND(A17&gt;=OP!$C$132,A17&lt;=OP!$C$133,$C$3=C17),OP!$C$135,0)</f>
        <v>0</v>
      </c>
      <c r="AW17" s="180">
        <f t="shared" ca="1" si="26"/>
        <v>0.05</v>
      </c>
      <c r="AX17" s="180">
        <f t="shared" ca="1" si="27"/>
        <v>0.05</v>
      </c>
      <c r="AY17" s="286">
        <f t="shared" ca="1" si="14"/>
        <v>0</v>
      </c>
      <c r="AZ17" s="286">
        <f t="shared" ca="1" si="15"/>
        <v>0</v>
      </c>
      <c r="BA17" s="286">
        <f t="shared" ca="1" si="16"/>
        <v>0</v>
      </c>
      <c r="BB17" s="286">
        <f t="shared" ca="1" si="28"/>
        <v>0</v>
      </c>
      <c r="BC17" s="286">
        <f t="shared" ca="1" si="17"/>
        <v>0</v>
      </c>
      <c r="BD17" s="180">
        <f t="shared" ca="1" si="29"/>
        <v>0.05</v>
      </c>
      <c r="BE17" s="180">
        <f t="shared" ca="1" si="30"/>
        <v>0.05</v>
      </c>
      <c r="BF17" s="286">
        <f t="shared" ca="1" si="18"/>
        <v>0</v>
      </c>
      <c r="BG17" s="286">
        <f t="shared" ca="1" si="19"/>
        <v>0</v>
      </c>
      <c r="BI17" s="286">
        <f t="shared" ca="1" si="31"/>
        <v>0</v>
      </c>
      <c r="BJ17" s="286">
        <f t="shared" ca="1" si="32"/>
        <v>0</v>
      </c>
      <c r="BK17" s="286">
        <f t="shared" ca="1" si="33"/>
        <v>0</v>
      </c>
      <c r="BL17" s="286">
        <f t="shared" ca="1" si="34"/>
        <v>0</v>
      </c>
      <c r="BM17" s="286">
        <f t="shared" ca="1" si="35"/>
        <v>0</v>
      </c>
      <c r="BN17" s="286">
        <f t="shared" ca="1" si="36"/>
        <v>0</v>
      </c>
      <c r="BO17" s="286">
        <f t="shared" ca="1" si="41"/>
        <v>0</v>
      </c>
      <c r="BP17" s="286">
        <f t="shared" ca="1" si="37"/>
        <v>0</v>
      </c>
      <c r="BQ17" s="286">
        <f t="shared" ca="1" si="37"/>
        <v>0</v>
      </c>
      <c r="BR17" s="286">
        <f t="shared" ca="1" si="38"/>
        <v>0</v>
      </c>
      <c r="BS17" s="286">
        <f t="shared" ca="1" si="39"/>
        <v>0</v>
      </c>
      <c r="BT17" s="286">
        <f t="shared" ca="1" si="40"/>
        <v>0</v>
      </c>
    </row>
    <row r="18" spans="1:75">
      <c r="A18" s="1">
        <f t="shared" ca="1" si="3"/>
        <v>2</v>
      </c>
      <c r="B18" s="1">
        <f t="shared" ca="1" si="20"/>
        <v>107</v>
      </c>
      <c r="C18" s="1">
        <f t="shared" ca="1" si="21"/>
        <v>8</v>
      </c>
      <c r="D18" s="1">
        <f ca="1">MIN($D$3,VLOOKUP(C18,OP!$S$30:$T$41,2))</f>
        <v>2</v>
      </c>
      <c r="E18" s="1">
        <f t="shared" ca="1" si="4"/>
        <v>56</v>
      </c>
      <c r="F18" s="11" t="str">
        <f t="shared" ca="1" si="5"/>
        <v/>
      </c>
      <c r="G18" s="8">
        <f t="shared" ca="1" si="42"/>
        <v>365</v>
      </c>
      <c r="H18" s="8">
        <f t="shared" ca="1" si="6"/>
        <v>31</v>
      </c>
      <c r="I18" s="8" t="str">
        <f t="shared" ca="1" si="0"/>
        <v>28</v>
      </c>
      <c r="J18" s="13">
        <f>IF(繳費報酬率資料!$A$1=1,VALUE(OP!$C$121),VLOOKUP(A18,MP,2,0))</f>
        <v>0.05</v>
      </c>
      <c r="K18" s="14">
        <f ca="1">IF(SUM($K$4:K17,IF(繳費報酬率資料!$A$1=1,$AU18+$AV18,$BB18+$BC18))&gt;OP!$L$58,0,IF(繳費報酬率資料!$A$1=1,$AU18+$AV18,$BB18+$BC18))</f>
        <v>0</v>
      </c>
      <c r="L18" s="2"/>
      <c r="M18" s="2"/>
      <c r="N18" s="2"/>
      <c r="O18" s="261">
        <f t="shared" ca="1" si="7"/>
        <v>0</v>
      </c>
      <c r="P18" s="261">
        <f t="shared" ca="1" si="23"/>
        <v>0</v>
      </c>
      <c r="Q18" s="3">
        <f ca="1">IF(A18&gt;MAX(OP!$R$17:$R$26),0,VLOOKUP(A18,fees,3,FALSE))</f>
        <v>0</v>
      </c>
      <c r="R18" s="200" t="str">
        <f t="shared" ca="1" si="8"/>
        <v/>
      </c>
      <c r="S18" s="9" t="str">
        <f ca="1">IF(COUNTIF(($T$4:T17),"F")&gt;=1,"",IF(OR(C19&lt;&gt;$C$3,E18=""),"",A18))</f>
        <v/>
      </c>
      <c r="T18" s="20" t="str">
        <f t="shared" ca="1" si="1"/>
        <v/>
      </c>
      <c r="U18" s="2">
        <f ca="1">IF(IF(OP!$C$83=1,$Z17,IF(OP!$C$83=2,$AA17,IF(OP!$C$83=3,$AB17,)))+$K18-$O18-$P18-$AS18&lt;OP!$C$142,0,$AS18)</f>
        <v>0</v>
      </c>
      <c r="V18" s="9"/>
      <c r="W18" s="19">
        <f ca="1">MAX(SUM($K$4:K18),0)</f>
        <v>2000000</v>
      </c>
      <c r="X18" s="19"/>
      <c r="Y18" s="19">
        <f t="shared" ca="1" si="24"/>
        <v>1920000</v>
      </c>
      <c r="Z18" s="2">
        <f ca="1">IF(MIN($Z$4:Z17)=0,0,MAX(0,($Z17+$K18-$O18-$P18)*IF(AND(F18="F",$D$3&lt;&gt;$G$3),((1+(-J18))^(H18/MIN(G18,365))),((1+(-J18))^(1/12)))-$U18))</f>
        <v>1800759.5859002159</v>
      </c>
      <c r="AA18" s="2">
        <f ca="1">IF(MIN($AA$4:AA17)=0,0,MAX(0,($AA17+$K18-$O18-$P18)*IF(AND(F18="F",$D$3&lt;&gt;$G$3),((1+$AA$1)^(H18/MIN(G18,365))),((1+$AA$1)^(1/12)))-$U18))</f>
        <v>1920000</v>
      </c>
      <c r="AB18" s="2">
        <f ca="1">IF(MIN($AB$4:AB17)=0,0,MAX(0,($AB17+$K18-$O18-$P18)*IF(AND(F18="F",$D$3&lt;&gt;$G$3),((1+(J18))^(H18/MIN(G18,365))),((1+(J18))^(1/12)))-$U18))</f>
        <v>2040740.8246089446</v>
      </c>
      <c r="AC18" s="5"/>
      <c r="AD18" s="5"/>
      <c r="AE18" s="5"/>
      <c r="AF18" s="282">
        <f t="shared" ca="1" si="9"/>
        <v>1800760</v>
      </c>
      <c r="AG18" s="282">
        <f t="shared" ca="1" si="10"/>
        <v>1920000</v>
      </c>
      <c r="AH18" s="282">
        <f t="shared" ca="1" si="11"/>
        <v>2040741</v>
      </c>
      <c r="AI18" s="23" t="str">
        <f t="shared" ca="1" si="2"/>
        <v>2-</v>
      </c>
      <c r="AJ18" s="282" t="str">
        <f ca="1">IF(E18&gt;111,,IF(AND(OP!$C$99=1,T18="F"),Z18,IF(AND(OP!$C$99=2,COUNTIF($T$4:T18,"F")=1),OP!$C$97+IF(F18="F",OP!$C$98,0),"")))</f>
        <v/>
      </c>
      <c r="AK18" s="282" t="str">
        <f ca="1">IF(E18&gt;111,,IF(AND(OP!$D$99=1,T18="F"),AA18,IF(AND(OP!$D$99=2,COUNTIF($T$4:T18,"F")=1),OP!$D$97+IF(F18="F",OP!$D$98,0),"")))</f>
        <v/>
      </c>
      <c r="AL18" s="282" t="str">
        <f ca="1">IF(E18&gt;111,,IF(AND(OP!$E$99=1,T18="F"),AB18,IF(AND(OP!$E$99=2,COUNTIF($T$4:T18,"F")=1),OP!$E$97+IF(F18="F",OP!$E$98,0),"")))</f>
        <v/>
      </c>
      <c r="AM18" s="1" t="str">
        <f t="shared" ca="1" si="25"/>
        <v/>
      </c>
      <c r="AN18" s="1" t="str">
        <f ca="1">IF(OR(VLOOKUP($A18,MP,5,0)="月繳"),1,"")</f>
        <v/>
      </c>
      <c r="AO18" s="1">
        <f t="shared" ca="1" si="12"/>
        <v>0</v>
      </c>
      <c r="AP18" s="1" t="str">
        <f ca="1">IF(AND(A18&lt;=OP!$C$120,COUNTIF(PAY,C18)=1),1,"")</f>
        <v/>
      </c>
      <c r="AR18" s="301">
        <f ca="1">IF(繳費報酬率資料!$A$1=1,$AY18+$AZ18,$BF18+$BG18)</f>
        <v>0</v>
      </c>
      <c r="AS18" s="1">
        <f ca="1">IF(C18&lt;&gt;IF($C$3=1,12,$C$3-1),0,IF(繳費報酬率資料!$A$1&lt;&gt;1,VLOOKUP($A18,MP,8,0),IF(AND($A18&gt;=OP!$C$79,$A18&lt;=OP!$C$80),OP!$C$78,)))</f>
        <v>0</v>
      </c>
      <c r="AT18" s="298">
        <f t="shared" ca="1" si="13"/>
        <v>0</v>
      </c>
      <c r="AU18" s="298">
        <f ca="1">IF(AND(A18&lt;=OP!$C$120,COUNTIF(PAY,C18)=1),OP!$C$123,0)</f>
        <v>0</v>
      </c>
      <c r="AV18" s="298">
        <f ca="1">IF(AND(A18&gt;=OP!$C$132,A18&lt;=OP!$C$133,$C$3=C18),OP!$C$135,0)</f>
        <v>0</v>
      </c>
      <c r="AW18" s="180">
        <f t="shared" ca="1" si="26"/>
        <v>0.05</v>
      </c>
      <c r="AX18" s="180">
        <f t="shared" ca="1" si="27"/>
        <v>0.05</v>
      </c>
      <c r="AY18" s="286">
        <f t="shared" ca="1" si="14"/>
        <v>0</v>
      </c>
      <c r="AZ18" s="286">
        <f t="shared" ca="1" si="15"/>
        <v>0</v>
      </c>
      <c r="BA18" s="286">
        <f t="shared" ca="1" si="16"/>
        <v>0</v>
      </c>
      <c r="BB18" s="286">
        <f t="shared" ca="1" si="28"/>
        <v>0</v>
      </c>
      <c r="BC18" s="286">
        <f t="shared" ca="1" si="17"/>
        <v>0</v>
      </c>
      <c r="BD18" s="180">
        <f t="shared" ca="1" si="29"/>
        <v>0.05</v>
      </c>
      <c r="BE18" s="180">
        <f t="shared" ca="1" si="30"/>
        <v>0.05</v>
      </c>
      <c r="BF18" s="286">
        <f t="shared" ca="1" si="18"/>
        <v>0</v>
      </c>
      <c r="BG18" s="286">
        <f t="shared" ca="1" si="19"/>
        <v>0</v>
      </c>
      <c r="BI18" s="286">
        <f t="shared" ca="1" si="31"/>
        <v>0</v>
      </c>
      <c r="BJ18" s="286">
        <f t="shared" ca="1" si="32"/>
        <v>0</v>
      </c>
      <c r="BK18" s="286">
        <f t="shared" ca="1" si="33"/>
        <v>0</v>
      </c>
      <c r="BL18" s="286">
        <f t="shared" ca="1" si="34"/>
        <v>0</v>
      </c>
      <c r="BM18" s="286">
        <f t="shared" ca="1" si="35"/>
        <v>0</v>
      </c>
      <c r="BN18" s="286">
        <f t="shared" ca="1" si="36"/>
        <v>0</v>
      </c>
      <c r="BO18" s="286">
        <f t="shared" ca="1" si="41"/>
        <v>0</v>
      </c>
      <c r="BP18" s="286">
        <f t="shared" ca="1" si="37"/>
        <v>0</v>
      </c>
      <c r="BQ18" s="286">
        <f t="shared" ca="1" si="37"/>
        <v>0</v>
      </c>
      <c r="BR18" s="286">
        <f t="shared" ca="1" si="38"/>
        <v>0</v>
      </c>
      <c r="BS18" s="286">
        <f t="shared" ca="1" si="39"/>
        <v>0</v>
      </c>
      <c r="BT18" s="286">
        <f t="shared" ca="1" si="40"/>
        <v>0</v>
      </c>
    </row>
    <row r="19" spans="1:75">
      <c r="A19" s="1">
        <f t="shared" ca="1" si="3"/>
        <v>2</v>
      </c>
      <c r="B19" s="1">
        <f t="shared" ca="1" si="20"/>
        <v>107</v>
      </c>
      <c r="C19" s="1">
        <f t="shared" ca="1" si="21"/>
        <v>9</v>
      </c>
      <c r="D19" s="1">
        <f ca="1">MIN($D$3,VLOOKUP(C19,OP!$S$30:$T$41,2))</f>
        <v>2</v>
      </c>
      <c r="E19" s="1">
        <f t="shared" ca="1" si="4"/>
        <v>56</v>
      </c>
      <c r="F19" s="11" t="str">
        <f t="shared" ca="1" si="5"/>
        <v/>
      </c>
      <c r="G19" s="8">
        <f t="shared" ca="1" si="42"/>
        <v>365</v>
      </c>
      <c r="H19" s="8">
        <f t="shared" ca="1" si="6"/>
        <v>30</v>
      </c>
      <c r="I19" s="8" t="str">
        <f t="shared" ca="1" si="0"/>
        <v>29</v>
      </c>
      <c r="J19" s="13">
        <f>IF(繳費報酬率資料!$A$1=1,VALUE(OP!$C$121),VLOOKUP(A19,MP,2,0))</f>
        <v>0.05</v>
      </c>
      <c r="K19" s="14">
        <f ca="1">IF(SUM($K$4:K18,IF(繳費報酬率資料!$A$1=1,$AU19+$AV19,$BB19+$BC19))&gt;OP!$L$58,0,IF(繳費報酬率資料!$A$1=1,$AU19+$AV19,$BB19+$BC19))</f>
        <v>0</v>
      </c>
      <c r="L19" s="2"/>
      <c r="M19" s="2"/>
      <c r="N19" s="2"/>
      <c r="O19" s="261">
        <f t="shared" ca="1" si="7"/>
        <v>0</v>
      </c>
      <c r="P19" s="261">
        <f t="shared" ca="1" si="23"/>
        <v>0</v>
      </c>
      <c r="Q19" s="3">
        <f ca="1">IF(A19&gt;MAX(OP!$R$17:$R$26),0,VLOOKUP(A19,fees,3,FALSE))</f>
        <v>0</v>
      </c>
      <c r="R19" s="200" t="str">
        <f t="shared" ca="1" si="8"/>
        <v/>
      </c>
      <c r="S19" s="9" t="str">
        <f ca="1">IF(COUNTIF(($T$4:T18),"F")&gt;=1,"",IF(OR(C20&lt;&gt;$C$3,E19=""),"",A19))</f>
        <v/>
      </c>
      <c r="T19" s="20" t="str">
        <f t="shared" ca="1" si="1"/>
        <v/>
      </c>
      <c r="U19" s="2">
        <f ca="1">IF(IF(OP!$C$83=1,$Z18,IF(OP!$C$83=2,$AA18,IF(OP!$C$83=3,$AB18,)))+$K19-$O19-$P19-$AS19&lt;OP!$C$142,0,$AS19)</f>
        <v>0</v>
      </c>
      <c r="V19" s="9"/>
      <c r="W19" s="19">
        <f ca="1">MAX(SUM($K$4:K19),0)</f>
        <v>2000000</v>
      </c>
      <c r="X19" s="19"/>
      <c r="Y19" s="19">
        <f t="shared" ca="1" si="24"/>
        <v>1920000</v>
      </c>
      <c r="Z19" s="2">
        <f ca="1">IF(MIN($Z$4:Z18)=0,0,MAX(0,($Z18+$K19-$O19-$P19)*IF(AND(F19="F",$D$3&lt;&gt;$G$3),((1+(-J19))^(H19/MIN(G19,365))),((1+(-J19))^(1/12)))-$U19))</f>
        <v>1793078.7722246035</v>
      </c>
      <c r="AA19" s="2">
        <f ca="1">IF(MIN($AA$4:AA18)=0,0,MAX(0,($AA18+$K19-$O19-$P19)*IF(AND(F19="F",$D$3&lt;&gt;$G$3),((1+$AA$1)^(H19/MIN(G19,365))),((1+$AA$1)^(1/12)))-$U19))</f>
        <v>1920000</v>
      </c>
      <c r="AB19" s="2">
        <f ca="1">IF(MIN($AB$4:AB18)=0,0,MAX(0,($AB18+$K19-$O19-$P19)*IF(AND(F19="F",$D$3&lt;&gt;$G$3),((1+(J19))^(H19/MIN(G19,365))),((1+(J19))^(1/12)))-$U19))</f>
        <v>2049055.0553387459</v>
      </c>
      <c r="AC19" s="5"/>
      <c r="AD19" s="5"/>
      <c r="AE19" s="5"/>
      <c r="AF19" s="282">
        <f t="shared" ca="1" si="9"/>
        <v>1793079</v>
      </c>
      <c r="AG19" s="282">
        <f t="shared" ca="1" si="10"/>
        <v>1920000</v>
      </c>
      <c r="AH19" s="282">
        <f t="shared" ca="1" si="11"/>
        <v>2049055</v>
      </c>
      <c r="AI19" s="23" t="str">
        <f t="shared" ca="1" si="2"/>
        <v>2-</v>
      </c>
      <c r="AJ19" s="282" t="str">
        <f ca="1">IF(E19&gt;111,,IF(AND(OP!$C$99=1,T19="F"),Z19,IF(AND(OP!$C$99=2,COUNTIF($T$4:T19,"F")=1),OP!$C$97+IF(F19="F",OP!$C$98,0),"")))</f>
        <v/>
      </c>
      <c r="AK19" s="282" t="str">
        <f ca="1">IF(E19&gt;111,,IF(AND(OP!$D$99=1,T19="F"),AA19,IF(AND(OP!$D$99=2,COUNTIF($T$4:T19,"F")=1),OP!$D$97+IF(F19="F",OP!$D$98,0),"")))</f>
        <v/>
      </c>
      <c r="AL19" s="282" t="str">
        <f ca="1">IF(E19&gt;111,,IF(AND(OP!$E$99=1,T19="F"),AB19,IF(AND(OP!$E$99=2,COUNTIF($T$4:T19,"F")=1),OP!$E$97+IF(F19="F",OP!$E$98,0),"")))</f>
        <v/>
      </c>
      <c r="AM19" s="1" t="str">
        <f t="shared" ca="1" si="25"/>
        <v/>
      </c>
      <c r="AN19" s="1" t="str">
        <f ca="1">IF(OR(VLOOKUP($A19,MP,5,0)="季繳",VLOOKUP($A19,MP,5,0)="月繳"),1,"")</f>
        <v/>
      </c>
      <c r="AO19" s="1">
        <f t="shared" ca="1" si="12"/>
        <v>0</v>
      </c>
      <c r="AP19" s="1" t="str">
        <f ca="1">IF(AND(A19&lt;=OP!$C$120,COUNTIF(PAY,C19)=1),1,"")</f>
        <v/>
      </c>
      <c r="AR19" s="301">
        <f ca="1">IF(繳費報酬率資料!$A$1=1,$AY19+$AZ19,$BF19+$BG19)</f>
        <v>0</v>
      </c>
      <c r="AS19" s="1">
        <f ca="1">IF(C19&lt;&gt;IF($C$3=1,12,$C$3-1),0,IF(繳費報酬率資料!$A$1&lt;&gt;1,VLOOKUP($A19,MP,8,0),IF(AND($A19&gt;=OP!$C$79,$A19&lt;=OP!$C$80),OP!$C$78,)))</f>
        <v>0</v>
      </c>
      <c r="AT19" s="298">
        <f t="shared" ca="1" si="13"/>
        <v>0</v>
      </c>
      <c r="AU19" s="298">
        <f ca="1">IF(AND(A19&lt;=OP!$C$120,COUNTIF(PAY,C19)=1),OP!$C$123,0)</f>
        <v>0</v>
      </c>
      <c r="AV19" s="298">
        <f ca="1">IF(AND(A19&gt;=OP!$C$132,A19&lt;=OP!$C$133,$C$3=C19),OP!$C$135,0)</f>
        <v>0</v>
      </c>
      <c r="AW19" s="180">
        <f t="shared" ca="1" si="26"/>
        <v>0.05</v>
      </c>
      <c r="AX19" s="180">
        <f t="shared" ca="1" si="27"/>
        <v>0.05</v>
      </c>
      <c r="AY19" s="286">
        <f t="shared" ca="1" si="14"/>
        <v>0</v>
      </c>
      <c r="AZ19" s="286">
        <f t="shared" ca="1" si="15"/>
        <v>0</v>
      </c>
      <c r="BA19" s="286">
        <f t="shared" ca="1" si="16"/>
        <v>0</v>
      </c>
      <c r="BB19" s="286">
        <f t="shared" ca="1" si="28"/>
        <v>0</v>
      </c>
      <c r="BC19" s="286">
        <f t="shared" ca="1" si="17"/>
        <v>0</v>
      </c>
      <c r="BD19" s="180">
        <f t="shared" ca="1" si="29"/>
        <v>0.05</v>
      </c>
      <c r="BE19" s="180">
        <f t="shared" ca="1" si="30"/>
        <v>0.05</v>
      </c>
      <c r="BF19" s="286">
        <f t="shared" ca="1" si="18"/>
        <v>0</v>
      </c>
      <c r="BG19" s="286">
        <f t="shared" ca="1" si="19"/>
        <v>0</v>
      </c>
      <c r="BI19" s="286">
        <f t="shared" ca="1" si="31"/>
        <v>0</v>
      </c>
      <c r="BJ19" s="286">
        <f t="shared" ca="1" si="32"/>
        <v>0</v>
      </c>
      <c r="BK19" s="286">
        <f t="shared" ca="1" si="33"/>
        <v>0</v>
      </c>
      <c r="BL19" s="286">
        <f t="shared" ca="1" si="34"/>
        <v>0</v>
      </c>
      <c r="BM19" s="286">
        <f t="shared" ca="1" si="35"/>
        <v>0</v>
      </c>
      <c r="BN19" s="286">
        <f t="shared" ca="1" si="36"/>
        <v>0</v>
      </c>
      <c r="BO19" s="286">
        <f t="shared" ca="1" si="41"/>
        <v>0</v>
      </c>
      <c r="BP19" s="286">
        <f t="shared" ca="1" si="37"/>
        <v>0</v>
      </c>
      <c r="BQ19" s="286">
        <f t="shared" ca="1" si="37"/>
        <v>0</v>
      </c>
      <c r="BR19" s="286">
        <f t="shared" ca="1" si="38"/>
        <v>0</v>
      </c>
      <c r="BS19" s="286">
        <f t="shared" ca="1" si="39"/>
        <v>0</v>
      </c>
      <c r="BT19" s="286">
        <f t="shared" ca="1" si="40"/>
        <v>0</v>
      </c>
    </row>
    <row r="20" spans="1:75">
      <c r="A20" s="1">
        <f t="shared" ca="1" si="3"/>
        <v>2</v>
      </c>
      <c r="B20" s="1">
        <f t="shared" ca="1" si="20"/>
        <v>107</v>
      </c>
      <c r="C20" s="1">
        <f t="shared" ca="1" si="21"/>
        <v>10</v>
      </c>
      <c r="D20" s="1">
        <f ca="1">MIN($D$3,VLOOKUP(C20,OP!$S$30:$T$41,2))</f>
        <v>2</v>
      </c>
      <c r="E20" s="1">
        <f t="shared" ca="1" si="4"/>
        <v>56</v>
      </c>
      <c r="F20" s="11" t="str">
        <f t="shared" ca="1" si="5"/>
        <v/>
      </c>
      <c r="G20" s="8">
        <f t="shared" ca="1" si="42"/>
        <v>365</v>
      </c>
      <c r="H20" s="8">
        <f t="shared" ca="1" si="6"/>
        <v>31</v>
      </c>
      <c r="I20" s="8" t="str">
        <f t="shared" ca="1" si="0"/>
        <v>210</v>
      </c>
      <c r="J20" s="13">
        <f>IF(繳費報酬率資料!$A$1=1,VALUE(OP!$C$121),VLOOKUP(A20,MP,2,0))</f>
        <v>0.05</v>
      </c>
      <c r="K20" s="14">
        <f ca="1">IF(SUM($K$4:K19,IF(繳費報酬率資料!$A$1=1,$AU20+$AV20,$BB20+$BC20))&gt;OP!$L$58,0,IF(繳費報酬率資料!$A$1=1,$AU20+$AV20,$BB20+$BC20))</f>
        <v>0</v>
      </c>
      <c r="L20" s="2"/>
      <c r="M20" s="2"/>
      <c r="N20" s="2"/>
      <c r="O20" s="261">
        <f t="shared" ca="1" si="7"/>
        <v>0</v>
      </c>
      <c r="P20" s="261">
        <f t="shared" ca="1" si="23"/>
        <v>0</v>
      </c>
      <c r="Q20" s="3">
        <f ca="1">IF(A20&gt;MAX(OP!$R$17:$R$26),0,VLOOKUP(A20,fees,3,FALSE))</f>
        <v>0</v>
      </c>
      <c r="R20" s="200" t="str">
        <f t="shared" ca="1" si="8"/>
        <v/>
      </c>
      <c r="S20" s="9" t="str">
        <f ca="1">IF(COUNTIF(($T$4:T19),"F")&gt;=1,"",IF(OR(C21&lt;&gt;$C$3,E20=""),"",A20))</f>
        <v/>
      </c>
      <c r="T20" s="20" t="str">
        <f t="shared" ca="1" si="1"/>
        <v/>
      </c>
      <c r="U20" s="2">
        <f ca="1">IF(IF(OP!$C$83=1,$Z19,IF(OP!$C$83=2,$AA19,IF(OP!$C$83=3,$AB19,)))+$K20-$O20-$P20-$AS20&lt;OP!$C$142,0,$AS20)</f>
        <v>0</v>
      </c>
      <c r="V20" s="9"/>
      <c r="W20" s="19">
        <f ca="1">MAX(SUM($K$4:K20),0)</f>
        <v>2000000</v>
      </c>
      <c r="X20" s="19"/>
      <c r="Y20" s="19">
        <f t="shared" ca="1" si="24"/>
        <v>1920000</v>
      </c>
      <c r="Z20" s="2">
        <f ca="1">IF(MIN($Z$4:Z19)=0,0,MAX(0,($Z19+$K20-$O20-$P20)*IF(AND(F20="F",$D$3&lt;&gt;$G$3),((1+(-J20))^(H20/MIN(G20,365))),((1+(-J20))^(1/12)))-$U20))</f>
        <v>1785430.7196677884</v>
      </c>
      <c r="AA20" s="2">
        <f ca="1">IF(MIN($AA$4:AA19)=0,0,MAX(0,($AA19+$K20-$O20-$P20)*IF(AND(F20="F",$D$3&lt;&gt;$G$3),((1+$AA$1)^(H20/MIN(G20,365))),((1+$AA$1)^(1/12)))-$U20))</f>
        <v>1920000</v>
      </c>
      <c r="AB20" s="2">
        <f ca="1">IF(MIN($AB$4:AB19)=0,0,MAX(0,($AB19+$K20-$O20-$P20)*IF(AND(F20="F",$D$3&lt;&gt;$G$3),((1+(J20))^(H20/MIN(G20,365))),((1+(J20))^(1/12)))-$U20))</f>
        <v>2057403.1592737064</v>
      </c>
      <c r="AC20" s="5"/>
      <c r="AD20" s="5"/>
      <c r="AE20" s="5"/>
      <c r="AF20" s="282">
        <f t="shared" ca="1" si="9"/>
        <v>1785431</v>
      </c>
      <c r="AG20" s="282">
        <f t="shared" ca="1" si="10"/>
        <v>1920000</v>
      </c>
      <c r="AH20" s="282">
        <f t="shared" ca="1" si="11"/>
        <v>2057403</v>
      </c>
      <c r="AI20" s="23" t="str">
        <f t="shared" ca="1" si="2"/>
        <v>2-</v>
      </c>
      <c r="AJ20" s="282" t="str">
        <f ca="1">IF(E20&gt;111,,IF(AND(OP!$C$99=1,T20="F"),Z20,IF(AND(OP!$C$99=2,COUNTIF($T$4:T20,"F")=1),OP!$C$97+IF(F20="F",OP!$C$98,0),"")))</f>
        <v/>
      </c>
      <c r="AK20" s="282" t="str">
        <f ca="1">IF(E20&gt;111,,IF(AND(OP!$D$99=1,T20="F"),AA20,IF(AND(OP!$D$99=2,COUNTIF($T$4:T20,"F")=1),OP!$D$97+IF(F20="F",OP!$D$98,0),"")))</f>
        <v/>
      </c>
      <c r="AL20" s="282" t="str">
        <f ca="1">IF(E20&gt;111,,IF(AND(OP!$E$99=1,T20="F"),AB20,IF(AND(OP!$E$99=2,COUNTIF($T$4:T20,"F")=1),OP!$E$97+IF(F20="F",OP!$E$98,0),"")))</f>
        <v/>
      </c>
      <c r="AM20" s="1" t="str">
        <f t="shared" ca="1" si="25"/>
        <v/>
      </c>
      <c r="AN20" s="1" t="str">
        <f ca="1">IF(OR(VLOOKUP($A20,MP,5,0)="月繳"),1,"")</f>
        <v/>
      </c>
      <c r="AO20" s="1">
        <f t="shared" ca="1" si="12"/>
        <v>0</v>
      </c>
      <c r="AP20" s="1" t="str">
        <f ca="1">IF(AND(A20&lt;=OP!$C$120,COUNTIF(PAY,C20)=1),1,"")</f>
        <v/>
      </c>
      <c r="AR20" s="301">
        <f ca="1">IF(繳費報酬率資料!$A$1=1,$AY20+$AZ20,$BF20+$BG20)</f>
        <v>0</v>
      </c>
      <c r="AS20" s="1">
        <f ca="1">IF(C20&lt;&gt;IF($C$3=1,12,$C$3-1),0,IF(繳費報酬率資料!$A$1&lt;&gt;1,VLOOKUP($A20,MP,8,0),IF(AND($A20&gt;=OP!$C$79,$A20&lt;=OP!$C$80),OP!$C$78,)))</f>
        <v>0</v>
      </c>
      <c r="AT20" s="298">
        <f t="shared" ca="1" si="13"/>
        <v>0</v>
      </c>
      <c r="AU20" s="298">
        <f ca="1">IF(AND(A20&lt;=OP!$C$120,COUNTIF(PAY,C20)=1),OP!$C$123,0)</f>
        <v>0</v>
      </c>
      <c r="AV20" s="298">
        <f ca="1">IF(AND(A20&gt;=OP!$C$132,A20&lt;=OP!$C$133,$C$3=C20),OP!$C$135,0)</f>
        <v>0</v>
      </c>
      <c r="AW20" s="180">
        <f t="shared" ca="1" si="26"/>
        <v>0.05</v>
      </c>
      <c r="AX20" s="180">
        <f t="shared" ca="1" si="27"/>
        <v>0.05</v>
      </c>
      <c r="AY20" s="286">
        <f t="shared" ca="1" si="14"/>
        <v>0</v>
      </c>
      <c r="AZ20" s="286">
        <f t="shared" ca="1" si="15"/>
        <v>0</v>
      </c>
      <c r="BA20" s="286">
        <f t="shared" ca="1" si="16"/>
        <v>0</v>
      </c>
      <c r="BB20" s="286">
        <f t="shared" ca="1" si="28"/>
        <v>0</v>
      </c>
      <c r="BC20" s="286">
        <f t="shared" ca="1" si="17"/>
        <v>0</v>
      </c>
      <c r="BD20" s="180">
        <f t="shared" ca="1" si="29"/>
        <v>0.05</v>
      </c>
      <c r="BE20" s="180">
        <f t="shared" ca="1" si="30"/>
        <v>0.05</v>
      </c>
      <c r="BF20" s="286">
        <f t="shared" ca="1" si="18"/>
        <v>0</v>
      </c>
      <c r="BG20" s="286">
        <f t="shared" ca="1" si="19"/>
        <v>0</v>
      </c>
      <c r="BI20" s="286">
        <f t="shared" ca="1" si="31"/>
        <v>0</v>
      </c>
      <c r="BJ20" s="286">
        <f t="shared" ca="1" si="32"/>
        <v>0</v>
      </c>
      <c r="BK20" s="286">
        <f t="shared" ca="1" si="33"/>
        <v>0</v>
      </c>
      <c r="BL20" s="286">
        <f t="shared" ca="1" si="34"/>
        <v>0</v>
      </c>
      <c r="BM20" s="286">
        <f t="shared" ca="1" si="35"/>
        <v>0</v>
      </c>
      <c r="BN20" s="286">
        <f t="shared" ca="1" si="36"/>
        <v>0</v>
      </c>
      <c r="BO20" s="286">
        <f t="shared" ca="1" si="41"/>
        <v>0</v>
      </c>
      <c r="BP20" s="286">
        <f t="shared" ca="1" si="37"/>
        <v>0</v>
      </c>
      <c r="BQ20" s="286">
        <f t="shared" ca="1" si="37"/>
        <v>0</v>
      </c>
      <c r="BR20" s="286">
        <f t="shared" ca="1" si="38"/>
        <v>0</v>
      </c>
      <c r="BS20" s="286">
        <f t="shared" ca="1" si="39"/>
        <v>0</v>
      </c>
      <c r="BT20" s="286">
        <f t="shared" ca="1" si="40"/>
        <v>0</v>
      </c>
    </row>
    <row r="21" spans="1:75">
      <c r="A21" s="1">
        <f t="shared" ca="1" si="3"/>
        <v>2</v>
      </c>
      <c r="B21" s="1">
        <f t="shared" ca="1" si="20"/>
        <v>107</v>
      </c>
      <c r="C21" s="1">
        <f t="shared" ca="1" si="21"/>
        <v>11</v>
      </c>
      <c r="D21" s="1">
        <f ca="1">MIN($D$3,VLOOKUP(C21,OP!$S$30:$T$41,2))</f>
        <v>2</v>
      </c>
      <c r="E21" s="1">
        <f t="shared" ca="1" si="4"/>
        <v>56</v>
      </c>
      <c r="F21" s="11" t="str">
        <f t="shared" ca="1" si="5"/>
        <v/>
      </c>
      <c r="G21" s="8">
        <f t="shared" ca="1" si="42"/>
        <v>365</v>
      </c>
      <c r="H21" s="8">
        <f t="shared" ca="1" si="6"/>
        <v>30</v>
      </c>
      <c r="I21" s="8" t="str">
        <f t="shared" ca="1" si="0"/>
        <v>211</v>
      </c>
      <c r="J21" s="13">
        <f>IF(繳費報酬率資料!$A$1=1,VALUE(OP!$C$121),VLOOKUP(A21,MP,2,0))</f>
        <v>0.05</v>
      </c>
      <c r="K21" s="14">
        <f ca="1">IF(SUM($K$4:K20,IF(繳費報酬率資料!$A$1=1,$AU21+$AV21,$BB21+$BC21))&gt;OP!$L$58,0,IF(繳費報酬率資料!$A$1=1,$AU21+$AV21,$BB21+$BC21))</f>
        <v>0</v>
      </c>
      <c r="L21" s="2"/>
      <c r="M21" s="2"/>
      <c r="N21" s="2"/>
      <c r="O21" s="261">
        <f t="shared" ca="1" si="7"/>
        <v>0</v>
      </c>
      <c r="P21" s="261">
        <f t="shared" ca="1" si="23"/>
        <v>0</v>
      </c>
      <c r="Q21" s="3">
        <f ca="1">IF(A21&gt;MAX(OP!$R$17:$R$26),0,VLOOKUP(A21,fees,3,FALSE))</f>
        <v>0</v>
      </c>
      <c r="R21" s="200" t="str">
        <f t="shared" ca="1" si="8"/>
        <v/>
      </c>
      <c r="S21" s="9" t="str">
        <f ca="1">IF(COUNTIF(($T$4:T20),"F")&gt;=1,"",IF(OR(C22&lt;&gt;$C$3,E21=""),"",A21))</f>
        <v/>
      </c>
      <c r="T21" s="20" t="str">
        <f t="shared" ca="1" si="1"/>
        <v/>
      </c>
      <c r="U21" s="2">
        <f ca="1">IF(IF(OP!$C$83=1,$Z20,IF(OP!$C$83=2,$AA20,IF(OP!$C$83=3,$AB20,)))+$K21-$O21-$P21-$AS21&lt;OP!$C$142,0,$AS21)</f>
        <v>0</v>
      </c>
      <c r="V21" s="9"/>
      <c r="W21" s="19">
        <f ca="1">MAX(SUM($K$4:K21),0)</f>
        <v>2000000</v>
      </c>
      <c r="X21" s="19"/>
      <c r="Y21" s="19">
        <f t="shared" ca="1" si="24"/>
        <v>1920000</v>
      </c>
      <c r="Z21" s="2">
        <f ca="1">IF(MIN($Z$4:Z20)=0,0,MAX(0,($Z20+$K21-$O21-$P21)*IF(AND(F21="F",$D$3&lt;&gt;$G$3),((1+(-J21))^(H21/MIN(G21,365))),((1+(-J21))^(1/12)))-$U21))</f>
        <v>1777815.2884931557</v>
      </c>
      <c r="AA21" s="2">
        <f ca="1">IF(MIN($AA$4:AA20)=0,0,MAX(0,($AA20+$K21-$O21-$P21)*IF(AND(F21="F",$D$3&lt;&gt;$G$3),((1+$AA$1)^(H21/MIN(G21,365))),((1+$AA$1)^(1/12)))-$U21))</f>
        <v>1920000</v>
      </c>
      <c r="AB21" s="2">
        <f ca="1">IF(MIN($AB$4:AB20)=0,0,MAX(0,($AB20+$K21-$O21-$P21)*IF(AND(F21="F",$D$3&lt;&gt;$G$3),((1+(J21))^(H21/MIN(G21,365))),((1+(J21))^(1/12)))-$U21))</f>
        <v>2065785.2744174567</v>
      </c>
      <c r="AC21" s="5"/>
      <c r="AD21" s="5"/>
      <c r="AE21" s="5"/>
      <c r="AF21" s="282">
        <f t="shared" ca="1" si="9"/>
        <v>1777815</v>
      </c>
      <c r="AG21" s="282">
        <f t="shared" ca="1" si="10"/>
        <v>1920000</v>
      </c>
      <c r="AH21" s="282">
        <f t="shared" ca="1" si="11"/>
        <v>2065785</v>
      </c>
      <c r="AI21" s="23" t="str">
        <f t="shared" ca="1" si="2"/>
        <v>2-</v>
      </c>
      <c r="AJ21" s="282" t="str">
        <f ca="1">IF(E21&gt;111,,IF(AND(OP!$C$99=1,T21="F"),Z21,IF(AND(OP!$C$99=2,COUNTIF($T$4:T21,"F")=1),OP!$C$97+IF(F21="F",OP!$C$98,0),"")))</f>
        <v/>
      </c>
      <c r="AK21" s="282" t="str">
        <f ca="1">IF(E21&gt;111,,IF(AND(OP!$D$99=1,T21="F"),AA21,IF(AND(OP!$D$99=2,COUNTIF($T$4:T21,"F")=1),OP!$D$97+IF(F21="F",OP!$D$98,0),"")))</f>
        <v/>
      </c>
      <c r="AL21" s="282" t="str">
        <f ca="1">IF(E21&gt;111,,IF(AND(OP!$E$99=1,T21="F"),AB21,IF(AND(OP!$E$99=2,COUNTIF($T$4:T21,"F")=1),OP!$E$97+IF(F21="F",OP!$E$98,0),"")))</f>
        <v/>
      </c>
      <c r="AM21" s="1" t="str">
        <f t="shared" ca="1" si="25"/>
        <v/>
      </c>
      <c r="AN21" s="1" t="str">
        <f ca="1">IF(OR(VLOOKUP($A21,MP,5,0)="月繳"),1,"")</f>
        <v/>
      </c>
      <c r="AO21" s="1">
        <f t="shared" ca="1" si="12"/>
        <v>0</v>
      </c>
      <c r="AP21" s="1" t="str">
        <f ca="1">IF(AND(A21&lt;=OP!$C$120,COUNTIF(PAY,C21)=1),1,"")</f>
        <v/>
      </c>
      <c r="AR21" s="301">
        <f ca="1">IF(繳費報酬率資料!$A$1=1,$AY21+$AZ21,$BF21+$BG21)</f>
        <v>0</v>
      </c>
      <c r="AS21" s="1">
        <f ca="1">IF(C21&lt;&gt;IF($C$3=1,12,$C$3-1),0,IF(繳費報酬率資料!$A$1&lt;&gt;1,VLOOKUP($A21,MP,8,0),IF(AND($A21&gt;=OP!$C$79,$A21&lt;=OP!$C$80),OP!$C$78,)))</f>
        <v>0</v>
      </c>
      <c r="AT21" s="298">
        <f t="shared" ca="1" si="13"/>
        <v>0</v>
      </c>
      <c r="AU21" s="298">
        <f ca="1">IF(AND(A21&lt;=OP!$C$120,COUNTIF(PAY,C21)=1),OP!$C$123,0)</f>
        <v>0</v>
      </c>
      <c r="AV21" s="298">
        <f ca="1">IF(AND(A21&gt;=OP!$C$132,A21&lt;=OP!$C$133,$C$3=C21),OP!$C$135,0)</f>
        <v>0</v>
      </c>
      <c r="AW21" s="180">
        <f t="shared" ca="1" si="26"/>
        <v>0.05</v>
      </c>
      <c r="AX21" s="180">
        <f t="shared" ca="1" si="27"/>
        <v>0.05</v>
      </c>
      <c r="AY21" s="286">
        <f t="shared" ca="1" si="14"/>
        <v>0</v>
      </c>
      <c r="AZ21" s="286">
        <f t="shared" ca="1" si="15"/>
        <v>0</v>
      </c>
      <c r="BA21" s="286">
        <f t="shared" ca="1" si="16"/>
        <v>0</v>
      </c>
      <c r="BB21" s="286">
        <f t="shared" ca="1" si="28"/>
        <v>0</v>
      </c>
      <c r="BC21" s="286">
        <f t="shared" ca="1" si="17"/>
        <v>0</v>
      </c>
      <c r="BD21" s="180">
        <f t="shared" ca="1" si="29"/>
        <v>0.05</v>
      </c>
      <c r="BE21" s="180">
        <f t="shared" ca="1" si="30"/>
        <v>0.05</v>
      </c>
      <c r="BF21" s="286">
        <f t="shared" ca="1" si="18"/>
        <v>0</v>
      </c>
      <c r="BG21" s="286">
        <f t="shared" ca="1" si="19"/>
        <v>0</v>
      </c>
      <c r="BI21" s="286">
        <f t="shared" ca="1" si="31"/>
        <v>0</v>
      </c>
      <c r="BJ21" s="286">
        <f t="shared" ca="1" si="32"/>
        <v>0</v>
      </c>
      <c r="BK21" s="286">
        <f t="shared" ca="1" si="33"/>
        <v>0</v>
      </c>
      <c r="BL21" s="286">
        <f t="shared" ca="1" si="34"/>
        <v>0</v>
      </c>
      <c r="BM21" s="286">
        <f t="shared" ca="1" si="35"/>
        <v>0</v>
      </c>
      <c r="BN21" s="286">
        <f t="shared" ca="1" si="36"/>
        <v>0</v>
      </c>
      <c r="BO21" s="286">
        <f t="shared" ca="1" si="41"/>
        <v>0</v>
      </c>
      <c r="BP21" s="286">
        <f t="shared" ca="1" si="37"/>
        <v>0</v>
      </c>
      <c r="BQ21" s="286">
        <f t="shared" ca="1" si="37"/>
        <v>0</v>
      </c>
      <c r="BR21" s="286">
        <f t="shared" ca="1" si="38"/>
        <v>0</v>
      </c>
      <c r="BS21" s="286">
        <f t="shared" ca="1" si="39"/>
        <v>0</v>
      </c>
      <c r="BT21" s="286">
        <f t="shared" ca="1" si="40"/>
        <v>0</v>
      </c>
    </row>
    <row r="22" spans="1:75">
      <c r="A22" s="1">
        <f t="shared" ca="1" si="3"/>
        <v>2</v>
      </c>
      <c r="B22" s="1">
        <f t="shared" ca="1" si="20"/>
        <v>107</v>
      </c>
      <c r="C22" s="1">
        <f t="shared" ca="1" si="21"/>
        <v>12</v>
      </c>
      <c r="D22" s="1">
        <f ca="1">MIN($D$3,VLOOKUP(C22,OP!$S$30:$T$41,2))</f>
        <v>2</v>
      </c>
      <c r="E22" s="1">
        <f t="shared" ca="1" si="4"/>
        <v>56</v>
      </c>
      <c r="F22" s="11" t="str">
        <f t="shared" ca="1" si="5"/>
        <v/>
      </c>
      <c r="G22" s="8">
        <f t="shared" ca="1" si="42"/>
        <v>365</v>
      </c>
      <c r="H22" s="8">
        <f t="shared" ca="1" si="6"/>
        <v>31</v>
      </c>
      <c r="I22" s="8" t="str">
        <f t="shared" ca="1" si="0"/>
        <v>212</v>
      </c>
      <c r="J22" s="13">
        <f>IF(繳費報酬率資料!$A$1=1,VALUE(OP!$C$121),VLOOKUP(A22,MP,2,0))</f>
        <v>0.05</v>
      </c>
      <c r="K22" s="14">
        <f ca="1">IF(SUM($K$4:K21,IF(繳費報酬率資料!$A$1=1,$AU22+$AV22,$BB22+$BC22))&gt;OP!$L$58,0,IF(繳費報酬率資料!$A$1=1,$AU22+$AV22,$BB22+$BC22))</f>
        <v>0</v>
      </c>
      <c r="L22" s="2"/>
      <c r="M22" s="2"/>
      <c r="N22" s="2"/>
      <c r="O22" s="261">
        <f t="shared" ca="1" si="7"/>
        <v>0</v>
      </c>
      <c r="P22" s="261">
        <f t="shared" ca="1" si="23"/>
        <v>0</v>
      </c>
      <c r="Q22" s="3">
        <f ca="1">IF(A22&gt;MAX(OP!$R$17:$R$26),0,VLOOKUP(A22,fees,3,FALSE))</f>
        <v>0</v>
      </c>
      <c r="R22" s="200" t="str">
        <f t="shared" ca="1" si="8"/>
        <v/>
      </c>
      <c r="S22" s="9" t="str">
        <f ca="1">IF(COUNTIF(($T$4:T21),"F")&gt;=1,"",IF(OR(C23&lt;&gt;$C$3,E22=""),"",A22))</f>
        <v/>
      </c>
      <c r="T22" s="20" t="str">
        <f t="shared" ca="1" si="1"/>
        <v/>
      </c>
      <c r="U22" s="2">
        <f ca="1">IF(IF(OP!$C$83=1,$Z21,IF(OP!$C$83=2,$AA21,IF(OP!$C$83=3,$AB21,)))+$K22-$O22-$P22-$AS22&lt;OP!$C$142,0,$AS22)</f>
        <v>0</v>
      </c>
      <c r="V22" s="9"/>
      <c r="W22" s="19">
        <f ca="1">MAX(SUM($K$4:K22),0)</f>
        <v>2000000</v>
      </c>
      <c r="X22" s="19"/>
      <c r="Y22" s="19">
        <f t="shared" ca="1" si="24"/>
        <v>1920000</v>
      </c>
      <c r="Z22" s="2">
        <f ca="1">IF(MIN($Z$4:Z21)=0,0,MAX(0,($Z21+$K22-$O22-$P22)*IF(AND(F22="F",$D$3&lt;&gt;$G$3),((1+(-J22))^(H22/MIN(G22,365))),((1+(-J22))^(1/12)))-$U22))</f>
        <v>1770232.3395601115</v>
      </c>
      <c r="AA22" s="2">
        <f ca="1">IF(MIN($AA$4:AA21)=0,0,MAX(0,($AA21+$K22-$O22-$P22)*IF(AND(F22="F",$D$3&lt;&gt;$G$3),((1+$AA$1)^(H22/MIN(G22,365))),((1+$AA$1)^(1/12)))-$U22))</f>
        <v>1920000</v>
      </c>
      <c r="AB22" s="2">
        <f ca="1">IF(MIN($AB$4:AB21)=0,0,MAX(0,($AB21+$K22-$O22-$P22)*IF(AND(F22="F",$D$3&lt;&gt;$G$3),((1+(J22))^(H22/MIN(G22,365))),((1+(J22))^(1/12)))-$U22))</f>
        <v>2074201.5393358713</v>
      </c>
      <c r="AC22" s="5"/>
      <c r="AD22" s="5"/>
      <c r="AE22" s="5"/>
      <c r="AF22" s="282">
        <f t="shared" ca="1" si="9"/>
        <v>1770232</v>
      </c>
      <c r="AG22" s="282">
        <f t="shared" ca="1" si="10"/>
        <v>1920000</v>
      </c>
      <c r="AH22" s="282">
        <f t="shared" ca="1" si="11"/>
        <v>2074202</v>
      </c>
      <c r="AI22" s="23" t="str">
        <f t="shared" ca="1" si="2"/>
        <v>2-</v>
      </c>
      <c r="AJ22" s="282" t="str">
        <f ca="1">IF(E22&gt;111,,IF(AND(OP!$C$99=1,T22="F"),Z22,IF(AND(OP!$C$99=2,COUNTIF($T$4:T22,"F")=1),OP!$C$97+IF(F22="F",OP!$C$98,0),"")))</f>
        <v/>
      </c>
      <c r="AK22" s="282" t="str">
        <f ca="1">IF(E22&gt;111,,IF(AND(OP!$D$99=1,T22="F"),AA22,IF(AND(OP!$D$99=2,COUNTIF($T$4:T22,"F")=1),OP!$D$97+IF(F22="F",OP!$D$98,0),"")))</f>
        <v/>
      </c>
      <c r="AL22" s="282" t="str">
        <f ca="1">IF(E22&gt;111,,IF(AND(OP!$E$99=1,T22="F"),AB22,IF(AND(OP!$E$99=2,COUNTIF($T$4:T22,"F")=1),OP!$E$97+IF(F22="F",OP!$E$98,0),"")))</f>
        <v/>
      </c>
      <c r="AM22" s="1" t="str">
        <f t="shared" ca="1" si="25"/>
        <v/>
      </c>
      <c r="AN22" s="1" t="str">
        <f ca="1">IF(OR(VLOOKUP($A22,MP,5,0)="半年繳",VLOOKUP($A22,MP,5,0)="季繳",VLOOKUP($A22,MP,5,0)="月繳"),1,"")</f>
        <v/>
      </c>
      <c r="AO22" s="1">
        <f t="shared" ca="1" si="12"/>
        <v>0</v>
      </c>
      <c r="AP22" s="1" t="str">
        <f ca="1">IF(AND(A22&lt;=OP!$C$120,COUNTIF(PAY,C22)=1),1,"")</f>
        <v/>
      </c>
      <c r="AR22" s="301">
        <f ca="1">IF(繳費報酬率資料!$A$1=1,$AY22+$AZ22,$BF22+$BG22)</f>
        <v>0</v>
      </c>
      <c r="AS22" s="1">
        <f ca="1">IF(C22&lt;&gt;IF($C$3=1,12,$C$3-1),0,IF(繳費報酬率資料!$A$1&lt;&gt;1,VLOOKUP($A22,MP,8,0),IF(AND($A22&gt;=OP!$C$79,$A22&lt;=OP!$C$80),OP!$C$78,)))</f>
        <v>0</v>
      </c>
      <c r="AT22" s="298">
        <f t="shared" ca="1" si="13"/>
        <v>0</v>
      </c>
      <c r="AU22" s="298">
        <f ca="1">IF(AND(A22&lt;=OP!$C$120,COUNTIF(PAY,C22)=1),OP!$C$123,0)</f>
        <v>0</v>
      </c>
      <c r="AV22" s="298">
        <f ca="1">IF(AND(A22&gt;=OP!$C$132,A22&lt;=OP!$C$133,$C$3=C22),OP!$C$135,0)</f>
        <v>0</v>
      </c>
      <c r="AW22" s="180">
        <f t="shared" ca="1" si="26"/>
        <v>0.05</v>
      </c>
      <c r="AX22" s="180">
        <f t="shared" ca="1" si="27"/>
        <v>0.05</v>
      </c>
      <c r="AY22" s="286">
        <f t="shared" ca="1" si="14"/>
        <v>0</v>
      </c>
      <c r="AZ22" s="286">
        <f t="shared" ca="1" si="15"/>
        <v>0</v>
      </c>
      <c r="BA22" s="286">
        <f t="shared" ca="1" si="16"/>
        <v>0</v>
      </c>
      <c r="BB22" s="286">
        <f t="shared" ca="1" si="28"/>
        <v>0</v>
      </c>
      <c r="BC22" s="286">
        <f t="shared" ca="1" si="17"/>
        <v>0</v>
      </c>
      <c r="BD22" s="180">
        <f t="shared" ca="1" si="29"/>
        <v>0.05</v>
      </c>
      <c r="BE22" s="180">
        <f t="shared" ca="1" si="30"/>
        <v>0.05</v>
      </c>
      <c r="BF22" s="286">
        <f t="shared" ca="1" si="18"/>
        <v>0</v>
      </c>
      <c r="BG22" s="286">
        <f t="shared" ca="1" si="19"/>
        <v>0</v>
      </c>
      <c r="BI22" s="286">
        <f t="shared" ca="1" si="31"/>
        <v>0</v>
      </c>
      <c r="BJ22" s="286">
        <f t="shared" ca="1" si="32"/>
        <v>0</v>
      </c>
      <c r="BK22" s="286">
        <f t="shared" ca="1" si="33"/>
        <v>0</v>
      </c>
      <c r="BL22" s="286">
        <f t="shared" ca="1" si="34"/>
        <v>0</v>
      </c>
      <c r="BM22" s="286">
        <f t="shared" ca="1" si="35"/>
        <v>0</v>
      </c>
      <c r="BN22" s="286">
        <f t="shared" ca="1" si="36"/>
        <v>0</v>
      </c>
      <c r="BO22" s="286">
        <f t="shared" ca="1" si="41"/>
        <v>0</v>
      </c>
      <c r="BP22" s="286">
        <f t="shared" ref="BP22:BP27" ca="1" si="43">BP21+BM22</f>
        <v>0</v>
      </c>
      <c r="BQ22" s="286">
        <f t="shared" ref="BQ22:BQ27" ca="1" si="44">BQ21+BN22</f>
        <v>0</v>
      </c>
      <c r="BR22" s="286">
        <f t="shared" ca="1" si="38"/>
        <v>0</v>
      </c>
      <c r="BS22" s="286">
        <f t="shared" ca="1" si="39"/>
        <v>0</v>
      </c>
      <c r="BT22" s="286">
        <f t="shared" ca="1" si="40"/>
        <v>0</v>
      </c>
    </row>
    <row r="23" spans="1:75">
      <c r="A23" s="1">
        <f t="shared" ca="1" si="3"/>
        <v>2</v>
      </c>
      <c r="B23" s="1">
        <f t="shared" ca="1" si="20"/>
        <v>108</v>
      </c>
      <c r="C23" s="1">
        <f t="shared" ca="1" si="21"/>
        <v>1</v>
      </c>
      <c r="D23" s="1">
        <f ca="1">MIN($D$3,VLOOKUP(C23,OP!$S$30:$T$41,2))</f>
        <v>2</v>
      </c>
      <c r="E23" s="1">
        <f t="shared" ca="1" si="4"/>
        <v>56</v>
      </c>
      <c r="F23" s="11" t="str">
        <f t="shared" ca="1" si="5"/>
        <v/>
      </c>
      <c r="G23" s="8">
        <f t="shared" ca="1" si="42"/>
        <v>365</v>
      </c>
      <c r="H23" s="8">
        <f t="shared" ca="1" si="6"/>
        <v>31</v>
      </c>
      <c r="I23" s="8" t="str">
        <f t="shared" ca="1" si="0"/>
        <v>21</v>
      </c>
      <c r="J23" s="13">
        <f>IF(繳費報酬率資料!$A$1=1,VALUE(OP!$C$121),VLOOKUP(A23,MP,2,0))</f>
        <v>0.05</v>
      </c>
      <c r="K23" s="14">
        <f ca="1">IF(SUM($K$4:K22,IF(繳費報酬率資料!$A$1=1,$AU23+$AV23,$BB23+$BC23))&gt;OP!$L$58,0,IF(繳費報酬率資料!$A$1=1,$AU23+$AV23,$BB23+$BC23))</f>
        <v>0</v>
      </c>
      <c r="L23" s="2"/>
      <c r="M23" s="2"/>
      <c r="N23" s="2"/>
      <c r="O23" s="261">
        <f t="shared" ca="1" si="7"/>
        <v>0</v>
      </c>
      <c r="P23" s="261">
        <f t="shared" ca="1" si="23"/>
        <v>0</v>
      </c>
      <c r="Q23" s="3">
        <f ca="1">IF(A23&gt;MAX(OP!$R$17:$R$26),0,VLOOKUP(A23,fees,3,FALSE))</f>
        <v>0</v>
      </c>
      <c r="R23" s="200" t="str">
        <f t="shared" ca="1" si="8"/>
        <v/>
      </c>
      <c r="S23" s="9" t="str">
        <f ca="1">IF(COUNTIF(($T$4:T22),"F")&gt;=1,"",IF(OR(C24&lt;&gt;$C$3,E23=""),"",A23))</f>
        <v/>
      </c>
      <c r="T23" s="20" t="str">
        <f t="shared" ca="1" si="1"/>
        <v/>
      </c>
      <c r="U23" s="2">
        <f ca="1">IF(IF(OP!$C$83=1,$Z22,IF(OP!$C$83=2,$AA22,IF(OP!$C$83=3,$AB22,)))+$K23-$O23-$P23-$AS23&lt;OP!$C$142,0,$AS23)</f>
        <v>0</v>
      </c>
      <c r="V23" s="9"/>
      <c r="W23" s="19">
        <f ca="1">MAX(SUM($K$4:K23),0)</f>
        <v>2000000</v>
      </c>
      <c r="X23" s="19"/>
      <c r="Y23" s="19">
        <f t="shared" ca="1" si="24"/>
        <v>1920000</v>
      </c>
      <c r="Z23" s="2">
        <f ca="1">IF(MIN($Z$4:Z22)=0,0,MAX(0,($Z22+$K23-$O23-$P23)*IF(AND(F23="F",$D$3&lt;&gt;$G$3),((1+(-J23))^(H23/MIN(G23,365))),((1+(-J23))^(1/12)))-$U23))</f>
        <v>1762681.7343215407</v>
      </c>
      <c r="AA23" s="2">
        <f ca="1">IF(MIN($AA$4:AA22)=0,0,MAX(0,($AA22+$K23-$O23-$P23)*IF(AND(F23="F",$D$3&lt;&gt;$G$3),((1+$AA$1)^(H23/MIN(G23,365))),((1+$AA$1)^(1/12)))-$U23))</f>
        <v>1920000</v>
      </c>
      <c r="AB23" s="2">
        <f ca="1">IF(MIN($AB$4:AB22)=0,0,MAX(0,($AB22+$K23-$O23-$P23)*IF(AND(F23="F",$D$3&lt;&gt;$G$3),((1+(J23))^(H23/MIN(G23,365))),((1+(J23))^(1/12)))-$U23))</f>
        <v>2082652.0931593596</v>
      </c>
      <c r="AC23" s="5"/>
      <c r="AD23" s="5"/>
      <c r="AE23" s="5"/>
      <c r="AF23" s="282">
        <f t="shared" ca="1" si="9"/>
        <v>1762682</v>
      </c>
      <c r="AG23" s="282">
        <f t="shared" ca="1" si="10"/>
        <v>1920000</v>
      </c>
      <c r="AH23" s="282">
        <f t="shared" ca="1" si="11"/>
        <v>2082652</v>
      </c>
      <c r="AI23" s="23" t="str">
        <f t="shared" ca="1" si="2"/>
        <v>2-</v>
      </c>
      <c r="AJ23" s="282" t="str">
        <f ca="1">IF(E23&gt;111,,IF(AND(OP!$C$99=1,T23="F"),Z23,IF(AND(OP!$C$99=2,COUNTIF($T$4:T23,"F")=1),OP!$C$97+IF(F23="F",OP!$C$98,0),"")))</f>
        <v/>
      </c>
      <c r="AK23" s="282" t="str">
        <f ca="1">IF(E23&gt;111,,IF(AND(OP!$D$99=1,T23="F"),AA23,IF(AND(OP!$D$99=2,COUNTIF($T$4:T23,"F")=1),OP!$D$97+IF(F23="F",OP!$D$98,0),"")))</f>
        <v/>
      </c>
      <c r="AL23" s="282" t="str">
        <f ca="1">IF(E23&gt;111,,IF(AND(OP!$E$99=1,T23="F"),AB23,IF(AND(OP!$E$99=2,COUNTIF($T$4:T23,"F")=1),OP!$E$97+IF(F23="F",OP!$E$98,0),"")))</f>
        <v/>
      </c>
      <c r="AM23" s="1" t="str">
        <f t="shared" ca="1" si="25"/>
        <v/>
      </c>
      <c r="AN23" s="1" t="str">
        <f ca="1">IF(OR(VLOOKUP($A23,MP,5,0)="月繳"),1,"")</f>
        <v/>
      </c>
      <c r="AO23" s="1">
        <f t="shared" ca="1" si="12"/>
        <v>0</v>
      </c>
      <c r="AP23" s="1" t="str">
        <f ca="1">IF(AND(A23&lt;=OP!$C$120,COUNTIF(PAY,C23)=1),1,"")</f>
        <v/>
      </c>
      <c r="AR23" s="301">
        <f ca="1">IF(繳費報酬率資料!$A$1=1,$AY23+$AZ23,$BF23+$BG23)</f>
        <v>0</v>
      </c>
      <c r="AS23" s="1">
        <f ca="1">IF(C23&lt;&gt;IF($C$3=1,12,$C$3-1),0,IF(繳費報酬率資料!$A$1&lt;&gt;1,VLOOKUP($A23,MP,8,0),IF(AND($A23&gt;=OP!$C$79,$A23&lt;=OP!$C$80),OP!$C$78,)))</f>
        <v>0</v>
      </c>
      <c r="AT23" s="298">
        <f t="shared" ca="1" si="13"/>
        <v>0</v>
      </c>
      <c r="AU23" s="298">
        <f ca="1">IF(AND(A23&lt;=OP!$C$120,COUNTIF(PAY,C23)=1),OP!$C$123,0)</f>
        <v>0</v>
      </c>
      <c r="AV23" s="298">
        <f ca="1">IF(AND(A23&gt;=OP!$C$132,A23&lt;=OP!$C$133,$C$3=C23),OP!$C$135,0)</f>
        <v>0</v>
      </c>
      <c r="AW23" s="180">
        <f t="shared" ca="1" si="26"/>
        <v>0.05</v>
      </c>
      <c r="AX23" s="180">
        <f t="shared" ca="1" si="27"/>
        <v>0.05</v>
      </c>
      <c r="AY23" s="286">
        <f t="shared" ca="1" si="14"/>
        <v>0</v>
      </c>
      <c r="AZ23" s="286">
        <f t="shared" ca="1" si="15"/>
        <v>0</v>
      </c>
      <c r="BA23" s="286">
        <f t="shared" ca="1" si="16"/>
        <v>0</v>
      </c>
      <c r="BB23" s="286">
        <f t="shared" ca="1" si="28"/>
        <v>0</v>
      </c>
      <c r="BC23" s="286">
        <f t="shared" ca="1" si="17"/>
        <v>0</v>
      </c>
      <c r="BD23" s="180">
        <f t="shared" ca="1" si="29"/>
        <v>0.05</v>
      </c>
      <c r="BE23" s="180">
        <f t="shared" ca="1" si="30"/>
        <v>0.05</v>
      </c>
      <c r="BF23" s="286">
        <f t="shared" ca="1" si="18"/>
        <v>0</v>
      </c>
      <c r="BG23" s="286">
        <f t="shared" ca="1" si="19"/>
        <v>0</v>
      </c>
      <c r="BI23" s="286">
        <f t="shared" ca="1" si="31"/>
        <v>0</v>
      </c>
      <c r="BJ23" s="286">
        <f t="shared" ca="1" si="32"/>
        <v>0</v>
      </c>
      <c r="BK23" s="286">
        <f t="shared" ca="1" si="33"/>
        <v>0</v>
      </c>
      <c r="BL23" s="286">
        <f t="shared" ca="1" si="34"/>
        <v>0</v>
      </c>
      <c r="BM23" s="286">
        <f t="shared" ca="1" si="35"/>
        <v>0</v>
      </c>
      <c r="BN23" s="286">
        <f t="shared" ca="1" si="36"/>
        <v>0</v>
      </c>
      <c r="BO23" s="286">
        <f t="shared" ca="1" si="41"/>
        <v>0</v>
      </c>
      <c r="BP23" s="286">
        <f t="shared" ca="1" si="43"/>
        <v>0</v>
      </c>
      <c r="BQ23" s="286">
        <f t="shared" ca="1" si="44"/>
        <v>0</v>
      </c>
      <c r="BR23" s="286">
        <f t="shared" ca="1" si="38"/>
        <v>0</v>
      </c>
      <c r="BS23" s="286">
        <f t="shared" ca="1" si="39"/>
        <v>0</v>
      </c>
      <c r="BT23" s="286">
        <f t="shared" ca="1" si="40"/>
        <v>0</v>
      </c>
    </row>
    <row r="24" spans="1:75">
      <c r="A24" s="1">
        <f t="shared" ca="1" si="3"/>
        <v>2</v>
      </c>
      <c r="B24" s="1">
        <f t="shared" ca="1" si="20"/>
        <v>108</v>
      </c>
      <c r="C24" s="1">
        <f t="shared" ca="1" si="21"/>
        <v>2</v>
      </c>
      <c r="D24" s="1">
        <f ca="1">MIN($D$3,VLOOKUP(C24,OP!$S$30:$T$41,2))</f>
        <v>2</v>
      </c>
      <c r="E24" s="1">
        <f t="shared" ca="1" si="4"/>
        <v>56</v>
      </c>
      <c r="F24" s="11" t="str">
        <f t="shared" ca="1" si="5"/>
        <v/>
      </c>
      <c r="G24" s="8">
        <f t="shared" ca="1" si="42"/>
        <v>365</v>
      </c>
      <c r="H24" s="8">
        <f t="shared" ca="1" si="6"/>
        <v>28</v>
      </c>
      <c r="I24" s="8" t="str">
        <f t="shared" ca="1" si="0"/>
        <v>22</v>
      </c>
      <c r="J24" s="13">
        <f>IF(繳費報酬率資料!$A$1=1,VALUE(OP!$C$121),VLOOKUP(A24,MP,2,0))</f>
        <v>0.05</v>
      </c>
      <c r="K24" s="14">
        <f ca="1">IF(SUM($K$4:K23,IF(繳費報酬率資料!$A$1=1,$AU24+$AV24,$BB24+$BC24))&gt;OP!$L$58,0,IF(繳費報酬率資料!$A$1=1,$AU24+$AV24,$BB24+$BC24))</f>
        <v>0</v>
      </c>
      <c r="L24" s="2"/>
      <c r="M24" s="2"/>
      <c r="N24" s="2"/>
      <c r="O24" s="261">
        <f t="shared" ca="1" si="7"/>
        <v>0</v>
      </c>
      <c r="P24" s="261">
        <f t="shared" ca="1" si="23"/>
        <v>0</v>
      </c>
      <c r="Q24" s="3">
        <f ca="1">IF(A24&gt;MAX(OP!$R$17:$R$26),0,VLOOKUP(A24,fees,3,FALSE))</f>
        <v>0</v>
      </c>
      <c r="R24" s="200" t="str">
        <f t="shared" ca="1" si="8"/>
        <v/>
      </c>
      <c r="S24" s="9" t="str">
        <f ca="1">IF(COUNTIF(($T$4:T23),"F")&gt;=1,"",IF(OR(C25&lt;&gt;$C$3,E24=""),"",A24))</f>
        <v/>
      </c>
      <c r="T24" s="20" t="str">
        <f t="shared" ca="1" si="1"/>
        <v/>
      </c>
      <c r="U24" s="2">
        <f ca="1">IF(IF(OP!$C$83=1,$Z23,IF(OP!$C$83=2,$AA23,IF(OP!$C$83=3,$AB23,)))+$K24-$O24-$P24-$AS24&lt;OP!$C$142,0,$AS24)</f>
        <v>0</v>
      </c>
      <c r="V24" s="9"/>
      <c r="W24" s="19">
        <f ca="1">MAX(SUM($K$4:K24),0)</f>
        <v>2000000</v>
      </c>
      <c r="X24" s="19"/>
      <c r="Y24" s="19">
        <f t="shared" ca="1" si="24"/>
        <v>1920000</v>
      </c>
      <c r="Z24" s="2">
        <f ca="1">IF(MIN($Z$4:Z23)=0,0,MAX(0,($Z23+$K24-$O24-$P24)*IF(AND(F24="F",$D$3&lt;&gt;$G$3),((1+(-J24))^(H24/MIN(G24,365))),((1+(-J24))^(1/12)))-$U24))</f>
        <v>1755163.3348212759</v>
      </c>
      <c r="AA24" s="2">
        <f ca="1">IF(MIN($AA$4:AA23)=0,0,MAX(0,($AA23+$K24-$O24-$P24)*IF(AND(F24="F",$D$3&lt;&gt;$G$3),((1+$AA$1)^(H24/MIN(G24,365))),((1+$AA$1)^(1/12)))-$U24))</f>
        <v>1920000</v>
      </c>
      <c r="AB24" s="2">
        <f ca="1">IF(MIN($AB$4:AB23)=0,0,MAX(0,($AB23+$K24-$O24-$P24)*IF(AND(F24="F",$D$3&lt;&gt;$G$3),((1+(J24))^(H24/MIN(G24,365))),((1+(J24))^(1/12)))-$U24))</f>
        <v>2091137.0755851653</v>
      </c>
      <c r="AC24" s="5"/>
      <c r="AD24" s="5"/>
      <c r="AE24" s="5"/>
      <c r="AF24" s="282">
        <f t="shared" ca="1" si="9"/>
        <v>1755163</v>
      </c>
      <c r="AG24" s="282">
        <f t="shared" ca="1" si="10"/>
        <v>1920000</v>
      </c>
      <c r="AH24" s="282">
        <f t="shared" ca="1" si="11"/>
        <v>2091137</v>
      </c>
      <c r="AI24" s="23" t="str">
        <f t="shared" ca="1" si="2"/>
        <v>2-</v>
      </c>
      <c r="AJ24" s="282" t="str">
        <f ca="1">IF(E24&gt;111,,IF(AND(OP!$C$99=1,T24="F"),Z24,IF(AND(OP!$C$99=2,COUNTIF($T$4:T24,"F")=1),OP!$C$97+IF(F24="F",OP!$C$98,0),"")))</f>
        <v/>
      </c>
      <c r="AK24" s="282" t="str">
        <f ca="1">IF(E24&gt;111,,IF(AND(OP!$D$99=1,T24="F"),AA24,IF(AND(OP!$D$99=2,COUNTIF($T$4:T24,"F")=1),OP!$D$97+IF(F24="F",OP!$D$98,0),"")))</f>
        <v/>
      </c>
      <c r="AL24" s="282" t="str">
        <f ca="1">IF(E24&gt;111,,IF(AND(OP!$E$99=1,T24="F"),AB24,IF(AND(OP!$E$99=2,COUNTIF($T$4:T24,"F")=1),OP!$E$97+IF(F24="F",OP!$E$98,0),"")))</f>
        <v/>
      </c>
      <c r="AM24" s="1" t="str">
        <f t="shared" ca="1" si="25"/>
        <v/>
      </c>
      <c r="AN24" s="1" t="str">
        <f ca="1">IF(OR(VLOOKUP($A24,MP,5,0)="月繳"),1,"")</f>
        <v/>
      </c>
      <c r="AO24" s="1">
        <f t="shared" ca="1" si="12"/>
        <v>0</v>
      </c>
      <c r="AP24" s="1" t="str">
        <f ca="1">IF(AND(A24&lt;=OP!$C$120,COUNTIF(PAY,C24)=1),1,"")</f>
        <v/>
      </c>
      <c r="AR24" s="301">
        <f ca="1">IF(繳費報酬率資料!$A$1=1,$AY24+$AZ24,$BF24+$BG24)</f>
        <v>0</v>
      </c>
      <c r="AS24" s="1">
        <f ca="1">IF(C24&lt;&gt;IF($C$3=1,12,$C$3-1),0,IF(繳費報酬率資料!$A$1&lt;&gt;1,VLOOKUP($A24,MP,8,0),IF(AND($A24&gt;=OP!$C$79,$A24&lt;=OP!$C$80),OP!$C$78,)))</f>
        <v>0</v>
      </c>
      <c r="AT24" s="298">
        <f t="shared" ca="1" si="13"/>
        <v>0</v>
      </c>
      <c r="AU24" s="298">
        <f ca="1">IF(AND(A24&lt;=OP!$C$120,COUNTIF(PAY,C24)=1),OP!$C$123,0)</f>
        <v>0</v>
      </c>
      <c r="AV24" s="298">
        <f ca="1">IF(AND(A24&gt;=OP!$C$132,A24&lt;=OP!$C$133,$C$3=C24),OP!$C$135,0)</f>
        <v>0</v>
      </c>
      <c r="AW24" s="180">
        <f t="shared" ca="1" si="26"/>
        <v>0.05</v>
      </c>
      <c r="AX24" s="180">
        <f t="shared" ca="1" si="27"/>
        <v>0.05</v>
      </c>
      <c r="AY24" s="286">
        <f t="shared" ca="1" si="14"/>
        <v>0</v>
      </c>
      <c r="AZ24" s="286">
        <f t="shared" ca="1" si="15"/>
        <v>0</v>
      </c>
      <c r="BA24" s="286">
        <f t="shared" ca="1" si="16"/>
        <v>0</v>
      </c>
      <c r="BB24" s="286">
        <f t="shared" ca="1" si="28"/>
        <v>0</v>
      </c>
      <c r="BC24" s="286">
        <f t="shared" ca="1" si="17"/>
        <v>0</v>
      </c>
      <c r="BD24" s="180">
        <f t="shared" ca="1" si="29"/>
        <v>0.05</v>
      </c>
      <c r="BE24" s="180">
        <f t="shared" ca="1" si="30"/>
        <v>0.05</v>
      </c>
      <c r="BF24" s="286">
        <f t="shared" ca="1" si="18"/>
        <v>0</v>
      </c>
      <c r="BG24" s="286">
        <f t="shared" ca="1" si="19"/>
        <v>0</v>
      </c>
      <c r="BI24" s="286">
        <f t="shared" ca="1" si="31"/>
        <v>0</v>
      </c>
      <c r="BJ24" s="286">
        <f t="shared" ca="1" si="32"/>
        <v>0</v>
      </c>
      <c r="BK24" s="286">
        <f t="shared" ca="1" si="33"/>
        <v>0</v>
      </c>
      <c r="BL24" s="286">
        <f t="shared" ca="1" si="34"/>
        <v>0</v>
      </c>
      <c r="BM24" s="286">
        <f t="shared" ca="1" si="35"/>
        <v>0</v>
      </c>
      <c r="BN24" s="286">
        <f t="shared" ca="1" si="36"/>
        <v>0</v>
      </c>
      <c r="BO24" s="286">
        <f t="shared" ca="1" si="41"/>
        <v>0</v>
      </c>
      <c r="BP24" s="286">
        <f t="shared" ca="1" si="43"/>
        <v>0</v>
      </c>
      <c r="BQ24" s="286">
        <f t="shared" ca="1" si="44"/>
        <v>0</v>
      </c>
      <c r="BR24" s="286">
        <f t="shared" ca="1" si="38"/>
        <v>0</v>
      </c>
      <c r="BS24" s="286">
        <f t="shared" ca="1" si="39"/>
        <v>0</v>
      </c>
      <c r="BT24" s="286">
        <f t="shared" ca="1" si="40"/>
        <v>0</v>
      </c>
    </row>
    <row r="25" spans="1:75">
      <c r="A25" s="1">
        <f t="shared" ca="1" si="3"/>
        <v>2</v>
      </c>
      <c r="B25" s="1">
        <f t="shared" ca="1" si="20"/>
        <v>108</v>
      </c>
      <c r="C25" s="1">
        <f t="shared" ca="1" si="21"/>
        <v>3</v>
      </c>
      <c r="D25" s="1">
        <f ca="1">MIN($D$3,VLOOKUP(C25,OP!$S$30:$T$41,2))</f>
        <v>2</v>
      </c>
      <c r="E25" s="1">
        <f t="shared" ca="1" si="4"/>
        <v>56</v>
      </c>
      <c r="F25" s="11" t="str">
        <f t="shared" ca="1" si="5"/>
        <v/>
      </c>
      <c r="G25" s="8">
        <f t="shared" ca="1" si="42"/>
        <v>365</v>
      </c>
      <c r="H25" s="8">
        <f t="shared" ca="1" si="6"/>
        <v>31</v>
      </c>
      <c r="I25" s="8" t="str">
        <f t="shared" ca="1" si="0"/>
        <v>23</v>
      </c>
      <c r="J25" s="13">
        <f>IF(繳費報酬率資料!$A$1=1,VALUE(OP!$C$121),VLOOKUP(A25,MP,2,0))</f>
        <v>0.05</v>
      </c>
      <c r="K25" s="14">
        <f ca="1">IF(SUM($K$4:K24,IF(繳費報酬率資料!$A$1=1,$AU25+$AV25,$BB25+$BC25))&gt;OP!$L$58,0,IF(繳費報酬率資料!$A$1=1,$AU25+$AV25,$BB25+$BC25))</f>
        <v>0</v>
      </c>
      <c r="L25" s="2"/>
      <c r="M25" s="2"/>
      <c r="N25" s="2"/>
      <c r="O25" s="261">
        <f t="shared" ca="1" si="7"/>
        <v>0</v>
      </c>
      <c r="P25" s="261">
        <f t="shared" ca="1" si="23"/>
        <v>0</v>
      </c>
      <c r="Q25" s="3">
        <f ca="1">IF(A25&gt;MAX(OP!$R$17:$R$26),0,VLOOKUP(A25,fees,3,FALSE))</f>
        <v>0</v>
      </c>
      <c r="R25" s="200" t="str">
        <f t="shared" ca="1" si="8"/>
        <v/>
      </c>
      <c r="S25" s="9" t="str">
        <f ca="1">IF(COUNTIF(($T$4:T24),"F")&gt;=1,"",IF(OR(C26&lt;&gt;$C$3,E25=""),"",A25))</f>
        <v/>
      </c>
      <c r="T25" s="20" t="str">
        <f t="shared" ca="1" si="1"/>
        <v/>
      </c>
      <c r="U25" s="2">
        <f ca="1">IF(IF(OP!$C$83=1,$Z24,IF(OP!$C$83=2,$AA24,IF(OP!$C$83=3,$AB24,)))+$K25-$O25-$P25-$AS25&lt;OP!$C$142,0,$AS25)</f>
        <v>0</v>
      </c>
      <c r="V25" s="9"/>
      <c r="W25" s="19">
        <f ca="1">MAX(SUM($K$4:K25),0)</f>
        <v>2000000</v>
      </c>
      <c r="X25" s="19"/>
      <c r="Y25" s="19">
        <f t="shared" ca="1" si="24"/>
        <v>1920000</v>
      </c>
      <c r="Z25" s="2">
        <f ca="1">IF(MIN($Z$4:Z24)=0,0,MAX(0,($Z24+$K25-$O25-$P25)*IF(AND(F25="F",$D$3&lt;&gt;$G$3),((1+(-J25))^(H25/MIN(G25,365))),((1+(-J25))^(1/12)))-$U25))</f>
        <v>1747677.0036915767</v>
      </c>
      <c r="AA25" s="2">
        <f ca="1">IF(MIN($AA$4:AA24)=0,0,MAX(0,($AA24+$K25-$O25-$P25)*IF(AND(F25="F",$D$3&lt;&gt;$G$3),((1+$AA$1)^(H25/MIN(G25,365))),((1+$AA$1)^(1/12)))-$U25))</f>
        <v>1920000</v>
      </c>
      <c r="AB25" s="2">
        <f ca="1">IF(MIN($AB$4:AB24)=0,0,MAX(0,($AB24+$K25-$O25-$P25)*IF(AND(F25="F",$D$3&lt;&gt;$G$3),((1+(J25))^(H25/MIN(G25,365))),((1+(J25))^(1/12)))-$U25))</f>
        <v>2099656.6268796758</v>
      </c>
      <c r="AC25" s="5"/>
      <c r="AD25" s="5"/>
      <c r="AE25" s="5"/>
      <c r="AF25" s="282">
        <f t="shared" ca="1" si="9"/>
        <v>1747677</v>
      </c>
      <c r="AG25" s="282">
        <f t="shared" ca="1" si="10"/>
        <v>1920000</v>
      </c>
      <c r="AH25" s="282">
        <f t="shared" ca="1" si="11"/>
        <v>2099657</v>
      </c>
      <c r="AI25" s="23" t="str">
        <f t="shared" ca="1" si="2"/>
        <v>2-</v>
      </c>
      <c r="AJ25" s="282" t="str">
        <f ca="1">IF(E25&gt;111,,IF(AND(OP!$C$99=1,T25="F"),Z25,IF(AND(OP!$C$99=2,COUNTIF($T$4:T25,"F")=1),OP!$C$97+IF(F25="F",OP!$C$98,0),"")))</f>
        <v/>
      </c>
      <c r="AK25" s="282" t="str">
        <f ca="1">IF(E25&gt;111,,IF(AND(OP!$D$99=1,T25="F"),AA25,IF(AND(OP!$D$99=2,COUNTIF($T$4:T25,"F")=1),OP!$D$97+IF(F25="F",OP!$D$98,0),"")))</f>
        <v/>
      </c>
      <c r="AL25" s="282" t="str">
        <f ca="1">IF(E25&gt;111,,IF(AND(OP!$E$99=1,T25="F"),AB25,IF(AND(OP!$E$99=2,COUNTIF($T$4:T25,"F")=1),OP!$E$97+IF(F25="F",OP!$E$98,0),"")))</f>
        <v/>
      </c>
      <c r="AM25" s="1" t="str">
        <f t="shared" ca="1" si="25"/>
        <v/>
      </c>
      <c r="AN25" s="1" t="str">
        <f ca="1">IF(OR(VLOOKUP($A25,MP,5,0)="季繳",VLOOKUP($A25,MP,5,0)="月繳"),1,"")</f>
        <v/>
      </c>
      <c r="AO25" s="1">
        <f t="shared" ca="1" si="12"/>
        <v>0</v>
      </c>
      <c r="AP25" s="1" t="str">
        <f ca="1">IF(AND(A25&lt;=OP!$C$120,COUNTIF(PAY,C25)=1),1,"")</f>
        <v/>
      </c>
      <c r="AR25" s="301">
        <f ca="1">IF(繳費報酬率資料!$A$1=1,$AY25+$AZ25,$BF25+$BG25)</f>
        <v>0</v>
      </c>
      <c r="AS25" s="1">
        <f ca="1">IF(C25&lt;&gt;IF($C$3=1,12,$C$3-1),0,IF(繳費報酬率資料!$A$1&lt;&gt;1,VLOOKUP($A25,MP,8,0),IF(AND($A25&gt;=OP!$C$79,$A25&lt;=OP!$C$80),OP!$C$78,)))</f>
        <v>0</v>
      </c>
      <c r="AT25" s="298">
        <f t="shared" ca="1" si="13"/>
        <v>0</v>
      </c>
      <c r="AU25" s="298">
        <f ca="1">IF(AND(A25&lt;=OP!$C$120,COUNTIF(PAY,C25)=1),OP!$C$123,0)</f>
        <v>0</v>
      </c>
      <c r="AV25" s="298">
        <f ca="1">IF(AND(A25&gt;=OP!$C$132,A25&lt;=OP!$C$133,$C$3=C25),OP!$C$135,0)</f>
        <v>0</v>
      </c>
      <c r="AW25" s="180">
        <f t="shared" ca="1" si="26"/>
        <v>0.05</v>
      </c>
      <c r="AX25" s="180">
        <f t="shared" ca="1" si="27"/>
        <v>0.05</v>
      </c>
      <c r="AY25" s="286">
        <f t="shared" ca="1" si="14"/>
        <v>0</v>
      </c>
      <c r="AZ25" s="286">
        <f t="shared" ca="1" si="15"/>
        <v>0</v>
      </c>
      <c r="BA25" s="286">
        <f t="shared" ca="1" si="16"/>
        <v>0</v>
      </c>
      <c r="BB25" s="286">
        <f t="shared" ca="1" si="28"/>
        <v>0</v>
      </c>
      <c r="BC25" s="286">
        <f t="shared" ca="1" si="17"/>
        <v>0</v>
      </c>
      <c r="BD25" s="180">
        <f t="shared" ca="1" si="29"/>
        <v>0.05</v>
      </c>
      <c r="BE25" s="180">
        <f t="shared" ca="1" si="30"/>
        <v>0.05</v>
      </c>
      <c r="BF25" s="286">
        <f t="shared" ca="1" si="18"/>
        <v>0</v>
      </c>
      <c r="BG25" s="286">
        <f t="shared" ca="1" si="19"/>
        <v>0</v>
      </c>
      <c r="BI25" s="286">
        <f t="shared" ca="1" si="31"/>
        <v>0</v>
      </c>
      <c r="BJ25" s="286">
        <f t="shared" ca="1" si="32"/>
        <v>0</v>
      </c>
      <c r="BK25" s="286">
        <f t="shared" ca="1" si="33"/>
        <v>0</v>
      </c>
      <c r="BL25" s="286">
        <f t="shared" ca="1" si="34"/>
        <v>0</v>
      </c>
      <c r="BM25" s="286">
        <f t="shared" ca="1" si="35"/>
        <v>0</v>
      </c>
      <c r="BN25" s="286">
        <f t="shared" ca="1" si="36"/>
        <v>0</v>
      </c>
      <c r="BO25" s="286">
        <f t="shared" ca="1" si="41"/>
        <v>0</v>
      </c>
      <c r="BP25" s="286">
        <f t="shared" ca="1" si="43"/>
        <v>0</v>
      </c>
      <c r="BQ25" s="286">
        <f t="shared" ca="1" si="44"/>
        <v>0</v>
      </c>
      <c r="BR25" s="286">
        <f t="shared" ca="1" si="38"/>
        <v>0</v>
      </c>
      <c r="BS25" s="286">
        <f t="shared" ca="1" si="39"/>
        <v>0</v>
      </c>
      <c r="BT25" s="286">
        <f t="shared" ca="1" si="40"/>
        <v>0</v>
      </c>
    </row>
    <row r="26" spans="1:75">
      <c r="A26" s="1">
        <f t="shared" ca="1" si="3"/>
        <v>2</v>
      </c>
      <c r="B26" s="1">
        <f t="shared" ca="1" si="20"/>
        <v>108</v>
      </c>
      <c r="C26" s="1">
        <f t="shared" ca="1" si="21"/>
        <v>4</v>
      </c>
      <c r="D26" s="1">
        <f ca="1">MIN($D$3,VLOOKUP(C26,OP!$S$30:$T$41,2))</f>
        <v>2</v>
      </c>
      <c r="E26" s="1">
        <f t="shared" ca="1" si="4"/>
        <v>56</v>
      </c>
      <c r="F26" s="11" t="str">
        <f t="shared" ca="1" si="5"/>
        <v/>
      </c>
      <c r="G26" s="8">
        <f t="shared" ca="1" si="42"/>
        <v>365</v>
      </c>
      <c r="H26" s="8">
        <f t="shared" ca="1" si="6"/>
        <v>30</v>
      </c>
      <c r="I26" s="8" t="str">
        <f t="shared" ca="1" si="0"/>
        <v>24</v>
      </c>
      <c r="J26" s="13">
        <f>IF(繳費報酬率資料!$A$1=1,VALUE(OP!$C$121),VLOOKUP(A26,MP,2,0))</f>
        <v>0.05</v>
      </c>
      <c r="K26" s="14">
        <f ca="1">IF(SUM($K$4:K25,IF(繳費報酬率資料!$A$1=1,$AU26+$AV26,$BB26+$BC26))&gt;OP!$L$58,0,IF(繳費報酬率資料!$A$1=1,$AU26+$AV26,$BB26+$BC26))</f>
        <v>0</v>
      </c>
      <c r="L26" s="2"/>
      <c r="M26" s="2"/>
      <c r="N26" s="2"/>
      <c r="O26" s="261">
        <f t="shared" ca="1" si="7"/>
        <v>0</v>
      </c>
      <c r="P26" s="261">
        <f t="shared" ca="1" si="23"/>
        <v>0</v>
      </c>
      <c r="Q26" s="3">
        <f ca="1">IF(A26&gt;MAX(OP!$R$17:$R$26),0,VLOOKUP(A26,fees,3,FALSE))</f>
        <v>0</v>
      </c>
      <c r="R26" s="200" t="str">
        <f t="shared" ca="1" si="8"/>
        <v/>
      </c>
      <c r="S26" s="9" t="str">
        <f ca="1">IF(COUNTIF(($T$4:T25),"F")&gt;=1,"",IF(OR(C27&lt;&gt;$C$3,E26=""),"",A26))</f>
        <v/>
      </c>
      <c r="T26" s="20" t="str">
        <f t="shared" ca="1" si="1"/>
        <v/>
      </c>
      <c r="U26" s="2">
        <f ca="1">IF(IF(OP!$C$83=1,$Z25,IF(OP!$C$83=2,$AA25,IF(OP!$C$83=3,$AB25,)))+$K26-$O26-$P26-$AS26&lt;OP!$C$142,0,$AS26)</f>
        <v>0</v>
      </c>
      <c r="V26" s="9"/>
      <c r="W26" s="19">
        <f ca="1">MAX(SUM($K$4:K26),0)</f>
        <v>2000000</v>
      </c>
      <c r="X26" s="19"/>
      <c r="Y26" s="19">
        <f t="shared" ca="1" si="24"/>
        <v>1920000</v>
      </c>
      <c r="Z26" s="2">
        <f ca="1">IF(MIN($Z$4:Z25)=0,0,MAX(0,($Z25+$K26-$O26-$P26)*IF(AND(F26="F",$D$3&lt;&gt;$G$3),((1+(-J26))^(H26/MIN(G26,365))),((1+(-J26))^(1/12)))-$U26))</f>
        <v>1740222.6041506201</v>
      </c>
      <c r="AA26" s="2">
        <f ca="1">IF(MIN($AA$4:AA25)=0,0,MAX(0,($AA25+$K26-$O26-$P26)*IF(AND(F26="F",$D$3&lt;&gt;$G$3),((1+$AA$1)^(H26/MIN(G26,365))),((1+$AA$1)^(1/12)))-$U26))</f>
        <v>1920000</v>
      </c>
      <c r="AB26" s="2">
        <f ca="1">IF(MIN($AB$4:AB25)=0,0,MAX(0,($AB25+$K26-$O26-$P26)*IF(AND(F26="F",$D$3&lt;&gt;$G$3),((1+(J26))^(H26/MIN(G26,365))),((1+(J26))^(1/12)))-$U26))</f>
        <v>2108210.8878807412</v>
      </c>
      <c r="AC26" s="5"/>
      <c r="AD26" s="5"/>
      <c r="AE26" s="5"/>
      <c r="AF26" s="282">
        <f t="shared" ca="1" si="9"/>
        <v>1740223</v>
      </c>
      <c r="AG26" s="282">
        <f t="shared" ca="1" si="10"/>
        <v>1920000</v>
      </c>
      <c r="AH26" s="282">
        <f t="shared" ca="1" si="11"/>
        <v>2108211</v>
      </c>
      <c r="AI26" s="23" t="str">
        <f t="shared" ca="1" si="2"/>
        <v>2-</v>
      </c>
      <c r="AJ26" s="282" t="str">
        <f ca="1">IF(E26&gt;111,,IF(AND(OP!$C$99=1,T26="F"),Z26,IF(AND(OP!$C$99=2,COUNTIF($T$4:T26,"F")=1),OP!$C$97+IF(F26="F",OP!$C$98,0),"")))</f>
        <v/>
      </c>
      <c r="AK26" s="282" t="str">
        <f ca="1">IF(E26&gt;111,,IF(AND(OP!$D$99=1,T26="F"),AA26,IF(AND(OP!$D$99=2,COUNTIF($T$4:T26,"F")=1),OP!$D$97+IF(F26="F",OP!$D$98,0),"")))</f>
        <v/>
      </c>
      <c r="AL26" s="282" t="str">
        <f ca="1">IF(E26&gt;111,,IF(AND(OP!$E$99=1,T26="F"),AB26,IF(AND(OP!$E$99=2,COUNTIF($T$4:T26,"F")=1),OP!$E$97+IF(F26="F",OP!$E$98,0),"")))</f>
        <v/>
      </c>
      <c r="AM26" s="1" t="str">
        <f t="shared" ca="1" si="25"/>
        <v/>
      </c>
      <c r="AN26" s="1" t="str">
        <f ca="1">IF(OR(VLOOKUP($A26,MP,5,0)="月繳"),1,"")</f>
        <v/>
      </c>
      <c r="AO26" s="1">
        <f t="shared" ca="1" si="12"/>
        <v>0</v>
      </c>
      <c r="AP26" s="1" t="str">
        <f ca="1">IF(AND(A26&lt;=OP!$C$120,COUNTIF(PAY,C26)=1),1,"")</f>
        <v/>
      </c>
      <c r="AR26" s="301">
        <f ca="1">IF(繳費報酬率資料!$A$1=1,$AY26+$AZ26,$BF26+$BG26)</f>
        <v>0</v>
      </c>
      <c r="AS26" s="1">
        <f ca="1">IF(C26&lt;&gt;IF($C$3=1,12,$C$3-1),0,IF(繳費報酬率資料!$A$1&lt;&gt;1,VLOOKUP($A26,MP,8,0),IF(AND($A26&gt;=OP!$C$79,$A26&lt;=OP!$C$80),OP!$C$78,)))</f>
        <v>0</v>
      </c>
      <c r="AT26" s="298">
        <f t="shared" ca="1" si="13"/>
        <v>0</v>
      </c>
      <c r="AU26" s="298">
        <f ca="1">IF(AND(A26&lt;=OP!$C$120,COUNTIF(PAY,C26)=1),OP!$C$123,0)</f>
        <v>0</v>
      </c>
      <c r="AV26" s="298">
        <f ca="1">IF(AND(A26&gt;=OP!$C$132,A26&lt;=OP!$C$133,$C$3=C26),OP!$C$135,0)</f>
        <v>0</v>
      </c>
      <c r="AW26" s="180">
        <f t="shared" ca="1" si="26"/>
        <v>0.05</v>
      </c>
      <c r="AX26" s="180">
        <f t="shared" ca="1" si="27"/>
        <v>0.05</v>
      </c>
      <c r="AY26" s="286">
        <f t="shared" ca="1" si="14"/>
        <v>0</v>
      </c>
      <c r="AZ26" s="286">
        <f t="shared" ca="1" si="15"/>
        <v>0</v>
      </c>
      <c r="BA26" s="286">
        <f t="shared" ca="1" si="16"/>
        <v>0</v>
      </c>
      <c r="BB26" s="286">
        <f t="shared" ca="1" si="28"/>
        <v>0</v>
      </c>
      <c r="BC26" s="286">
        <f t="shared" ca="1" si="17"/>
        <v>0</v>
      </c>
      <c r="BD26" s="180">
        <f t="shared" ca="1" si="29"/>
        <v>0.05</v>
      </c>
      <c r="BE26" s="180">
        <f t="shared" ca="1" si="30"/>
        <v>0.05</v>
      </c>
      <c r="BF26" s="286">
        <f t="shared" ca="1" si="18"/>
        <v>0</v>
      </c>
      <c r="BG26" s="286">
        <f t="shared" ca="1" si="19"/>
        <v>0</v>
      </c>
      <c r="BI26" s="286">
        <f t="shared" ca="1" si="31"/>
        <v>0</v>
      </c>
      <c r="BJ26" s="286">
        <f t="shared" ca="1" si="32"/>
        <v>0</v>
      </c>
      <c r="BK26" s="286">
        <f t="shared" ca="1" si="33"/>
        <v>0</v>
      </c>
      <c r="BL26" s="286">
        <f t="shared" ca="1" si="34"/>
        <v>0</v>
      </c>
      <c r="BM26" s="286">
        <f t="shared" ca="1" si="35"/>
        <v>0</v>
      </c>
      <c r="BN26" s="286">
        <f t="shared" ca="1" si="36"/>
        <v>0</v>
      </c>
      <c r="BO26" s="286">
        <f t="shared" ca="1" si="41"/>
        <v>0</v>
      </c>
      <c r="BP26" s="286">
        <f t="shared" ca="1" si="43"/>
        <v>0</v>
      </c>
      <c r="BQ26" s="286">
        <f t="shared" ca="1" si="44"/>
        <v>0</v>
      </c>
      <c r="BR26" s="286">
        <f t="shared" ca="1" si="38"/>
        <v>0</v>
      </c>
      <c r="BS26" s="286">
        <f t="shared" ca="1" si="39"/>
        <v>0</v>
      </c>
      <c r="BT26" s="286">
        <f t="shared" ca="1" si="40"/>
        <v>0</v>
      </c>
    </row>
    <row r="27" spans="1:75">
      <c r="A27" s="1">
        <f t="shared" ca="1" si="3"/>
        <v>2</v>
      </c>
      <c r="B27" s="1">
        <f t="shared" ca="1" si="20"/>
        <v>108</v>
      </c>
      <c r="C27" s="1">
        <f t="shared" ca="1" si="21"/>
        <v>5</v>
      </c>
      <c r="D27" s="1">
        <f ca="1">MIN($D$3,VLOOKUP(C27,OP!$S$30:$T$41,2))</f>
        <v>2</v>
      </c>
      <c r="E27" s="1">
        <f t="shared" ca="1" si="4"/>
        <v>56</v>
      </c>
      <c r="F27" s="11" t="str">
        <f t="shared" ca="1" si="5"/>
        <v/>
      </c>
      <c r="G27" s="8">
        <f t="shared" ca="1" si="42"/>
        <v>365</v>
      </c>
      <c r="H27" s="8">
        <f t="shared" ca="1" si="6"/>
        <v>31</v>
      </c>
      <c r="I27" s="8" t="str">
        <f t="shared" ca="1" si="0"/>
        <v>25</v>
      </c>
      <c r="J27" s="13">
        <f>IF(繳費報酬率資料!$A$1=1,VALUE(OP!$C$121),VLOOKUP(A27,MP,2,0))</f>
        <v>0.05</v>
      </c>
      <c r="K27" s="14">
        <f ca="1">IF(SUM($K$4:K26,IF(繳費報酬率資料!$A$1=1,$AU27+$AV27,$BB27+$BC27))&gt;OP!$L$58,0,IF(繳費報酬率資料!$A$1=1,$AU27+$AV27,$BB27+$BC27))</f>
        <v>0</v>
      </c>
      <c r="L27" s="2">
        <f ca="1">ROUND(IF(OP!$C$78&lt;(IF(OR($T27="F",$E27&gt;=111),0,Z26+$K27-$O27+IF($C$1=1,OP!$C$78,IF($C28=$C$3,SUM(AC16:AC27,0)))))*5%,0,(OP!$C$78-((IF(OR($T27="F",$E27&gt;=111),0,Z26+$K27-$O27+IF($C$1=1,AC27,IF($C28=$C$3,SUM(AC16:AC27,0)))))*5%))*$Q27),0)</f>
        <v>0</v>
      </c>
      <c r="M27" s="2">
        <f ca="1">ROUND(IF(OP!$C$78&lt;(IF(OR($T27="F",$E27&gt;=111),0,AA26+$K27-$O27+IF($C$1=1,AD27,IF($C28=$C$3,SUM(AD16:AD27,0)))))*5%,0,(OP!$C$78-((IF(OR($T27="F",$E27&gt;=111),0,AA26+$K27-$O27+IF($C$1=1,AD27,IF($C28=$C$3,SUM(AD16:AD27,0)))))*5%))*$Q27),0)</f>
        <v>0</v>
      </c>
      <c r="N27" s="2">
        <f ca="1">ROUND(IF(OP!$C$78&lt;(IF(OR($T27="F",$E27&gt;=111),0,AB26+$K27-$O27+IF($C$1=1,AE27,IF($C28=$C$3,SUM(AE16:AE27,0)))))*5%,0,(OP!$C$78-((IF(OR($T27="F",$E27&gt;=111),0,AB26+$K27-$O27+IF($C$1=1,AE27,IF($C28=$C$3,SUM(AE16:AE27,0)))))*5%))*$Q27),0)</f>
        <v>0</v>
      </c>
      <c r="O27" s="261">
        <f t="shared" ca="1" si="7"/>
        <v>0</v>
      </c>
      <c r="P27" s="261">
        <f t="shared" ca="1" si="23"/>
        <v>0</v>
      </c>
      <c r="Q27" s="3">
        <f ca="1">IF(A27&gt;MAX(OP!$R$17:$R$26),0,VLOOKUP(A27,fees,3,FALSE))</f>
        <v>0</v>
      </c>
      <c r="R27" s="200">
        <f t="shared" ca="1" si="8"/>
        <v>2</v>
      </c>
      <c r="S27" s="9">
        <f ca="1">IF(COUNTIF(($T$4:T26),"F")&gt;=1,"",IF(OR(C28&lt;&gt;$C$3,E27=""),"",A27))</f>
        <v>2</v>
      </c>
      <c r="T27" s="20" t="str">
        <f t="shared" ca="1" si="1"/>
        <v/>
      </c>
      <c r="U27" s="2">
        <f ca="1">IF(IF(OP!$C$83=1,$Z26,IF(OP!$C$83=2,$AA26,IF(OP!$C$83=3,$AB26,)))+$K27-$O27-$P27-$AS27&lt;OP!$C$142,0,$AS27)</f>
        <v>0</v>
      </c>
      <c r="V27" s="19">
        <f ca="1">SUM(K16:K27)</f>
        <v>0</v>
      </c>
      <c r="W27" s="19">
        <f ca="1">MAX(SUM($K$4:K27),0)</f>
        <v>2000000</v>
      </c>
      <c r="X27" s="19">
        <f ca="1">SUM(O16:P27)</f>
        <v>0</v>
      </c>
      <c r="Y27" s="19">
        <f t="shared" ca="1" si="24"/>
        <v>1920000</v>
      </c>
      <c r="Z27" s="2">
        <f ca="1">IF(MIN($Z$4:Z26)=0,0,MAX(0,($Z26+$K27-$O27-$P27)*IF(AND(F27="F",$D$3&lt;&gt;$G$3),((1+(-J27))^(H27/MIN(G27,365))),((1+(-J27))^(1/12)))-$U27))</f>
        <v>1732800.0000000009</v>
      </c>
      <c r="AA27" s="2">
        <f ca="1">IF(MIN($AA$4:AA26)=0,0,MAX(0,($AA26+$K27-$O27-$P27)*IF(AND(F27="F",$D$3&lt;&gt;$G$3),((1+$AA$1)^(H27/MIN(G27,365))),((1+$AA$1)^(1/12)))-$U27))</f>
        <v>1920000</v>
      </c>
      <c r="AB27" s="2">
        <f ca="1">IF(MIN($AB$4:AB26)=0,0,MAX(0,($AB26+$K27-$O27-$P27)*IF(AND(F27="F",$D$3&lt;&gt;$G$3),((1+(J27))^(H27/MIN(G27,365))),((1+(J27))^(1/12)))-$U27))</f>
        <v>2116800.0000000023</v>
      </c>
      <c r="AC27" s="5"/>
      <c r="AD27" s="5"/>
      <c r="AE27" s="5"/>
      <c r="AF27" s="282">
        <f t="shared" ca="1" si="9"/>
        <v>1732800</v>
      </c>
      <c r="AG27" s="282">
        <f t="shared" ca="1" si="10"/>
        <v>1920000</v>
      </c>
      <c r="AH27" s="282">
        <f t="shared" ca="1" si="11"/>
        <v>2116800</v>
      </c>
      <c r="AI27" s="23" t="str">
        <f t="shared" ca="1" si="2"/>
        <v>3-</v>
      </c>
      <c r="AJ27" s="282" t="str">
        <f ca="1">IF(E27&gt;111,,IF(AND(OP!$C$99=1,T27="F"),Z27,IF(AND(OP!$C$99=2,COUNTIF($T$4:T27,"F")=1),OP!$C$97+IF(F27="F",OP!$C$98,0),"")))</f>
        <v/>
      </c>
      <c r="AK27" s="282" t="str">
        <f ca="1">IF(E27&gt;111,,IF(AND(OP!$D$99=1,T27="F"),AA27,IF(AND(OP!$D$99=2,COUNTIF($T$4:T27,"F")=1),OP!$D$97+IF(F27="F",OP!$D$98,0),"")))</f>
        <v/>
      </c>
      <c r="AL27" s="282" t="str">
        <f ca="1">IF(E27&gt;111,,IF(AND(OP!$E$99=1,T27="F"),AB27,IF(AND(OP!$E$99=2,COUNTIF($T$4:T27,"F")=1),OP!$E$97+IF(F27="F",OP!$E$98,0),"")))</f>
        <v/>
      </c>
      <c r="AM27" s="1" t="str">
        <f t="shared" ca="1" si="25"/>
        <v/>
      </c>
      <c r="AN27" s="1" t="str">
        <f ca="1">IF(OR(VLOOKUP($A27,MP,5,0)="月繳"),1,"")</f>
        <v/>
      </c>
      <c r="AO27" s="1">
        <f t="shared" ca="1" si="12"/>
        <v>0</v>
      </c>
      <c r="AP27" s="1" t="str">
        <f ca="1">IF(AND(A27&lt;=OP!$C$120,COUNTIF(PAY,C27)=1),1,"")</f>
        <v/>
      </c>
      <c r="AR27" s="301">
        <f ca="1">IF(繳費報酬率資料!$A$1=1,$AY27+$AZ27,$BF27+$BG27)</f>
        <v>0</v>
      </c>
      <c r="AS27" s="1">
        <f ca="1">IF(C27&lt;&gt;IF($C$3=1,12,$C$3-1),0,IF(繳費報酬率資料!$A$1&lt;&gt;1,VLOOKUP($A27,MP,8,0),IF(AND($A27&gt;=OP!$C$79,$A27&lt;=OP!$C$80),OP!$C$78,)))</f>
        <v>0</v>
      </c>
      <c r="AT27" s="298">
        <f t="shared" ca="1" si="13"/>
        <v>0</v>
      </c>
      <c r="AU27" s="298">
        <f ca="1">IF(AND(A27&lt;=OP!$C$120,COUNTIF(PAY,C27)=1),OP!$C$123,0)</f>
        <v>0</v>
      </c>
      <c r="AV27" s="298">
        <f ca="1">IF(AND(A27&gt;=OP!$C$132,A27&lt;=OP!$C$133,$C$3=C27),OP!$C$135,0)</f>
        <v>0</v>
      </c>
      <c r="AW27" s="180">
        <f t="shared" ca="1" si="26"/>
        <v>0.05</v>
      </c>
      <c r="AX27" s="180">
        <f t="shared" ca="1" si="27"/>
        <v>0.05</v>
      </c>
      <c r="AY27" s="286">
        <f t="shared" ca="1" si="14"/>
        <v>0</v>
      </c>
      <c r="AZ27" s="286">
        <f t="shared" ca="1" si="15"/>
        <v>0</v>
      </c>
      <c r="BA27" s="286">
        <f t="shared" ca="1" si="16"/>
        <v>0</v>
      </c>
      <c r="BB27" s="286">
        <f t="shared" ca="1" si="28"/>
        <v>0</v>
      </c>
      <c r="BC27" s="286">
        <f t="shared" ca="1" si="17"/>
        <v>0</v>
      </c>
      <c r="BD27" s="180">
        <f t="shared" ca="1" si="29"/>
        <v>0.05</v>
      </c>
      <c r="BE27" s="180">
        <f t="shared" ca="1" si="30"/>
        <v>0.05</v>
      </c>
      <c r="BF27" s="286">
        <f t="shared" ca="1" si="18"/>
        <v>0</v>
      </c>
      <c r="BG27" s="286">
        <f t="shared" ca="1" si="19"/>
        <v>0</v>
      </c>
      <c r="BI27" s="286">
        <f t="shared" ca="1" si="31"/>
        <v>0</v>
      </c>
      <c r="BJ27" s="286">
        <f t="shared" ca="1" si="32"/>
        <v>0</v>
      </c>
      <c r="BK27" s="286">
        <f t="shared" ca="1" si="33"/>
        <v>0</v>
      </c>
      <c r="BL27" s="286">
        <f t="shared" ca="1" si="34"/>
        <v>0</v>
      </c>
      <c r="BM27" s="286">
        <f t="shared" ca="1" si="35"/>
        <v>0</v>
      </c>
      <c r="BN27" s="286">
        <f t="shared" ca="1" si="36"/>
        <v>0</v>
      </c>
      <c r="BO27" s="286">
        <f t="shared" ca="1" si="41"/>
        <v>0</v>
      </c>
      <c r="BP27" s="286">
        <f t="shared" ca="1" si="43"/>
        <v>0</v>
      </c>
      <c r="BQ27" s="286">
        <f t="shared" ca="1" si="44"/>
        <v>0</v>
      </c>
      <c r="BR27" s="286">
        <f t="shared" ca="1" si="38"/>
        <v>0</v>
      </c>
      <c r="BS27" s="286">
        <f t="shared" ca="1" si="39"/>
        <v>0</v>
      </c>
      <c r="BT27" s="286">
        <f t="shared" ca="1" si="40"/>
        <v>0</v>
      </c>
      <c r="BU27" s="286">
        <f ca="1">SUM(BR16:BR27)</f>
        <v>0</v>
      </c>
      <c r="BV27" s="286">
        <f ca="1">SUM(BS16:BS27)</f>
        <v>0</v>
      </c>
      <c r="BW27" s="286">
        <f ca="1">SUM(BT16:BT27)</f>
        <v>0</v>
      </c>
    </row>
    <row r="28" spans="1:75">
      <c r="A28" s="1">
        <f t="shared" ca="1" si="3"/>
        <v>3</v>
      </c>
      <c r="B28" s="1">
        <f t="shared" ca="1" si="20"/>
        <v>108</v>
      </c>
      <c r="C28" s="1">
        <f t="shared" ca="1" si="21"/>
        <v>6</v>
      </c>
      <c r="D28" s="1">
        <f ca="1">MIN($D$3,VLOOKUP(C28,OP!$S$30:$T$41,2))</f>
        <v>2</v>
      </c>
      <c r="E28" s="1">
        <f t="shared" ca="1" si="4"/>
        <v>57</v>
      </c>
      <c r="F28" s="11" t="str">
        <f t="shared" ca="1" si="5"/>
        <v/>
      </c>
      <c r="G28" s="6">
        <f ca="1">DATEDIF(DATE(B28+1911,C28,D28),DATE(B40+1911,C40,D40),"d")</f>
        <v>366</v>
      </c>
      <c r="H28" s="8">
        <f t="shared" ca="1" si="6"/>
        <v>30</v>
      </c>
      <c r="I28" s="8" t="str">
        <f t="shared" ca="1" si="0"/>
        <v>36</v>
      </c>
      <c r="J28" s="13">
        <f>IF(繳費報酬率資料!$A$1=1,VALUE(OP!$C$121),VLOOKUP(A28,MP,2,0))</f>
        <v>0.05</v>
      </c>
      <c r="K28" s="14">
        <f ca="1">IF(SUM($K$4:K27,IF(繳費報酬率資料!$A$1=1,$AU28+$AV28,$BB28+$BC28))&gt;OP!$L$58,0,IF(繳費報酬率資料!$A$1=1,$AU28+$AV28,$BB28+$BC28))</f>
        <v>0</v>
      </c>
      <c r="L28" s="2"/>
      <c r="M28" s="2"/>
      <c r="N28" s="2"/>
      <c r="O28" s="261">
        <f t="shared" ca="1" si="7"/>
        <v>0</v>
      </c>
      <c r="P28" s="261">
        <f t="shared" ca="1" si="23"/>
        <v>0</v>
      </c>
      <c r="Q28" s="3">
        <f ca="1">IF(A28&gt;MAX(OP!$R$17:$R$26),0,VLOOKUP(A28,fees,3,FALSE))</f>
        <v>0</v>
      </c>
      <c r="R28" s="200" t="str">
        <f t="shared" ca="1" si="8"/>
        <v/>
      </c>
      <c r="S28" s="9" t="str">
        <f ca="1">IF(COUNTIF(($T$4:T27),"F")&gt;=1,"",IF(OR(C29&lt;&gt;$C$3,E28=""),"",A28))</f>
        <v/>
      </c>
      <c r="T28" s="20" t="str">
        <f t="shared" ca="1" si="1"/>
        <v/>
      </c>
      <c r="U28" s="2">
        <f ca="1">IF(IF(OP!$C$83=1,$Z27,IF(OP!$C$83=2,$AA27,IF(OP!$C$83=3,$AB27,)))+$K28-$O28-$P28-$AS28&lt;OP!$C$142,0,$AS28)</f>
        <v>0</v>
      </c>
      <c r="V28" s="9"/>
      <c r="W28" s="19">
        <f ca="1">MAX(SUM($K$4:K28),0)</f>
        <v>2000000</v>
      </c>
      <c r="X28" s="19"/>
      <c r="Y28" s="19">
        <f t="shared" ca="1" si="24"/>
        <v>1920000</v>
      </c>
      <c r="Z28" s="2">
        <f ca="1">IF(MIN($Z$4:Z27)=0,0,MAX(0,($Z27+$K28-$O28-$P28)*IF(AND(F28="F",$D$3&lt;&gt;$G$3),((1+(-J28))^(H28/MIN(G28,365))),((1+(-J28))^(1/12)))-$U28))</f>
        <v>1725409.0556222438</v>
      </c>
      <c r="AA28" s="2">
        <f ca="1">IF(MIN($AA$4:AA27)=0,0,MAX(0,($AA27+$K28-$O28-$P28)*IF(AND(F28="F",$D$3&lt;&gt;$G$3),((1+$AA$1)^(H28/MIN(G28,365))),((1+$AA$1)^(1/12)))-$U28))</f>
        <v>1920000</v>
      </c>
      <c r="AB28" s="2">
        <f ca="1">IF(MIN($AB$4:AB27)=0,0,MAX(0,($AB27+$K28-$O28-$P28)*IF(AND(F28="F",$D$3&lt;&gt;$G$3),((1+(J28))^(H28/MIN(G28,365))),((1+(J28))^(1/12)))-$U28))</f>
        <v>2125424.1052252292</v>
      </c>
      <c r="AC28" s="21"/>
      <c r="AD28" s="21"/>
      <c r="AE28" s="21"/>
      <c r="AF28" s="282">
        <f t="shared" ca="1" si="9"/>
        <v>1725409</v>
      </c>
      <c r="AG28" s="282">
        <f t="shared" ca="1" si="10"/>
        <v>1920000</v>
      </c>
      <c r="AH28" s="282">
        <f t="shared" ca="1" si="11"/>
        <v>2125424</v>
      </c>
      <c r="AI28" s="23" t="str">
        <f t="shared" ca="1" si="2"/>
        <v>3-</v>
      </c>
      <c r="AJ28" s="281" t="str">
        <f ca="1">IF(E28&gt;111,,IF(AND(OP!$C$99=1,T28="F"),Z28,IF(AND(OP!$C$99=2,COUNTIF($T$4:T28,"F")=1),OP!$C$97+IF(F28="F",OP!$C$98,0),"")))</f>
        <v/>
      </c>
      <c r="AK28" s="281" t="str">
        <f ca="1">IF(E28&gt;111,,IF(AND(OP!$D$99=1,T28="F"),AA28,IF(AND(OP!$D$99=2,COUNTIF($T$4:T28,"F")=1),OP!$D$97+IF(F28="F",OP!$D$98,0),"")))</f>
        <v/>
      </c>
      <c r="AL28" s="281" t="str">
        <f ca="1">IF(E28&gt;111,,IF(AND(OP!$E$99=1,T28="F"),AB28,IF(AND(OP!$E$99=2,COUNTIF($T$4:T28,"F")=1),OP!$E$97+IF(F28="F",OP!$E$98,0),"")))</f>
        <v/>
      </c>
      <c r="AM28" s="1" t="str">
        <f t="shared" ca="1" si="25"/>
        <v/>
      </c>
      <c r="AN28" s="1">
        <f ca="1">IF(OR(VLOOKUP($A28,MP,5,0)="年繳",VLOOKUP($A28,MP,5,0)="半年繳",VLOOKUP($A28,MP,5,0)="季繳",VLOOKUP($A28,MP,5,0)="月繳"),1,"")</f>
        <v>1</v>
      </c>
      <c r="AO28" s="1">
        <f t="shared" ca="1" si="12"/>
        <v>0</v>
      </c>
      <c r="AP28" s="1" t="str">
        <f ca="1">IF(AND(A28&lt;=OP!$C$120,COUNTIF(PAY,C28)=1),1,"")</f>
        <v/>
      </c>
      <c r="AR28" s="301">
        <f ca="1">IF(繳費報酬率資料!$A$1=1,$AY28+$AZ28,$BF28+$BG28)</f>
        <v>0</v>
      </c>
      <c r="AS28" s="1">
        <f ca="1">IF(C28&lt;&gt;IF($C$3=1,12,$C$3-1),0,IF(繳費報酬率資料!$A$1&lt;&gt;1,VLOOKUP($A28,MP,8,0),IF(AND($A28&gt;=OP!$C$79,$A28&lt;=OP!$C$80),OP!$C$78,)))</f>
        <v>0</v>
      </c>
      <c r="AT28" s="298">
        <f t="shared" ca="1" si="13"/>
        <v>0</v>
      </c>
      <c r="AU28" s="298">
        <f ca="1">IF(AND(A28&lt;=OP!$C$120,COUNTIF(PAY,C28)=1),OP!$C$123,0)</f>
        <v>0</v>
      </c>
      <c r="AV28" s="298">
        <f ca="1">IF(AND(A28&gt;=OP!$C$132,A28&lt;=OP!$C$133,$C$3=C28),OP!$C$135,0)</f>
        <v>0</v>
      </c>
      <c r="AW28" s="180">
        <f t="shared" ca="1" si="26"/>
        <v>0.05</v>
      </c>
      <c r="AX28" s="180">
        <f t="shared" ca="1" si="27"/>
        <v>0.05</v>
      </c>
      <c r="AY28" s="286">
        <f t="shared" ca="1" si="14"/>
        <v>0</v>
      </c>
      <c r="AZ28" s="286">
        <f t="shared" ca="1" si="15"/>
        <v>0</v>
      </c>
      <c r="BA28" s="286">
        <f t="shared" ca="1" si="16"/>
        <v>0</v>
      </c>
      <c r="BB28" s="286">
        <f t="shared" ca="1" si="28"/>
        <v>0</v>
      </c>
      <c r="BC28" s="286">
        <f t="shared" ca="1" si="17"/>
        <v>0</v>
      </c>
      <c r="BD28" s="180">
        <f t="shared" ca="1" si="29"/>
        <v>0.05</v>
      </c>
      <c r="BE28" s="180">
        <f t="shared" ca="1" si="30"/>
        <v>0.05</v>
      </c>
      <c r="BF28" s="286">
        <f t="shared" ca="1" si="18"/>
        <v>0</v>
      </c>
      <c r="BG28" s="286">
        <f t="shared" ca="1" si="19"/>
        <v>0</v>
      </c>
    </row>
    <row r="29" spans="1:75">
      <c r="A29" s="1">
        <f t="shared" ca="1" si="3"/>
        <v>3</v>
      </c>
      <c r="B29" s="1">
        <f t="shared" ca="1" si="20"/>
        <v>108</v>
      </c>
      <c r="C29" s="1">
        <f t="shared" ca="1" si="21"/>
        <v>7</v>
      </c>
      <c r="D29" s="1">
        <f ca="1">MIN($D$3,VLOOKUP(C29,OP!$S$30:$T$41,2))</f>
        <v>2</v>
      </c>
      <c r="E29" s="1">
        <f t="shared" ca="1" si="4"/>
        <v>57</v>
      </c>
      <c r="F29" s="11" t="str">
        <f t="shared" ca="1" si="5"/>
        <v/>
      </c>
      <c r="G29" s="8">
        <f t="shared" ref="G29:G39" ca="1" si="45">G28</f>
        <v>366</v>
      </c>
      <c r="H29" s="8">
        <f t="shared" ca="1" si="6"/>
        <v>31</v>
      </c>
      <c r="I29" s="8" t="str">
        <f t="shared" ca="1" si="0"/>
        <v>37</v>
      </c>
      <c r="J29" s="13">
        <f>IF(繳費報酬率資料!$A$1=1,VALUE(OP!$C$121),VLOOKUP(A29,MP,2,0))</f>
        <v>0.05</v>
      </c>
      <c r="K29" s="14">
        <f ca="1">IF(SUM($K$4:K28,IF(繳費報酬率資料!$A$1=1,$AU29+$AV29,$BB29+$BC29))&gt;OP!$L$58,0,IF(繳費報酬率資料!$A$1=1,$AU29+$AV29,$BB29+$BC29))</f>
        <v>0</v>
      </c>
      <c r="L29" s="2"/>
      <c r="M29" s="2"/>
      <c r="N29" s="2"/>
      <c r="O29" s="261">
        <f t="shared" ca="1" si="7"/>
        <v>0</v>
      </c>
      <c r="P29" s="261">
        <f t="shared" ca="1" si="23"/>
        <v>0</v>
      </c>
      <c r="Q29" s="3">
        <f ca="1">IF(A29&gt;MAX(OP!$R$17:$R$26),0,VLOOKUP(A29,fees,3,FALSE))</f>
        <v>0</v>
      </c>
      <c r="R29" s="200" t="str">
        <f t="shared" ca="1" si="8"/>
        <v/>
      </c>
      <c r="S29" s="9" t="str">
        <f ca="1">IF(COUNTIF(($T$4:T28),"F")&gt;=1,"",IF(OR(C30&lt;&gt;$C$3,E29=""),"",A29))</f>
        <v/>
      </c>
      <c r="T29" s="20" t="str">
        <f t="shared" ca="1" si="1"/>
        <v/>
      </c>
      <c r="U29" s="2">
        <f ca="1">IF(IF(OP!$C$83=1,$Z28,IF(OP!$C$83=2,$AA28,IF(OP!$C$83=3,$AB28,)))+$K29-$O29-$P29-$AS29&lt;OP!$C$142,0,$AS29)</f>
        <v>0</v>
      </c>
      <c r="V29" s="9"/>
      <c r="W29" s="19">
        <f ca="1">MAX(SUM($K$4:K29),0)</f>
        <v>2000000</v>
      </c>
      <c r="X29" s="19"/>
      <c r="Y29" s="19">
        <f t="shared" ca="1" si="24"/>
        <v>1920000</v>
      </c>
      <c r="Z29" s="2">
        <f ca="1">IF(MIN($Z$4:Z28)=0,0,MAX(0,($Z28+$K29-$O29-$P29)*IF(AND(F29="F",$D$3&lt;&gt;$G$3),((1+(-J29))^(H29/MIN(G29,365))),((1+(-J29))^(1/12)))-$U29))</f>
        <v>1718049.635978325</v>
      </c>
      <c r="AA29" s="2">
        <f ca="1">IF(MIN($AA$4:AA28)=0,0,MAX(0,($AA28+$K29-$O29-$P29)*IF(AND(F29="F",$D$3&lt;&gt;$G$3),((1+$AA$1)^(H29/MIN(G29,365))),((1+$AA$1)^(1/12)))-$U29))</f>
        <v>1920000</v>
      </c>
      <c r="AB29" s="2">
        <f ca="1">IF(MIN($AB$4:AB28)=0,0,MAX(0,($AB28+$K29-$O29-$P29)*IF(AND(F29="F",$D$3&lt;&gt;$G$3),((1+(J29))^(H29/MIN(G29,365))),((1+(J29))^(1/12)))-$U29))</f>
        <v>2134083.3461226667</v>
      </c>
      <c r="AC29" s="5"/>
      <c r="AD29" s="5"/>
      <c r="AE29" s="5"/>
      <c r="AF29" s="282">
        <f t="shared" ca="1" si="9"/>
        <v>1718050</v>
      </c>
      <c r="AG29" s="282">
        <f t="shared" ca="1" si="10"/>
        <v>1920000</v>
      </c>
      <c r="AH29" s="282">
        <f t="shared" ca="1" si="11"/>
        <v>2134083</v>
      </c>
      <c r="AI29" s="23" t="str">
        <f t="shared" ca="1" si="2"/>
        <v>3-</v>
      </c>
      <c r="AJ29" s="282" t="str">
        <f ca="1">IF(E29&gt;111,,IF(AND(OP!$C$99=1,T29="F"),Z29,IF(AND(OP!$C$99=2,COUNTIF($T$4:T29,"F")=1),OP!$C$97+IF(F29="F",OP!$C$98,0),"")))</f>
        <v/>
      </c>
      <c r="AK29" s="282" t="str">
        <f ca="1">IF(E29&gt;111,,IF(AND(OP!$D$99=1,T29="F"),AA29,IF(AND(OP!$D$99=2,COUNTIF($T$4:T29,"F")=1),OP!$D$97+IF(F29="F",OP!$D$98,0),"")))</f>
        <v/>
      </c>
      <c r="AL29" s="282" t="str">
        <f ca="1">IF(E29&gt;111,,IF(AND(OP!$E$99=1,T29="F"),AB29,IF(AND(OP!$E$99=2,COUNTIF($T$4:T29,"F")=1),OP!$E$97+IF(F29="F",OP!$E$98,0),"")))</f>
        <v/>
      </c>
      <c r="AM29" s="1" t="str">
        <f t="shared" ca="1" si="25"/>
        <v/>
      </c>
      <c r="AN29" s="1" t="str">
        <f ca="1">IF(OR(VLOOKUP($A29,MP,5,0)="月繳"),1,"")</f>
        <v/>
      </c>
      <c r="AO29" s="1">
        <f t="shared" ca="1" si="12"/>
        <v>0</v>
      </c>
      <c r="AP29" s="1" t="str">
        <f ca="1">IF(AND(A29&lt;=OP!$C$120,COUNTIF(PAY,C29)=1),1,"")</f>
        <v/>
      </c>
      <c r="AR29" s="301">
        <f ca="1">IF(繳費報酬率資料!$A$1=1,$AY29+$AZ29,$BF29+$BG29)</f>
        <v>0</v>
      </c>
      <c r="AS29" s="1">
        <f ca="1">IF(C29&lt;&gt;IF($C$3=1,12,$C$3-1),0,IF(繳費報酬率資料!$A$1&lt;&gt;1,VLOOKUP($A29,MP,8,0),IF(AND($A29&gt;=OP!$C$79,$A29&lt;=OP!$C$80),OP!$C$78,)))</f>
        <v>0</v>
      </c>
      <c r="AT29" s="298">
        <f t="shared" ca="1" si="13"/>
        <v>0</v>
      </c>
      <c r="AU29" s="298">
        <f ca="1">IF(AND(A29&lt;=OP!$C$120,COUNTIF(PAY,C29)=1),OP!$C$123,0)</f>
        <v>0</v>
      </c>
      <c r="AV29" s="298">
        <f ca="1">IF(AND(A29&gt;=OP!$C$132,A29&lt;=OP!$C$133,$C$3=C29),OP!$C$135,0)</f>
        <v>0</v>
      </c>
      <c r="AW29" s="180">
        <f t="shared" ca="1" si="26"/>
        <v>0.05</v>
      </c>
      <c r="AX29" s="180">
        <f t="shared" ca="1" si="27"/>
        <v>0.05</v>
      </c>
      <c r="AY29" s="286">
        <f t="shared" ca="1" si="14"/>
        <v>0</v>
      </c>
      <c r="AZ29" s="286">
        <f t="shared" ca="1" si="15"/>
        <v>0</v>
      </c>
      <c r="BA29" s="286">
        <f t="shared" ca="1" si="16"/>
        <v>0</v>
      </c>
      <c r="BB29" s="286">
        <f t="shared" ca="1" si="28"/>
        <v>0</v>
      </c>
      <c r="BC29" s="286">
        <f t="shared" ca="1" si="17"/>
        <v>0</v>
      </c>
      <c r="BD29" s="180">
        <f t="shared" ca="1" si="29"/>
        <v>0.05</v>
      </c>
      <c r="BE29" s="180">
        <f t="shared" ca="1" si="30"/>
        <v>0.05</v>
      </c>
      <c r="BF29" s="286">
        <f t="shared" ca="1" si="18"/>
        <v>0</v>
      </c>
      <c r="BG29" s="286">
        <f t="shared" ca="1" si="19"/>
        <v>0</v>
      </c>
    </row>
    <row r="30" spans="1:75">
      <c r="A30" s="1">
        <f t="shared" ca="1" si="3"/>
        <v>3</v>
      </c>
      <c r="B30" s="1">
        <f t="shared" ca="1" si="20"/>
        <v>108</v>
      </c>
      <c r="C30" s="1">
        <f t="shared" ca="1" si="21"/>
        <v>8</v>
      </c>
      <c r="D30" s="1">
        <f ca="1">MIN($D$3,VLOOKUP(C30,OP!$S$30:$T$41,2))</f>
        <v>2</v>
      </c>
      <c r="E30" s="1">
        <f t="shared" ca="1" si="4"/>
        <v>57</v>
      </c>
      <c r="F30" s="11" t="str">
        <f t="shared" ca="1" si="5"/>
        <v/>
      </c>
      <c r="G30" s="8">
        <f t="shared" ca="1" si="45"/>
        <v>366</v>
      </c>
      <c r="H30" s="8">
        <f t="shared" ca="1" si="6"/>
        <v>31</v>
      </c>
      <c r="I30" s="8" t="str">
        <f t="shared" ca="1" si="0"/>
        <v>38</v>
      </c>
      <c r="J30" s="13">
        <f>IF(繳費報酬率資料!$A$1=1,VALUE(OP!$C$121),VLOOKUP(A30,MP,2,0))</f>
        <v>0.05</v>
      </c>
      <c r="K30" s="14">
        <f ca="1">IF(SUM($K$4:K29,IF(繳費報酬率資料!$A$1=1,$AU30+$AV30,$BB30+$BC30))&gt;OP!$L$58,0,IF(繳費報酬率資料!$A$1=1,$AU30+$AV30,$BB30+$BC30))</f>
        <v>0</v>
      </c>
      <c r="L30" s="2"/>
      <c r="M30" s="2"/>
      <c r="N30" s="2"/>
      <c r="O30" s="261">
        <f t="shared" ca="1" si="7"/>
        <v>0</v>
      </c>
      <c r="P30" s="261">
        <f t="shared" ca="1" si="23"/>
        <v>0</v>
      </c>
      <c r="Q30" s="3">
        <f ca="1">IF(A30&gt;MAX(OP!$R$17:$R$26),0,VLOOKUP(A30,fees,3,FALSE))</f>
        <v>0</v>
      </c>
      <c r="R30" s="200" t="str">
        <f t="shared" ca="1" si="8"/>
        <v/>
      </c>
      <c r="S30" s="9" t="str">
        <f ca="1">IF(COUNTIF(($T$4:T29),"F")&gt;=1,"",IF(OR(C31&lt;&gt;$C$3,E30=""),"",A30))</f>
        <v/>
      </c>
      <c r="T30" s="20" t="str">
        <f t="shared" ca="1" si="1"/>
        <v/>
      </c>
      <c r="U30" s="2">
        <f ca="1">IF(IF(OP!$C$83=1,$Z29,IF(OP!$C$83=2,$AA29,IF(OP!$C$83=3,$AB29,)))+$K30-$O30-$P30-$AS30&lt;OP!$C$142,0,$AS30)</f>
        <v>0</v>
      </c>
      <c r="V30" s="9"/>
      <c r="W30" s="19">
        <f ca="1">MAX(SUM($K$4:K30),0)</f>
        <v>2000000</v>
      </c>
      <c r="X30" s="19"/>
      <c r="Y30" s="19">
        <f t="shared" ca="1" si="24"/>
        <v>1920000</v>
      </c>
      <c r="Z30" s="2">
        <f ca="1">IF(MIN($Z$4:Z29)=0,0,MAX(0,($Z29+$K30-$O30-$P30)*IF(AND(F30="F",$D$3&lt;&gt;$G$3),((1+(-J30))^(H30/MIN(G30,365))),((1+(-J30))^(1/12)))-$U30))</f>
        <v>1710721.6066052055</v>
      </c>
      <c r="AA30" s="2">
        <f ca="1">IF(MIN($AA$4:AA29)=0,0,MAX(0,($AA29+$K30-$O30-$P30)*IF(AND(F30="F",$D$3&lt;&gt;$G$3),((1+$AA$1)^(H30/MIN(G30,365))),((1+$AA$1)^(1/12)))-$U30))</f>
        <v>1920000</v>
      </c>
      <c r="AB30" s="2">
        <f ca="1">IF(MIN($AB$4:AB29)=0,0,MAX(0,($AB29+$K30-$O30-$P30)*IF(AND(F30="F",$D$3&lt;&gt;$G$3),((1+(J30))^(H30/MIN(G30,365))),((1+(J30))^(1/12)))-$U30))</f>
        <v>2142777.8658393929</v>
      </c>
      <c r="AC30" s="5"/>
      <c r="AD30" s="5"/>
      <c r="AE30" s="5"/>
      <c r="AF30" s="282">
        <f t="shared" ca="1" si="9"/>
        <v>1710722</v>
      </c>
      <c r="AG30" s="282">
        <f t="shared" ca="1" si="10"/>
        <v>1920000</v>
      </c>
      <c r="AH30" s="282">
        <f t="shared" ca="1" si="11"/>
        <v>2142778</v>
      </c>
      <c r="AI30" s="23" t="str">
        <f t="shared" ca="1" si="2"/>
        <v>3-</v>
      </c>
      <c r="AJ30" s="282" t="str">
        <f ca="1">IF(E30&gt;111,,IF(AND(OP!$C$99=1,T30="F"),Z30,IF(AND(OP!$C$99=2,COUNTIF($T$4:T30,"F")=1),OP!$C$97+IF(F30="F",OP!$C$98,0),"")))</f>
        <v/>
      </c>
      <c r="AK30" s="282" t="str">
        <f ca="1">IF(E30&gt;111,,IF(AND(OP!$D$99=1,T30="F"),AA30,IF(AND(OP!$D$99=2,COUNTIF($T$4:T30,"F")=1),OP!$D$97+IF(F30="F",OP!$D$98,0),"")))</f>
        <v/>
      </c>
      <c r="AL30" s="282" t="str">
        <f ca="1">IF(E30&gt;111,,IF(AND(OP!$E$99=1,T30="F"),AB30,IF(AND(OP!$E$99=2,COUNTIF($T$4:T30,"F")=1),OP!$E$97+IF(F30="F",OP!$E$98,0),"")))</f>
        <v/>
      </c>
      <c r="AM30" s="1" t="str">
        <f t="shared" ca="1" si="25"/>
        <v/>
      </c>
      <c r="AN30" s="1" t="str">
        <f ca="1">IF(OR(VLOOKUP($A30,MP,5,0)="月繳"),1,"")</f>
        <v/>
      </c>
      <c r="AO30" s="1">
        <f t="shared" ca="1" si="12"/>
        <v>0</v>
      </c>
      <c r="AP30" s="1" t="str">
        <f ca="1">IF(AND(A30&lt;=OP!$C$120,COUNTIF(PAY,C30)=1),1,"")</f>
        <v/>
      </c>
      <c r="AR30" s="301">
        <f ca="1">IF(繳費報酬率資料!$A$1=1,$AY30+$AZ30,$BF30+$BG30)</f>
        <v>0</v>
      </c>
      <c r="AS30" s="1">
        <f ca="1">IF(C30&lt;&gt;IF($C$3=1,12,$C$3-1),0,IF(繳費報酬率資料!$A$1&lt;&gt;1,VLOOKUP($A30,MP,8,0),IF(AND($A30&gt;=OP!$C$79,$A30&lt;=OP!$C$80),OP!$C$78,)))</f>
        <v>0</v>
      </c>
      <c r="AT30" s="298">
        <f t="shared" ca="1" si="13"/>
        <v>0</v>
      </c>
      <c r="AU30" s="298">
        <f ca="1">IF(AND(A30&lt;=OP!$C$120,COUNTIF(PAY,C30)=1),OP!$C$123,0)</f>
        <v>0</v>
      </c>
      <c r="AV30" s="298">
        <f ca="1">IF(AND(A30&gt;=OP!$C$132,A30&lt;=OP!$C$133,$C$3=C30),OP!$C$135,0)</f>
        <v>0</v>
      </c>
      <c r="AW30" s="180">
        <f t="shared" ca="1" si="26"/>
        <v>0.05</v>
      </c>
      <c r="AX30" s="180">
        <f t="shared" ca="1" si="27"/>
        <v>0.05</v>
      </c>
      <c r="AY30" s="286">
        <f t="shared" ca="1" si="14"/>
        <v>0</v>
      </c>
      <c r="AZ30" s="286">
        <f t="shared" ca="1" si="15"/>
        <v>0</v>
      </c>
      <c r="BA30" s="286">
        <f t="shared" ca="1" si="16"/>
        <v>0</v>
      </c>
      <c r="BB30" s="286">
        <f t="shared" ca="1" si="28"/>
        <v>0</v>
      </c>
      <c r="BC30" s="286">
        <f t="shared" ca="1" si="17"/>
        <v>0</v>
      </c>
      <c r="BD30" s="180">
        <f t="shared" ca="1" si="29"/>
        <v>0.05</v>
      </c>
      <c r="BE30" s="180">
        <f t="shared" ca="1" si="30"/>
        <v>0.05</v>
      </c>
      <c r="BF30" s="286">
        <f t="shared" ca="1" si="18"/>
        <v>0</v>
      </c>
      <c r="BG30" s="286">
        <f t="shared" ca="1" si="19"/>
        <v>0</v>
      </c>
    </row>
    <row r="31" spans="1:75">
      <c r="A31" s="1">
        <f t="shared" ca="1" si="3"/>
        <v>3</v>
      </c>
      <c r="B31" s="1">
        <f t="shared" ca="1" si="20"/>
        <v>108</v>
      </c>
      <c r="C31" s="1">
        <f t="shared" ca="1" si="21"/>
        <v>9</v>
      </c>
      <c r="D31" s="1">
        <f ca="1">MIN($D$3,VLOOKUP(C31,OP!$S$30:$T$41,2))</f>
        <v>2</v>
      </c>
      <c r="E31" s="1">
        <f t="shared" ca="1" si="4"/>
        <v>57</v>
      </c>
      <c r="F31" s="11" t="str">
        <f t="shared" ca="1" si="5"/>
        <v/>
      </c>
      <c r="G31" s="8">
        <f t="shared" ca="1" si="45"/>
        <v>366</v>
      </c>
      <c r="H31" s="8">
        <f t="shared" ca="1" si="6"/>
        <v>30</v>
      </c>
      <c r="I31" s="8" t="str">
        <f t="shared" ca="1" si="0"/>
        <v>39</v>
      </c>
      <c r="J31" s="13">
        <f>IF(繳費報酬率資料!$A$1=1,VALUE(OP!$C$121),VLOOKUP(A31,MP,2,0))</f>
        <v>0.05</v>
      </c>
      <c r="K31" s="14">
        <f ca="1">IF(SUM($K$4:K30,IF(繳費報酬率資料!$A$1=1,$AU31+$AV31,$BB31+$BC31))&gt;OP!$L$58,0,IF(繳費報酬率資料!$A$1=1,$AU31+$AV31,$BB31+$BC31))</f>
        <v>0</v>
      </c>
      <c r="L31" s="2"/>
      <c r="M31" s="2"/>
      <c r="N31" s="2"/>
      <c r="O31" s="261">
        <f t="shared" ca="1" si="7"/>
        <v>0</v>
      </c>
      <c r="P31" s="261">
        <f t="shared" ca="1" si="23"/>
        <v>0</v>
      </c>
      <c r="Q31" s="3">
        <f ca="1">IF(A31&gt;MAX(OP!$R$17:$R$26),0,VLOOKUP(A31,fees,3,FALSE))</f>
        <v>0</v>
      </c>
      <c r="R31" s="200" t="str">
        <f t="shared" ca="1" si="8"/>
        <v/>
      </c>
      <c r="S31" s="9" t="str">
        <f ca="1">IF(COUNTIF(($T$4:T30),"F")&gt;=1,"",IF(OR(C32&lt;&gt;$C$3,E31=""),"",A31))</f>
        <v/>
      </c>
      <c r="T31" s="20" t="str">
        <f t="shared" ca="1" si="1"/>
        <v/>
      </c>
      <c r="U31" s="2">
        <f ca="1">IF(IF(OP!$C$83=1,$Z30,IF(OP!$C$83=2,$AA30,IF(OP!$C$83=3,$AB30,)))+$K31-$O31-$P31-$AS31&lt;OP!$C$142,0,$AS31)</f>
        <v>0</v>
      </c>
      <c r="V31" s="9"/>
      <c r="W31" s="19">
        <f ca="1">MAX(SUM($K$4:K31),0)</f>
        <v>2000000</v>
      </c>
      <c r="X31" s="19"/>
      <c r="Y31" s="19">
        <f t="shared" ca="1" si="24"/>
        <v>1920000</v>
      </c>
      <c r="Z31" s="2">
        <f ca="1">IF(MIN($Z$4:Z30)=0,0,MAX(0,($Z30+$K31-$O31-$P31)*IF(AND(F31="F",$D$3&lt;&gt;$G$3),((1+(-J31))^(H31/MIN(G31,365))),((1+(-J31))^(1/12)))-$U31))</f>
        <v>1703424.8336133736</v>
      </c>
      <c r="AA31" s="2">
        <f ca="1">IF(MIN($AA$4:AA30)=0,0,MAX(0,($AA30+$K31-$O31-$P31)*IF(AND(F31="F",$D$3&lt;&gt;$G$3),((1+$AA$1)^(H31/MIN(G31,365))),((1+$AA$1)^(1/12)))-$U31))</f>
        <v>1920000</v>
      </c>
      <c r="AB31" s="2">
        <f ca="1">IF(MIN($AB$4:AB30)=0,0,MAX(0,($AB30+$K31-$O31-$P31)*IF(AND(F31="F",$D$3&lt;&gt;$G$3),((1+(J31))^(H31/MIN(G31,365))),((1+(J31))^(1/12)))-$U31))</f>
        <v>2151507.8081056844</v>
      </c>
      <c r="AC31" s="5"/>
      <c r="AD31" s="5"/>
      <c r="AE31" s="5"/>
      <c r="AF31" s="282">
        <f t="shared" ca="1" si="9"/>
        <v>1703425</v>
      </c>
      <c r="AG31" s="282">
        <f t="shared" ca="1" si="10"/>
        <v>1920000</v>
      </c>
      <c r="AH31" s="282">
        <f t="shared" ca="1" si="11"/>
        <v>2151508</v>
      </c>
      <c r="AI31" s="23" t="str">
        <f t="shared" ca="1" si="2"/>
        <v>3-</v>
      </c>
      <c r="AJ31" s="282" t="str">
        <f ca="1">IF(E31&gt;111,,IF(AND(OP!$C$99=1,T31="F"),Z31,IF(AND(OP!$C$99=2,COUNTIF($T$4:T31,"F")=1),OP!$C$97+IF(F31="F",OP!$C$98,0),"")))</f>
        <v/>
      </c>
      <c r="AK31" s="282" t="str">
        <f ca="1">IF(E31&gt;111,,IF(AND(OP!$D$99=1,T31="F"),AA31,IF(AND(OP!$D$99=2,COUNTIF($T$4:T31,"F")=1),OP!$D$97+IF(F31="F",OP!$D$98,0),"")))</f>
        <v/>
      </c>
      <c r="AL31" s="282" t="str">
        <f ca="1">IF(E31&gt;111,,IF(AND(OP!$E$99=1,T31="F"),AB31,IF(AND(OP!$E$99=2,COUNTIF($T$4:T31,"F")=1),OP!$E$97+IF(F31="F",OP!$E$98,0),"")))</f>
        <v/>
      </c>
      <c r="AM31" s="1" t="str">
        <f t="shared" ca="1" si="25"/>
        <v/>
      </c>
      <c r="AN31" s="1" t="str">
        <f ca="1">IF(OR(VLOOKUP($A31,MP,5,0)="季繳",VLOOKUP($A31,MP,5,0)="月繳"),1,"")</f>
        <v/>
      </c>
      <c r="AO31" s="1">
        <f t="shared" ca="1" si="12"/>
        <v>0</v>
      </c>
      <c r="AP31" s="1" t="str">
        <f ca="1">IF(AND(A31&lt;=OP!$C$120,COUNTIF(PAY,C31)=1),1,"")</f>
        <v/>
      </c>
      <c r="AR31" s="301">
        <f ca="1">IF(繳費報酬率資料!$A$1=1,$AY31+$AZ31,$BF31+$BG31)</f>
        <v>0</v>
      </c>
      <c r="AS31" s="1">
        <f ca="1">IF(C31&lt;&gt;IF($C$3=1,12,$C$3-1),0,IF(繳費報酬率資料!$A$1&lt;&gt;1,VLOOKUP($A31,MP,8,0),IF(AND($A31&gt;=OP!$C$79,$A31&lt;=OP!$C$80),OP!$C$78,)))</f>
        <v>0</v>
      </c>
      <c r="AT31" s="298">
        <f t="shared" ca="1" si="13"/>
        <v>0</v>
      </c>
      <c r="AU31" s="298">
        <f ca="1">IF(AND(A31&lt;=OP!$C$120,COUNTIF(PAY,C31)=1),OP!$C$123,0)</f>
        <v>0</v>
      </c>
      <c r="AV31" s="298">
        <f ca="1">IF(AND(A31&gt;=OP!$C$132,A31&lt;=OP!$C$133,$C$3=C31),OP!$C$135,0)</f>
        <v>0</v>
      </c>
      <c r="AW31" s="180">
        <f t="shared" ca="1" si="26"/>
        <v>0.05</v>
      </c>
      <c r="AX31" s="180">
        <f t="shared" ca="1" si="27"/>
        <v>0.05</v>
      </c>
      <c r="AY31" s="286">
        <f t="shared" ca="1" si="14"/>
        <v>0</v>
      </c>
      <c r="AZ31" s="286">
        <f t="shared" ca="1" si="15"/>
        <v>0</v>
      </c>
      <c r="BA31" s="286">
        <f t="shared" ca="1" si="16"/>
        <v>0</v>
      </c>
      <c r="BB31" s="286">
        <f t="shared" ca="1" si="28"/>
        <v>0</v>
      </c>
      <c r="BC31" s="286">
        <f t="shared" ca="1" si="17"/>
        <v>0</v>
      </c>
      <c r="BD31" s="180">
        <f t="shared" ca="1" si="29"/>
        <v>0.05</v>
      </c>
      <c r="BE31" s="180">
        <f t="shared" ca="1" si="30"/>
        <v>0.05</v>
      </c>
      <c r="BF31" s="286">
        <f t="shared" ca="1" si="18"/>
        <v>0</v>
      </c>
      <c r="BG31" s="286">
        <f t="shared" ca="1" si="19"/>
        <v>0</v>
      </c>
    </row>
    <row r="32" spans="1:75">
      <c r="A32" s="1">
        <f t="shared" ca="1" si="3"/>
        <v>3</v>
      </c>
      <c r="B32" s="1">
        <f t="shared" ca="1" si="20"/>
        <v>108</v>
      </c>
      <c r="C32" s="1">
        <f t="shared" ca="1" si="21"/>
        <v>10</v>
      </c>
      <c r="D32" s="1">
        <f ca="1">MIN($D$3,VLOOKUP(C32,OP!$S$30:$T$41,2))</f>
        <v>2</v>
      </c>
      <c r="E32" s="1">
        <f t="shared" ca="1" si="4"/>
        <v>57</v>
      </c>
      <c r="F32" s="11" t="str">
        <f t="shared" ca="1" si="5"/>
        <v/>
      </c>
      <c r="G32" s="8">
        <f t="shared" ca="1" si="45"/>
        <v>366</v>
      </c>
      <c r="H32" s="8">
        <f t="shared" ca="1" si="6"/>
        <v>31</v>
      </c>
      <c r="I32" s="8" t="str">
        <f t="shared" ca="1" si="0"/>
        <v>310</v>
      </c>
      <c r="J32" s="13">
        <f>IF(繳費報酬率資料!$A$1=1,VALUE(OP!$C$121),VLOOKUP(A32,MP,2,0))</f>
        <v>0.05</v>
      </c>
      <c r="K32" s="14">
        <f ca="1">IF(SUM($K$4:K31,IF(繳費報酬率資料!$A$1=1,$AU32+$AV32,$BB32+$BC32))&gt;OP!$L$58,0,IF(繳費報酬率資料!$A$1=1,$AU32+$AV32,$BB32+$BC32))</f>
        <v>0</v>
      </c>
      <c r="L32" s="2"/>
      <c r="M32" s="2"/>
      <c r="N32" s="2"/>
      <c r="O32" s="261">
        <f t="shared" ca="1" si="7"/>
        <v>0</v>
      </c>
      <c r="P32" s="261">
        <f t="shared" ca="1" si="23"/>
        <v>0</v>
      </c>
      <c r="Q32" s="3">
        <f ca="1">IF(A32&gt;MAX(OP!$R$17:$R$26),0,VLOOKUP(A32,fees,3,FALSE))</f>
        <v>0</v>
      </c>
      <c r="R32" s="200" t="str">
        <f t="shared" ca="1" si="8"/>
        <v/>
      </c>
      <c r="S32" s="9" t="str">
        <f ca="1">IF(COUNTIF(($T$4:T31),"F")&gt;=1,"",IF(OR(C33&lt;&gt;$C$3,E32=""),"",A32))</f>
        <v/>
      </c>
      <c r="T32" s="20" t="str">
        <f t="shared" ca="1" si="1"/>
        <v/>
      </c>
      <c r="U32" s="2">
        <f ca="1">IF(IF(OP!$C$83=1,$Z31,IF(OP!$C$83=2,$AA31,IF(OP!$C$83=3,$AB31,)))+$K32-$O32-$P32-$AS32&lt;OP!$C$142,0,$AS32)</f>
        <v>0</v>
      </c>
      <c r="V32" s="9"/>
      <c r="W32" s="19">
        <f ca="1">MAX(SUM($K$4:K32),0)</f>
        <v>2000000</v>
      </c>
      <c r="X32" s="19"/>
      <c r="Y32" s="19">
        <f t="shared" ca="1" si="24"/>
        <v>1920000</v>
      </c>
      <c r="Z32" s="2">
        <f ca="1">IF(MIN($Z$4:Z31)=0,0,MAX(0,($Z31+$K32-$O32-$P32)*IF(AND(F32="F",$D$3&lt;&gt;$G$3),((1+(-J32))^(H32/MIN(G32,365))),((1+(-J32))^(1/12)))-$U32))</f>
        <v>1696159.1836843994</v>
      </c>
      <c r="AA32" s="2">
        <f ca="1">IF(MIN($AA$4:AA31)=0,0,MAX(0,($AA31+$K32-$O32-$P32)*IF(AND(F32="F",$D$3&lt;&gt;$G$3),((1+$AA$1)^(H32/MIN(G32,365))),((1+$AA$1)^(1/12)))-$U32))</f>
        <v>1920000</v>
      </c>
      <c r="AB32" s="2">
        <f ca="1">IF(MIN($AB$4:AB31)=0,0,MAX(0,($AB31+$K32-$O32-$P32)*IF(AND(F32="F",$D$3&lt;&gt;$G$3),((1+(J32))^(H32/MIN(G32,365))),((1+(J32))^(1/12)))-$U32))</f>
        <v>2160273.317237393</v>
      </c>
      <c r="AC32" s="5"/>
      <c r="AD32" s="5"/>
      <c r="AE32" s="5"/>
      <c r="AF32" s="282">
        <f t="shared" ca="1" si="9"/>
        <v>1696159</v>
      </c>
      <c r="AG32" s="282">
        <f t="shared" ca="1" si="10"/>
        <v>1920000</v>
      </c>
      <c r="AH32" s="282">
        <f t="shared" ca="1" si="11"/>
        <v>2160273</v>
      </c>
      <c r="AI32" s="23" t="str">
        <f t="shared" ca="1" si="2"/>
        <v>3-</v>
      </c>
      <c r="AJ32" s="282" t="str">
        <f ca="1">IF(E32&gt;111,,IF(AND(OP!$C$99=1,T32="F"),Z32,IF(AND(OP!$C$99=2,COUNTIF($T$4:T32,"F")=1),OP!$C$97+IF(F32="F",OP!$C$98,0),"")))</f>
        <v/>
      </c>
      <c r="AK32" s="282" t="str">
        <f ca="1">IF(E32&gt;111,,IF(AND(OP!$D$99=1,T32="F"),AA32,IF(AND(OP!$D$99=2,COUNTIF($T$4:T32,"F")=1),OP!$D$97+IF(F32="F",OP!$D$98,0),"")))</f>
        <v/>
      </c>
      <c r="AL32" s="282" t="str">
        <f ca="1">IF(E32&gt;111,,IF(AND(OP!$E$99=1,T32="F"),AB32,IF(AND(OP!$E$99=2,COUNTIF($T$4:T32,"F")=1),OP!$E$97+IF(F32="F",OP!$E$98,0),"")))</f>
        <v/>
      </c>
      <c r="AM32" s="1" t="str">
        <f t="shared" ca="1" si="25"/>
        <v/>
      </c>
      <c r="AN32" s="1" t="str">
        <f ca="1">IF(OR(VLOOKUP($A32,MP,5,0)="月繳"),1,"")</f>
        <v/>
      </c>
      <c r="AO32" s="1">
        <f t="shared" ca="1" si="12"/>
        <v>0</v>
      </c>
      <c r="AP32" s="1" t="str">
        <f ca="1">IF(AND(A32&lt;=OP!$C$120,COUNTIF(PAY,C32)=1),1,"")</f>
        <v/>
      </c>
      <c r="AR32" s="301">
        <f ca="1">IF(繳費報酬率資料!$A$1=1,$AY32+$AZ32,$BF32+$BG32)</f>
        <v>0</v>
      </c>
      <c r="AS32" s="1">
        <f ca="1">IF(C32&lt;&gt;IF($C$3=1,12,$C$3-1),0,IF(繳費報酬率資料!$A$1&lt;&gt;1,VLOOKUP($A32,MP,8,0),IF(AND($A32&gt;=OP!$C$79,$A32&lt;=OP!$C$80),OP!$C$78,)))</f>
        <v>0</v>
      </c>
      <c r="AT32" s="298">
        <f t="shared" ca="1" si="13"/>
        <v>0</v>
      </c>
      <c r="AU32" s="298">
        <f ca="1">IF(AND(A32&lt;=OP!$C$120,COUNTIF(PAY,C32)=1),OP!$C$123,0)</f>
        <v>0</v>
      </c>
      <c r="AV32" s="298">
        <f ca="1">IF(AND(A32&gt;=OP!$C$132,A32&lt;=OP!$C$133,$C$3=C32),OP!$C$135,0)</f>
        <v>0</v>
      </c>
      <c r="AW32" s="180">
        <f t="shared" ca="1" si="26"/>
        <v>0.05</v>
      </c>
      <c r="AX32" s="180">
        <f t="shared" ca="1" si="27"/>
        <v>0.05</v>
      </c>
      <c r="AY32" s="286">
        <f t="shared" ca="1" si="14"/>
        <v>0</v>
      </c>
      <c r="AZ32" s="286">
        <f t="shared" ca="1" si="15"/>
        <v>0</v>
      </c>
      <c r="BA32" s="286">
        <f t="shared" ca="1" si="16"/>
        <v>0</v>
      </c>
      <c r="BB32" s="286">
        <f t="shared" ca="1" si="28"/>
        <v>0</v>
      </c>
      <c r="BC32" s="286">
        <f t="shared" ca="1" si="17"/>
        <v>0</v>
      </c>
      <c r="BD32" s="180">
        <f t="shared" ca="1" si="29"/>
        <v>0.05</v>
      </c>
      <c r="BE32" s="180">
        <f t="shared" ca="1" si="30"/>
        <v>0.05</v>
      </c>
      <c r="BF32" s="286">
        <f t="shared" ca="1" si="18"/>
        <v>0</v>
      </c>
      <c r="BG32" s="286">
        <f t="shared" ca="1" si="19"/>
        <v>0</v>
      </c>
    </row>
    <row r="33" spans="1:59">
      <c r="A33" s="1">
        <f t="shared" ca="1" si="3"/>
        <v>3</v>
      </c>
      <c r="B33" s="1">
        <f t="shared" ca="1" si="20"/>
        <v>108</v>
      </c>
      <c r="C33" s="1">
        <f t="shared" ca="1" si="21"/>
        <v>11</v>
      </c>
      <c r="D33" s="1">
        <f ca="1">MIN($D$3,VLOOKUP(C33,OP!$S$30:$T$41,2))</f>
        <v>2</v>
      </c>
      <c r="E33" s="1">
        <f t="shared" ca="1" si="4"/>
        <v>57</v>
      </c>
      <c r="F33" s="11" t="str">
        <f t="shared" ca="1" si="5"/>
        <v/>
      </c>
      <c r="G33" s="8">
        <f t="shared" ca="1" si="45"/>
        <v>366</v>
      </c>
      <c r="H33" s="8">
        <f t="shared" ca="1" si="6"/>
        <v>30</v>
      </c>
      <c r="I33" s="8" t="str">
        <f t="shared" ca="1" si="0"/>
        <v>311</v>
      </c>
      <c r="J33" s="13">
        <f>IF(繳費報酬率資料!$A$1=1,VALUE(OP!$C$121),VLOOKUP(A33,MP,2,0))</f>
        <v>0.05</v>
      </c>
      <c r="K33" s="14">
        <f ca="1">IF(SUM($K$4:K32,IF(繳費報酬率資料!$A$1=1,$AU33+$AV33,$BB33+$BC33))&gt;OP!$L$58,0,IF(繳費報酬率資料!$A$1=1,$AU33+$AV33,$BB33+$BC33))</f>
        <v>0</v>
      </c>
      <c r="L33" s="2"/>
      <c r="M33" s="2"/>
      <c r="N33" s="2"/>
      <c r="O33" s="261">
        <f t="shared" ca="1" si="7"/>
        <v>0</v>
      </c>
      <c r="P33" s="261">
        <f t="shared" ca="1" si="23"/>
        <v>0</v>
      </c>
      <c r="Q33" s="3">
        <f ca="1">IF(A33&gt;MAX(OP!$R$17:$R$26),0,VLOOKUP(A33,fees,3,FALSE))</f>
        <v>0</v>
      </c>
      <c r="R33" s="200" t="str">
        <f t="shared" ca="1" si="8"/>
        <v/>
      </c>
      <c r="S33" s="9" t="str">
        <f ca="1">IF(COUNTIF(($T$4:T32),"F")&gt;=1,"",IF(OR(C34&lt;&gt;$C$3,E33=""),"",A33))</f>
        <v/>
      </c>
      <c r="T33" s="20" t="str">
        <f t="shared" ca="1" si="1"/>
        <v/>
      </c>
      <c r="U33" s="2">
        <f ca="1">IF(IF(OP!$C$83=1,$Z32,IF(OP!$C$83=2,$AA32,IF(OP!$C$83=3,$AB32,)))+$K33-$O33-$P33-$AS33&lt;OP!$C$142,0,$AS33)</f>
        <v>0</v>
      </c>
      <c r="V33" s="9"/>
      <c r="W33" s="19">
        <f ca="1">MAX(SUM($K$4:K33),0)</f>
        <v>2000000</v>
      </c>
      <c r="X33" s="19"/>
      <c r="Y33" s="19">
        <f t="shared" ca="1" si="24"/>
        <v>1920000</v>
      </c>
      <c r="Z33" s="2">
        <f ca="1">IF(MIN($Z$4:Z32)=0,0,MAX(0,($Z32+$K33-$O33-$P33)*IF(AND(F33="F",$D$3&lt;&gt;$G$3),((1+(-J33))^(H33/MIN(G33,365))),((1+(-J33))^(1/12)))-$U33))</f>
        <v>1688924.5240684983</v>
      </c>
      <c r="AA33" s="2">
        <f ca="1">IF(MIN($AA$4:AA32)=0,0,MAX(0,($AA32+$K33-$O33-$P33)*IF(AND(F33="F",$D$3&lt;&gt;$G$3),((1+$AA$1)^(H33/MIN(G33,365))),((1+$AA$1)^(1/12)))-$U33))</f>
        <v>1920000</v>
      </c>
      <c r="AB33" s="2">
        <f ca="1">IF(MIN($AB$4:AB32)=0,0,MAX(0,($AB32+$K33-$O33-$P33)*IF(AND(F33="F",$D$3&lt;&gt;$G$3),((1+(J33))^(H33/MIN(G33,365))),((1+(J33))^(1/12)))-$U33))</f>
        <v>2169074.5381383309</v>
      </c>
      <c r="AC33" s="5"/>
      <c r="AD33" s="5"/>
      <c r="AE33" s="5"/>
      <c r="AF33" s="282">
        <f t="shared" ca="1" si="9"/>
        <v>1688925</v>
      </c>
      <c r="AG33" s="282">
        <f t="shared" ca="1" si="10"/>
        <v>1920000</v>
      </c>
      <c r="AH33" s="282">
        <f t="shared" ca="1" si="11"/>
        <v>2169075</v>
      </c>
      <c r="AI33" s="23" t="str">
        <f t="shared" ca="1" si="2"/>
        <v>3-</v>
      </c>
      <c r="AJ33" s="282" t="str">
        <f ca="1">IF(E33&gt;111,,IF(AND(OP!$C$99=1,T33="F"),Z33,IF(AND(OP!$C$99=2,COUNTIF($T$4:T33,"F")=1),OP!$C$97+IF(F33="F",OP!$C$98,0),"")))</f>
        <v/>
      </c>
      <c r="AK33" s="282" t="str">
        <f ca="1">IF(E33&gt;111,,IF(AND(OP!$D$99=1,T33="F"),AA33,IF(AND(OP!$D$99=2,COUNTIF($T$4:T33,"F")=1),OP!$D$97+IF(F33="F",OP!$D$98,0),"")))</f>
        <v/>
      </c>
      <c r="AL33" s="282" t="str">
        <f ca="1">IF(E33&gt;111,,IF(AND(OP!$E$99=1,T33="F"),AB33,IF(AND(OP!$E$99=2,COUNTIF($T$4:T33,"F")=1),OP!$E$97+IF(F33="F",OP!$E$98,0),"")))</f>
        <v/>
      </c>
      <c r="AM33" s="1" t="str">
        <f t="shared" ca="1" si="25"/>
        <v/>
      </c>
      <c r="AN33" s="1" t="str">
        <f ca="1">IF(OR(VLOOKUP($A33,MP,5,0)="月繳"),1,"")</f>
        <v/>
      </c>
      <c r="AO33" s="1">
        <f t="shared" ca="1" si="12"/>
        <v>0</v>
      </c>
      <c r="AP33" s="1" t="str">
        <f ca="1">IF(AND(A33&lt;=OP!$C$120,COUNTIF(PAY,C33)=1),1,"")</f>
        <v/>
      </c>
      <c r="AR33" s="301">
        <f ca="1">IF(繳費報酬率資料!$A$1=1,$AY33+$AZ33,$BF33+$BG33)</f>
        <v>0</v>
      </c>
      <c r="AS33" s="1">
        <f ca="1">IF(C33&lt;&gt;IF($C$3=1,12,$C$3-1),0,IF(繳費報酬率資料!$A$1&lt;&gt;1,VLOOKUP($A33,MP,8,0),IF(AND($A33&gt;=OP!$C$79,$A33&lt;=OP!$C$80),OP!$C$78,)))</f>
        <v>0</v>
      </c>
      <c r="AT33" s="298">
        <f t="shared" ca="1" si="13"/>
        <v>0</v>
      </c>
      <c r="AU33" s="298">
        <f ca="1">IF(AND(A33&lt;=OP!$C$120,COUNTIF(PAY,C33)=1),OP!$C$123,0)</f>
        <v>0</v>
      </c>
      <c r="AV33" s="298">
        <f ca="1">IF(AND(A33&gt;=OP!$C$132,A33&lt;=OP!$C$133,$C$3=C33),OP!$C$135,0)</f>
        <v>0</v>
      </c>
      <c r="AW33" s="180">
        <f t="shared" ca="1" si="26"/>
        <v>0.05</v>
      </c>
      <c r="AX33" s="180">
        <f t="shared" ca="1" si="27"/>
        <v>0.05</v>
      </c>
      <c r="AY33" s="286">
        <f t="shared" ca="1" si="14"/>
        <v>0</v>
      </c>
      <c r="AZ33" s="286">
        <f t="shared" ca="1" si="15"/>
        <v>0</v>
      </c>
      <c r="BA33" s="286">
        <f t="shared" ca="1" si="16"/>
        <v>0</v>
      </c>
      <c r="BB33" s="286">
        <f t="shared" ca="1" si="28"/>
        <v>0</v>
      </c>
      <c r="BC33" s="286">
        <f t="shared" ca="1" si="17"/>
        <v>0</v>
      </c>
      <c r="BD33" s="180">
        <f t="shared" ca="1" si="29"/>
        <v>0.05</v>
      </c>
      <c r="BE33" s="180">
        <f t="shared" ca="1" si="30"/>
        <v>0.05</v>
      </c>
      <c r="BF33" s="286">
        <f t="shared" ca="1" si="18"/>
        <v>0</v>
      </c>
      <c r="BG33" s="286">
        <f t="shared" ca="1" si="19"/>
        <v>0</v>
      </c>
    </row>
    <row r="34" spans="1:59">
      <c r="A34" s="1">
        <f t="shared" ca="1" si="3"/>
        <v>3</v>
      </c>
      <c r="B34" s="1">
        <f t="shared" ca="1" si="20"/>
        <v>108</v>
      </c>
      <c r="C34" s="1">
        <f t="shared" ca="1" si="21"/>
        <v>12</v>
      </c>
      <c r="D34" s="1">
        <f ca="1">MIN($D$3,VLOOKUP(C34,OP!$S$30:$T$41,2))</f>
        <v>2</v>
      </c>
      <c r="E34" s="1">
        <f t="shared" ca="1" si="4"/>
        <v>57</v>
      </c>
      <c r="F34" s="11" t="str">
        <f t="shared" ca="1" si="5"/>
        <v/>
      </c>
      <c r="G34" s="8">
        <f t="shared" ca="1" si="45"/>
        <v>366</v>
      </c>
      <c r="H34" s="8">
        <f t="shared" ca="1" si="6"/>
        <v>31</v>
      </c>
      <c r="I34" s="8" t="str">
        <f t="shared" ca="1" si="0"/>
        <v>312</v>
      </c>
      <c r="J34" s="13">
        <f>IF(繳費報酬率資料!$A$1=1,VALUE(OP!$C$121),VLOOKUP(A34,MP,2,0))</f>
        <v>0.05</v>
      </c>
      <c r="K34" s="14">
        <f ca="1">IF(SUM($K$4:K33,IF(繳費報酬率資料!$A$1=1,$AU34+$AV34,$BB34+$BC34))&gt;OP!$L$58,0,IF(繳費報酬率資料!$A$1=1,$AU34+$AV34,$BB34+$BC34))</f>
        <v>0</v>
      </c>
      <c r="L34" s="2"/>
      <c r="M34" s="2"/>
      <c r="N34" s="2"/>
      <c r="O34" s="261">
        <f t="shared" ca="1" si="7"/>
        <v>0</v>
      </c>
      <c r="P34" s="261">
        <f t="shared" ca="1" si="23"/>
        <v>0</v>
      </c>
      <c r="Q34" s="3">
        <f ca="1">IF(A34&gt;MAX(OP!$R$17:$R$26),0,VLOOKUP(A34,fees,3,FALSE))</f>
        <v>0</v>
      </c>
      <c r="R34" s="200" t="str">
        <f t="shared" ca="1" si="8"/>
        <v/>
      </c>
      <c r="S34" s="9" t="str">
        <f ca="1">IF(COUNTIF(($T$4:T33),"F")&gt;=1,"",IF(OR(C35&lt;&gt;$C$3,E34=""),"",A34))</f>
        <v/>
      </c>
      <c r="T34" s="20" t="str">
        <f t="shared" ca="1" si="1"/>
        <v/>
      </c>
      <c r="U34" s="2">
        <f ca="1">IF(IF(OP!$C$83=1,$Z33,IF(OP!$C$83=2,$AA33,IF(OP!$C$83=3,$AB33,)))+$K34-$O34-$P34-$AS34&lt;OP!$C$142,0,$AS34)</f>
        <v>0</v>
      </c>
      <c r="V34" s="9"/>
      <c r="W34" s="19">
        <f ca="1">MAX(SUM($K$4:K34),0)</f>
        <v>2000000</v>
      </c>
      <c r="X34" s="19"/>
      <c r="Y34" s="19">
        <f t="shared" ca="1" si="24"/>
        <v>1920000</v>
      </c>
      <c r="Z34" s="2">
        <f ca="1">IF(MIN($Z$4:Z33)=0,0,MAX(0,($Z33+$K34-$O34-$P34)*IF(AND(F34="F",$D$3&lt;&gt;$G$3),((1+(-J34))^(H34/MIN(G34,365))),((1+(-J34))^(1/12)))-$U34))</f>
        <v>1681720.7225821062</v>
      </c>
      <c r="AA34" s="2">
        <f ca="1">IF(MIN($AA$4:AA33)=0,0,MAX(0,($AA33+$K34-$O34-$P34)*IF(AND(F34="F",$D$3&lt;&gt;$G$3),((1+$AA$1)^(H34/MIN(G34,365))),((1+$AA$1)^(1/12)))-$U34))</f>
        <v>1920000</v>
      </c>
      <c r="AB34" s="2">
        <f ca="1">IF(MIN($AB$4:AB33)=0,0,MAX(0,($AB33+$K34-$O34-$P34)*IF(AND(F34="F",$D$3&lt;&gt;$G$3),((1+(J34))^(H34/MIN(G34,365))),((1+(J34))^(1/12)))-$U34))</f>
        <v>2177911.6163026663</v>
      </c>
      <c r="AC34" s="5"/>
      <c r="AD34" s="5"/>
      <c r="AE34" s="5"/>
      <c r="AF34" s="282">
        <f t="shared" ca="1" si="9"/>
        <v>1681721</v>
      </c>
      <c r="AG34" s="282">
        <f t="shared" ca="1" si="10"/>
        <v>1920000</v>
      </c>
      <c r="AH34" s="282">
        <f t="shared" ca="1" si="11"/>
        <v>2177912</v>
      </c>
      <c r="AI34" s="23" t="str">
        <f t="shared" ca="1" si="2"/>
        <v>3-</v>
      </c>
      <c r="AJ34" s="282" t="str">
        <f ca="1">IF(E34&gt;111,,IF(AND(OP!$C$99=1,T34="F"),Z34,IF(AND(OP!$C$99=2,COUNTIF($T$4:T34,"F")=1),OP!$C$97+IF(F34="F",OP!$C$98,0),"")))</f>
        <v/>
      </c>
      <c r="AK34" s="282" t="str">
        <f ca="1">IF(E34&gt;111,,IF(AND(OP!$D$99=1,T34="F"),AA34,IF(AND(OP!$D$99=2,COUNTIF($T$4:T34,"F")=1),OP!$D$97+IF(F34="F",OP!$D$98,0),"")))</f>
        <v/>
      </c>
      <c r="AL34" s="282" t="str">
        <f ca="1">IF(E34&gt;111,,IF(AND(OP!$E$99=1,T34="F"),AB34,IF(AND(OP!$E$99=2,COUNTIF($T$4:T34,"F")=1),OP!$E$97+IF(F34="F",OP!$E$98,0),"")))</f>
        <v/>
      </c>
      <c r="AM34" s="1" t="str">
        <f t="shared" ca="1" si="25"/>
        <v/>
      </c>
      <c r="AN34" s="1" t="str">
        <f ca="1">IF(OR(VLOOKUP($A34,MP,5,0)="半年繳",VLOOKUP($A34,MP,5,0)="季繳",VLOOKUP($A34,MP,5,0)="月繳"),1,"")</f>
        <v/>
      </c>
      <c r="AO34" s="1">
        <f t="shared" ca="1" si="12"/>
        <v>0</v>
      </c>
      <c r="AP34" s="1" t="str">
        <f ca="1">IF(AND(A34&lt;=OP!$C$120,COUNTIF(PAY,C34)=1),1,"")</f>
        <v/>
      </c>
      <c r="AR34" s="301">
        <f ca="1">IF(繳費報酬率資料!$A$1=1,$AY34+$AZ34,$BF34+$BG34)</f>
        <v>0</v>
      </c>
      <c r="AS34" s="1">
        <f ca="1">IF(C34&lt;&gt;IF($C$3=1,12,$C$3-1),0,IF(繳費報酬率資料!$A$1&lt;&gt;1,VLOOKUP($A34,MP,8,0),IF(AND($A34&gt;=OP!$C$79,$A34&lt;=OP!$C$80),OP!$C$78,)))</f>
        <v>0</v>
      </c>
      <c r="AT34" s="298">
        <f t="shared" ca="1" si="13"/>
        <v>0</v>
      </c>
      <c r="AU34" s="298">
        <f ca="1">IF(AND(A34&lt;=OP!$C$120,COUNTIF(PAY,C34)=1),OP!$C$123,0)</f>
        <v>0</v>
      </c>
      <c r="AV34" s="298">
        <f ca="1">IF(AND(A34&gt;=OP!$C$132,A34&lt;=OP!$C$133,$C$3=C34),OP!$C$135,0)</f>
        <v>0</v>
      </c>
      <c r="AW34" s="180">
        <f t="shared" ca="1" si="26"/>
        <v>0.05</v>
      </c>
      <c r="AX34" s="180">
        <f t="shared" ca="1" si="27"/>
        <v>0.05</v>
      </c>
      <c r="AY34" s="286">
        <f t="shared" ca="1" si="14"/>
        <v>0</v>
      </c>
      <c r="AZ34" s="286">
        <f t="shared" ca="1" si="15"/>
        <v>0</v>
      </c>
      <c r="BA34" s="286">
        <f t="shared" ca="1" si="16"/>
        <v>0</v>
      </c>
      <c r="BB34" s="286">
        <f t="shared" ca="1" si="28"/>
        <v>0</v>
      </c>
      <c r="BC34" s="286">
        <f t="shared" ca="1" si="17"/>
        <v>0</v>
      </c>
      <c r="BD34" s="180">
        <f t="shared" ca="1" si="29"/>
        <v>0.05</v>
      </c>
      <c r="BE34" s="180">
        <f t="shared" ca="1" si="30"/>
        <v>0.05</v>
      </c>
      <c r="BF34" s="286">
        <f t="shared" ca="1" si="18"/>
        <v>0</v>
      </c>
      <c r="BG34" s="286">
        <f t="shared" ca="1" si="19"/>
        <v>0</v>
      </c>
    </row>
    <row r="35" spans="1:59">
      <c r="A35" s="1">
        <f t="shared" ca="1" si="3"/>
        <v>3</v>
      </c>
      <c r="B35" s="1">
        <f t="shared" ca="1" si="20"/>
        <v>109</v>
      </c>
      <c r="C35" s="1">
        <f t="shared" ca="1" si="21"/>
        <v>1</v>
      </c>
      <c r="D35" s="1">
        <f ca="1">MIN($D$3,VLOOKUP(C35,OP!$S$30:$T$41,2))</f>
        <v>2</v>
      </c>
      <c r="E35" s="1">
        <f t="shared" ca="1" si="4"/>
        <v>57</v>
      </c>
      <c r="F35" s="11" t="str">
        <f t="shared" ca="1" si="5"/>
        <v/>
      </c>
      <c r="G35" s="8">
        <f t="shared" ca="1" si="45"/>
        <v>366</v>
      </c>
      <c r="H35" s="8">
        <f t="shared" ca="1" si="6"/>
        <v>31</v>
      </c>
      <c r="I35" s="8" t="str">
        <f t="shared" ca="1" si="0"/>
        <v>31</v>
      </c>
      <c r="J35" s="13">
        <f>IF(繳費報酬率資料!$A$1=1,VALUE(OP!$C$121),VLOOKUP(A35,MP,2,0))</f>
        <v>0.05</v>
      </c>
      <c r="K35" s="14">
        <f ca="1">IF(SUM($K$4:K34,IF(繳費報酬率資料!$A$1=1,$AU35+$AV35,$BB35+$BC35))&gt;OP!$L$58,0,IF(繳費報酬率資料!$A$1=1,$AU35+$AV35,$BB35+$BC35))</f>
        <v>0</v>
      </c>
      <c r="L35" s="2"/>
      <c r="M35" s="2"/>
      <c r="N35" s="2"/>
      <c r="O35" s="261">
        <f t="shared" ca="1" si="7"/>
        <v>0</v>
      </c>
      <c r="P35" s="261">
        <f t="shared" ca="1" si="23"/>
        <v>0</v>
      </c>
      <c r="Q35" s="3">
        <f ca="1">IF(A35&gt;MAX(OP!$R$17:$R$26),0,VLOOKUP(A35,fees,3,FALSE))</f>
        <v>0</v>
      </c>
      <c r="R35" s="200" t="str">
        <f t="shared" ca="1" si="8"/>
        <v/>
      </c>
      <c r="S35" s="9" t="str">
        <f ca="1">IF(COUNTIF(($T$4:T34),"F")&gt;=1,"",IF(OR(C36&lt;&gt;$C$3,E35=""),"",A35))</f>
        <v/>
      </c>
      <c r="T35" s="20" t="str">
        <f t="shared" ca="1" si="1"/>
        <v/>
      </c>
      <c r="U35" s="2">
        <f ca="1">IF(IF(OP!$C$83=1,$Z34,IF(OP!$C$83=2,$AA34,IF(OP!$C$83=3,$AB34,)))+$K35-$O35-$P35-$AS35&lt;OP!$C$142,0,$AS35)</f>
        <v>0</v>
      </c>
      <c r="V35" s="9"/>
      <c r="W35" s="19">
        <f ca="1">MAX(SUM($K$4:K35),0)</f>
        <v>2000000</v>
      </c>
      <c r="X35" s="19"/>
      <c r="Y35" s="19">
        <f t="shared" ca="1" si="24"/>
        <v>1920000</v>
      </c>
      <c r="Z35" s="2">
        <f ca="1">IF(MIN($Z$4:Z34)=0,0,MAX(0,($Z34+$K35-$O35-$P35)*IF(AND(F35="F",$D$3&lt;&gt;$G$3),((1+(-J35))^(H35/MIN(G35,365))),((1+(-J35))^(1/12)))-$U35))</f>
        <v>1674547.6476054639</v>
      </c>
      <c r="AA35" s="2">
        <f ca="1">IF(MIN($AA$4:AA34)=0,0,MAX(0,($AA34+$K35-$O35-$P35)*IF(AND(F35="F",$D$3&lt;&gt;$G$3),((1+$AA$1)^(H35/MIN(G35,365))),((1+$AA$1)^(1/12)))-$U35))</f>
        <v>1920000</v>
      </c>
      <c r="AB35" s="2">
        <f ca="1">IF(MIN($AB$4:AB34)=0,0,MAX(0,($AB34+$K35-$O35-$P35)*IF(AND(F35="F",$D$3&lt;&gt;$G$3),((1+(J35))^(H35/MIN(G35,365))),((1+(J35))^(1/12)))-$U35))</f>
        <v>2186784.6978173289</v>
      </c>
      <c r="AC35" s="5"/>
      <c r="AD35" s="5"/>
      <c r="AE35" s="5"/>
      <c r="AF35" s="282">
        <f t="shared" ca="1" si="9"/>
        <v>1674548</v>
      </c>
      <c r="AG35" s="282">
        <f t="shared" ca="1" si="10"/>
        <v>1920000</v>
      </c>
      <c r="AH35" s="282">
        <f t="shared" ca="1" si="11"/>
        <v>2186785</v>
      </c>
      <c r="AI35" s="23" t="str">
        <f t="shared" ca="1" si="2"/>
        <v>3-</v>
      </c>
      <c r="AJ35" s="282" t="str">
        <f ca="1">IF(E35&gt;111,,IF(AND(OP!$C$99=1,T35="F"),Z35,IF(AND(OP!$C$99=2,COUNTIF($T$4:T35,"F")=1),OP!$C$97+IF(F35="F",OP!$C$98,0),"")))</f>
        <v/>
      </c>
      <c r="AK35" s="282" t="str">
        <f ca="1">IF(E35&gt;111,,IF(AND(OP!$D$99=1,T35="F"),AA35,IF(AND(OP!$D$99=2,COUNTIF($T$4:T35,"F")=1),OP!$D$97+IF(F35="F",OP!$D$98,0),"")))</f>
        <v/>
      </c>
      <c r="AL35" s="282" t="str">
        <f ca="1">IF(E35&gt;111,,IF(AND(OP!$E$99=1,T35="F"),AB35,IF(AND(OP!$E$99=2,COUNTIF($T$4:T35,"F")=1),OP!$E$97+IF(F35="F",OP!$E$98,0),"")))</f>
        <v/>
      </c>
      <c r="AM35" s="1" t="str">
        <f t="shared" ca="1" si="25"/>
        <v/>
      </c>
      <c r="AN35" s="1" t="str">
        <f ca="1">IF(OR(VLOOKUP($A35,MP,5,0)="月繳"),1,"")</f>
        <v/>
      </c>
      <c r="AO35" s="1">
        <f t="shared" ca="1" si="12"/>
        <v>0</v>
      </c>
      <c r="AP35" s="1" t="str">
        <f ca="1">IF(AND(A35&lt;=OP!$C$120,COUNTIF(PAY,C35)=1),1,"")</f>
        <v/>
      </c>
      <c r="AR35" s="301">
        <f ca="1">IF(繳費報酬率資料!$A$1=1,$AY35+$AZ35,$BF35+$BG35)</f>
        <v>0</v>
      </c>
      <c r="AS35" s="1">
        <f ca="1">IF(C35&lt;&gt;IF($C$3=1,12,$C$3-1),0,IF(繳費報酬率資料!$A$1&lt;&gt;1,VLOOKUP($A35,MP,8,0),IF(AND($A35&gt;=OP!$C$79,$A35&lt;=OP!$C$80),OP!$C$78,)))</f>
        <v>0</v>
      </c>
      <c r="AT35" s="298">
        <f t="shared" ca="1" si="13"/>
        <v>0</v>
      </c>
      <c r="AU35" s="298">
        <f ca="1">IF(AND(A35&lt;=OP!$C$120,COUNTIF(PAY,C35)=1),OP!$C$123,0)</f>
        <v>0</v>
      </c>
      <c r="AV35" s="298">
        <f ca="1">IF(AND(A35&gt;=OP!$C$132,A35&lt;=OP!$C$133,$C$3=C35),OP!$C$135,0)</f>
        <v>0</v>
      </c>
      <c r="AW35" s="180">
        <f t="shared" ca="1" si="26"/>
        <v>0.05</v>
      </c>
      <c r="AX35" s="180">
        <f t="shared" ca="1" si="27"/>
        <v>0.05</v>
      </c>
      <c r="AY35" s="286">
        <f t="shared" ca="1" si="14"/>
        <v>0</v>
      </c>
      <c r="AZ35" s="286">
        <f t="shared" ca="1" si="15"/>
        <v>0</v>
      </c>
      <c r="BA35" s="286">
        <f t="shared" ca="1" si="16"/>
        <v>0</v>
      </c>
      <c r="BB35" s="286">
        <f t="shared" ca="1" si="28"/>
        <v>0</v>
      </c>
      <c r="BC35" s="286">
        <f t="shared" ca="1" si="17"/>
        <v>0</v>
      </c>
      <c r="BD35" s="180">
        <f t="shared" ca="1" si="29"/>
        <v>0.05</v>
      </c>
      <c r="BE35" s="180">
        <f t="shared" ca="1" si="30"/>
        <v>0.05</v>
      </c>
      <c r="BF35" s="286">
        <f t="shared" ca="1" si="18"/>
        <v>0</v>
      </c>
      <c r="BG35" s="286">
        <f t="shared" ca="1" si="19"/>
        <v>0</v>
      </c>
    </row>
    <row r="36" spans="1:59">
      <c r="A36" s="1">
        <f t="shared" ca="1" si="3"/>
        <v>3</v>
      </c>
      <c r="B36" s="1">
        <f t="shared" ca="1" si="20"/>
        <v>109</v>
      </c>
      <c r="C36" s="1">
        <f t="shared" ca="1" si="21"/>
        <v>2</v>
      </c>
      <c r="D36" s="1">
        <f ca="1">MIN($D$3,VLOOKUP(C36,OP!$S$30:$T$41,2))</f>
        <v>2</v>
      </c>
      <c r="E36" s="1">
        <f t="shared" ca="1" si="4"/>
        <v>57</v>
      </c>
      <c r="F36" s="11" t="str">
        <f t="shared" ca="1" si="5"/>
        <v/>
      </c>
      <c r="G36" s="8">
        <f t="shared" ca="1" si="45"/>
        <v>366</v>
      </c>
      <c r="H36" s="8">
        <f t="shared" ca="1" si="6"/>
        <v>29</v>
      </c>
      <c r="I36" s="8" t="str">
        <f t="shared" ca="1" si="0"/>
        <v>32</v>
      </c>
      <c r="J36" s="13">
        <f>IF(繳費報酬率資料!$A$1=1,VALUE(OP!$C$121),VLOOKUP(A36,MP,2,0))</f>
        <v>0.05</v>
      </c>
      <c r="K36" s="14">
        <f ca="1">IF(SUM($K$4:K35,IF(繳費報酬率資料!$A$1=1,$AU36+$AV36,$BB36+$BC36))&gt;OP!$L$58,0,IF(繳費報酬率資料!$A$1=1,$AU36+$AV36,$BB36+$BC36))</f>
        <v>0</v>
      </c>
      <c r="L36" s="2"/>
      <c r="M36" s="2"/>
      <c r="N36" s="2"/>
      <c r="O36" s="261">
        <f t="shared" ca="1" si="7"/>
        <v>0</v>
      </c>
      <c r="P36" s="261">
        <f t="shared" ca="1" si="23"/>
        <v>0</v>
      </c>
      <c r="Q36" s="3">
        <f ca="1">IF(A36&gt;MAX(OP!$R$17:$R$26),0,VLOOKUP(A36,fees,3,FALSE))</f>
        <v>0</v>
      </c>
      <c r="R36" s="200" t="str">
        <f t="shared" ca="1" si="8"/>
        <v/>
      </c>
      <c r="S36" s="9" t="str">
        <f ca="1">IF(COUNTIF(($T$4:T35),"F")&gt;=1,"",IF(OR(C37&lt;&gt;$C$3,E36=""),"",A36))</f>
        <v/>
      </c>
      <c r="T36" s="20" t="str">
        <f t="shared" ca="1" si="1"/>
        <v/>
      </c>
      <c r="U36" s="2">
        <f ca="1">IF(IF(OP!$C$83=1,$Z35,IF(OP!$C$83=2,$AA35,IF(OP!$C$83=3,$AB35,)))+$K36-$O36-$P36-$AS36&lt;OP!$C$142,0,$AS36)</f>
        <v>0</v>
      </c>
      <c r="V36" s="9"/>
      <c r="W36" s="19">
        <f ca="1">MAX(SUM($K$4:K36),0)</f>
        <v>2000000</v>
      </c>
      <c r="X36" s="19"/>
      <c r="Y36" s="19">
        <f t="shared" ca="1" si="24"/>
        <v>1920000</v>
      </c>
      <c r="Z36" s="2">
        <f ca="1">IF(MIN($Z$4:Z35)=0,0,MAX(0,($Z35+$K36-$O36-$P36)*IF(AND(F36="F",$D$3&lt;&gt;$G$3),((1+(-J36))^(H36/MIN(G36,365))),((1+(-J36))^(1/12)))-$U36))</f>
        <v>1667405.1680802123</v>
      </c>
      <c r="AA36" s="2">
        <f ca="1">IF(MIN($AA$4:AA35)=0,0,MAX(0,($AA35+$K36-$O36-$P36)*IF(AND(F36="F",$D$3&lt;&gt;$G$3),((1+$AA$1)^(H36/MIN(G36,365))),((1+$AA$1)^(1/12)))-$U36))</f>
        <v>1920000</v>
      </c>
      <c r="AB36" s="2">
        <f ca="1">IF(MIN($AB$4:AB35)=0,0,MAX(0,($AB35+$K36-$O36-$P36)*IF(AND(F36="F",$D$3&lt;&gt;$G$3),((1+(J36))^(H36/MIN(G36,365))),((1+(J36))^(1/12)))-$U36))</f>
        <v>2195693.9293644247</v>
      </c>
      <c r="AC36" s="5"/>
      <c r="AD36" s="5"/>
      <c r="AE36" s="5"/>
      <c r="AF36" s="282">
        <f t="shared" ca="1" si="9"/>
        <v>1667405</v>
      </c>
      <c r="AG36" s="282">
        <f t="shared" ca="1" si="10"/>
        <v>1920000</v>
      </c>
      <c r="AH36" s="282">
        <f t="shared" ca="1" si="11"/>
        <v>2195694</v>
      </c>
      <c r="AI36" s="23" t="str">
        <f t="shared" ca="1" si="2"/>
        <v>3-</v>
      </c>
      <c r="AJ36" s="282" t="str">
        <f ca="1">IF(E36&gt;111,,IF(AND(OP!$C$99=1,T36="F"),Z36,IF(AND(OP!$C$99=2,COUNTIF($T$4:T36,"F")=1),OP!$C$97+IF(F36="F",OP!$C$98,0),"")))</f>
        <v/>
      </c>
      <c r="AK36" s="282" t="str">
        <f ca="1">IF(E36&gt;111,,IF(AND(OP!$D$99=1,T36="F"),AA36,IF(AND(OP!$D$99=2,COUNTIF($T$4:T36,"F")=1),OP!$D$97+IF(F36="F",OP!$D$98,0),"")))</f>
        <v/>
      </c>
      <c r="AL36" s="282" t="str">
        <f ca="1">IF(E36&gt;111,,IF(AND(OP!$E$99=1,T36="F"),AB36,IF(AND(OP!$E$99=2,COUNTIF($T$4:T36,"F")=1),OP!$E$97+IF(F36="F",OP!$E$98,0),"")))</f>
        <v/>
      </c>
      <c r="AM36" s="1" t="str">
        <f t="shared" ca="1" si="25"/>
        <v/>
      </c>
      <c r="AN36" s="1" t="str">
        <f ca="1">IF(OR(VLOOKUP($A36,MP,5,0)="月繳"),1,"")</f>
        <v/>
      </c>
      <c r="AO36" s="1">
        <f t="shared" ca="1" si="12"/>
        <v>0</v>
      </c>
      <c r="AP36" s="1" t="str">
        <f ca="1">IF(AND(A36&lt;=OP!$C$120,COUNTIF(PAY,C36)=1),1,"")</f>
        <v/>
      </c>
      <c r="AR36" s="301">
        <f ca="1">IF(繳費報酬率資料!$A$1=1,$AY36+$AZ36,$BF36+$BG36)</f>
        <v>0</v>
      </c>
      <c r="AS36" s="1">
        <f ca="1">IF(C36&lt;&gt;IF($C$3=1,12,$C$3-1),0,IF(繳費報酬率資料!$A$1&lt;&gt;1,VLOOKUP($A36,MP,8,0),IF(AND($A36&gt;=OP!$C$79,$A36&lt;=OP!$C$80),OP!$C$78,)))</f>
        <v>0</v>
      </c>
      <c r="AT36" s="298">
        <f t="shared" ca="1" si="13"/>
        <v>0</v>
      </c>
      <c r="AU36" s="298">
        <f ca="1">IF(AND(A36&lt;=OP!$C$120,COUNTIF(PAY,C36)=1),OP!$C$123,0)</f>
        <v>0</v>
      </c>
      <c r="AV36" s="298">
        <f ca="1">IF(AND(A36&gt;=OP!$C$132,A36&lt;=OP!$C$133,$C$3=C36),OP!$C$135,0)</f>
        <v>0</v>
      </c>
      <c r="AW36" s="180">
        <f t="shared" ca="1" si="26"/>
        <v>0.05</v>
      </c>
      <c r="AX36" s="180">
        <f t="shared" ca="1" si="27"/>
        <v>0.05</v>
      </c>
      <c r="AY36" s="286">
        <f t="shared" ca="1" si="14"/>
        <v>0</v>
      </c>
      <c r="AZ36" s="286">
        <f t="shared" ca="1" si="15"/>
        <v>0</v>
      </c>
      <c r="BA36" s="286">
        <f t="shared" ca="1" si="16"/>
        <v>0</v>
      </c>
      <c r="BB36" s="286">
        <f t="shared" ca="1" si="28"/>
        <v>0</v>
      </c>
      <c r="BC36" s="286">
        <f t="shared" ca="1" si="17"/>
        <v>0</v>
      </c>
      <c r="BD36" s="180">
        <f t="shared" ca="1" si="29"/>
        <v>0.05</v>
      </c>
      <c r="BE36" s="180">
        <f t="shared" ca="1" si="30"/>
        <v>0.05</v>
      </c>
      <c r="BF36" s="286">
        <f t="shared" ca="1" si="18"/>
        <v>0</v>
      </c>
      <c r="BG36" s="286">
        <f t="shared" ca="1" si="19"/>
        <v>0</v>
      </c>
    </row>
    <row r="37" spans="1:59">
      <c r="A37" s="1">
        <f t="shared" ca="1" si="3"/>
        <v>3</v>
      </c>
      <c r="B37" s="1">
        <f t="shared" ca="1" si="20"/>
        <v>109</v>
      </c>
      <c r="C37" s="1">
        <f t="shared" ca="1" si="21"/>
        <v>3</v>
      </c>
      <c r="D37" s="1">
        <f ca="1">MIN($D$3,VLOOKUP(C37,OP!$S$30:$T$41,2))</f>
        <v>2</v>
      </c>
      <c r="E37" s="1">
        <f t="shared" ca="1" si="4"/>
        <v>57</v>
      </c>
      <c r="F37" s="11" t="str">
        <f t="shared" ca="1" si="5"/>
        <v/>
      </c>
      <c r="G37" s="8">
        <f t="shared" ca="1" si="45"/>
        <v>366</v>
      </c>
      <c r="H37" s="8">
        <f t="shared" ca="1" si="6"/>
        <v>31</v>
      </c>
      <c r="I37" s="8" t="str">
        <f t="shared" ca="1" si="0"/>
        <v>33</v>
      </c>
      <c r="J37" s="13">
        <f>IF(繳費報酬率資料!$A$1=1,VALUE(OP!$C$121),VLOOKUP(A37,MP,2,0))</f>
        <v>0.05</v>
      </c>
      <c r="K37" s="14">
        <f ca="1">IF(SUM($K$4:K36,IF(繳費報酬率資料!$A$1=1,$AU37+$AV37,$BB37+$BC37))&gt;OP!$L$58,0,IF(繳費報酬率資料!$A$1=1,$AU37+$AV37,$BB37+$BC37))</f>
        <v>0</v>
      </c>
      <c r="L37" s="2"/>
      <c r="M37" s="2"/>
      <c r="N37" s="2"/>
      <c r="O37" s="261">
        <f t="shared" ca="1" si="7"/>
        <v>0</v>
      </c>
      <c r="P37" s="261">
        <f t="shared" ca="1" si="23"/>
        <v>0</v>
      </c>
      <c r="Q37" s="3">
        <f ca="1">IF(A37&gt;MAX(OP!$R$17:$R$26),0,VLOOKUP(A37,fees,3,FALSE))</f>
        <v>0</v>
      </c>
      <c r="R37" s="200" t="str">
        <f t="shared" ca="1" si="8"/>
        <v/>
      </c>
      <c r="S37" s="9" t="str">
        <f ca="1">IF(COUNTIF(($T$4:T36),"F")&gt;=1,"",IF(OR(C38&lt;&gt;$C$3,E37=""),"",A37))</f>
        <v/>
      </c>
      <c r="T37" s="20" t="str">
        <f t="shared" ca="1" si="1"/>
        <v/>
      </c>
      <c r="U37" s="2">
        <f ca="1">IF(IF(OP!$C$83=1,$Z36,IF(OP!$C$83=2,$AA36,IF(OP!$C$83=3,$AB36,)))+$K37-$O37-$P37-$AS37&lt;OP!$C$142,0,$AS37)</f>
        <v>0</v>
      </c>
      <c r="V37" s="9"/>
      <c r="W37" s="19">
        <f ca="1">MAX(SUM($K$4:K37),0)</f>
        <v>2000000</v>
      </c>
      <c r="X37" s="19"/>
      <c r="Y37" s="19">
        <f t="shared" ca="1" si="24"/>
        <v>1920000</v>
      </c>
      <c r="Z37" s="2">
        <f ca="1">IF(MIN($Z$4:Z36)=0,0,MAX(0,($Z36+$K37-$O37-$P37)*IF(AND(F37="F",$D$3&lt;&gt;$G$3),((1+(-J37))^(H37/MIN(G37,365))),((1+(-J37))^(1/12)))-$U37))</f>
        <v>1660293.1535069982</v>
      </c>
      <c r="AA37" s="2">
        <f ca="1">IF(MIN($AA$4:AA36)=0,0,MAX(0,($AA36+$K37-$O37-$P37)*IF(AND(F37="F",$D$3&lt;&gt;$G$3),((1+$AA$1)^(H37/MIN(G37,365))),((1+$AA$1)^(1/12)))-$U37))</f>
        <v>1920000</v>
      </c>
      <c r="AB37" s="2">
        <f ca="1">IF(MIN($AB$4:AB36)=0,0,MAX(0,($AB36+$K37-$O37-$P37)*IF(AND(F37="F",$D$3&lt;&gt;$G$3),((1+(J37))^(H37/MIN(G37,365))),((1+(J37))^(1/12)))-$U37))</f>
        <v>2204639.4582236605</v>
      </c>
      <c r="AC37" s="5"/>
      <c r="AD37" s="5"/>
      <c r="AE37" s="5"/>
      <c r="AF37" s="282">
        <f t="shared" ca="1" si="9"/>
        <v>1660293</v>
      </c>
      <c r="AG37" s="282">
        <f t="shared" ca="1" si="10"/>
        <v>1920000</v>
      </c>
      <c r="AH37" s="282">
        <f t="shared" ca="1" si="11"/>
        <v>2204639</v>
      </c>
      <c r="AI37" s="23" t="str">
        <f t="shared" ca="1" si="2"/>
        <v>3-</v>
      </c>
      <c r="AJ37" s="282" t="str">
        <f ca="1">IF(E37&gt;111,,IF(AND(OP!$C$99=1,T37="F"),Z37,IF(AND(OP!$C$99=2,COUNTIF($T$4:T37,"F")=1),OP!$C$97+IF(F37="F",OP!$C$98,0),"")))</f>
        <v/>
      </c>
      <c r="AK37" s="282" t="str">
        <f ca="1">IF(E37&gt;111,,IF(AND(OP!$D$99=1,T37="F"),AA37,IF(AND(OP!$D$99=2,COUNTIF($T$4:T37,"F")=1),OP!$D$97+IF(F37="F",OP!$D$98,0),"")))</f>
        <v/>
      </c>
      <c r="AL37" s="282" t="str">
        <f ca="1">IF(E37&gt;111,,IF(AND(OP!$E$99=1,T37="F"),AB37,IF(AND(OP!$E$99=2,COUNTIF($T$4:T37,"F")=1),OP!$E$97+IF(F37="F",OP!$E$98,0),"")))</f>
        <v/>
      </c>
      <c r="AM37" s="1" t="str">
        <f t="shared" ca="1" si="25"/>
        <v/>
      </c>
      <c r="AN37" s="1" t="str">
        <f ca="1">IF(OR(VLOOKUP($A37,MP,5,0)="季繳",VLOOKUP($A37,MP,5,0)="月繳"),1,"")</f>
        <v/>
      </c>
      <c r="AO37" s="1">
        <f t="shared" ca="1" si="12"/>
        <v>0</v>
      </c>
      <c r="AP37" s="1" t="str">
        <f ca="1">IF(AND(A37&lt;=OP!$C$120,COUNTIF(PAY,C37)=1),1,"")</f>
        <v/>
      </c>
      <c r="AR37" s="301">
        <f ca="1">IF(繳費報酬率資料!$A$1=1,$AY37+$AZ37,$BF37+$BG37)</f>
        <v>0</v>
      </c>
      <c r="AS37" s="1">
        <f ca="1">IF(C37&lt;&gt;IF($C$3=1,12,$C$3-1),0,IF(繳費報酬率資料!$A$1&lt;&gt;1,VLOOKUP($A37,MP,8,0),IF(AND($A37&gt;=OP!$C$79,$A37&lt;=OP!$C$80),OP!$C$78,)))</f>
        <v>0</v>
      </c>
      <c r="AT37" s="298">
        <f t="shared" ca="1" si="13"/>
        <v>0</v>
      </c>
      <c r="AU37" s="298">
        <f ca="1">IF(AND(A37&lt;=OP!$C$120,COUNTIF(PAY,C37)=1),OP!$C$123,0)</f>
        <v>0</v>
      </c>
      <c r="AV37" s="298">
        <f ca="1">IF(AND(A37&gt;=OP!$C$132,A37&lt;=OP!$C$133,$C$3=C37),OP!$C$135,0)</f>
        <v>0</v>
      </c>
      <c r="AW37" s="180">
        <f t="shared" ca="1" si="26"/>
        <v>0.05</v>
      </c>
      <c r="AX37" s="180">
        <f t="shared" ca="1" si="27"/>
        <v>0.05</v>
      </c>
      <c r="AY37" s="286">
        <f t="shared" ca="1" si="14"/>
        <v>0</v>
      </c>
      <c r="AZ37" s="286">
        <f t="shared" ca="1" si="15"/>
        <v>0</v>
      </c>
      <c r="BA37" s="286">
        <f t="shared" ca="1" si="16"/>
        <v>0</v>
      </c>
      <c r="BB37" s="286">
        <f t="shared" ca="1" si="28"/>
        <v>0</v>
      </c>
      <c r="BC37" s="286">
        <f t="shared" ca="1" si="17"/>
        <v>0</v>
      </c>
      <c r="BD37" s="180">
        <f t="shared" ca="1" si="29"/>
        <v>0.05</v>
      </c>
      <c r="BE37" s="180">
        <f t="shared" ca="1" si="30"/>
        <v>0.05</v>
      </c>
      <c r="BF37" s="286">
        <f t="shared" ca="1" si="18"/>
        <v>0</v>
      </c>
      <c r="BG37" s="286">
        <f t="shared" ca="1" si="19"/>
        <v>0</v>
      </c>
    </row>
    <row r="38" spans="1:59">
      <c r="A38" s="1">
        <f t="shared" ca="1" si="3"/>
        <v>3</v>
      </c>
      <c r="B38" s="1">
        <f t="shared" ca="1" si="20"/>
        <v>109</v>
      </c>
      <c r="C38" s="1">
        <f t="shared" ca="1" si="21"/>
        <v>4</v>
      </c>
      <c r="D38" s="1">
        <f ca="1">MIN($D$3,VLOOKUP(C38,OP!$S$30:$T$41,2))</f>
        <v>2</v>
      </c>
      <c r="E38" s="1">
        <f t="shared" ca="1" si="4"/>
        <v>57</v>
      </c>
      <c r="F38" s="11" t="str">
        <f t="shared" ca="1" si="5"/>
        <v/>
      </c>
      <c r="G38" s="8">
        <f t="shared" ca="1" si="45"/>
        <v>366</v>
      </c>
      <c r="H38" s="8">
        <f t="shared" ca="1" si="6"/>
        <v>30</v>
      </c>
      <c r="I38" s="8" t="str">
        <f t="shared" ca="1" si="0"/>
        <v>34</v>
      </c>
      <c r="J38" s="13">
        <f>IF(繳費報酬率資料!$A$1=1,VALUE(OP!$C$121),VLOOKUP(A38,MP,2,0))</f>
        <v>0.05</v>
      </c>
      <c r="K38" s="14">
        <f ca="1">IF(SUM($K$4:K37,IF(繳費報酬率資料!$A$1=1,$AU38+$AV38,$BB38+$BC38))&gt;OP!$L$58,0,IF(繳費報酬率資料!$A$1=1,$AU38+$AV38,$BB38+$BC38))</f>
        <v>0</v>
      </c>
      <c r="L38" s="2"/>
      <c r="M38" s="2"/>
      <c r="N38" s="2"/>
      <c r="O38" s="261">
        <f t="shared" ca="1" si="7"/>
        <v>0</v>
      </c>
      <c r="P38" s="261">
        <f t="shared" ca="1" si="23"/>
        <v>0</v>
      </c>
      <c r="Q38" s="3">
        <f ca="1">IF(A38&gt;MAX(OP!$R$17:$R$26),0,VLOOKUP(A38,fees,3,FALSE))</f>
        <v>0</v>
      </c>
      <c r="R38" s="200" t="str">
        <f t="shared" ca="1" si="8"/>
        <v/>
      </c>
      <c r="S38" s="9" t="str">
        <f ca="1">IF(COUNTIF(($T$4:T37),"F")&gt;=1,"",IF(OR(C39&lt;&gt;$C$3,E38=""),"",A38))</f>
        <v/>
      </c>
      <c r="T38" s="20" t="str">
        <f t="shared" ca="1" si="1"/>
        <v/>
      </c>
      <c r="U38" s="2">
        <f ca="1">IF(IF(OP!$C$83=1,$Z37,IF(OP!$C$83=2,$AA37,IF(OP!$C$83=3,$AB37,)))+$K38-$O38-$P38-$AS38&lt;OP!$C$142,0,$AS38)</f>
        <v>0</v>
      </c>
      <c r="V38" s="9"/>
      <c r="W38" s="19">
        <f ca="1">MAX(SUM($K$4:K38),0)</f>
        <v>2000000</v>
      </c>
      <c r="X38" s="19"/>
      <c r="Y38" s="19">
        <f t="shared" ca="1" si="24"/>
        <v>1920000</v>
      </c>
      <c r="Z38" s="2">
        <f ca="1">IF(MIN($Z$4:Z37)=0,0,MAX(0,($Z37+$K38-$O38-$P38)*IF(AND(F38="F",$D$3&lt;&gt;$G$3),((1+(-J38))^(H38/MIN(G38,365))),((1+(-J38))^(1/12)))-$U38))</f>
        <v>1653211.4739430894</v>
      </c>
      <c r="AA38" s="2">
        <f ca="1">IF(MIN($AA$4:AA37)=0,0,MAX(0,($AA37+$K38-$O38-$P38)*IF(AND(F38="F",$D$3&lt;&gt;$G$3),((1+$AA$1)^(H38/MIN(G38,365))),((1+$AA$1)^(1/12)))-$U38))</f>
        <v>1920000</v>
      </c>
      <c r="AB38" s="2">
        <f ca="1">IF(MIN($AB$4:AB37)=0,0,MAX(0,($AB37+$K38-$O38-$P38)*IF(AND(F38="F",$D$3&lt;&gt;$G$3),((1+(J38))^(H38/MIN(G38,365))),((1+(J38))^(1/12)))-$U38))</f>
        <v>2213621.4322747793</v>
      </c>
      <c r="AC38" s="5"/>
      <c r="AD38" s="5"/>
      <c r="AE38" s="5"/>
      <c r="AF38" s="282">
        <f t="shared" ca="1" si="9"/>
        <v>1653211</v>
      </c>
      <c r="AG38" s="282">
        <f t="shared" ca="1" si="10"/>
        <v>1920000</v>
      </c>
      <c r="AH38" s="282">
        <f t="shared" ca="1" si="11"/>
        <v>2213621</v>
      </c>
      <c r="AI38" s="23" t="str">
        <f t="shared" ca="1" si="2"/>
        <v>3-</v>
      </c>
      <c r="AJ38" s="282" t="str">
        <f ca="1">IF(E38&gt;111,,IF(AND(OP!$C$99=1,T38="F"),Z38,IF(AND(OP!$C$99=2,COUNTIF($T$4:T38,"F")=1),OP!$C$97+IF(F38="F",OP!$C$98,0),"")))</f>
        <v/>
      </c>
      <c r="AK38" s="282" t="str">
        <f ca="1">IF(E38&gt;111,,IF(AND(OP!$D$99=1,T38="F"),AA38,IF(AND(OP!$D$99=2,COUNTIF($T$4:T38,"F")=1),OP!$D$97+IF(F38="F",OP!$D$98,0),"")))</f>
        <v/>
      </c>
      <c r="AL38" s="282" t="str">
        <f ca="1">IF(E38&gt;111,,IF(AND(OP!$E$99=1,T38="F"),AB38,IF(AND(OP!$E$99=2,COUNTIF($T$4:T38,"F")=1),OP!$E$97+IF(F38="F",OP!$E$98,0),"")))</f>
        <v/>
      </c>
      <c r="AM38" s="1" t="str">
        <f t="shared" ca="1" si="25"/>
        <v/>
      </c>
      <c r="AN38" s="1" t="str">
        <f ca="1">IF(OR(VLOOKUP($A38,MP,5,0)="月繳"),1,"")</f>
        <v/>
      </c>
      <c r="AO38" s="1">
        <f t="shared" ca="1" si="12"/>
        <v>0</v>
      </c>
      <c r="AP38" s="1" t="str">
        <f ca="1">IF(AND(A38&lt;=OP!$C$120,COUNTIF(PAY,C38)=1),1,"")</f>
        <v/>
      </c>
      <c r="AR38" s="301">
        <f ca="1">IF(繳費報酬率資料!$A$1=1,$AY38+$AZ38,$BF38+$BG38)</f>
        <v>0</v>
      </c>
      <c r="AS38" s="1">
        <f ca="1">IF(C38&lt;&gt;IF($C$3=1,12,$C$3-1),0,IF(繳費報酬率資料!$A$1&lt;&gt;1,VLOOKUP($A38,MP,8,0),IF(AND($A38&gt;=OP!$C$79,$A38&lt;=OP!$C$80),OP!$C$78,)))</f>
        <v>0</v>
      </c>
      <c r="AT38" s="298">
        <f t="shared" ca="1" si="13"/>
        <v>0</v>
      </c>
      <c r="AU38" s="298">
        <f ca="1">IF(AND(A38&lt;=OP!$C$120,COUNTIF(PAY,C38)=1),OP!$C$123,0)</f>
        <v>0</v>
      </c>
      <c r="AV38" s="298">
        <f ca="1">IF(AND(A38&gt;=OP!$C$132,A38&lt;=OP!$C$133,$C$3=C38),OP!$C$135,0)</f>
        <v>0</v>
      </c>
      <c r="AW38" s="180">
        <f t="shared" ca="1" si="26"/>
        <v>0.05</v>
      </c>
      <c r="AX38" s="180">
        <f t="shared" ca="1" si="27"/>
        <v>0.05</v>
      </c>
      <c r="AY38" s="286">
        <f t="shared" ca="1" si="14"/>
        <v>0</v>
      </c>
      <c r="AZ38" s="286">
        <f t="shared" ca="1" si="15"/>
        <v>0</v>
      </c>
      <c r="BA38" s="286">
        <f t="shared" ca="1" si="16"/>
        <v>0</v>
      </c>
      <c r="BB38" s="286">
        <f t="shared" ca="1" si="28"/>
        <v>0</v>
      </c>
      <c r="BC38" s="286">
        <f t="shared" ca="1" si="17"/>
        <v>0</v>
      </c>
      <c r="BD38" s="180">
        <f t="shared" ca="1" si="29"/>
        <v>0.05</v>
      </c>
      <c r="BE38" s="180">
        <f t="shared" ca="1" si="30"/>
        <v>0.05</v>
      </c>
      <c r="BF38" s="286">
        <f t="shared" ca="1" si="18"/>
        <v>0</v>
      </c>
      <c r="BG38" s="286">
        <f t="shared" ca="1" si="19"/>
        <v>0</v>
      </c>
    </row>
    <row r="39" spans="1:59">
      <c r="A39" s="1">
        <f t="shared" ca="1" si="3"/>
        <v>3</v>
      </c>
      <c r="B39" s="1">
        <f t="shared" ca="1" si="20"/>
        <v>109</v>
      </c>
      <c r="C39" s="1">
        <f t="shared" ca="1" si="21"/>
        <v>5</v>
      </c>
      <c r="D39" s="1">
        <f ca="1">MIN($D$3,VLOOKUP(C39,OP!$S$30:$T$41,2))</f>
        <v>2</v>
      </c>
      <c r="E39" s="1">
        <f t="shared" ca="1" si="4"/>
        <v>57</v>
      </c>
      <c r="F39" s="11" t="str">
        <f t="shared" ca="1" si="5"/>
        <v/>
      </c>
      <c r="G39" s="8">
        <f t="shared" ca="1" si="45"/>
        <v>366</v>
      </c>
      <c r="H39" s="8">
        <f t="shared" ca="1" si="6"/>
        <v>31</v>
      </c>
      <c r="I39" s="8" t="str">
        <f t="shared" ca="1" si="0"/>
        <v>35</v>
      </c>
      <c r="J39" s="13">
        <f>IF(繳費報酬率資料!$A$1=1,VALUE(OP!$C$121),VLOOKUP(A39,MP,2,0))</f>
        <v>0.05</v>
      </c>
      <c r="K39" s="14">
        <f ca="1">IF(SUM($K$4:K38,IF(繳費報酬率資料!$A$1=1,$AU39+$AV39,$BB39+$BC39))&gt;OP!$L$58,0,IF(繳費報酬率資料!$A$1=1,$AU39+$AV39,$BB39+$BC39))</f>
        <v>0</v>
      </c>
      <c r="L39" s="2">
        <f ca="1">ROUND(IF(OP!$C$78&lt;(IF(OR($T39="F",$E39&gt;=111),0,Z38+$K39-$O39+IF($C$1=1,OP!$C$78,IF($C40=$C$3,SUM(AC28:AC39,0)))))*5%,0,(OP!$C$78-((IF(OR($T39="F",$E39&gt;=111),0,Z38+$K39-$O39+IF($C$1=1,AC39,IF($C40=$C$3,SUM(AC28:AC39,0)))))*5%))*$Q39),0)</f>
        <v>0</v>
      </c>
      <c r="M39" s="2">
        <f ca="1">ROUND(IF(OP!$C$78&lt;(IF(OR($T39="F",$E39&gt;=111),0,AA38+$K39-$O39+IF($C$1=1,AD39,IF($C40=$C$3,SUM(AD28:AD39,0)))))*5%,0,(OP!$C$78-((IF(OR($T39="F",$E39&gt;=111),0,AA38+$K39-$O39+IF($C$1=1,AD39,IF($C40=$C$3,SUM(AD28:AD39,0)))))*5%))*$Q39),0)</f>
        <v>0</v>
      </c>
      <c r="N39" s="2">
        <f ca="1">ROUND(IF(OP!$C$78&lt;(IF(OR($T39="F",$E39&gt;=111),0,AB38+$K39-$O39+IF($C$1=1,AE39,IF($C40=$C$3,SUM(AE28:AE39,0)))))*5%,0,(OP!$C$78-((IF(OR($T39="F",$E39&gt;=111),0,AB38+$K39-$O39+IF($C$1=1,AE39,IF($C40=$C$3,SUM(AE28:AE39,0)))))*5%))*$Q39),0)</f>
        <v>0</v>
      </c>
      <c r="O39" s="261">
        <f t="shared" ca="1" si="7"/>
        <v>0</v>
      </c>
      <c r="P39" s="261">
        <f t="shared" ca="1" si="23"/>
        <v>0</v>
      </c>
      <c r="Q39" s="3">
        <f ca="1">IF(A39&gt;MAX(OP!$R$17:$R$26),0,VLOOKUP(A39,fees,3,FALSE))</f>
        <v>0</v>
      </c>
      <c r="R39" s="200">
        <f t="shared" ca="1" si="8"/>
        <v>3</v>
      </c>
      <c r="S39" s="9">
        <f ca="1">IF(COUNTIF(($T$4:T38),"F")&gt;=1,"",IF(OR(C40&lt;&gt;$C$3,E39=""),"",A39))</f>
        <v>3</v>
      </c>
      <c r="T39" s="20" t="str">
        <f t="shared" ca="1" si="1"/>
        <v/>
      </c>
      <c r="U39" s="2">
        <f ca="1">IF(IF(OP!$C$83=1,$Z38,IF(OP!$C$83=2,$AA38,IF(OP!$C$83=3,$AB38,)))+$K39-$O39-$P39-$AS39&lt;OP!$C$142,0,$AS39)</f>
        <v>0</v>
      </c>
      <c r="V39" s="19">
        <f ca="1">SUM(K28:K39)</f>
        <v>0</v>
      </c>
      <c r="W39" s="19">
        <f ca="1">MAX(SUM($K$4:K39),0)</f>
        <v>2000000</v>
      </c>
      <c r="X39" s="19">
        <f ca="1">SUM(O28:P39)</f>
        <v>0</v>
      </c>
      <c r="Y39" s="19">
        <f t="shared" ca="1" si="24"/>
        <v>1920000</v>
      </c>
      <c r="Z39" s="2">
        <f ca="1">IF(MIN($Z$4:Z38)=0,0,MAX(0,($Z38+$K39-$O39-$P39)*IF(AND(F39="F",$D$3&lt;&gt;$G$3),((1+(-J39))^(H39/MIN(G39,365))),((1+(-J39))^(1/12)))-$U39))</f>
        <v>1646160.0000000012</v>
      </c>
      <c r="AA39" s="2">
        <f ca="1">IF(MIN($AA$4:AA38)=0,0,MAX(0,($AA38+$K39-$O39-$P39)*IF(AND(F39="F",$D$3&lt;&gt;$G$3),((1+$AA$1)^(H39/MIN(G39,365))),((1+$AA$1)^(1/12)))-$U39))</f>
        <v>1920000</v>
      </c>
      <c r="AB39" s="2">
        <f ca="1">IF(MIN($AB$4:AB38)=0,0,MAX(0,($AB38+$K39-$O39-$P39)*IF(AND(F39="F",$D$3&lt;&gt;$G$3),((1+(J39))^(H39/MIN(G39,365))),((1+(J39))^(1/12)))-$U39))</f>
        <v>2222640.0000000037</v>
      </c>
      <c r="AC39" s="5"/>
      <c r="AD39" s="5"/>
      <c r="AE39" s="5"/>
      <c r="AF39" s="282">
        <f t="shared" ca="1" si="9"/>
        <v>1646160</v>
      </c>
      <c r="AG39" s="282">
        <f t="shared" ca="1" si="10"/>
        <v>1920000</v>
      </c>
      <c r="AH39" s="282">
        <f t="shared" ca="1" si="11"/>
        <v>2222640</v>
      </c>
      <c r="AI39" s="23" t="str">
        <f t="shared" ca="1" si="2"/>
        <v>4-</v>
      </c>
      <c r="AJ39" s="282" t="str">
        <f ca="1">IF(E39&gt;111,,IF(AND(OP!$C$99=1,T39="F"),Z39,IF(AND(OP!$C$99=2,COUNTIF($T$4:T39,"F")=1),OP!$C$97+IF(F39="F",OP!$C$98,0),"")))</f>
        <v/>
      </c>
      <c r="AK39" s="282" t="str">
        <f ca="1">IF(E39&gt;111,,IF(AND(OP!$D$99=1,T39="F"),AA39,IF(AND(OP!$D$99=2,COUNTIF($T$4:T39,"F")=1),OP!$D$97+IF(F39="F",OP!$D$98,0),"")))</f>
        <v/>
      </c>
      <c r="AL39" s="282" t="str">
        <f ca="1">IF(E39&gt;111,,IF(AND(OP!$E$99=1,T39="F"),AB39,IF(AND(OP!$E$99=2,COUNTIF($T$4:T39,"F")=1),OP!$E$97+IF(F39="F",OP!$E$98,0),"")))</f>
        <v/>
      </c>
      <c r="AM39" s="1" t="str">
        <f t="shared" ca="1" si="25"/>
        <v/>
      </c>
      <c r="AN39" s="1" t="str">
        <f ca="1">IF(OR(VLOOKUP($A39,MP,5,0)="月繳"),1,"")</f>
        <v/>
      </c>
      <c r="AO39" s="1">
        <f t="shared" ca="1" si="12"/>
        <v>0</v>
      </c>
      <c r="AP39" s="1" t="str">
        <f ca="1">IF(AND(A39&lt;=OP!$C$120,COUNTIF(PAY,C39)=1),1,"")</f>
        <v/>
      </c>
      <c r="AR39" s="301">
        <f ca="1">IF(繳費報酬率資料!$A$1=1,$AY39+$AZ39,$BF39+$BG39)</f>
        <v>0</v>
      </c>
      <c r="AS39" s="1">
        <f ca="1">IF(C39&lt;&gt;IF($C$3=1,12,$C$3-1),0,IF(繳費報酬率資料!$A$1&lt;&gt;1,VLOOKUP($A39,MP,8,0),IF(AND($A39&gt;=OP!$C$79,$A39&lt;=OP!$C$80),OP!$C$78,)))</f>
        <v>0</v>
      </c>
      <c r="AT39" s="298">
        <f t="shared" ca="1" si="13"/>
        <v>0</v>
      </c>
      <c r="AU39" s="298">
        <f ca="1">IF(AND(A39&lt;=OP!$C$120,COUNTIF(PAY,C39)=1),OP!$C$123,0)</f>
        <v>0</v>
      </c>
      <c r="AV39" s="298">
        <f ca="1">IF(AND(A39&gt;=OP!$C$132,A39&lt;=OP!$C$133,$C$3=C39),OP!$C$135,0)</f>
        <v>0</v>
      </c>
      <c r="AW39" s="180">
        <f t="shared" ca="1" si="26"/>
        <v>0.05</v>
      </c>
      <c r="AX39" s="180">
        <f t="shared" ca="1" si="27"/>
        <v>0.05</v>
      </c>
      <c r="AY39" s="286">
        <f t="shared" ca="1" si="14"/>
        <v>0</v>
      </c>
      <c r="AZ39" s="286">
        <f t="shared" ca="1" si="15"/>
        <v>0</v>
      </c>
      <c r="BA39" s="286">
        <f t="shared" ca="1" si="16"/>
        <v>0</v>
      </c>
      <c r="BB39" s="286">
        <f t="shared" ca="1" si="28"/>
        <v>0</v>
      </c>
      <c r="BC39" s="286">
        <f t="shared" ca="1" si="17"/>
        <v>0</v>
      </c>
      <c r="BD39" s="180">
        <f t="shared" ca="1" si="29"/>
        <v>0.05</v>
      </c>
      <c r="BE39" s="180">
        <f t="shared" ca="1" si="30"/>
        <v>0.05</v>
      </c>
      <c r="BF39" s="286">
        <f t="shared" ca="1" si="18"/>
        <v>0</v>
      </c>
      <c r="BG39" s="286">
        <f t="shared" ca="1" si="19"/>
        <v>0</v>
      </c>
    </row>
    <row r="40" spans="1:59">
      <c r="A40" s="1">
        <f t="shared" ca="1" si="3"/>
        <v>4</v>
      </c>
      <c r="B40" s="1">
        <f t="shared" ca="1" si="20"/>
        <v>109</v>
      </c>
      <c r="C40" s="1">
        <f t="shared" ca="1" si="21"/>
        <v>6</v>
      </c>
      <c r="D40" s="1">
        <f ca="1">MIN($D$3,VLOOKUP(C40,OP!$S$30:$T$41,2))</f>
        <v>2</v>
      </c>
      <c r="E40" s="1">
        <f t="shared" ca="1" si="4"/>
        <v>58</v>
      </c>
      <c r="F40" s="11" t="str">
        <f t="shared" ca="1" si="5"/>
        <v/>
      </c>
      <c r="G40" s="6">
        <f ca="1">DATEDIF(DATE(B40+1911,C40,D40),DATE(B52+1911,C52,D52),"d")</f>
        <v>365</v>
      </c>
      <c r="H40" s="8">
        <f t="shared" ca="1" si="6"/>
        <v>30</v>
      </c>
      <c r="I40" s="8" t="str">
        <f t="shared" ca="1" si="0"/>
        <v>46</v>
      </c>
      <c r="J40" s="13">
        <f>IF(繳費報酬率資料!$A$1=1,VALUE(OP!$C$121),VLOOKUP(A40,MP,2,0))</f>
        <v>0.05</v>
      </c>
      <c r="K40" s="14">
        <f ca="1">IF(SUM($K$4:K39,IF(繳費報酬率資料!$A$1=1,$AU40+$AV40,$BB40+$BC40))&gt;OP!$L$58,0,IF(繳費報酬率資料!$A$1=1,$AU40+$AV40,$BB40+$BC40))</f>
        <v>0</v>
      </c>
      <c r="L40" s="2"/>
      <c r="M40" s="2"/>
      <c r="N40" s="2"/>
      <c r="O40" s="261">
        <f t="shared" ca="1" si="7"/>
        <v>0</v>
      </c>
      <c r="P40" s="261">
        <f t="shared" ca="1" si="23"/>
        <v>0</v>
      </c>
      <c r="Q40" s="3">
        <f ca="1">IF(A40&gt;MAX(OP!$R$17:$R$26),0,VLOOKUP(A40,fees,3,FALSE))</f>
        <v>0</v>
      </c>
      <c r="R40" s="200" t="str">
        <f t="shared" ca="1" si="8"/>
        <v/>
      </c>
      <c r="S40" s="9" t="str">
        <f ca="1">IF(COUNTIF(($T$4:T39),"F")&gt;=1,"",IF(OR(C41&lt;&gt;$C$3,E40=""),"",A40))</f>
        <v/>
      </c>
      <c r="T40" s="20" t="str">
        <f t="shared" ca="1" si="1"/>
        <v/>
      </c>
      <c r="U40" s="2">
        <f ca="1">IF(IF(OP!$C$83=1,$Z39,IF(OP!$C$83=2,$AA39,IF(OP!$C$83=3,$AB39,)))+$K40-$O40-$P40-$AS40&lt;OP!$C$142,0,$AS40)</f>
        <v>0</v>
      </c>
      <c r="V40" s="9"/>
      <c r="W40" s="19">
        <f ca="1">MAX(SUM($K$4:K40),0)</f>
        <v>2000000</v>
      </c>
      <c r="X40" s="19"/>
      <c r="Y40" s="19">
        <f t="shared" ca="1" si="24"/>
        <v>1920000</v>
      </c>
      <c r="Z40" s="2">
        <f ca="1">IF(MIN($Z$4:Z39)=0,0,MAX(0,($Z39+$K40-$O40-$P40)*IF(AND(F40="F",$D$3&lt;&gt;$G$3),((1+(-J40))^(H40/MIN(G40,365))),((1+(-J40))^(1/12)))-$U40))</f>
        <v>1639138.6028411319</v>
      </c>
      <c r="AA40" s="2">
        <f ca="1">IF(MIN($AA$4:AA39)=0,0,MAX(0,($AA39+$K40-$O40-$P40)*IF(AND(F40="F",$D$3&lt;&gt;$G$3),((1+$AA$1)^(H40/MIN(G40,365))),((1+$AA$1)^(1/12)))-$U40))</f>
        <v>1920000</v>
      </c>
      <c r="AB40" s="2">
        <f ca="1">IF(MIN($AB$4:AB39)=0,0,MAX(0,($AB39+$K40-$O40-$P40)*IF(AND(F40="F",$D$3&lt;&gt;$G$3),((1+(J40))^(H40/MIN(G40,365))),((1+(J40))^(1/12)))-$U40))</f>
        <v>2231695.3104864918</v>
      </c>
      <c r="AC40" s="21"/>
      <c r="AD40" s="21"/>
      <c r="AE40" s="21"/>
      <c r="AF40" s="282">
        <f t="shared" ca="1" si="9"/>
        <v>1639139</v>
      </c>
      <c r="AG40" s="282">
        <f t="shared" ca="1" si="10"/>
        <v>1920000</v>
      </c>
      <c r="AH40" s="282">
        <f t="shared" ca="1" si="11"/>
        <v>2231695</v>
      </c>
      <c r="AI40" s="23" t="str">
        <f t="shared" ca="1" si="2"/>
        <v>4-</v>
      </c>
      <c r="AJ40" s="281" t="str">
        <f ca="1">IF(E40&gt;111,,IF(AND(OP!$C$99=1,T40="F"),Z40,IF(AND(OP!$C$99=2,COUNTIF($T$4:T40,"F")=1),OP!$C$97+IF(F40="F",OP!$C$98,0),"")))</f>
        <v/>
      </c>
      <c r="AK40" s="281" t="str">
        <f ca="1">IF(E40&gt;111,,IF(AND(OP!$D$99=1,T40="F"),AA40,IF(AND(OP!$D$99=2,COUNTIF($T$4:T40,"F")=1),OP!$D$97+IF(F40="F",OP!$D$98,0),"")))</f>
        <v/>
      </c>
      <c r="AL40" s="281" t="str">
        <f ca="1">IF(E40&gt;111,,IF(AND(OP!$E$99=1,T40="F"),AB40,IF(AND(OP!$E$99=2,COUNTIF($T$4:T40,"F")=1),OP!$E$97+IF(F40="F",OP!$E$98,0),"")))</f>
        <v/>
      </c>
      <c r="AM40" s="1" t="str">
        <f t="shared" ca="1" si="25"/>
        <v/>
      </c>
      <c r="AN40" s="1">
        <f ca="1">IF(OR(VLOOKUP($A40,MP,5,0)="年繳",VLOOKUP($A40,MP,5,0)="半年繳",VLOOKUP($A40,MP,5,0)="季繳",VLOOKUP($A40,MP,5,0)="月繳"),1,"")</f>
        <v>1</v>
      </c>
      <c r="AO40" s="1">
        <f t="shared" ca="1" si="12"/>
        <v>0</v>
      </c>
      <c r="AP40" s="1" t="str">
        <f ca="1">IF(AND(A40&lt;=OP!$C$120,COUNTIF(PAY,C40)=1),1,"")</f>
        <v/>
      </c>
      <c r="AR40" s="301">
        <f ca="1">IF(繳費報酬率資料!$A$1=1,$AY40+$AZ40,$BF40+$BG40)</f>
        <v>0</v>
      </c>
      <c r="AS40" s="1">
        <f ca="1">IF(C40&lt;&gt;IF($C$3=1,12,$C$3-1),0,IF(繳費報酬率資料!$A$1&lt;&gt;1,VLOOKUP($A40,MP,8,0),IF(AND($A40&gt;=OP!$C$79,$A40&lt;=OP!$C$80),OP!$C$78,)))</f>
        <v>0</v>
      </c>
      <c r="AT40" s="298">
        <f t="shared" ca="1" si="13"/>
        <v>0</v>
      </c>
      <c r="AU40" s="298">
        <f ca="1">IF(AND(A40&lt;=OP!$C$120,COUNTIF(PAY,C40)=1),OP!$C$123,0)</f>
        <v>0</v>
      </c>
      <c r="AV40" s="298">
        <f ca="1">IF(AND(A40&gt;=OP!$C$132,A40&lt;=OP!$C$133,$C$3=C40),OP!$C$135,0)</f>
        <v>0</v>
      </c>
      <c r="AW40" s="180">
        <f t="shared" ca="1" si="26"/>
        <v>0.05</v>
      </c>
      <c r="AX40" s="180">
        <f t="shared" ca="1" si="27"/>
        <v>0.05</v>
      </c>
      <c r="AY40" s="286">
        <f t="shared" ca="1" si="14"/>
        <v>0</v>
      </c>
      <c r="AZ40" s="286">
        <f t="shared" ca="1" si="15"/>
        <v>0</v>
      </c>
      <c r="BA40" s="286">
        <f t="shared" ca="1" si="16"/>
        <v>0</v>
      </c>
      <c r="BB40" s="286">
        <f t="shared" ca="1" si="28"/>
        <v>0</v>
      </c>
      <c r="BC40" s="286">
        <f t="shared" ca="1" si="17"/>
        <v>0</v>
      </c>
      <c r="BD40" s="180">
        <f t="shared" ca="1" si="29"/>
        <v>0.05</v>
      </c>
      <c r="BE40" s="180">
        <f t="shared" ca="1" si="30"/>
        <v>0.05</v>
      </c>
      <c r="BF40" s="286">
        <f t="shared" ca="1" si="18"/>
        <v>0</v>
      </c>
      <c r="BG40" s="286">
        <f t="shared" ca="1" si="19"/>
        <v>0</v>
      </c>
    </row>
    <row r="41" spans="1:59">
      <c r="A41" s="1">
        <f t="shared" ca="1" si="3"/>
        <v>4</v>
      </c>
      <c r="B41" s="1">
        <f t="shared" ca="1" si="20"/>
        <v>109</v>
      </c>
      <c r="C41" s="1">
        <f t="shared" ca="1" si="21"/>
        <v>7</v>
      </c>
      <c r="D41" s="1">
        <f ca="1">MIN($D$3,VLOOKUP(C41,OP!$S$30:$T$41,2))</f>
        <v>2</v>
      </c>
      <c r="E41" s="1">
        <f t="shared" ca="1" si="4"/>
        <v>58</v>
      </c>
      <c r="F41" s="11" t="str">
        <f t="shared" ca="1" si="5"/>
        <v/>
      </c>
      <c r="G41" s="8">
        <f t="shared" ref="G41:G51" ca="1" si="46">G40</f>
        <v>365</v>
      </c>
      <c r="H41" s="8">
        <f t="shared" ca="1" si="6"/>
        <v>31</v>
      </c>
      <c r="I41" s="8" t="str">
        <f t="shared" ca="1" si="0"/>
        <v>47</v>
      </c>
      <c r="J41" s="13">
        <f>IF(繳費報酬率資料!$A$1=1,VALUE(OP!$C$121),VLOOKUP(A41,MP,2,0))</f>
        <v>0.05</v>
      </c>
      <c r="K41" s="14">
        <f ca="1">IF(SUM($K$4:K40,IF(繳費報酬率資料!$A$1=1,$AU41+$AV41,$BB41+$BC41))&gt;OP!$L$58,0,IF(繳費報酬率資料!$A$1=1,$AU41+$AV41,$BB41+$BC41))</f>
        <v>0</v>
      </c>
      <c r="L41" s="2"/>
      <c r="M41" s="2"/>
      <c r="N41" s="2"/>
      <c r="O41" s="261">
        <f t="shared" ca="1" si="7"/>
        <v>0</v>
      </c>
      <c r="P41" s="261">
        <f t="shared" ca="1" si="23"/>
        <v>0</v>
      </c>
      <c r="Q41" s="3">
        <f ca="1">IF(A41&gt;MAX(OP!$R$17:$R$26),0,VLOOKUP(A41,fees,3,FALSE))</f>
        <v>0</v>
      </c>
      <c r="R41" s="200" t="str">
        <f t="shared" ca="1" si="8"/>
        <v/>
      </c>
      <c r="S41" s="9" t="str">
        <f ca="1">IF(COUNTIF(($T$4:T40),"F")&gt;=1,"",IF(OR(C42&lt;&gt;$C$3,E41=""),"",A41))</f>
        <v/>
      </c>
      <c r="T41" s="20" t="str">
        <f t="shared" ca="1" si="1"/>
        <v/>
      </c>
      <c r="U41" s="2">
        <f ca="1">IF(IF(OP!$C$83=1,$Z40,IF(OP!$C$83=2,$AA40,IF(OP!$C$83=3,$AB40,)))+$K41-$O41-$P41-$AS41&lt;OP!$C$142,0,$AS41)</f>
        <v>0</v>
      </c>
      <c r="V41" s="9"/>
      <c r="W41" s="19">
        <f ca="1">MAX(SUM($K$4:K41),0)</f>
        <v>2000000</v>
      </c>
      <c r="X41" s="19"/>
      <c r="Y41" s="19">
        <f t="shared" ca="1" si="24"/>
        <v>1920000</v>
      </c>
      <c r="Z41" s="2">
        <f ca="1">IF(MIN($Z$4:Z40)=0,0,MAX(0,($Z40+$K41-$O41-$P41)*IF(AND(F41="F",$D$3&lt;&gt;$G$3),((1+(-J41))^(H41/MIN(G41,365))),((1+(-J41))^(1/12)))-$U41))</f>
        <v>1632147.1541794091</v>
      </c>
      <c r="AA41" s="2">
        <f ca="1">IF(MIN($AA$4:AA40)=0,0,MAX(0,($AA40+$K41-$O41-$P41)*IF(AND(F41="F",$D$3&lt;&gt;$G$3),((1+$AA$1)^(H41/MIN(G41,365))),((1+$AA$1)^(1/12)))-$U41))</f>
        <v>1920000</v>
      </c>
      <c r="AB41" s="2">
        <f ca="1">IF(MIN($AB$4:AB40)=0,0,MAX(0,($AB40+$K41-$O41-$P41)*IF(AND(F41="F",$D$3&lt;&gt;$G$3),((1+(J41))^(H41/MIN(G41,365))),((1+(J41))^(1/12)))-$U41))</f>
        <v>2240787.5134288012</v>
      </c>
      <c r="AC41" s="5"/>
      <c r="AD41" s="5"/>
      <c r="AE41" s="5"/>
      <c r="AF41" s="282">
        <f t="shared" ca="1" si="9"/>
        <v>1632147</v>
      </c>
      <c r="AG41" s="282">
        <f t="shared" ca="1" si="10"/>
        <v>1920000</v>
      </c>
      <c r="AH41" s="282">
        <f t="shared" ca="1" si="11"/>
        <v>2240788</v>
      </c>
      <c r="AI41" s="23" t="str">
        <f t="shared" ca="1" si="2"/>
        <v>4-</v>
      </c>
      <c r="AJ41" s="282" t="str">
        <f ca="1">IF(E41&gt;111,,IF(AND(OP!$C$99=1,T41="F"),Z41,IF(AND(OP!$C$99=2,COUNTIF($T$4:T41,"F")=1),OP!$C$97+IF(F41="F",OP!$C$98,0),"")))</f>
        <v/>
      </c>
      <c r="AK41" s="282" t="str">
        <f ca="1">IF(E41&gt;111,,IF(AND(OP!$D$99=1,T41="F"),AA41,IF(AND(OP!$D$99=2,COUNTIF($T$4:T41,"F")=1),OP!$D$97+IF(F41="F",OP!$D$98,0),"")))</f>
        <v/>
      </c>
      <c r="AL41" s="282" t="str">
        <f ca="1">IF(E41&gt;111,,IF(AND(OP!$E$99=1,T41="F"),AB41,IF(AND(OP!$E$99=2,COUNTIF($T$4:T41,"F")=1),OP!$E$97+IF(F41="F",OP!$E$98,0),"")))</f>
        <v/>
      </c>
      <c r="AM41" s="1" t="str">
        <f t="shared" ca="1" si="25"/>
        <v/>
      </c>
      <c r="AN41" s="1" t="str">
        <f ca="1">IF(OR(VLOOKUP($A41,MP,5,0)="月繳"),1,"")</f>
        <v/>
      </c>
      <c r="AO41" s="1">
        <f t="shared" ca="1" si="12"/>
        <v>0</v>
      </c>
      <c r="AP41" s="1" t="str">
        <f ca="1">IF(AND(A41&lt;=OP!$C$120,COUNTIF(PAY,C41)=1),1,"")</f>
        <v/>
      </c>
      <c r="AR41" s="301">
        <f ca="1">IF(繳費報酬率資料!$A$1=1,$AY41+$AZ41,$BF41+$BG41)</f>
        <v>0</v>
      </c>
      <c r="AS41" s="1">
        <f ca="1">IF(C41&lt;&gt;IF($C$3=1,12,$C$3-1),0,IF(繳費報酬率資料!$A$1&lt;&gt;1,VLOOKUP($A41,MP,8,0),IF(AND($A41&gt;=OP!$C$79,$A41&lt;=OP!$C$80),OP!$C$78,)))</f>
        <v>0</v>
      </c>
      <c r="AT41" s="298">
        <f t="shared" ca="1" si="13"/>
        <v>0</v>
      </c>
      <c r="AU41" s="298">
        <f ca="1">IF(AND(A41&lt;=OP!$C$120,COUNTIF(PAY,C41)=1),OP!$C$123,0)</f>
        <v>0</v>
      </c>
      <c r="AV41" s="298">
        <f ca="1">IF(AND(A41&gt;=OP!$C$132,A41&lt;=OP!$C$133,$C$3=C41),OP!$C$135,0)</f>
        <v>0</v>
      </c>
      <c r="AW41" s="180">
        <f t="shared" ca="1" si="26"/>
        <v>0.05</v>
      </c>
      <c r="AX41" s="180">
        <f t="shared" ca="1" si="27"/>
        <v>0.05</v>
      </c>
      <c r="AY41" s="286">
        <f t="shared" ca="1" si="14"/>
        <v>0</v>
      </c>
      <c r="AZ41" s="286">
        <f t="shared" ca="1" si="15"/>
        <v>0</v>
      </c>
      <c r="BA41" s="286">
        <f t="shared" ca="1" si="16"/>
        <v>0</v>
      </c>
      <c r="BB41" s="286">
        <f t="shared" ca="1" si="28"/>
        <v>0</v>
      </c>
      <c r="BC41" s="286">
        <f t="shared" ca="1" si="17"/>
        <v>0</v>
      </c>
      <c r="BD41" s="180">
        <f t="shared" ca="1" si="29"/>
        <v>0.05</v>
      </c>
      <c r="BE41" s="180">
        <f t="shared" ca="1" si="30"/>
        <v>0.05</v>
      </c>
      <c r="BF41" s="286">
        <f t="shared" ca="1" si="18"/>
        <v>0</v>
      </c>
      <c r="BG41" s="286">
        <f t="shared" ca="1" si="19"/>
        <v>0</v>
      </c>
    </row>
    <row r="42" spans="1:59">
      <c r="A42" s="1">
        <f t="shared" ca="1" si="3"/>
        <v>4</v>
      </c>
      <c r="B42" s="1">
        <f t="shared" ca="1" si="20"/>
        <v>109</v>
      </c>
      <c r="C42" s="1">
        <f t="shared" ca="1" si="21"/>
        <v>8</v>
      </c>
      <c r="D42" s="1">
        <f ca="1">MIN($D$3,VLOOKUP(C42,OP!$S$30:$T$41,2))</f>
        <v>2</v>
      </c>
      <c r="E42" s="1">
        <f t="shared" ca="1" si="4"/>
        <v>58</v>
      </c>
      <c r="F42" s="11" t="str">
        <f t="shared" ca="1" si="5"/>
        <v/>
      </c>
      <c r="G42" s="8">
        <f t="shared" ca="1" si="46"/>
        <v>365</v>
      </c>
      <c r="H42" s="8">
        <f t="shared" ca="1" si="6"/>
        <v>31</v>
      </c>
      <c r="I42" s="8" t="str">
        <f t="shared" ca="1" si="0"/>
        <v>48</v>
      </c>
      <c r="J42" s="13">
        <f>IF(繳費報酬率資料!$A$1=1,VALUE(OP!$C$121),VLOOKUP(A42,MP,2,0))</f>
        <v>0.05</v>
      </c>
      <c r="K42" s="14">
        <f ca="1">IF(SUM($K$4:K41,IF(繳費報酬率資料!$A$1=1,$AU42+$AV42,$BB42+$BC42))&gt;OP!$L$58,0,IF(繳費報酬率資料!$A$1=1,$AU42+$AV42,$BB42+$BC42))</f>
        <v>0</v>
      </c>
      <c r="L42" s="2"/>
      <c r="M42" s="2"/>
      <c r="N42" s="2"/>
      <c r="O42" s="261">
        <f t="shared" ca="1" si="7"/>
        <v>0</v>
      </c>
      <c r="P42" s="261">
        <f t="shared" ca="1" si="23"/>
        <v>0</v>
      </c>
      <c r="Q42" s="3">
        <f ca="1">IF(A42&gt;MAX(OP!$R$17:$R$26),0,VLOOKUP(A42,fees,3,FALSE))</f>
        <v>0</v>
      </c>
      <c r="R42" s="200" t="str">
        <f t="shared" ca="1" si="8"/>
        <v/>
      </c>
      <c r="S42" s="9" t="str">
        <f ca="1">IF(COUNTIF(($T$4:T41),"F")&gt;=1,"",IF(OR(C43&lt;&gt;$C$3,E42=""),"",A42))</f>
        <v/>
      </c>
      <c r="T42" s="20" t="str">
        <f t="shared" ca="1" si="1"/>
        <v/>
      </c>
      <c r="U42" s="2">
        <f ca="1">IF(IF(OP!$C$83=1,$Z41,IF(OP!$C$83=2,$AA41,IF(OP!$C$83=3,$AB41,)))+$K42-$O42-$P42-$AS42&lt;OP!$C$142,0,$AS42)</f>
        <v>0</v>
      </c>
      <c r="V42" s="9"/>
      <c r="W42" s="19">
        <f ca="1">MAX(SUM($K$4:K42),0)</f>
        <v>2000000</v>
      </c>
      <c r="X42" s="19"/>
      <c r="Y42" s="19">
        <f t="shared" ca="1" si="24"/>
        <v>1920000</v>
      </c>
      <c r="Z42" s="2">
        <f ca="1">IF(MIN($Z$4:Z41)=0,0,MAX(0,($Z41+$K42-$O42-$P42)*IF(AND(F42="F",$D$3&lt;&gt;$G$3),((1+(-J42))^(H42/MIN(G42,365))),((1+(-J42))^(1/12)))-$U42))</f>
        <v>1625185.5262749456</v>
      </c>
      <c r="AA42" s="2">
        <f ca="1">IF(MIN($AA$4:AA41)=0,0,MAX(0,($AA41+$K42-$O42-$P42)*IF(AND(F42="F",$D$3&lt;&gt;$G$3),((1+$AA$1)^(H42/MIN(G42,365))),((1+$AA$1)^(1/12)))-$U42))</f>
        <v>1920000</v>
      </c>
      <c r="AB42" s="2">
        <f ca="1">IF(MIN($AB$4:AB41)=0,0,MAX(0,($AB41+$K42-$O42-$P42)*IF(AND(F42="F",$D$3&lt;&gt;$G$3),((1+(J42))^(H42/MIN(G42,365))),((1+(J42))^(1/12)))-$U42))</f>
        <v>2249916.7591313636</v>
      </c>
      <c r="AC42" s="5"/>
      <c r="AD42" s="5"/>
      <c r="AE42" s="5"/>
      <c r="AF42" s="282">
        <f t="shared" ca="1" si="9"/>
        <v>1625186</v>
      </c>
      <c r="AG42" s="282">
        <f t="shared" ca="1" si="10"/>
        <v>1920000</v>
      </c>
      <c r="AH42" s="282">
        <f t="shared" ca="1" si="11"/>
        <v>2249917</v>
      </c>
      <c r="AI42" s="23" t="str">
        <f t="shared" ca="1" si="2"/>
        <v>4-</v>
      </c>
      <c r="AJ42" s="282" t="str">
        <f ca="1">IF(E42&gt;111,,IF(AND(OP!$C$99=1,T42="F"),Z42,IF(AND(OP!$C$99=2,COUNTIF($T$4:T42,"F")=1),OP!$C$97+IF(F42="F",OP!$C$98,0),"")))</f>
        <v/>
      </c>
      <c r="AK42" s="282" t="str">
        <f ca="1">IF(E42&gt;111,,IF(AND(OP!$D$99=1,T42="F"),AA42,IF(AND(OP!$D$99=2,COUNTIF($T$4:T42,"F")=1),OP!$D$97+IF(F42="F",OP!$D$98,0),"")))</f>
        <v/>
      </c>
      <c r="AL42" s="282" t="str">
        <f ca="1">IF(E42&gt;111,,IF(AND(OP!$E$99=1,T42="F"),AB42,IF(AND(OP!$E$99=2,COUNTIF($T$4:T42,"F")=1),OP!$E$97+IF(F42="F",OP!$E$98,0),"")))</f>
        <v/>
      </c>
      <c r="AM42" s="1" t="str">
        <f t="shared" ca="1" si="25"/>
        <v/>
      </c>
      <c r="AN42" s="1" t="str">
        <f ca="1">IF(OR(VLOOKUP($A42,MP,5,0)="月繳"),1,"")</f>
        <v/>
      </c>
      <c r="AO42" s="1">
        <f t="shared" ca="1" si="12"/>
        <v>0</v>
      </c>
      <c r="AP42" s="1" t="str">
        <f ca="1">IF(AND(A42&lt;=OP!$C$120,COUNTIF(PAY,C42)=1),1,"")</f>
        <v/>
      </c>
      <c r="AR42" s="301">
        <f ca="1">IF(繳費報酬率資料!$A$1=1,$AY42+$AZ42,$BF42+$BG42)</f>
        <v>0</v>
      </c>
      <c r="AS42" s="1">
        <f ca="1">IF(C42&lt;&gt;IF($C$3=1,12,$C$3-1),0,IF(繳費報酬率資料!$A$1&lt;&gt;1,VLOOKUP($A42,MP,8,0),IF(AND($A42&gt;=OP!$C$79,$A42&lt;=OP!$C$80),OP!$C$78,)))</f>
        <v>0</v>
      </c>
      <c r="AT42" s="298">
        <f t="shared" ca="1" si="13"/>
        <v>0</v>
      </c>
      <c r="AU42" s="298">
        <f ca="1">IF(AND(A42&lt;=OP!$C$120,COUNTIF(PAY,C42)=1),OP!$C$123,0)</f>
        <v>0</v>
      </c>
      <c r="AV42" s="298">
        <f ca="1">IF(AND(A42&gt;=OP!$C$132,A42&lt;=OP!$C$133,$C$3=C42),OP!$C$135,0)</f>
        <v>0</v>
      </c>
      <c r="AW42" s="180">
        <f t="shared" ca="1" si="26"/>
        <v>0.05</v>
      </c>
      <c r="AX42" s="180">
        <f t="shared" ca="1" si="27"/>
        <v>0.05</v>
      </c>
      <c r="AY42" s="286">
        <f t="shared" ca="1" si="14"/>
        <v>0</v>
      </c>
      <c r="AZ42" s="286">
        <f t="shared" ca="1" si="15"/>
        <v>0</v>
      </c>
      <c r="BA42" s="286">
        <f t="shared" ca="1" si="16"/>
        <v>0</v>
      </c>
      <c r="BB42" s="286">
        <f t="shared" ca="1" si="28"/>
        <v>0</v>
      </c>
      <c r="BC42" s="286">
        <f t="shared" ca="1" si="17"/>
        <v>0</v>
      </c>
      <c r="BD42" s="180">
        <f t="shared" ca="1" si="29"/>
        <v>0.05</v>
      </c>
      <c r="BE42" s="180">
        <f t="shared" ca="1" si="30"/>
        <v>0.05</v>
      </c>
      <c r="BF42" s="286">
        <f t="shared" ca="1" si="18"/>
        <v>0</v>
      </c>
      <c r="BG42" s="286">
        <f t="shared" ca="1" si="19"/>
        <v>0</v>
      </c>
    </row>
    <row r="43" spans="1:59">
      <c r="A43" s="1">
        <f t="shared" ca="1" si="3"/>
        <v>4</v>
      </c>
      <c r="B43" s="1">
        <f t="shared" ca="1" si="20"/>
        <v>109</v>
      </c>
      <c r="C43" s="1">
        <f t="shared" ca="1" si="21"/>
        <v>9</v>
      </c>
      <c r="D43" s="1">
        <f ca="1">MIN($D$3,VLOOKUP(C43,OP!$S$30:$T$41,2))</f>
        <v>2</v>
      </c>
      <c r="E43" s="1">
        <f t="shared" ca="1" si="4"/>
        <v>58</v>
      </c>
      <c r="F43" s="11" t="str">
        <f t="shared" ca="1" si="5"/>
        <v/>
      </c>
      <c r="G43" s="8">
        <f t="shared" ca="1" si="46"/>
        <v>365</v>
      </c>
      <c r="H43" s="8">
        <f t="shared" ca="1" si="6"/>
        <v>30</v>
      </c>
      <c r="I43" s="8" t="str">
        <f t="shared" ca="1" si="0"/>
        <v>49</v>
      </c>
      <c r="J43" s="13">
        <f>IF(繳費報酬率資料!$A$1=1,VALUE(OP!$C$121),VLOOKUP(A43,MP,2,0))</f>
        <v>0.05</v>
      </c>
      <c r="K43" s="14">
        <f ca="1">IF(SUM($K$4:K42,IF(繳費報酬率資料!$A$1=1,$AU43+$AV43,$BB43+$BC43))&gt;OP!$L$58,0,IF(繳費報酬率資料!$A$1=1,$AU43+$AV43,$BB43+$BC43))</f>
        <v>0</v>
      </c>
      <c r="L43" s="2"/>
      <c r="M43" s="2"/>
      <c r="N43" s="2"/>
      <c r="O43" s="261">
        <f t="shared" ca="1" si="7"/>
        <v>0</v>
      </c>
      <c r="P43" s="261">
        <f t="shared" ca="1" si="23"/>
        <v>0</v>
      </c>
      <c r="Q43" s="3">
        <f ca="1">IF(A43&gt;MAX(OP!$R$17:$R$26),0,VLOOKUP(A43,fees,3,FALSE))</f>
        <v>0</v>
      </c>
      <c r="R43" s="200" t="str">
        <f t="shared" ca="1" si="8"/>
        <v/>
      </c>
      <c r="S43" s="9" t="str">
        <f ca="1">IF(COUNTIF(($T$4:T42),"F")&gt;=1,"",IF(OR(C44&lt;&gt;$C$3,E43=""),"",A43))</f>
        <v/>
      </c>
      <c r="T43" s="20" t="str">
        <f t="shared" ca="1" si="1"/>
        <v/>
      </c>
      <c r="U43" s="2">
        <f ca="1">IF(IF(OP!$C$83=1,$Z42,IF(OP!$C$83=2,$AA42,IF(OP!$C$83=3,$AB42,)))+$K43-$O43-$P43-$AS43&lt;OP!$C$142,0,$AS43)</f>
        <v>0</v>
      </c>
      <c r="V43" s="9"/>
      <c r="W43" s="19">
        <f ca="1">MAX(SUM($K$4:K43),0)</f>
        <v>2000000</v>
      </c>
      <c r="X43" s="19"/>
      <c r="Y43" s="19">
        <f t="shared" ca="1" si="24"/>
        <v>1920000</v>
      </c>
      <c r="Z43" s="2">
        <f ca="1">IF(MIN($Z$4:Z42)=0,0,MAX(0,($Z42+$K43-$O43-$P43)*IF(AND(F43="F",$D$3&lt;&gt;$G$3),((1+(-J43))^(H43/MIN(G43,365))),((1+(-J43))^(1/12)))-$U43))</f>
        <v>1618253.5919327054</v>
      </c>
      <c r="AA43" s="2">
        <f ca="1">IF(MIN($AA$4:AA42)=0,0,MAX(0,($AA42+$K43-$O43-$P43)*IF(AND(F43="F",$D$3&lt;&gt;$G$3),((1+$AA$1)^(H43/MIN(G43,365))),((1+$AA$1)^(1/12)))-$U43))</f>
        <v>1920000</v>
      </c>
      <c r="AB43" s="2">
        <f ca="1">IF(MIN($AB$4:AB42)=0,0,MAX(0,($AB42+$K43-$O43-$P43)*IF(AND(F43="F",$D$3&lt;&gt;$G$3),((1+(J43))^(H43/MIN(G43,365))),((1+(J43))^(1/12)))-$U43))</f>
        <v>2259083.1985109695</v>
      </c>
      <c r="AC43" s="5"/>
      <c r="AD43" s="5"/>
      <c r="AE43" s="5"/>
      <c r="AF43" s="282">
        <f t="shared" ca="1" si="9"/>
        <v>1618254</v>
      </c>
      <c r="AG43" s="282">
        <f t="shared" ca="1" si="10"/>
        <v>1920000</v>
      </c>
      <c r="AH43" s="282">
        <f t="shared" ca="1" si="11"/>
        <v>2259083</v>
      </c>
      <c r="AI43" s="23" t="str">
        <f t="shared" ca="1" si="2"/>
        <v>4-</v>
      </c>
      <c r="AJ43" s="282" t="str">
        <f ca="1">IF(E43&gt;111,,IF(AND(OP!$C$99=1,T43="F"),Z43,IF(AND(OP!$C$99=2,COUNTIF($T$4:T43,"F")=1),OP!$C$97+IF(F43="F",OP!$C$98,0),"")))</f>
        <v/>
      </c>
      <c r="AK43" s="282" t="str">
        <f ca="1">IF(E43&gt;111,,IF(AND(OP!$D$99=1,T43="F"),AA43,IF(AND(OP!$D$99=2,COUNTIF($T$4:T43,"F")=1),OP!$D$97+IF(F43="F",OP!$D$98,0),"")))</f>
        <v/>
      </c>
      <c r="AL43" s="282" t="str">
        <f ca="1">IF(E43&gt;111,,IF(AND(OP!$E$99=1,T43="F"),AB43,IF(AND(OP!$E$99=2,COUNTIF($T$4:T43,"F")=1),OP!$E$97+IF(F43="F",OP!$E$98,0),"")))</f>
        <v/>
      </c>
      <c r="AM43" s="1" t="str">
        <f t="shared" ca="1" si="25"/>
        <v/>
      </c>
      <c r="AN43" s="1" t="str">
        <f ca="1">IF(OR(VLOOKUP($A43,MP,5,0)="季繳",VLOOKUP($A43,MP,5,0)="月繳"),1,"")</f>
        <v/>
      </c>
      <c r="AO43" s="1">
        <f t="shared" ca="1" si="12"/>
        <v>0</v>
      </c>
      <c r="AP43" s="1" t="str">
        <f ca="1">IF(AND(A43&lt;=OP!$C$120,COUNTIF(PAY,C43)=1),1,"")</f>
        <v/>
      </c>
      <c r="AR43" s="301">
        <f ca="1">IF(繳費報酬率資料!$A$1=1,$AY43+$AZ43,$BF43+$BG43)</f>
        <v>0</v>
      </c>
      <c r="AS43" s="1">
        <f ca="1">IF(C43&lt;&gt;IF($C$3=1,12,$C$3-1),0,IF(繳費報酬率資料!$A$1&lt;&gt;1,VLOOKUP($A43,MP,8,0),IF(AND($A43&gt;=OP!$C$79,$A43&lt;=OP!$C$80),OP!$C$78,)))</f>
        <v>0</v>
      </c>
      <c r="AT43" s="298">
        <f t="shared" ca="1" si="13"/>
        <v>0</v>
      </c>
      <c r="AU43" s="298">
        <f ca="1">IF(AND(A43&lt;=OP!$C$120,COUNTIF(PAY,C43)=1),OP!$C$123,0)</f>
        <v>0</v>
      </c>
      <c r="AV43" s="298">
        <f ca="1">IF(AND(A43&gt;=OP!$C$132,A43&lt;=OP!$C$133,$C$3=C43),OP!$C$135,0)</f>
        <v>0</v>
      </c>
      <c r="AW43" s="180">
        <f t="shared" ca="1" si="26"/>
        <v>0.05</v>
      </c>
      <c r="AX43" s="180">
        <f t="shared" ca="1" si="27"/>
        <v>0.05</v>
      </c>
      <c r="AY43" s="286">
        <f t="shared" ca="1" si="14"/>
        <v>0</v>
      </c>
      <c r="AZ43" s="286">
        <f t="shared" ca="1" si="15"/>
        <v>0</v>
      </c>
      <c r="BA43" s="286">
        <f t="shared" ca="1" si="16"/>
        <v>0</v>
      </c>
      <c r="BB43" s="286">
        <f t="shared" ca="1" si="28"/>
        <v>0</v>
      </c>
      <c r="BC43" s="286">
        <f t="shared" ca="1" si="17"/>
        <v>0</v>
      </c>
      <c r="BD43" s="180">
        <f t="shared" ca="1" si="29"/>
        <v>0.05</v>
      </c>
      <c r="BE43" s="180">
        <f t="shared" ca="1" si="30"/>
        <v>0.05</v>
      </c>
      <c r="BF43" s="286">
        <f t="shared" ca="1" si="18"/>
        <v>0</v>
      </c>
      <c r="BG43" s="286">
        <f t="shared" ca="1" si="19"/>
        <v>0</v>
      </c>
    </row>
    <row r="44" spans="1:59">
      <c r="A44" s="1">
        <f t="shared" ca="1" si="3"/>
        <v>4</v>
      </c>
      <c r="B44" s="1">
        <f t="shared" ca="1" si="20"/>
        <v>109</v>
      </c>
      <c r="C44" s="1">
        <f t="shared" ca="1" si="21"/>
        <v>10</v>
      </c>
      <c r="D44" s="1">
        <f ca="1">MIN($D$3,VLOOKUP(C44,OP!$S$30:$T$41,2))</f>
        <v>2</v>
      </c>
      <c r="E44" s="1">
        <f t="shared" ca="1" si="4"/>
        <v>58</v>
      </c>
      <c r="F44" s="11" t="str">
        <f t="shared" ca="1" si="5"/>
        <v/>
      </c>
      <c r="G44" s="8">
        <f t="shared" ca="1" si="46"/>
        <v>365</v>
      </c>
      <c r="H44" s="8">
        <f t="shared" ca="1" si="6"/>
        <v>31</v>
      </c>
      <c r="I44" s="8" t="str">
        <f t="shared" ca="1" si="0"/>
        <v>410</v>
      </c>
      <c r="J44" s="13">
        <f>IF(繳費報酬率資料!$A$1=1,VALUE(OP!$C$121),VLOOKUP(A44,MP,2,0))</f>
        <v>0.05</v>
      </c>
      <c r="K44" s="14">
        <f ca="1">IF(SUM($K$4:K43,IF(繳費報酬率資料!$A$1=1,$AU44+$AV44,$BB44+$BC44))&gt;OP!$L$58,0,IF(繳費報酬率資料!$A$1=1,$AU44+$AV44,$BB44+$BC44))</f>
        <v>0</v>
      </c>
      <c r="L44" s="2"/>
      <c r="M44" s="2"/>
      <c r="N44" s="2"/>
      <c r="O44" s="261">
        <f t="shared" ca="1" si="7"/>
        <v>0</v>
      </c>
      <c r="P44" s="261">
        <f t="shared" ca="1" si="23"/>
        <v>0</v>
      </c>
      <c r="Q44" s="3">
        <f ca="1">IF(A44&gt;MAX(OP!$R$17:$R$26),0,VLOOKUP(A44,fees,3,FALSE))</f>
        <v>0</v>
      </c>
      <c r="R44" s="200" t="str">
        <f t="shared" ca="1" si="8"/>
        <v/>
      </c>
      <c r="S44" s="9" t="str">
        <f ca="1">IF(COUNTIF(($T$4:T43),"F")&gt;=1,"",IF(OR(C45&lt;&gt;$C$3,E44=""),"",A44))</f>
        <v/>
      </c>
      <c r="T44" s="20" t="str">
        <f t="shared" ca="1" si="1"/>
        <v/>
      </c>
      <c r="U44" s="2">
        <f ca="1">IF(IF(OP!$C$83=1,$Z43,IF(OP!$C$83=2,$AA43,IF(OP!$C$83=3,$AB43,)))+$K44-$O44-$P44-$AS44&lt;OP!$C$142,0,$AS44)</f>
        <v>0</v>
      </c>
      <c r="V44" s="9"/>
      <c r="W44" s="19">
        <f ca="1">MAX(SUM($K$4:K44),0)</f>
        <v>2000000</v>
      </c>
      <c r="X44" s="19"/>
      <c r="Y44" s="19">
        <f t="shared" ca="1" si="24"/>
        <v>1920000</v>
      </c>
      <c r="Z44" s="2">
        <f ca="1">IF(MIN($Z$4:Z43)=0,0,MAX(0,($Z43+$K44-$O44-$P44)*IF(AND(F44="F",$D$3&lt;&gt;$G$3),((1+(-J44))^(H44/MIN(G44,365))),((1+(-J44))^(1/12)))-$U44))</f>
        <v>1611351.2245001798</v>
      </c>
      <c r="AA44" s="2">
        <f ca="1">IF(MIN($AA$4:AA43)=0,0,MAX(0,($AA43+$K44-$O44-$P44)*IF(AND(F44="F",$D$3&lt;&gt;$G$3),((1+$AA$1)^(H44/MIN(G44,365))),((1+$AA$1)^(1/12)))-$U44))</f>
        <v>1920000</v>
      </c>
      <c r="AB44" s="2">
        <f ca="1">IF(MIN($AB$4:AB43)=0,0,MAX(0,($AB43+$K44-$O44-$P44)*IF(AND(F44="F",$D$3&lt;&gt;$G$3),((1+(J44))^(H44/MIN(G44,365))),((1+(J44))^(1/12)))-$U44))</f>
        <v>2268286.9830992636</v>
      </c>
      <c r="AC44" s="5"/>
      <c r="AD44" s="5"/>
      <c r="AE44" s="5"/>
      <c r="AF44" s="282">
        <f t="shared" ca="1" si="9"/>
        <v>1611351</v>
      </c>
      <c r="AG44" s="282">
        <f t="shared" ca="1" si="10"/>
        <v>1920000</v>
      </c>
      <c r="AH44" s="282">
        <f t="shared" ca="1" si="11"/>
        <v>2268287</v>
      </c>
      <c r="AI44" s="23" t="str">
        <f t="shared" ca="1" si="2"/>
        <v>4-</v>
      </c>
      <c r="AJ44" s="282" t="str">
        <f ca="1">IF(E44&gt;111,,IF(AND(OP!$C$99=1,T44="F"),Z44,IF(AND(OP!$C$99=2,COUNTIF($T$4:T44,"F")=1),OP!$C$97+IF(F44="F",OP!$C$98,0),"")))</f>
        <v/>
      </c>
      <c r="AK44" s="282" t="str">
        <f ca="1">IF(E44&gt;111,,IF(AND(OP!$D$99=1,T44="F"),AA44,IF(AND(OP!$D$99=2,COUNTIF($T$4:T44,"F")=1),OP!$D$97+IF(F44="F",OP!$D$98,0),"")))</f>
        <v/>
      </c>
      <c r="AL44" s="282" t="str">
        <f ca="1">IF(E44&gt;111,,IF(AND(OP!$E$99=1,T44="F"),AB44,IF(AND(OP!$E$99=2,COUNTIF($T$4:T44,"F")=1),OP!$E$97+IF(F44="F",OP!$E$98,0),"")))</f>
        <v/>
      </c>
      <c r="AM44" s="1" t="str">
        <f t="shared" ca="1" si="25"/>
        <v/>
      </c>
      <c r="AN44" s="1" t="str">
        <f ca="1">IF(OR(VLOOKUP($A44,MP,5,0)="月繳"),1,"")</f>
        <v/>
      </c>
      <c r="AO44" s="1">
        <f t="shared" ca="1" si="12"/>
        <v>0</v>
      </c>
      <c r="AP44" s="1" t="str">
        <f ca="1">IF(AND(A44&lt;=OP!$C$120,COUNTIF(PAY,C44)=1),1,"")</f>
        <v/>
      </c>
      <c r="AR44" s="301">
        <f ca="1">IF(繳費報酬率資料!$A$1=1,$AY44+$AZ44,$BF44+$BG44)</f>
        <v>0</v>
      </c>
      <c r="AS44" s="1">
        <f ca="1">IF(C44&lt;&gt;IF($C$3=1,12,$C$3-1),0,IF(繳費報酬率資料!$A$1&lt;&gt;1,VLOOKUP($A44,MP,8,0),IF(AND($A44&gt;=OP!$C$79,$A44&lt;=OP!$C$80),OP!$C$78,)))</f>
        <v>0</v>
      </c>
      <c r="AT44" s="298">
        <f t="shared" ca="1" si="13"/>
        <v>0</v>
      </c>
      <c r="AU44" s="298">
        <f ca="1">IF(AND(A44&lt;=OP!$C$120,COUNTIF(PAY,C44)=1),OP!$C$123,0)</f>
        <v>0</v>
      </c>
      <c r="AV44" s="298">
        <f ca="1">IF(AND(A44&gt;=OP!$C$132,A44&lt;=OP!$C$133,$C$3=C44),OP!$C$135,0)</f>
        <v>0</v>
      </c>
      <c r="AW44" s="180">
        <f t="shared" ca="1" si="26"/>
        <v>0.05</v>
      </c>
      <c r="AX44" s="180">
        <f t="shared" ca="1" si="27"/>
        <v>0.05</v>
      </c>
      <c r="AY44" s="286">
        <f t="shared" ca="1" si="14"/>
        <v>0</v>
      </c>
      <c r="AZ44" s="286">
        <f t="shared" ca="1" si="15"/>
        <v>0</v>
      </c>
      <c r="BA44" s="286">
        <f t="shared" ca="1" si="16"/>
        <v>0</v>
      </c>
      <c r="BB44" s="286">
        <f t="shared" ca="1" si="28"/>
        <v>0</v>
      </c>
      <c r="BC44" s="286">
        <f t="shared" ca="1" si="17"/>
        <v>0</v>
      </c>
      <c r="BD44" s="180">
        <f t="shared" ca="1" si="29"/>
        <v>0.05</v>
      </c>
      <c r="BE44" s="180">
        <f t="shared" ca="1" si="30"/>
        <v>0.05</v>
      </c>
      <c r="BF44" s="286">
        <f t="shared" ca="1" si="18"/>
        <v>0</v>
      </c>
      <c r="BG44" s="286">
        <f t="shared" ca="1" si="19"/>
        <v>0</v>
      </c>
    </row>
    <row r="45" spans="1:59">
      <c r="A45" s="1">
        <f t="shared" ca="1" si="3"/>
        <v>4</v>
      </c>
      <c r="B45" s="1">
        <f t="shared" ca="1" si="20"/>
        <v>109</v>
      </c>
      <c r="C45" s="1">
        <f t="shared" ca="1" si="21"/>
        <v>11</v>
      </c>
      <c r="D45" s="1">
        <f ca="1">MIN($D$3,VLOOKUP(C45,OP!$S$30:$T$41,2))</f>
        <v>2</v>
      </c>
      <c r="E45" s="1">
        <f t="shared" ca="1" si="4"/>
        <v>58</v>
      </c>
      <c r="F45" s="11" t="str">
        <f t="shared" ca="1" si="5"/>
        <v/>
      </c>
      <c r="G45" s="8">
        <f t="shared" ca="1" si="46"/>
        <v>365</v>
      </c>
      <c r="H45" s="8">
        <f t="shared" ca="1" si="6"/>
        <v>30</v>
      </c>
      <c r="I45" s="8" t="str">
        <f t="shared" ca="1" si="0"/>
        <v>411</v>
      </c>
      <c r="J45" s="13">
        <f>IF(繳費報酬率資料!$A$1=1,VALUE(OP!$C$121),VLOOKUP(A45,MP,2,0))</f>
        <v>0.05</v>
      </c>
      <c r="K45" s="14">
        <f ca="1">IF(SUM($K$4:K44,IF(繳費報酬率資料!$A$1=1,$AU45+$AV45,$BB45+$BC45))&gt;OP!$L$58,0,IF(繳費報酬率資料!$A$1=1,$AU45+$AV45,$BB45+$BC45))</f>
        <v>0</v>
      </c>
      <c r="L45" s="2"/>
      <c r="M45" s="2"/>
      <c r="N45" s="2"/>
      <c r="O45" s="261">
        <f t="shared" ca="1" si="7"/>
        <v>0</v>
      </c>
      <c r="P45" s="261">
        <f t="shared" ca="1" si="23"/>
        <v>0</v>
      </c>
      <c r="Q45" s="3">
        <f ca="1">IF(A45&gt;MAX(OP!$R$17:$R$26),0,VLOOKUP(A45,fees,3,FALSE))</f>
        <v>0</v>
      </c>
      <c r="R45" s="200" t="str">
        <f t="shared" ca="1" si="8"/>
        <v/>
      </c>
      <c r="S45" s="9" t="str">
        <f ca="1">IF(COUNTIF(($T$4:T44),"F")&gt;=1,"",IF(OR(C46&lt;&gt;$C$3,E45=""),"",A45))</f>
        <v/>
      </c>
      <c r="T45" s="20" t="str">
        <f t="shared" ca="1" si="1"/>
        <v/>
      </c>
      <c r="U45" s="2">
        <f ca="1">IF(IF(OP!$C$83=1,$Z44,IF(OP!$C$83=2,$AA44,IF(OP!$C$83=3,$AB44,)))+$K45-$O45-$P45-$AS45&lt;OP!$C$142,0,$AS45)</f>
        <v>0</v>
      </c>
      <c r="V45" s="9"/>
      <c r="W45" s="19">
        <f ca="1">MAX(SUM($K$4:K45),0)</f>
        <v>2000000</v>
      </c>
      <c r="X45" s="19"/>
      <c r="Y45" s="19">
        <f t="shared" ca="1" si="24"/>
        <v>1920000</v>
      </c>
      <c r="Z45" s="2">
        <f ca="1">IF(MIN($Z$4:Z44)=0,0,MAX(0,($Z44+$K45-$O45-$P45)*IF(AND(F45="F",$D$3&lt;&gt;$G$3),((1+(-J45))^(H45/MIN(G45,365))),((1+(-J45))^(1/12)))-$U45))</f>
        <v>1604478.2978650739</v>
      </c>
      <c r="AA45" s="2">
        <f ca="1">IF(MIN($AA$4:AA44)=0,0,MAX(0,($AA44+$K45-$O45-$P45)*IF(AND(F45="F",$D$3&lt;&gt;$G$3),((1+$AA$1)^(H45/MIN(G45,365))),((1+$AA$1)^(1/12)))-$U45))</f>
        <v>1920000</v>
      </c>
      <c r="AB45" s="2">
        <f ca="1">IF(MIN($AB$4:AB44)=0,0,MAX(0,($AB44+$K45-$O45-$P45)*IF(AND(F45="F",$D$3&lt;&gt;$G$3),((1+(J45))^(H45/MIN(G45,365))),((1+(J45))^(1/12)))-$U45))</f>
        <v>2277528.2650452484</v>
      </c>
      <c r="AC45" s="5"/>
      <c r="AD45" s="5"/>
      <c r="AE45" s="5"/>
      <c r="AF45" s="282">
        <f t="shared" ca="1" si="9"/>
        <v>1604478</v>
      </c>
      <c r="AG45" s="282">
        <f t="shared" ca="1" si="10"/>
        <v>1920000</v>
      </c>
      <c r="AH45" s="282">
        <f t="shared" ca="1" si="11"/>
        <v>2277528</v>
      </c>
      <c r="AI45" s="23" t="str">
        <f t="shared" ca="1" si="2"/>
        <v>4-</v>
      </c>
      <c r="AJ45" s="282" t="str">
        <f ca="1">IF(E45&gt;111,,IF(AND(OP!$C$99=1,T45="F"),Z45,IF(AND(OP!$C$99=2,COUNTIF($T$4:T45,"F")=1),OP!$C$97+IF(F45="F",OP!$C$98,0),"")))</f>
        <v/>
      </c>
      <c r="AK45" s="282" t="str">
        <f ca="1">IF(E45&gt;111,,IF(AND(OP!$D$99=1,T45="F"),AA45,IF(AND(OP!$D$99=2,COUNTIF($T$4:T45,"F")=1),OP!$D$97+IF(F45="F",OP!$D$98,0),"")))</f>
        <v/>
      </c>
      <c r="AL45" s="282" t="str">
        <f ca="1">IF(E45&gt;111,,IF(AND(OP!$E$99=1,T45="F"),AB45,IF(AND(OP!$E$99=2,COUNTIF($T$4:T45,"F")=1),OP!$E$97+IF(F45="F",OP!$E$98,0),"")))</f>
        <v/>
      </c>
      <c r="AM45" s="1" t="str">
        <f t="shared" ca="1" si="25"/>
        <v/>
      </c>
      <c r="AN45" s="1" t="str">
        <f ca="1">IF(OR(VLOOKUP($A45,MP,5,0)="月繳"),1,"")</f>
        <v/>
      </c>
      <c r="AO45" s="1">
        <f t="shared" ca="1" si="12"/>
        <v>0</v>
      </c>
      <c r="AP45" s="1" t="str">
        <f ca="1">IF(AND(A45&lt;=OP!$C$120,COUNTIF(PAY,C45)=1),1,"")</f>
        <v/>
      </c>
      <c r="AR45" s="301">
        <f ca="1">IF(繳費報酬率資料!$A$1=1,$AY45+$AZ45,$BF45+$BG45)</f>
        <v>0</v>
      </c>
      <c r="AS45" s="1">
        <f ca="1">IF(C45&lt;&gt;IF($C$3=1,12,$C$3-1),0,IF(繳費報酬率資料!$A$1&lt;&gt;1,VLOOKUP($A45,MP,8,0),IF(AND($A45&gt;=OP!$C$79,$A45&lt;=OP!$C$80),OP!$C$78,)))</f>
        <v>0</v>
      </c>
      <c r="AT45" s="298">
        <f t="shared" ca="1" si="13"/>
        <v>0</v>
      </c>
      <c r="AU45" s="298">
        <f ca="1">IF(AND(A45&lt;=OP!$C$120,COUNTIF(PAY,C45)=1),OP!$C$123,0)</f>
        <v>0</v>
      </c>
      <c r="AV45" s="298">
        <f ca="1">IF(AND(A45&gt;=OP!$C$132,A45&lt;=OP!$C$133,$C$3=C45),OP!$C$135,0)</f>
        <v>0</v>
      </c>
      <c r="AW45" s="180">
        <f t="shared" ca="1" si="26"/>
        <v>0.05</v>
      </c>
      <c r="AX45" s="180">
        <f t="shared" ca="1" si="27"/>
        <v>0.05</v>
      </c>
      <c r="AY45" s="286">
        <f t="shared" ca="1" si="14"/>
        <v>0</v>
      </c>
      <c r="AZ45" s="286">
        <f t="shared" ca="1" si="15"/>
        <v>0</v>
      </c>
      <c r="BA45" s="286">
        <f t="shared" ca="1" si="16"/>
        <v>0</v>
      </c>
      <c r="BB45" s="286">
        <f t="shared" ca="1" si="28"/>
        <v>0</v>
      </c>
      <c r="BC45" s="286">
        <f t="shared" ca="1" si="17"/>
        <v>0</v>
      </c>
      <c r="BD45" s="180">
        <f t="shared" ca="1" si="29"/>
        <v>0.05</v>
      </c>
      <c r="BE45" s="180">
        <f t="shared" ca="1" si="30"/>
        <v>0.05</v>
      </c>
      <c r="BF45" s="286">
        <f t="shared" ca="1" si="18"/>
        <v>0</v>
      </c>
      <c r="BG45" s="286">
        <f t="shared" ca="1" si="19"/>
        <v>0</v>
      </c>
    </row>
    <row r="46" spans="1:59">
      <c r="A46" s="1">
        <f t="shared" ca="1" si="3"/>
        <v>4</v>
      </c>
      <c r="B46" s="1">
        <f t="shared" ca="1" si="20"/>
        <v>109</v>
      </c>
      <c r="C46" s="1">
        <f t="shared" ca="1" si="21"/>
        <v>12</v>
      </c>
      <c r="D46" s="1">
        <f ca="1">MIN($D$3,VLOOKUP(C46,OP!$S$30:$T$41,2))</f>
        <v>2</v>
      </c>
      <c r="E46" s="1">
        <f t="shared" ca="1" si="4"/>
        <v>58</v>
      </c>
      <c r="F46" s="11" t="str">
        <f t="shared" ca="1" si="5"/>
        <v/>
      </c>
      <c r="G46" s="8">
        <f t="shared" ca="1" si="46"/>
        <v>365</v>
      </c>
      <c r="H46" s="8">
        <f t="shared" ca="1" si="6"/>
        <v>31</v>
      </c>
      <c r="I46" s="8" t="str">
        <f t="shared" ca="1" si="0"/>
        <v>412</v>
      </c>
      <c r="J46" s="13">
        <f>IF(繳費報酬率資料!$A$1=1,VALUE(OP!$C$121),VLOOKUP(A46,MP,2,0))</f>
        <v>0.05</v>
      </c>
      <c r="K46" s="14">
        <f ca="1">IF(SUM($K$4:K45,IF(繳費報酬率資料!$A$1=1,$AU46+$AV46,$BB46+$BC46))&gt;OP!$L$58,0,IF(繳費報酬率資料!$A$1=1,$AU46+$AV46,$BB46+$BC46))</f>
        <v>0</v>
      </c>
      <c r="L46" s="2"/>
      <c r="M46" s="2"/>
      <c r="N46" s="2"/>
      <c r="O46" s="261">
        <f t="shared" ca="1" si="7"/>
        <v>0</v>
      </c>
      <c r="P46" s="261">
        <f t="shared" ca="1" si="23"/>
        <v>0</v>
      </c>
      <c r="Q46" s="3">
        <f ca="1">IF(A46&gt;MAX(OP!$R$17:$R$26),0,VLOOKUP(A46,fees,3,FALSE))</f>
        <v>0</v>
      </c>
      <c r="R46" s="200" t="str">
        <f t="shared" ca="1" si="8"/>
        <v/>
      </c>
      <c r="S46" s="9" t="str">
        <f ca="1">IF(COUNTIF(($T$4:T45),"F")&gt;=1,"",IF(OR(C47&lt;&gt;$C$3,E46=""),"",A46))</f>
        <v/>
      </c>
      <c r="T46" s="20" t="str">
        <f t="shared" ca="1" si="1"/>
        <v/>
      </c>
      <c r="U46" s="2">
        <f ca="1">IF(IF(OP!$C$83=1,$Z45,IF(OP!$C$83=2,$AA45,IF(OP!$C$83=3,$AB45,)))+$K46-$O46-$P46-$AS46&lt;OP!$C$142,0,$AS46)</f>
        <v>0</v>
      </c>
      <c r="V46" s="9"/>
      <c r="W46" s="19">
        <f ca="1">MAX(SUM($K$4:K46),0)</f>
        <v>2000000</v>
      </c>
      <c r="X46" s="19"/>
      <c r="Y46" s="19">
        <f t="shared" ca="1" si="24"/>
        <v>1920000</v>
      </c>
      <c r="Z46" s="2">
        <f ca="1">IF(MIN($Z$4:Z45)=0,0,MAX(0,($Z45+$K46-$O46-$P46)*IF(AND(F46="F",$D$3&lt;&gt;$G$3),((1+(-J46))^(H46/MIN(G46,365))),((1+(-J46))^(1/12)))-$U46))</f>
        <v>1597634.6864530013</v>
      </c>
      <c r="AA46" s="2">
        <f ca="1">IF(MIN($AA$4:AA45)=0,0,MAX(0,($AA45+$K46-$O46-$P46)*IF(AND(F46="F",$D$3&lt;&gt;$G$3),((1+$AA$1)^(H46/MIN(G46,365))),((1+$AA$1)^(1/12)))-$U46))</f>
        <v>1920000</v>
      </c>
      <c r="AB46" s="2">
        <f ca="1">IF(MIN($AB$4:AB45)=0,0,MAX(0,($AB45+$K46-$O46-$P46)*IF(AND(F46="F",$D$3&lt;&gt;$G$3),((1+(J46))^(H46/MIN(G46,365))),((1+(J46))^(1/12)))-$U46))</f>
        <v>2286807.1971178008</v>
      </c>
      <c r="AC46" s="5"/>
      <c r="AD46" s="5"/>
      <c r="AE46" s="5"/>
      <c r="AF46" s="282">
        <f t="shared" ca="1" si="9"/>
        <v>1597635</v>
      </c>
      <c r="AG46" s="282">
        <f t="shared" ca="1" si="10"/>
        <v>1920000</v>
      </c>
      <c r="AH46" s="282">
        <f t="shared" ca="1" si="11"/>
        <v>2286807</v>
      </c>
      <c r="AI46" s="23" t="str">
        <f t="shared" ca="1" si="2"/>
        <v>4-</v>
      </c>
      <c r="AJ46" s="282" t="str">
        <f ca="1">IF(E46&gt;111,,IF(AND(OP!$C$99=1,T46="F"),Z46,IF(AND(OP!$C$99=2,COUNTIF($T$4:T46,"F")=1),OP!$C$97+IF(F46="F",OP!$C$98,0),"")))</f>
        <v/>
      </c>
      <c r="AK46" s="282" t="str">
        <f ca="1">IF(E46&gt;111,,IF(AND(OP!$D$99=1,T46="F"),AA46,IF(AND(OP!$D$99=2,COUNTIF($T$4:T46,"F")=1),OP!$D$97+IF(F46="F",OP!$D$98,0),"")))</f>
        <v/>
      </c>
      <c r="AL46" s="282" t="str">
        <f ca="1">IF(E46&gt;111,,IF(AND(OP!$E$99=1,T46="F"),AB46,IF(AND(OP!$E$99=2,COUNTIF($T$4:T46,"F")=1),OP!$E$97+IF(F46="F",OP!$E$98,0),"")))</f>
        <v/>
      </c>
      <c r="AM46" s="1" t="str">
        <f t="shared" ca="1" si="25"/>
        <v/>
      </c>
      <c r="AN46" s="1" t="str">
        <f ca="1">IF(OR(VLOOKUP($A46,MP,5,0)="半年繳",VLOOKUP($A46,MP,5,0)="季繳",VLOOKUP($A46,MP,5,0)="月繳"),1,"")</f>
        <v/>
      </c>
      <c r="AO46" s="1">
        <f t="shared" ca="1" si="12"/>
        <v>0</v>
      </c>
      <c r="AP46" s="1" t="str">
        <f ca="1">IF(AND(A46&lt;=OP!$C$120,COUNTIF(PAY,C46)=1),1,"")</f>
        <v/>
      </c>
      <c r="AR46" s="301">
        <f ca="1">IF(繳費報酬率資料!$A$1=1,$AY46+$AZ46,$BF46+$BG46)</f>
        <v>0</v>
      </c>
      <c r="AS46" s="1">
        <f ca="1">IF(C46&lt;&gt;IF($C$3=1,12,$C$3-1),0,IF(繳費報酬率資料!$A$1&lt;&gt;1,VLOOKUP($A46,MP,8,0),IF(AND($A46&gt;=OP!$C$79,$A46&lt;=OP!$C$80),OP!$C$78,)))</f>
        <v>0</v>
      </c>
      <c r="AT46" s="298">
        <f t="shared" ca="1" si="13"/>
        <v>0</v>
      </c>
      <c r="AU46" s="298">
        <f ca="1">IF(AND(A46&lt;=OP!$C$120,COUNTIF(PAY,C46)=1),OP!$C$123,0)</f>
        <v>0</v>
      </c>
      <c r="AV46" s="298">
        <f ca="1">IF(AND(A46&gt;=OP!$C$132,A46&lt;=OP!$C$133,$C$3=C46),OP!$C$135,0)</f>
        <v>0</v>
      </c>
      <c r="AW46" s="180">
        <f t="shared" ca="1" si="26"/>
        <v>0.05</v>
      </c>
      <c r="AX46" s="180">
        <f t="shared" ca="1" si="27"/>
        <v>0.05</v>
      </c>
      <c r="AY46" s="286">
        <f t="shared" ca="1" si="14"/>
        <v>0</v>
      </c>
      <c r="AZ46" s="286">
        <f t="shared" ca="1" si="15"/>
        <v>0</v>
      </c>
      <c r="BA46" s="286">
        <f t="shared" ca="1" si="16"/>
        <v>0</v>
      </c>
      <c r="BB46" s="286">
        <f t="shared" ca="1" si="28"/>
        <v>0</v>
      </c>
      <c r="BC46" s="286">
        <f t="shared" ca="1" si="17"/>
        <v>0</v>
      </c>
      <c r="BD46" s="180">
        <f t="shared" ca="1" si="29"/>
        <v>0.05</v>
      </c>
      <c r="BE46" s="180">
        <f t="shared" ca="1" si="30"/>
        <v>0.05</v>
      </c>
      <c r="BF46" s="286">
        <f t="shared" ca="1" si="18"/>
        <v>0</v>
      </c>
      <c r="BG46" s="286">
        <f t="shared" ca="1" si="19"/>
        <v>0</v>
      </c>
    </row>
    <row r="47" spans="1:59">
      <c r="A47" s="1">
        <f t="shared" ca="1" si="3"/>
        <v>4</v>
      </c>
      <c r="B47" s="1">
        <f t="shared" ca="1" si="20"/>
        <v>110</v>
      </c>
      <c r="C47" s="1">
        <f t="shared" ca="1" si="21"/>
        <v>1</v>
      </c>
      <c r="D47" s="1">
        <f ca="1">MIN($D$3,VLOOKUP(C47,OP!$S$30:$T$41,2))</f>
        <v>2</v>
      </c>
      <c r="E47" s="1">
        <f t="shared" ca="1" si="4"/>
        <v>58</v>
      </c>
      <c r="F47" s="11" t="str">
        <f t="shared" ca="1" si="5"/>
        <v/>
      </c>
      <c r="G47" s="8">
        <f t="shared" ca="1" si="46"/>
        <v>365</v>
      </c>
      <c r="H47" s="8">
        <f t="shared" ca="1" si="6"/>
        <v>31</v>
      </c>
      <c r="I47" s="8" t="str">
        <f t="shared" ca="1" si="0"/>
        <v>41</v>
      </c>
      <c r="J47" s="13">
        <f>IF(繳費報酬率資料!$A$1=1,VALUE(OP!$C$121),VLOOKUP(A47,MP,2,0))</f>
        <v>0.05</v>
      </c>
      <c r="K47" s="14">
        <f ca="1">IF(SUM($K$4:K46,IF(繳費報酬率資料!$A$1=1,$AU47+$AV47,$BB47+$BC47))&gt;OP!$L$58,0,IF(繳費報酬率資料!$A$1=1,$AU47+$AV47,$BB47+$BC47))</f>
        <v>0</v>
      </c>
      <c r="L47" s="2"/>
      <c r="M47" s="2"/>
      <c r="N47" s="2"/>
      <c r="O47" s="261">
        <f t="shared" ca="1" si="7"/>
        <v>0</v>
      </c>
      <c r="P47" s="261">
        <f t="shared" ca="1" si="23"/>
        <v>0</v>
      </c>
      <c r="Q47" s="3">
        <f ca="1">IF(A47&gt;MAX(OP!$R$17:$R$26),0,VLOOKUP(A47,fees,3,FALSE))</f>
        <v>0</v>
      </c>
      <c r="R47" s="200" t="str">
        <f t="shared" ca="1" si="8"/>
        <v/>
      </c>
      <c r="S47" s="9" t="str">
        <f ca="1">IF(COUNTIF(($T$4:T46),"F")&gt;=1,"",IF(OR(C48&lt;&gt;$C$3,E47=""),"",A47))</f>
        <v/>
      </c>
      <c r="T47" s="20" t="str">
        <f t="shared" ca="1" si="1"/>
        <v/>
      </c>
      <c r="U47" s="2">
        <f ca="1">IF(IF(OP!$C$83=1,$Z46,IF(OP!$C$83=2,$AA46,IF(OP!$C$83=3,$AB46,)))+$K47-$O47-$P47-$AS47&lt;OP!$C$142,0,$AS47)</f>
        <v>0</v>
      </c>
      <c r="V47" s="9"/>
      <c r="W47" s="19">
        <f ca="1">MAX(SUM($K$4:K47),0)</f>
        <v>2000000</v>
      </c>
      <c r="X47" s="19"/>
      <c r="Y47" s="19">
        <f t="shared" ca="1" si="24"/>
        <v>1920000</v>
      </c>
      <c r="Z47" s="2">
        <f ca="1">IF(MIN($Z$4:Z46)=0,0,MAX(0,($Z46+$K47-$O47-$P47)*IF(AND(F47="F",$D$3&lt;&gt;$G$3),((1+(-J47))^(H47/MIN(G47,365))),((1+(-J47))^(1/12)))-$U47))</f>
        <v>1590820.2652251911</v>
      </c>
      <c r="AA47" s="2">
        <f ca="1">IF(MIN($AA$4:AA46)=0,0,MAX(0,($AA46+$K47-$O47-$P47)*IF(AND(F47="F",$D$3&lt;&gt;$G$3),((1+$AA$1)^(H47/MIN(G47,365))),((1+$AA$1)^(1/12)))-$U47))</f>
        <v>1920000</v>
      </c>
      <c r="AB47" s="2">
        <f ca="1">IF(MIN($AB$4:AB46)=0,0,MAX(0,($AB46+$K47-$O47-$P47)*IF(AND(F47="F",$D$3&lt;&gt;$G$3),((1+(J47))^(H47/MIN(G47,365))),((1+(J47))^(1/12)))-$U47))</f>
        <v>2296123.9327081968</v>
      </c>
      <c r="AC47" s="5"/>
      <c r="AD47" s="5"/>
      <c r="AE47" s="5"/>
      <c r="AF47" s="282">
        <f t="shared" ca="1" si="9"/>
        <v>1590820</v>
      </c>
      <c r="AG47" s="282">
        <f t="shared" ca="1" si="10"/>
        <v>1920000</v>
      </c>
      <c r="AH47" s="282">
        <f t="shared" ca="1" si="11"/>
        <v>2296124</v>
      </c>
      <c r="AI47" s="23" t="str">
        <f t="shared" ca="1" si="2"/>
        <v>4-</v>
      </c>
      <c r="AJ47" s="282" t="str">
        <f ca="1">IF(E47&gt;111,,IF(AND(OP!$C$99=1,T47="F"),Z47,IF(AND(OP!$C$99=2,COUNTIF($T$4:T47,"F")=1),OP!$C$97+IF(F47="F",OP!$C$98,0),"")))</f>
        <v/>
      </c>
      <c r="AK47" s="282" t="str">
        <f ca="1">IF(E47&gt;111,,IF(AND(OP!$D$99=1,T47="F"),AA47,IF(AND(OP!$D$99=2,COUNTIF($T$4:T47,"F")=1),OP!$D$97+IF(F47="F",OP!$D$98,0),"")))</f>
        <v/>
      </c>
      <c r="AL47" s="282" t="str">
        <f ca="1">IF(E47&gt;111,,IF(AND(OP!$E$99=1,T47="F"),AB47,IF(AND(OP!$E$99=2,COUNTIF($T$4:T47,"F")=1),OP!$E$97+IF(F47="F",OP!$E$98,0),"")))</f>
        <v/>
      </c>
      <c r="AM47" s="1" t="str">
        <f t="shared" ca="1" si="25"/>
        <v/>
      </c>
      <c r="AN47" s="1" t="str">
        <f ca="1">IF(OR(VLOOKUP($A47,MP,5,0)="月繳"),1,"")</f>
        <v/>
      </c>
      <c r="AO47" s="1">
        <f t="shared" ca="1" si="12"/>
        <v>0</v>
      </c>
      <c r="AP47" s="1" t="str">
        <f ca="1">IF(AND(A47&lt;=OP!$C$120,COUNTIF(PAY,C47)=1),1,"")</f>
        <v/>
      </c>
      <c r="AR47" s="301">
        <f ca="1">IF(繳費報酬率資料!$A$1=1,$AY47+$AZ47,$BF47+$BG47)</f>
        <v>0</v>
      </c>
      <c r="AS47" s="1">
        <f ca="1">IF(C47&lt;&gt;IF($C$3=1,12,$C$3-1),0,IF(繳費報酬率資料!$A$1&lt;&gt;1,VLOOKUP($A47,MP,8,0),IF(AND($A47&gt;=OP!$C$79,$A47&lt;=OP!$C$80),OP!$C$78,)))</f>
        <v>0</v>
      </c>
      <c r="AT47" s="298">
        <f t="shared" ca="1" si="13"/>
        <v>0</v>
      </c>
      <c r="AU47" s="298">
        <f ca="1">IF(AND(A47&lt;=OP!$C$120,COUNTIF(PAY,C47)=1),OP!$C$123,0)</f>
        <v>0</v>
      </c>
      <c r="AV47" s="298">
        <f ca="1">IF(AND(A47&gt;=OP!$C$132,A47&lt;=OP!$C$133,$C$3=C47),OP!$C$135,0)</f>
        <v>0</v>
      </c>
      <c r="AW47" s="180">
        <f t="shared" ca="1" si="26"/>
        <v>0.05</v>
      </c>
      <c r="AX47" s="180">
        <f t="shared" ca="1" si="27"/>
        <v>0.05</v>
      </c>
      <c r="AY47" s="286">
        <f t="shared" ca="1" si="14"/>
        <v>0</v>
      </c>
      <c r="AZ47" s="286">
        <f t="shared" ca="1" si="15"/>
        <v>0</v>
      </c>
      <c r="BA47" s="286">
        <f t="shared" ca="1" si="16"/>
        <v>0</v>
      </c>
      <c r="BB47" s="286">
        <f t="shared" ca="1" si="28"/>
        <v>0</v>
      </c>
      <c r="BC47" s="286">
        <f t="shared" ca="1" si="17"/>
        <v>0</v>
      </c>
      <c r="BD47" s="180">
        <f t="shared" ca="1" si="29"/>
        <v>0.05</v>
      </c>
      <c r="BE47" s="180">
        <f t="shared" ca="1" si="30"/>
        <v>0.05</v>
      </c>
      <c r="BF47" s="286">
        <f t="shared" ca="1" si="18"/>
        <v>0</v>
      </c>
      <c r="BG47" s="286">
        <f t="shared" ca="1" si="19"/>
        <v>0</v>
      </c>
    </row>
    <row r="48" spans="1:59">
      <c r="A48" s="1">
        <f t="shared" ca="1" si="3"/>
        <v>4</v>
      </c>
      <c r="B48" s="1">
        <f t="shared" ca="1" si="20"/>
        <v>110</v>
      </c>
      <c r="C48" s="1">
        <f t="shared" ca="1" si="21"/>
        <v>2</v>
      </c>
      <c r="D48" s="1">
        <f ca="1">MIN($D$3,VLOOKUP(C48,OP!$S$30:$T$41,2))</f>
        <v>2</v>
      </c>
      <c r="E48" s="1">
        <f t="shared" ca="1" si="4"/>
        <v>58</v>
      </c>
      <c r="F48" s="11" t="str">
        <f t="shared" ca="1" si="5"/>
        <v/>
      </c>
      <c r="G48" s="8">
        <f t="shared" ca="1" si="46"/>
        <v>365</v>
      </c>
      <c r="H48" s="8">
        <f t="shared" ca="1" si="6"/>
        <v>28</v>
      </c>
      <c r="I48" s="8" t="str">
        <f t="shared" ca="1" si="0"/>
        <v>42</v>
      </c>
      <c r="J48" s="13">
        <f>IF(繳費報酬率資料!$A$1=1,VALUE(OP!$C$121),VLOOKUP(A48,MP,2,0))</f>
        <v>0.05</v>
      </c>
      <c r="K48" s="14">
        <f ca="1">IF(SUM($K$4:K47,IF(繳費報酬率資料!$A$1=1,$AU48+$AV48,$BB48+$BC48))&gt;OP!$L$58,0,IF(繳費報酬率資料!$A$1=1,$AU48+$AV48,$BB48+$BC48))</f>
        <v>0</v>
      </c>
      <c r="L48" s="2"/>
      <c r="M48" s="2"/>
      <c r="N48" s="2"/>
      <c r="O48" s="261">
        <f t="shared" ca="1" si="7"/>
        <v>0</v>
      </c>
      <c r="P48" s="261">
        <f t="shared" ca="1" si="23"/>
        <v>0</v>
      </c>
      <c r="Q48" s="3">
        <f ca="1">IF(A48&gt;MAX(OP!$R$17:$R$26),0,VLOOKUP(A48,fees,3,FALSE))</f>
        <v>0</v>
      </c>
      <c r="R48" s="200" t="str">
        <f t="shared" ca="1" si="8"/>
        <v/>
      </c>
      <c r="S48" s="9" t="str">
        <f ca="1">IF(COUNTIF(($T$4:T47),"F")&gt;=1,"",IF(OR(C49&lt;&gt;$C$3,E48=""),"",A48))</f>
        <v/>
      </c>
      <c r="T48" s="20" t="str">
        <f t="shared" ca="1" si="1"/>
        <v/>
      </c>
      <c r="U48" s="2">
        <f ca="1">IF(IF(OP!$C$83=1,$Z47,IF(OP!$C$83=2,$AA47,IF(OP!$C$83=3,$AB47,)))+$K48-$O48-$P48-$AS48&lt;OP!$C$142,0,$AS48)</f>
        <v>0</v>
      </c>
      <c r="V48" s="9"/>
      <c r="W48" s="19">
        <f ca="1">MAX(SUM($K$4:K48),0)</f>
        <v>2000000</v>
      </c>
      <c r="X48" s="19"/>
      <c r="Y48" s="19">
        <f t="shared" ca="1" si="24"/>
        <v>1920000</v>
      </c>
      <c r="Z48" s="2">
        <f ca="1">IF(MIN($Z$4:Z47)=0,0,MAX(0,($Z47+$K48-$O48-$P48)*IF(AND(F48="F",$D$3&lt;&gt;$G$3),((1+(-J48))^(H48/MIN(G48,365))),((1+(-J48))^(1/12)))-$U48))</f>
        <v>1584034.9096762021</v>
      </c>
      <c r="AA48" s="2">
        <f ca="1">IF(MIN($AA$4:AA47)=0,0,MAX(0,($AA47+$K48-$O48-$P48)*IF(AND(F48="F",$D$3&lt;&gt;$G$3),((1+$AA$1)^(H48/MIN(G48,365))),((1+$AA$1)^(1/12)))-$U48))</f>
        <v>1920000</v>
      </c>
      <c r="AB48" s="2">
        <f ca="1">IF(MIN($AB$4:AB47)=0,0,MAX(0,($AB47+$K48-$O48-$P48)*IF(AND(F48="F",$D$3&lt;&gt;$G$3),((1+(J48))^(H48/MIN(G48,365))),((1+(J48))^(1/12)))-$U48))</f>
        <v>2305478.6258326476</v>
      </c>
      <c r="AC48" s="5"/>
      <c r="AD48" s="5"/>
      <c r="AE48" s="5"/>
      <c r="AF48" s="282">
        <f t="shared" ca="1" si="9"/>
        <v>1584035</v>
      </c>
      <c r="AG48" s="282">
        <f t="shared" ca="1" si="10"/>
        <v>1920000</v>
      </c>
      <c r="AH48" s="282">
        <f t="shared" ca="1" si="11"/>
        <v>2305479</v>
      </c>
      <c r="AI48" s="23" t="str">
        <f t="shared" ca="1" si="2"/>
        <v>4-</v>
      </c>
      <c r="AJ48" s="282" t="str">
        <f ca="1">IF(E48&gt;111,,IF(AND(OP!$C$99=1,T48="F"),Z48,IF(AND(OP!$C$99=2,COUNTIF($T$4:T48,"F")=1),OP!$C$97+IF(F48="F",OP!$C$98,0),"")))</f>
        <v/>
      </c>
      <c r="AK48" s="282" t="str">
        <f ca="1">IF(E48&gt;111,,IF(AND(OP!$D$99=1,T48="F"),AA48,IF(AND(OP!$D$99=2,COUNTIF($T$4:T48,"F")=1),OP!$D$97+IF(F48="F",OP!$D$98,0),"")))</f>
        <v/>
      </c>
      <c r="AL48" s="282" t="str">
        <f ca="1">IF(E48&gt;111,,IF(AND(OP!$E$99=1,T48="F"),AB48,IF(AND(OP!$E$99=2,COUNTIF($T$4:T48,"F")=1),OP!$E$97+IF(F48="F",OP!$E$98,0),"")))</f>
        <v/>
      </c>
      <c r="AM48" s="1" t="str">
        <f t="shared" ca="1" si="25"/>
        <v/>
      </c>
      <c r="AN48" s="1" t="str">
        <f ca="1">IF(OR(VLOOKUP($A48,MP,5,0)="月繳"),1,"")</f>
        <v/>
      </c>
      <c r="AO48" s="1">
        <f t="shared" ca="1" si="12"/>
        <v>0</v>
      </c>
      <c r="AP48" s="1" t="str">
        <f ca="1">IF(AND(A48&lt;=OP!$C$120,COUNTIF(PAY,C48)=1),1,"")</f>
        <v/>
      </c>
      <c r="AR48" s="301">
        <f ca="1">IF(繳費報酬率資料!$A$1=1,$AY48+$AZ48,$BF48+$BG48)</f>
        <v>0</v>
      </c>
      <c r="AS48" s="1">
        <f ca="1">IF(C48&lt;&gt;IF($C$3=1,12,$C$3-1),0,IF(繳費報酬率資料!$A$1&lt;&gt;1,VLOOKUP($A48,MP,8,0),IF(AND($A48&gt;=OP!$C$79,$A48&lt;=OP!$C$80),OP!$C$78,)))</f>
        <v>0</v>
      </c>
      <c r="AT48" s="298">
        <f t="shared" ca="1" si="13"/>
        <v>0</v>
      </c>
      <c r="AU48" s="298">
        <f ca="1">IF(AND(A48&lt;=OP!$C$120,COUNTIF(PAY,C48)=1),OP!$C$123,0)</f>
        <v>0</v>
      </c>
      <c r="AV48" s="298">
        <f ca="1">IF(AND(A48&gt;=OP!$C$132,A48&lt;=OP!$C$133,$C$3=C48),OP!$C$135,0)</f>
        <v>0</v>
      </c>
      <c r="AW48" s="180">
        <f t="shared" ca="1" si="26"/>
        <v>0.05</v>
      </c>
      <c r="AX48" s="180">
        <f t="shared" ca="1" si="27"/>
        <v>0.05</v>
      </c>
      <c r="AY48" s="286">
        <f t="shared" ca="1" si="14"/>
        <v>0</v>
      </c>
      <c r="AZ48" s="286">
        <f t="shared" ca="1" si="15"/>
        <v>0</v>
      </c>
      <c r="BA48" s="286">
        <f t="shared" ca="1" si="16"/>
        <v>0</v>
      </c>
      <c r="BB48" s="286">
        <f t="shared" ca="1" si="28"/>
        <v>0</v>
      </c>
      <c r="BC48" s="286">
        <f t="shared" ca="1" si="17"/>
        <v>0</v>
      </c>
      <c r="BD48" s="180">
        <f t="shared" ca="1" si="29"/>
        <v>0.05</v>
      </c>
      <c r="BE48" s="180">
        <f t="shared" ca="1" si="30"/>
        <v>0.05</v>
      </c>
      <c r="BF48" s="286">
        <f t="shared" ca="1" si="18"/>
        <v>0</v>
      </c>
      <c r="BG48" s="286">
        <f t="shared" ca="1" si="19"/>
        <v>0</v>
      </c>
    </row>
    <row r="49" spans="1:59">
      <c r="A49" s="1">
        <f t="shared" ca="1" si="3"/>
        <v>4</v>
      </c>
      <c r="B49" s="1">
        <f t="shared" ca="1" si="20"/>
        <v>110</v>
      </c>
      <c r="C49" s="1">
        <f t="shared" ca="1" si="21"/>
        <v>3</v>
      </c>
      <c r="D49" s="1">
        <f ca="1">MIN($D$3,VLOOKUP(C49,OP!$S$30:$T$41,2))</f>
        <v>2</v>
      </c>
      <c r="E49" s="1">
        <f t="shared" ca="1" si="4"/>
        <v>58</v>
      </c>
      <c r="F49" s="11" t="str">
        <f t="shared" ca="1" si="5"/>
        <v/>
      </c>
      <c r="G49" s="8">
        <f t="shared" ca="1" si="46"/>
        <v>365</v>
      </c>
      <c r="H49" s="8">
        <f t="shared" ca="1" si="6"/>
        <v>31</v>
      </c>
      <c r="I49" s="8" t="str">
        <f t="shared" ca="1" si="0"/>
        <v>43</v>
      </c>
      <c r="J49" s="13">
        <f>IF(繳費報酬率資料!$A$1=1,VALUE(OP!$C$121),VLOOKUP(A49,MP,2,0))</f>
        <v>0.05</v>
      </c>
      <c r="K49" s="14">
        <f ca="1">IF(SUM($K$4:K48,IF(繳費報酬率資料!$A$1=1,$AU49+$AV49,$BB49+$BC49))&gt;OP!$L$58,0,IF(繳費報酬率資料!$A$1=1,$AU49+$AV49,$BB49+$BC49))</f>
        <v>0</v>
      </c>
      <c r="L49" s="2"/>
      <c r="M49" s="2"/>
      <c r="N49" s="2"/>
      <c r="O49" s="261">
        <f t="shared" ca="1" si="7"/>
        <v>0</v>
      </c>
      <c r="P49" s="261">
        <f t="shared" ca="1" si="23"/>
        <v>0</v>
      </c>
      <c r="Q49" s="3">
        <f ca="1">IF(A49&gt;MAX(OP!$R$17:$R$26),0,VLOOKUP(A49,fees,3,FALSE))</f>
        <v>0</v>
      </c>
      <c r="R49" s="200" t="str">
        <f t="shared" ca="1" si="8"/>
        <v/>
      </c>
      <c r="S49" s="9" t="str">
        <f ca="1">IF(COUNTIF(($T$4:T48),"F")&gt;=1,"",IF(OR(C50&lt;&gt;$C$3,E49=""),"",A49))</f>
        <v/>
      </c>
      <c r="T49" s="20" t="str">
        <f t="shared" ca="1" si="1"/>
        <v/>
      </c>
      <c r="U49" s="2">
        <f ca="1">IF(IF(OP!$C$83=1,$Z48,IF(OP!$C$83=2,$AA48,IF(OP!$C$83=3,$AB48,)))+$K49-$O49-$P49-$AS49&lt;OP!$C$142,0,$AS49)</f>
        <v>0</v>
      </c>
      <c r="V49" s="9"/>
      <c r="W49" s="19">
        <f ca="1">MAX(SUM($K$4:K49),0)</f>
        <v>2000000</v>
      </c>
      <c r="X49" s="19"/>
      <c r="Y49" s="19">
        <f t="shared" ca="1" si="24"/>
        <v>1920000</v>
      </c>
      <c r="Z49" s="2">
        <f ca="1">IF(MIN($Z$4:Z48)=0,0,MAX(0,($Z48+$K49-$O49-$P49)*IF(AND(F49="F",$D$3&lt;&gt;$G$3),((1+(-J49))^(H49/MIN(G49,365))),((1+(-J49))^(1/12)))-$U49))</f>
        <v>1577278.4958316486</v>
      </c>
      <c r="AA49" s="2">
        <f ca="1">IF(MIN($AA$4:AA48)=0,0,MAX(0,($AA48+$K49-$O49-$P49)*IF(AND(F49="F",$D$3&lt;&gt;$G$3),((1+$AA$1)^(H49/MIN(G49,365))),((1+$AA$1)^(1/12)))-$U49))</f>
        <v>1920000</v>
      </c>
      <c r="AB49" s="2">
        <f ca="1">IF(MIN($AB$4:AB48)=0,0,MAX(0,($AB48+$K49-$O49-$P49)*IF(AND(F49="F",$D$3&lt;&gt;$G$3),((1+(J49))^(H49/MIN(G49,365))),((1+(J49))^(1/12)))-$U49))</f>
        <v>2314871.4311348451</v>
      </c>
      <c r="AC49" s="5"/>
      <c r="AD49" s="5"/>
      <c r="AE49" s="5"/>
      <c r="AF49" s="282">
        <f t="shared" ca="1" si="9"/>
        <v>1577278</v>
      </c>
      <c r="AG49" s="282">
        <f t="shared" ca="1" si="10"/>
        <v>1920000</v>
      </c>
      <c r="AH49" s="282">
        <f t="shared" ca="1" si="11"/>
        <v>2314871</v>
      </c>
      <c r="AI49" s="23" t="str">
        <f t="shared" ca="1" si="2"/>
        <v>4-</v>
      </c>
      <c r="AJ49" s="282" t="str">
        <f ca="1">IF(E49&gt;111,,IF(AND(OP!$C$99=1,T49="F"),Z49,IF(AND(OP!$C$99=2,COUNTIF($T$4:T49,"F")=1),OP!$C$97+IF(F49="F",OP!$C$98,0),"")))</f>
        <v/>
      </c>
      <c r="AK49" s="282" t="str">
        <f ca="1">IF(E49&gt;111,,IF(AND(OP!$D$99=1,T49="F"),AA49,IF(AND(OP!$D$99=2,COUNTIF($T$4:T49,"F")=1),OP!$D$97+IF(F49="F",OP!$D$98,0),"")))</f>
        <v/>
      </c>
      <c r="AL49" s="282" t="str">
        <f ca="1">IF(E49&gt;111,,IF(AND(OP!$E$99=1,T49="F"),AB49,IF(AND(OP!$E$99=2,COUNTIF($T$4:T49,"F")=1),OP!$E$97+IF(F49="F",OP!$E$98,0),"")))</f>
        <v/>
      </c>
      <c r="AM49" s="1" t="str">
        <f t="shared" ca="1" si="25"/>
        <v/>
      </c>
      <c r="AN49" s="1" t="str">
        <f ca="1">IF(OR(VLOOKUP($A49,MP,5,0)="季繳",VLOOKUP($A49,MP,5,0)="月繳"),1,"")</f>
        <v/>
      </c>
      <c r="AO49" s="1">
        <f t="shared" ca="1" si="12"/>
        <v>0</v>
      </c>
      <c r="AP49" s="1" t="str">
        <f ca="1">IF(AND(A49&lt;=OP!$C$120,COUNTIF(PAY,C49)=1),1,"")</f>
        <v/>
      </c>
      <c r="AR49" s="301">
        <f ca="1">IF(繳費報酬率資料!$A$1=1,$AY49+$AZ49,$BF49+$BG49)</f>
        <v>0</v>
      </c>
      <c r="AS49" s="1">
        <f ca="1">IF(C49&lt;&gt;IF($C$3=1,12,$C$3-1),0,IF(繳費報酬率資料!$A$1&lt;&gt;1,VLOOKUP($A49,MP,8,0),IF(AND($A49&gt;=OP!$C$79,$A49&lt;=OP!$C$80),OP!$C$78,)))</f>
        <v>0</v>
      </c>
      <c r="AT49" s="298">
        <f t="shared" ca="1" si="13"/>
        <v>0</v>
      </c>
      <c r="AU49" s="298">
        <f ca="1">IF(AND(A49&lt;=OP!$C$120,COUNTIF(PAY,C49)=1),OP!$C$123,0)</f>
        <v>0</v>
      </c>
      <c r="AV49" s="298">
        <f ca="1">IF(AND(A49&gt;=OP!$C$132,A49&lt;=OP!$C$133,$C$3=C49),OP!$C$135,0)</f>
        <v>0</v>
      </c>
      <c r="AW49" s="180">
        <f t="shared" ca="1" si="26"/>
        <v>0.05</v>
      </c>
      <c r="AX49" s="180">
        <f t="shared" ca="1" si="27"/>
        <v>0.05</v>
      </c>
      <c r="AY49" s="286">
        <f t="shared" ca="1" si="14"/>
        <v>0</v>
      </c>
      <c r="AZ49" s="286">
        <f t="shared" ca="1" si="15"/>
        <v>0</v>
      </c>
      <c r="BA49" s="286">
        <f t="shared" ca="1" si="16"/>
        <v>0</v>
      </c>
      <c r="BB49" s="286">
        <f t="shared" ca="1" si="28"/>
        <v>0</v>
      </c>
      <c r="BC49" s="286">
        <f t="shared" ca="1" si="17"/>
        <v>0</v>
      </c>
      <c r="BD49" s="180">
        <f t="shared" ca="1" si="29"/>
        <v>0.05</v>
      </c>
      <c r="BE49" s="180">
        <f t="shared" ca="1" si="30"/>
        <v>0.05</v>
      </c>
      <c r="BF49" s="286">
        <f t="shared" ca="1" si="18"/>
        <v>0</v>
      </c>
      <c r="BG49" s="286">
        <f t="shared" ca="1" si="19"/>
        <v>0</v>
      </c>
    </row>
    <row r="50" spans="1:59">
      <c r="A50" s="1">
        <f t="shared" ca="1" si="3"/>
        <v>4</v>
      </c>
      <c r="B50" s="1">
        <f t="shared" ca="1" si="20"/>
        <v>110</v>
      </c>
      <c r="C50" s="1">
        <f t="shared" ca="1" si="21"/>
        <v>4</v>
      </c>
      <c r="D50" s="1">
        <f ca="1">MIN($D$3,VLOOKUP(C50,OP!$S$30:$T$41,2))</f>
        <v>2</v>
      </c>
      <c r="E50" s="1">
        <f t="shared" ca="1" si="4"/>
        <v>58</v>
      </c>
      <c r="F50" s="11" t="str">
        <f t="shared" ca="1" si="5"/>
        <v/>
      </c>
      <c r="G50" s="8">
        <f t="shared" ca="1" si="46"/>
        <v>365</v>
      </c>
      <c r="H50" s="8">
        <f t="shared" ca="1" si="6"/>
        <v>30</v>
      </c>
      <c r="I50" s="8" t="str">
        <f t="shared" ca="1" si="0"/>
        <v>44</v>
      </c>
      <c r="J50" s="13">
        <f>IF(繳費報酬率資料!$A$1=1,VALUE(OP!$C$121),VLOOKUP(A50,MP,2,0))</f>
        <v>0.05</v>
      </c>
      <c r="K50" s="14">
        <f ca="1">IF(SUM($K$4:K49,IF(繳費報酬率資料!$A$1=1,$AU50+$AV50,$BB50+$BC50))&gt;OP!$L$58,0,IF(繳費報酬率資料!$A$1=1,$AU50+$AV50,$BB50+$BC50))</f>
        <v>0</v>
      </c>
      <c r="L50" s="2"/>
      <c r="M50" s="2"/>
      <c r="N50" s="2"/>
      <c r="O50" s="261">
        <f t="shared" ca="1" si="7"/>
        <v>0</v>
      </c>
      <c r="P50" s="261">
        <f t="shared" ca="1" si="23"/>
        <v>0</v>
      </c>
      <c r="Q50" s="3">
        <f ca="1">IF(A50&gt;MAX(OP!$R$17:$R$26),0,VLOOKUP(A50,fees,3,FALSE))</f>
        <v>0</v>
      </c>
      <c r="R50" s="200" t="str">
        <f t="shared" ca="1" si="8"/>
        <v/>
      </c>
      <c r="S50" s="9" t="str">
        <f ca="1">IF(COUNTIF(($T$4:T49),"F")&gt;=1,"",IF(OR(C51&lt;&gt;$C$3,E50=""),"",A50))</f>
        <v/>
      </c>
      <c r="T50" s="20" t="str">
        <f t="shared" ca="1" si="1"/>
        <v/>
      </c>
      <c r="U50" s="2">
        <f ca="1">IF(IF(OP!$C$83=1,$Z49,IF(OP!$C$83=2,$AA49,IF(OP!$C$83=3,$AB49,)))+$K50-$O50-$P50-$AS50&lt;OP!$C$142,0,$AS50)</f>
        <v>0</v>
      </c>
      <c r="V50" s="9"/>
      <c r="W50" s="19">
        <f ca="1">MAX(SUM($K$4:K50),0)</f>
        <v>2000000</v>
      </c>
      <c r="X50" s="19"/>
      <c r="Y50" s="19">
        <f t="shared" ca="1" si="24"/>
        <v>1920000</v>
      </c>
      <c r="Z50" s="2">
        <f ca="1">IF(MIN($Z$4:Z49)=0,0,MAX(0,($Z49+$K50-$O50-$P50)*IF(AND(F50="F",$D$3&lt;&gt;$G$3),((1+(-J50))^(H50/MIN(G50,365))),((1+(-J50))^(1/12)))-$U50))</f>
        <v>1570550.9002459352</v>
      </c>
      <c r="AA50" s="2">
        <f ca="1">IF(MIN($AA$4:AA49)=0,0,MAX(0,($AA49+$K50-$O50-$P50)*IF(AND(F50="F",$D$3&lt;&gt;$G$3),((1+$AA$1)^(H50/MIN(G50,365))),((1+$AA$1)^(1/12)))-$U50))</f>
        <v>1920000</v>
      </c>
      <c r="AB50" s="2">
        <f ca="1">IF(MIN($AB$4:AB49)=0,0,MAX(0,($AB49+$K50-$O50-$P50)*IF(AND(F50="F",$D$3&lt;&gt;$G$3),((1+(J50))^(H50/MIN(G50,365))),((1+(J50))^(1/12)))-$U50))</f>
        <v>2324302.5038885195</v>
      </c>
      <c r="AC50" s="5"/>
      <c r="AD50" s="5"/>
      <c r="AE50" s="5"/>
      <c r="AF50" s="282">
        <f t="shared" ca="1" si="9"/>
        <v>1570551</v>
      </c>
      <c r="AG50" s="282">
        <f t="shared" ca="1" si="10"/>
        <v>1920000</v>
      </c>
      <c r="AH50" s="282">
        <f t="shared" ca="1" si="11"/>
        <v>2324303</v>
      </c>
      <c r="AI50" s="23" t="str">
        <f t="shared" ca="1" si="2"/>
        <v>4-</v>
      </c>
      <c r="AJ50" s="282" t="str">
        <f ca="1">IF(E50&gt;111,,IF(AND(OP!$C$99=1,T50="F"),Z50,IF(AND(OP!$C$99=2,COUNTIF($T$4:T50,"F")=1),OP!$C$97+IF(F50="F",OP!$C$98,0),"")))</f>
        <v/>
      </c>
      <c r="AK50" s="282" t="str">
        <f ca="1">IF(E50&gt;111,,IF(AND(OP!$D$99=1,T50="F"),AA50,IF(AND(OP!$D$99=2,COUNTIF($T$4:T50,"F")=1),OP!$D$97+IF(F50="F",OP!$D$98,0),"")))</f>
        <v/>
      </c>
      <c r="AL50" s="282" t="str">
        <f ca="1">IF(E50&gt;111,,IF(AND(OP!$E$99=1,T50="F"),AB50,IF(AND(OP!$E$99=2,COUNTIF($T$4:T50,"F")=1),OP!$E$97+IF(F50="F",OP!$E$98,0),"")))</f>
        <v/>
      </c>
      <c r="AM50" s="1" t="str">
        <f t="shared" ca="1" si="25"/>
        <v/>
      </c>
      <c r="AN50" s="1" t="str">
        <f ca="1">IF(OR(VLOOKUP($A50,MP,5,0)="月繳"),1,"")</f>
        <v/>
      </c>
      <c r="AO50" s="1">
        <f t="shared" ca="1" si="12"/>
        <v>0</v>
      </c>
      <c r="AP50" s="1" t="str">
        <f ca="1">IF(AND(A50&lt;=OP!$C$120,COUNTIF(PAY,C50)=1),1,"")</f>
        <v/>
      </c>
      <c r="AR50" s="301">
        <f ca="1">IF(繳費報酬率資料!$A$1=1,$AY50+$AZ50,$BF50+$BG50)</f>
        <v>0</v>
      </c>
      <c r="AS50" s="1">
        <f ca="1">IF(C50&lt;&gt;IF($C$3=1,12,$C$3-1),0,IF(繳費報酬率資料!$A$1&lt;&gt;1,VLOOKUP($A50,MP,8,0),IF(AND($A50&gt;=OP!$C$79,$A50&lt;=OP!$C$80),OP!$C$78,)))</f>
        <v>0</v>
      </c>
      <c r="AT50" s="298">
        <f t="shared" ca="1" si="13"/>
        <v>0</v>
      </c>
      <c r="AU50" s="298">
        <f ca="1">IF(AND(A50&lt;=OP!$C$120,COUNTIF(PAY,C50)=1),OP!$C$123,0)</f>
        <v>0</v>
      </c>
      <c r="AV50" s="298">
        <f ca="1">IF(AND(A50&gt;=OP!$C$132,A50&lt;=OP!$C$133,$C$3=C50),OP!$C$135,0)</f>
        <v>0</v>
      </c>
      <c r="AW50" s="180">
        <f t="shared" ca="1" si="26"/>
        <v>0.05</v>
      </c>
      <c r="AX50" s="180">
        <f t="shared" ca="1" si="27"/>
        <v>0.05</v>
      </c>
      <c r="AY50" s="286">
        <f t="shared" ca="1" si="14"/>
        <v>0</v>
      </c>
      <c r="AZ50" s="286">
        <f t="shared" ca="1" si="15"/>
        <v>0</v>
      </c>
      <c r="BA50" s="286">
        <f t="shared" ca="1" si="16"/>
        <v>0</v>
      </c>
      <c r="BB50" s="286">
        <f t="shared" ca="1" si="28"/>
        <v>0</v>
      </c>
      <c r="BC50" s="286">
        <f t="shared" ca="1" si="17"/>
        <v>0</v>
      </c>
      <c r="BD50" s="180">
        <f t="shared" ca="1" si="29"/>
        <v>0.05</v>
      </c>
      <c r="BE50" s="180">
        <f t="shared" ca="1" si="30"/>
        <v>0.05</v>
      </c>
      <c r="BF50" s="286">
        <f t="shared" ca="1" si="18"/>
        <v>0</v>
      </c>
      <c r="BG50" s="286">
        <f t="shared" ca="1" si="19"/>
        <v>0</v>
      </c>
    </row>
    <row r="51" spans="1:59">
      <c r="A51" s="1">
        <f t="shared" ca="1" si="3"/>
        <v>4</v>
      </c>
      <c r="B51" s="1">
        <f t="shared" ca="1" si="20"/>
        <v>110</v>
      </c>
      <c r="C51" s="1">
        <f t="shared" ca="1" si="21"/>
        <v>5</v>
      </c>
      <c r="D51" s="1">
        <f ca="1">MIN($D$3,VLOOKUP(C51,OP!$S$30:$T$41,2))</f>
        <v>2</v>
      </c>
      <c r="E51" s="1">
        <f t="shared" ca="1" si="4"/>
        <v>58</v>
      </c>
      <c r="F51" s="11" t="str">
        <f t="shared" ca="1" si="5"/>
        <v/>
      </c>
      <c r="G51" s="8">
        <f t="shared" ca="1" si="46"/>
        <v>365</v>
      </c>
      <c r="H51" s="8">
        <f t="shared" ca="1" si="6"/>
        <v>31</v>
      </c>
      <c r="I51" s="8" t="str">
        <f t="shared" ca="1" si="0"/>
        <v>45</v>
      </c>
      <c r="J51" s="13">
        <f>IF(繳費報酬率資料!$A$1=1,VALUE(OP!$C$121),VLOOKUP(A51,MP,2,0))</f>
        <v>0.05</v>
      </c>
      <c r="K51" s="14">
        <f ca="1">IF(SUM($K$4:K50,IF(繳費報酬率資料!$A$1=1,$AU51+$AV51,$BB51+$BC51))&gt;OP!$L$58,0,IF(繳費報酬率資料!$A$1=1,$AU51+$AV51,$BB51+$BC51))</f>
        <v>0</v>
      </c>
      <c r="L51" s="2">
        <f ca="1">ROUND(IF(OP!$C$78&lt;(IF(OR($T51="F",$E51&gt;=111),0,Z50+$K51-$O51+IF($C$1=1,OP!$C$78,IF($C52=$C$3,SUM(AC40:AC51,0)))))*5%,0,(OP!$C$78-((IF(OR($T51="F",$E51&gt;=111),0,Z50+$K51-$O51+IF($C$1=1,AC51,IF($C52=$C$3,SUM(AC40:AC51,0)))))*5%))*$Q51),0)</f>
        <v>0</v>
      </c>
      <c r="M51" s="2">
        <f ca="1">ROUND(IF(OP!$C$78&lt;(IF(OR($T51="F",$E51&gt;=111),0,AA50+$K51-$O51+IF($C$1=1,AD51,IF($C52=$C$3,SUM(AD40:AD51,0)))))*5%,0,(OP!$C$78-((IF(OR($T51="F",$E51&gt;=111),0,AA50+$K51-$O51+IF($C$1=1,AD51,IF($C52=$C$3,SUM(AD40:AD51,0)))))*5%))*$Q51),0)</f>
        <v>0</v>
      </c>
      <c r="N51" s="2">
        <f ca="1">ROUND(IF(OP!$C$78&lt;(IF(OR($T51="F",$E51&gt;=111),0,AB50+$K51-$O51+IF($C$1=1,AE51,IF($C52=$C$3,SUM(AE40:AE51,0)))))*5%,0,(OP!$C$78-((IF(OR($T51="F",$E51&gt;=111),0,AB50+$K51-$O51+IF($C$1=1,AE51,IF($C52=$C$3,SUM(AE40:AE51,0)))))*5%))*$Q51),0)</f>
        <v>0</v>
      </c>
      <c r="O51" s="261">
        <f t="shared" ca="1" si="7"/>
        <v>0</v>
      </c>
      <c r="P51" s="261">
        <f t="shared" ca="1" si="23"/>
        <v>0</v>
      </c>
      <c r="Q51" s="3">
        <f ca="1">IF(A51&gt;MAX(OP!$R$17:$R$26),0,VLOOKUP(A51,fees,3,FALSE))</f>
        <v>0</v>
      </c>
      <c r="R51" s="200">
        <f t="shared" ca="1" si="8"/>
        <v>4</v>
      </c>
      <c r="S51" s="9">
        <f ca="1">IF(COUNTIF(($T$4:T50),"F")&gt;=1,"",IF(OR(C52&lt;&gt;$C$3,E51=""),"",A51))</f>
        <v>4</v>
      </c>
      <c r="T51" s="20" t="str">
        <f t="shared" ca="1" si="1"/>
        <v/>
      </c>
      <c r="U51" s="2">
        <f ca="1">IF(IF(OP!$C$83=1,$Z50,IF(OP!$C$83=2,$AA50,IF(OP!$C$83=3,$AB50,)))+$K51-$O51-$P51-$AS51&lt;OP!$C$142,0,$AS51)</f>
        <v>0</v>
      </c>
      <c r="V51" s="19">
        <f ca="1">SUM(K40:K51)</f>
        <v>0</v>
      </c>
      <c r="W51" s="19">
        <f ca="1">MAX(SUM($K$4:K51),0)</f>
        <v>2000000</v>
      </c>
      <c r="X51" s="19">
        <f ca="1">SUM(O40:P51)</f>
        <v>0</v>
      </c>
      <c r="Y51" s="19">
        <f t="shared" ca="1" si="24"/>
        <v>1920000</v>
      </c>
      <c r="Z51" s="2">
        <f ca="1">IF(MIN($Z$4:Z50)=0,0,MAX(0,($Z50+$K51-$O51-$P51)*IF(AND(F51="F",$D$3&lt;&gt;$G$3),((1+(-J51))^(H51/MIN(G51,365))),((1+(-J51))^(1/12)))-$U51))</f>
        <v>1563852.0000000014</v>
      </c>
      <c r="AA51" s="2">
        <f ca="1">IF(MIN($AA$4:AA50)=0,0,MAX(0,($AA50+$K51-$O51-$P51)*IF(AND(F51="F",$D$3&lt;&gt;$G$3),((1+$AA$1)^(H51/MIN(G51,365))),((1+$AA$1)^(1/12)))-$U51))</f>
        <v>1920000</v>
      </c>
      <c r="AB51" s="2">
        <f ca="1">IF(MIN($AB$4:AB50)=0,0,MAX(0,($AB50+$K51-$O51-$P51)*IF(AND(F51="F",$D$3&lt;&gt;$G$3),((1+(J51))^(H51/MIN(G51,365))),((1+(J51))^(1/12)))-$U51))</f>
        <v>2333772.0000000051</v>
      </c>
      <c r="AC51" s="5"/>
      <c r="AD51" s="5"/>
      <c r="AE51" s="5"/>
      <c r="AF51" s="282">
        <f t="shared" ca="1" si="9"/>
        <v>1563852</v>
      </c>
      <c r="AG51" s="282">
        <f t="shared" ca="1" si="10"/>
        <v>1920000</v>
      </c>
      <c r="AH51" s="282">
        <f t="shared" ca="1" si="11"/>
        <v>2333772</v>
      </c>
      <c r="AI51" s="23" t="str">
        <f t="shared" ca="1" si="2"/>
        <v>5-</v>
      </c>
      <c r="AJ51" s="282" t="str">
        <f ca="1">IF(E51&gt;111,,IF(AND(OP!$C$99=1,T51="F"),Z51,IF(AND(OP!$C$99=2,COUNTIF($T$4:T51,"F")=1),OP!$C$97+IF(F51="F",OP!$C$98,0),"")))</f>
        <v/>
      </c>
      <c r="AK51" s="282" t="str">
        <f ca="1">IF(E51&gt;111,,IF(AND(OP!$D$99=1,T51="F"),AA51,IF(AND(OP!$D$99=2,COUNTIF($T$4:T51,"F")=1),OP!$D$97+IF(F51="F",OP!$D$98,0),"")))</f>
        <v/>
      </c>
      <c r="AL51" s="282" t="str">
        <f ca="1">IF(E51&gt;111,,IF(AND(OP!$E$99=1,T51="F"),AB51,IF(AND(OP!$E$99=2,COUNTIF($T$4:T51,"F")=1),OP!$E$97+IF(F51="F",OP!$E$98,0),"")))</f>
        <v/>
      </c>
      <c r="AM51" s="1" t="str">
        <f t="shared" ca="1" si="25"/>
        <v/>
      </c>
      <c r="AN51" s="1" t="str">
        <f ca="1">IF(OR(VLOOKUP($A51,MP,5,0)="月繳"),1,"")</f>
        <v/>
      </c>
      <c r="AO51" s="1">
        <f t="shared" ca="1" si="12"/>
        <v>0</v>
      </c>
      <c r="AP51" s="1" t="str">
        <f ca="1">IF(AND(A51&lt;=OP!$C$120,COUNTIF(PAY,C51)=1),1,"")</f>
        <v/>
      </c>
      <c r="AR51" s="301">
        <f ca="1">IF(繳費報酬率資料!$A$1=1,$AY51+$AZ51,$BF51+$BG51)</f>
        <v>0</v>
      </c>
      <c r="AS51" s="1">
        <f ca="1">IF(C51&lt;&gt;IF($C$3=1,12,$C$3-1),0,IF(繳費報酬率資料!$A$1&lt;&gt;1,VLOOKUP($A51,MP,8,0),IF(AND($A51&gt;=OP!$C$79,$A51&lt;=OP!$C$80),OP!$C$78,)))</f>
        <v>0</v>
      </c>
      <c r="AT51" s="298">
        <f t="shared" ca="1" si="13"/>
        <v>0</v>
      </c>
      <c r="AU51" s="298">
        <f ca="1">IF(AND(A51&lt;=OP!$C$120,COUNTIF(PAY,C51)=1),OP!$C$123,0)</f>
        <v>0</v>
      </c>
      <c r="AV51" s="298">
        <f ca="1">IF(AND(A51&gt;=OP!$C$132,A51&lt;=OP!$C$133,$C$3=C51),OP!$C$135,0)</f>
        <v>0</v>
      </c>
      <c r="AW51" s="180">
        <f t="shared" ca="1" si="26"/>
        <v>0.05</v>
      </c>
      <c r="AX51" s="180">
        <f t="shared" ca="1" si="27"/>
        <v>0.05</v>
      </c>
      <c r="AY51" s="286">
        <f t="shared" ca="1" si="14"/>
        <v>0</v>
      </c>
      <c r="AZ51" s="286">
        <f t="shared" ca="1" si="15"/>
        <v>0</v>
      </c>
      <c r="BA51" s="286">
        <f t="shared" ca="1" si="16"/>
        <v>0</v>
      </c>
      <c r="BB51" s="286">
        <f t="shared" ca="1" si="28"/>
        <v>0</v>
      </c>
      <c r="BC51" s="286">
        <f t="shared" ca="1" si="17"/>
        <v>0</v>
      </c>
      <c r="BD51" s="180">
        <f t="shared" ca="1" si="29"/>
        <v>0.05</v>
      </c>
      <c r="BE51" s="180">
        <f t="shared" ca="1" si="30"/>
        <v>0.05</v>
      </c>
      <c r="BF51" s="286">
        <f t="shared" ca="1" si="18"/>
        <v>0</v>
      </c>
      <c r="BG51" s="286">
        <f t="shared" ca="1" si="19"/>
        <v>0</v>
      </c>
    </row>
    <row r="52" spans="1:59">
      <c r="A52" s="1">
        <f t="shared" ca="1" si="3"/>
        <v>5</v>
      </c>
      <c r="B52" s="1">
        <f t="shared" ca="1" si="20"/>
        <v>110</v>
      </c>
      <c r="C52" s="1">
        <f t="shared" ca="1" si="21"/>
        <v>6</v>
      </c>
      <c r="D52" s="1">
        <f ca="1">MIN($D$3,VLOOKUP(C52,OP!$S$30:$T$41,2))</f>
        <v>2</v>
      </c>
      <c r="E52" s="1">
        <f t="shared" ca="1" si="4"/>
        <v>59</v>
      </c>
      <c r="F52" s="11" t="str">
        <f t="shared" ca="1" si="5"/>
        <v/>
      </c>
      <c r="G52" s="6">
        <f ca="1">DATEDIF(DATE(B52+1911,C52,D52),DATE(B64+1911,C64,D64),"d")</f>
        <v>365</v>
      </c>
      <c r="H52" s="8">
        <f t="shared" ca="1" si="6"/>
        <v>30</v>
      </c>
      <c r="I52" s="8" t="str">
        <f t="shared" ca="1" si="0"/>
        <v>56</v>
      </c>
      <c r="J52" s="13">
        <f>IF(繳費報酬率資料!$A$1=1,VALUE(OP!$C$121),VLOOKUP(A52,MP,2,0))</f>
        <v>0.05</v>
      </c>
      <c r="K52" s="14">
        <f ca="1">IF(SUM($K$4:K51,IF(繳費報酬率資料!$A$1=1,$AU52+$AV52,$BB52+$BC52))&gt;OP!$L$58,0,IF(繳費報酬率資料!$A$1=1,$AU52+$AV52,$BB52+$BC52))</f>
        <v>0</v>
      </c>
      <c r="L52" s="2"/>
      <c r="M52" s="2"/>
      <c r="N52" s="2"/>
      <c r="O52" s="261">
        <f t="shared" ca="1" si="7"/>
        <v>0</v>
      </c>
      <c r="P52" s="261">
        <f t="shared" ca="1" si="23"/>
        <v>0</v>
      </c>
      <c r="Q52" s="3">
        <f ca="1">IF(A52&gt;MAX(OP!$R$17:$R$26),0,VLOOKUP(A52,fees,3,FALSE))</f>
        <v>0</v>
      </c>
      <c r="R52" s="200" t="str">
        <f t="shared" ca="1" si="8"/>
        <v/>
      </c>
      <c r="S52" s="9" t="str">
        <f ca="1">IF(COUNTIF(($T$4:T51),"F")&gt;=1,"",IF(OR(C53&lt;&gt;$C$3,E52=""),"",A52))</f>
        <v/>
      </c>
      <c r="T52" s="20" t="str">
        <f t="shared" ca="1" si="1"/>
        <v/>
      </c>
      <c r="U52" s="2">
        <f ca="1">IF(IF(OP!$C$83=1,$Z51,IF(OP!$C$83=2,$AA51,IF(OP!$C$83=3,$AB51,)))+$K52-$O52-$P52-$AS52&lt;OP!$C$142,0,$AS52)</f>
        <v>0</v>
      </c>
      <c r="V52" s="9"/>
      <c r="W52" s="19">
        <f ca="1">MAX(SUM($K$4:K52),0)</f>
        <v>2000000</v>
      </c>
      <c r="X52" s="19"/>
      <c r="Y52" s="19">
        <f t="shared" ca="1" si="24"/>
        <v>1920000</v>
      </c>
      <c r="Z52" s="2">
        <f ca="1">IF(MIN($Z$4:Z51)=0,0,MAX(0,($Z51+$K52-$O52-$P52)*IF(AND(F52="F",$D$3&lt;&gt;$G$3),((1+(-J52))^(H52/MIN(G52,365))),((1+(-J52))^(1/12)))-$U52))</f>
        <v>1557181.6726990757</v>
      </c>
      <c r="AA52" s="2">
        <f ca="1">IF(MIN($AA$4:AA51)=0,0,MAX(0,($AA51+$K52-$O52-$P52)*IF(AND(F52="F",$D$3&lt;&gt;$G$3),((1+$AA$1)^(H52/MIN(G52,365))),((1+$AA$1)^(1/12)))-$U52))</f>
        <v>1920000</v>
      </c>
      <c r="AB52" s="2">
        <f ca="1">IF(MIN($AB$4:AB51)=0,0,MAX(0,($AB51+$K52-$O52-$P52)*IF(AND(F52="F",$D$3&lt;&gt;$G$3),((1+(J52))^(H52/MIN(G52,365))),((1+(J52))^(1/12)))-$U52))</f>
        <v>2343280.0760108177</v>
      </c>
      <c r="AC52" s="21"/>
      <c r="AD52" s="21"/>
      <c r="AE52" s="21"/>
      <c r="AF52" s="282">
        <f t="shared" ca="1" si="9"/>
        <v>1557182</v>
      </c>
      <c r="AG52" s="282">
        <f t="shared" ca="1" si="10"/>
        <v>1920000</v>
      </c>
      <c r="AH52" s="282">
        <f t="shared" ca="1" si="11"/>
        <v>2343280</v>
      </c>
      <c r="AI52" s="23" t="str">
        <f t="shared" ca="1" si="2"/>
        <v>5-</v>
      </c>
      <c r="AJ52" s="281" t="str">
        <f ca="1">IF(E52&gt;111,,IF(AND(OP!$C$99=1,T52="F"),Z52,IF(AND(OP!$C$99=2,COUNTIF($T$4:T52,"F")=1),OP!$C$97+IF(F52="F",OP!$C$98,0),"")))</f>
        <v/>
      </c>
      <c r="AK52" s="281" t="str">
        <f ca="1">IF(E52&gt;111,,IF(AND(OP!$D$99=1,T52="F"),AA52,IF(AND(OP!$D$99=2,COUNTIF($T$4:T52,"F")=1),OP!$D$97+IF(F52="F",OP!$D$98,0),"")))</f>
        <v/>
      </c>
      <c r="AL52" s="281" t="str">
        <f ca="1">IF(E52&gt;111,,IF(AND(OP!$E$99=1,T52="F"),AB52,IF(AND(OP!$E$99=2,COUNTIF($T$4:T52,"F")=1),OP!$E$97+IF(F52="F",OP!$E$98,0),"")))</f>
        <v/>
      </c>
      <c r="AM52" s="1" t="str">
        <f t="shared" ca="1" si="25"/>
        <v/>
      </c>
      <c r="AN52" s="1">
        <f ca="1">IF(OR(VLOOKUP($A52,MP,5,0)="年繳",VLOOKUP($A52,MP,5,0)="半年繳",VLOOKUP($A52,MP,5,0)="季繳",VLOOKUP($A52,MP,5,0)="月繳"),1,"")</f>
        <v>1</v>
      </c>
      <c r="AO52" s="1">
        <f t="shared" ca="1" si="12"/>
        <v>0</v>
      </c>
      <c r="AP52" s="1" t="str">
        <f ca="1">IF(AND(A52&lt;=OP!$C$120,COUNTIF(PAY,C52)=1),1,"")</f>
        <v/>
      </c>
      <c r="AR52" s="301">
        <f ca="1">IF(繳費報酬率資料!$A$1=1,$AY52+$AZ52,$BF52+$BG52)</f>
        <v>0</v>
      </c>
      <c r="AS52" s="1">
        <f ca="1">IF(C52&lt;&gt;IF($C$3=1,12,$C$3-1),0,IF(繳費報酬率資料!$A$1&lt;&gt;1,VLOOKUP($A52,MP,8,0),IF(AND($A52&gt;=OP!$C$79,$A52&lt;=OP!$C$80),OP!$C$78,)))</f>
        <v>0</v>
      </c>
      <c r="AT52" s="298">
        <f t="shared" ca="1" si="13"/>
        <v>0</v>
      </c>
      <c r="AU52" s="298">
        <f ca="1">IF(AND(A52&lt;=OP!$C$120,COUNTIF(PAY,C52)=1),OP!$C$123,0)</f>
        <v>0</v>
      </c>
      <c r="AV52" s="298">
        <f ca="1">IF(AND(A52&gt;=OP!$C$132,A52&lt;=OP!$C$133,$C$3=C52),OP!$C$135,0)</f>
        <v>0</v>
      </c>
      <c r="AW52" s="180">
        <f t="shared" ca="1" si="26"/>
        <v>0.05</v>
      </c>
      <c r="AX52" s="180">
        <f t="shared" ca="1" si="27"/>
        <v>0.05</v>
      </c>
      <c r="AY52" s="286">
        <f t="shared" ca="1" si="14"/>
        <v>0</v>
      </c>
      <c r="AZ52" s="286">
        <f t="shared" ca="1" si="15"/>
        <v>0</v>
      </c>
      <c r="BA52" s="286">
        <f t="shared" ca="1" si="16"/>
        <v>0</v>
      </c>
      <c r="BB52" s="286">
        <f t="shared" ca="1" si="28"/>
        <v>0</v>
      </c>
      <c r="BC52" s="286">
        <f t="shared" ca="1" si="17"/>
        <v>0</v>
      </c>
      <c r="BD52" s="180">
        <f t="shared" ca="1" si="29"/>
        <v>0.05</v>
      </c>
      <c r="BE52" s="180">
        <f t="shared" ca="1" si="30"/>
        <v>0.05</v>
      </c>
      <c r="BF52" s="286">
        <f t="shared" ca="1" si="18"/>
        <v>0</v>
      </c>
      <c r="BG52" s="286">
        <f t="shared" ca="1" si="19"/>
        <v>0</v>
      </c>
    </row>
    <row r="53" spans="1:59">
      <c r="A53" s="1">
        <f t="shared" ca="1" si="3"/>
        <v>5</v>
      </c>
      <c r="B53" s="1">
        <f t="shared" ca="1" si="20"/>
        <v>110</v>
      </c>
      <c r="C53" s="1">
        <f t="shared" ca="1" si="21"/>
        <v>7</v>
      </c>
      <c r="D53" s="1">
        <f ca="1">MIN($D$3,VLOOKUP(C53,OP!$S$30:$T$41,2))</f>
        <v>2</v>
      </c>
      <c r="E53" s="1">
        <f t="shared" ca="1" si="4"/>
        <v>59</v>
      </c>
      <c r="F53" s="11" t="str">
        <f t="shared" ca="1" si="5"/>
        <v/>
      </c>
      <c r="G53" s="8">
        <f t="shared" ref="G53:G63" ca="1" si="47">G52</f>
        <v>365</v>
      </c>
      <c r="H53" s="8">
        <f t="shared" ca="1" si="6"/>
        <v>31</v>
      </c>
      <c r="I53" s="8" t="str">
        <f t="shared" ca="1" si="0"/>
        <v>57</v>
      </c>
      <c r="J53" s="13">
        <f>IF(繳費報酬率資料!$A$1=1,VALUE(OP!$C$121),VLOOKUP(A53,MP,2,0))</f>
        <v>0.05</v>
      </c>
      <c r="K53" s="14">
        <f ca="1">IF(SUM($K$4:K52,IF(繳費報酬率資料!$A$1=1,$AU53+$AV53,$BB53+$BC53))&gt;OP!$L$58,0,IF(繳費報酬率資料!$A$1=1,$AU53+$AV53,$BB53+$BC53))</f>
        <v>0</v>
      </c>
      <c r="L53" s="2"/>
      <c r="M53" s="2"/>
      <c r="N53" s="2"/>
      <c r="O53" s="261">
        <f t="shared" ca="1" si="7"/>
        <v>0</v>
      </c>
      <c r="P53" s="261">
        <f t="shared" ca="1" si="23"/>
        <v>0</v>
      </c>
      <c r="Q53" s="3">
        <f ca="1">IF(A53&gt;MAX(OP!$R$17:$R$26),0,VLOOKUP(A53,fees,3,FALSE))</f>
        <v>0</v>
      </c>
      <c r="R53" s="200" t="str">
        <f t="shared" ca="1" si="8"/>
        <v/>
      </c>
      <c r="S53" s="9" t="str">
        <f ca="1">IF(COUNTIF(($T$4:T52),"F")&gt;=1,"",IF(OR(C54&lt;&gt;$C$3,E53=""),"",A53))</f>
        <v/>
      </c>
      <c r="T53" s="20" t="str">
        <f t="shared" ca="1" si="1"/>
        <v/>
      </c>
      <c r="U53" s="2">
        <f ca="1">IF(IF(OP!$C$83=1,$Z52,IF(OP!$C$83=2,$AA52,IF(OP!$C$83=3,$AB52,)))+$K53-$O53-$P53-$AS53&lt;OP!$C$142,0,$AS53)</f>
        <v>0</v>
      </c>
      <c r="V53" s="9"/>
      <c r="W53" s="19">
        <f ca="1">MAX(SUM($K$4:K53),0)</f>
        <v>2000000</v>
      </c>
      <c r="X53" s="19"/>
      <c r="Y53" s="19">
        <f t="shared" ca="1" si="24"/>
        <v>1920000</v>
      </c>
      <c r="Z53" s="2">
        <f ca="1">IF(MIN($Z$4:Z52)=0,0,MAX(0,($Z52+$K53-$O53-$P53)*IF(AND(F53="F",$D$3&lt;&gt;$G$3),((1+(-J53))^(H53/MIN(G53,365))),((1+(-J53))^(1/12)))-$U53))</f>
        <v>1550539.7964704391</v>
      </c>
      <c r="AA53" s="2">
        <f ca="1">IF(MIN($AA$4:AA52)=0,0,MAX(0,($AA52+$K53-$O53-$P53)*IF(AND(F53="F",$D$3&lt;&gt;$G$3),((1+$AA$1)^(H53/MIN(G53,365))),((1+$AA$1)^(1/12)))-$U53))</f>
        <v>1920000</v>
      </c>
      <c r="AB53" s="2">
        <f ca="1">IF(MIN($AB$4:AB52)=0,0,MAX(0,($AB52+$K53-$O53-$P53)*IF(AND(F53="F",$D$3&lt;&gt;$G$3),((1+(J53))^(H53/MIN(G53,365))),((1+(J53))^(1/12)))-$U53))</f>
        <v>2352826.8891002429</v>
      </c>
      <c r="AC53" s="5"/>
      <c r="AD53" s="5"/>
      <c r="AE53" s="5"/>
      <c r="AF53" s="282">
        <f t="shared" ca="1" si="9"/>
        <v>1550540</v>
      </c>
      <c r="AG53" s="282">
        <f t="shared" ca="1" si="10"/>
        <v>1920000</v>
      </c>
      <c r="AH53" s="282">
        <f t="shared" ca="1" si="11"/>
        <v>2352827</v>
      </c>
      <c r="AI53" s="23" t="str">
        <f t="shared" ca="1" si="2"/>
        <v>5-</v>
      </c>
      <c r="AJ53" s="282" t="str">
        <f ca="1">IF(E53&gt;111,,IF(AND(OP!$C$99=1,T53="F"),Z53,IF(AND(OP!$C$99=2,COUNTIF($T$4:T53,"F")=1),OP!$C$97+IF(F53="F",OP!$C$98,0),"")))</f>
        <v/>
      </c>
      <c r="AK53" s="282" t="str">
        <f ca="1">IF(E53&gt;111,,IF(AND(OP!$D$99=1,T53="F"),AA53,IF(AND(OP!$D$99=2,COUNTIF($T$4:T53,"F")=1),OP!$D$97+IF(F53="F",OP!$D$98,0),"")))</f>
        <v/>
      </c>
      <c r="AL53" s="282" t="str">
        <f ca="1">IF(E53&gt;111,,IF(AND(OP!$E$99=1,T53="F"),AB53,IF(AND(OP!$E$99=2,COUNTIF($T$4:T53,"F")=1),OP!$E$97+IF(F53="F",OP!$E$98,0),"")))</f>
        <v/>
      </c>
      <c r="AM53" s="1" t="str">
        <f t="shared" ca="1" si="25"/>
        <v/>
      </c>
      <c r="AN53" s="1" t="str">
        <f ca="1">IF(OR(VLOOKUP($A53,MP,5,0)="月繳"),1,"")</f>
        <v/>
      </c>
      <c r="AO53" s="1">
        <f t="shared" ca="1" si="12"/>
        <v>0</v>
      </c>
      <c r="AP53" s="1" t="str">
        <f ca="1">IF(AND(A53&lt;=OP!$C$120,COUNTIF(PAY,C53)=1),1,"")</f>
        <v/>
      </c>
      <c r="AR53" s="301">
        <f ca="1">IF(繳費報酬率資料!$A$1=1,$AY53+$AZ53,$BF53+$BG53)</f>
        <v>0</v>
      </c>
      <c r="AS53" s="1">
        <f ca="1">IF(C53&lt;&gt;IF($C$3=1,12,$C$3-1),0,IF(繳費報酬率資料!$A$1&lt;&gt;1,VLOOKUP($A53,MP,8,0),IF(AND($A53&gt;=OP!$C$79,$A53&lt;=OP!$C$80),OP!$C$78,)))</f>
        <v>0</v>
      </c>
      <c r="AT53" s="298">
        <f t="shared" ca="1" si="13"/>
        <v>0</v>
      </c>
      <c r="AU53" s="298">
        <f ca="1">IF(AND(A53&lt;=OP!$C$120,COUNTIF(PAY,C53)=1),OP!$C$123,0)</f>
        <v>0</v>
      </c>
      <c r="AV53" s="298">
        <f ca="1">IF(AND(A53&gt;=OP!$C$132,A53&lt;=OP!$C$133,$C$3=C53),OP!$C$135,0)</f>
        <v>0</v>
      </c>
      <c r="AW53" s="180">
        <f t="shared" ca="1" si="26"/>
        <v>0.05</v>
      </c>
      <c r="AX53" s="180">
        <f t="shared" ca="1" si="27"/>
        <v>0.05</v>
      </c>
      <c r="AY53" s="286">
        <f t="shared" ca="1" si="14"/>
        <v>0</v>
      </c>
      <c r="AZ53" s="286">
        <f t="shared" ca="1" si="15"/>
        <v>0</v>
      </c>
      <c r="BA53" s="286">
        <f t="shared" ca="1" si="16"/>
        <v>0</v>
      </c>
      <c r="BB53" s="286">
        <f t="shared" ca="1" si="28"/>
        <v>0</v>
      </c>
      <c r="BC53" s="286">
        <f t="shared" ca="1" si="17"/>
        <v>0</v>
      </c>
      <c r="BD53" s="180">
        <f t="shared" ca="1" si="29"/>
        <v>0.05</v>
      </c>
      <c r="BE53" s="180">
        <f t="shared" ca="1" si="30"/>
        <v>0.05</v>
      </c>
      <c r="BF53" s="286">
        <f t="shared" ca="1" si="18"/>
        <v>0</v>
      </c>
      <c r="BG53" s="286">
        <f t="shared" ca="1" si="19"/>
        <v>0</v>
      </c>
    </row>
    <row r="54" spans="1:59">
      <c r="A54" s="1">
        <f t="shared" ca="1" si="3"/>
        <v>5</v>
      </c>
      <c r="B54" s="1">
        <f t="shared" ca="1" si="20"/>
        <v>110</v>
      </c>
      <c r="C54" s="1">
        <f t="shared" ca="1" si="21"/>
        <v>8</v>
      </c>
      <c r="D54" s="1">
        <f ca="1">MIN($D$3,VLOOKUP(C54,OP!$S$30:$T$41,2))</f>
        <v>2</v>
      </c>
      <c r="E54" s="1">
        <f t="shared" ca="1" si="4"/>
        <v>59</v>
      </c>
      <c r="F54" s="11" t="str">
        <f t="shared" ca="1" si="5"/>
        <v/>
      </c>
      <c r="G54" s="8">
        <f t="shared" ca="1" si="47"/>
        <v>365</v>
      </c>
      <c r="H54" s="8">
        <f t="shared" ca="1" si="6"/>
        <v>31</v>
      </c>
      <c r="I54" s="8" t="str">
        <f t="shared" ca="1" si="0"/>
        <v>58</v>
      </c>
      <c r="J54" s="13">
        <f>IF(繳費報酬率資料!$A$1=1,VALUE(OP!$C$121),VLOOKUP(A54,MP,2,0))</f>
        <v>0.05</v>
      </c>
      <c r="K54" s="14">
        <f ca="1">IF(SUM($K$4:K53,IF(繳費報酬率資料!$A$1=1,$AU54+$AV54,$BB54+$BC54))&gt;OP!$L$58,0,IF(繳費報酬率資料!$A$1=1,$AU54+$AV54,$BB54+$BC54))</f>
        <v>0</v>
      </c>
      <c r="L54" s="2"/>
      <c r="M54" s="2"/>
      <c r="N54" s="2"/>
      <c r="O54" s="261">
        <f t="shared" ca="1" si="7"/>
        <v>0</v>
      </c>
      <c r="P54" s="261">
        <f t="shared" ca="1" si="23"/>
        <v>0</v>
      </c>
      <c r="Q54" s="3">
        <f ca="1">IF(A54&gt;MAX(OP!$R$17:$R$26),0,VLOOKUP(A54,fees,3,FALSE))</f>
        <v>0</v>
      </c>
      <c r="R54" s="200" t="str">
        <f t="shared" ca="1" si="8"/>
        <v/>
      </c>
      <c r="S54" s="9" t="str">
        <f ca="1">IF(COUNTIF(($T$4:T53),"F")&gt;=1,"",IF(OR(C55&lt;&gt;$C$3,E54=""),"",A54))</f>
        <v/>
      </c>
      <c r="T54" s="20" t="str">
        <f t="shared" ca="1" si="1"/>
        <v/>
      </c>
      <c r="U54" s="2">
        <f ca="1">IF(IF(OP!$C$83=1,$Z53,IF(OP!$C$83=2,$AA53,IF(OP!$C$83=3,$AB53,)))+$K54-$O54-$P54-$AS54&lt;OP!$C$142,0,$AS54)</f>
        <v>0</v>
      </c>
      <c r="V54" s="9"/>
      <c r="W54" s="19">
        <f ca="1">MAX(SUM($K$4:K54),0)</f>
        <v>2000000</v>
      </c>
      <c r="X54" s="19"/>
      <c r="Y54" s="19">
        <f t="shared" ca="1" si="24"/>
        <v>1920000</v>
      </c>
      <c r="Z54" s="2">
        <f ca="1">IF(MIN($Z$4:Z53)=0,0,MAX(0,($Z53+$K54-$O54-$P54)*IF(AND(F54="F",$D$3&lt;&gt;$G$3),((1+(-J54))^(H54/MIN(G54,365))),((1+(-J54))^(1/12)))-$U54))</f>
        <v>1543926.2499611985</v>
      </c>
      <c r="AA54" s="2">
        <f ca="1">IF(MIN($AA$4:AA53)=0,0,MAX(0,($AA53+$K54-$O54-$P54)*IF(AND(F54="F",$D$3&lt;&gt;$G$3),((1+$AA$1)^(H54/MIN(G54,365))),((1+$AA$1)^(1/12)))-$U54))</f>
        <v>1920000</v>
      </c>
      <c r="AB54" s="2">
        <f ca="1">IF(MIN($AB$4:AB53)=0,0,MAX(0,($AB53+$K54-$O54-$P54)*IF(AND(F54="F",$D$3&lt;&gt;$G$3),((1+(J54))^(H54/MIN(G54,365))),((1+(J54))^(1/12)))-$U54))</f>
        <v>2362412.5970879337</v>
      </c>
      <c r="AC54" s="5"/>
      <c r="AD54" s="5"/>
      <c r="AE54" s="5"/>
      <c r="AF54" s="282">
        <f t="shared" ca="1" si="9"/>
        <v>1543926</v>
      </c>
      <c r="AG54" s="282">
        <f t="shared" ca="1" si="10"/>
        <v>1920000</v>
      </c>
      <c r="AH54" s="282">
        <f t="shared" ca="1" si="11"/>
        <v>2362413</v>
      </c>
      <c r="AI54" s="23" t="str">
        <f t="shared" ca="1" si="2"/>
        <v>5-</v>
      </c>
      <c r="AJ54" s="282" t="str">
        <f ca="1">IF(E54&gt;111,,IF(AND(OP!$C$99=1,T54="F"),Z54,IF(AND(OP!$C$99=2,COUNTIF($T$4:T54,"F")=1),OP!$C$97+IF(F54="F",OP!$C$98,0),"")))</f>
        <v/>
      </c>
      <c r="AK54" s="282" t="str">
        <f ca="1">IF(E54&gt;111,,IF(AND(OP!$D$99=1,T54="F"),AA54,IF(AND(OP!$D$99=2,COUNTIF($T$4:T54,"F")=1),OP!$D$97+IF(F54="F",OP!$D$98,0),"")))</f>
        <v/>
      </c>
      <c r="AL54" s="282" t="str">
        <f ca="1">IF(E54&gt;111,,IF(AND(OP!$E$99=1,T54="F"),AB54,IF(AND(OP!$E$99=2,COUNTIF($T$4:T54,"F")=1),OP!$E$97+IF(F54="F",OP!$E$98,0),"")))</f>
        <v/>
      </c>
      <c r="AM54" s="1" t="str">
        <f t="shared" ca="1" si="25"/>
        <v/>
      </c>
      <c r="AN54" s="1" t="str">
        <f ca="1">IF(OR(VLOOKUP($A54,MP,5,0)="月繳"),1,"")</f>
        <v/>
      </c>
      <c r="AO54" s="1">
        <f t="shared" ca="1" si="12"/>
        <v>0</v>
      </c>
      <c r="AP54" s="1" t="str">
        <f ca="1">IF(AND(A54&lt;=OP!$C$120,COUNTIF(PAY,C54)=1),1,"")</f>
        <v/>
      </c>
      <c r="AR54" s="301">
        <f ca="1">IF(繳費報酬率資料!$A$1=1,$AY54+$AZ54,$BF54+$BG54)</f>
        <v>0</v>
      </c>
      <c r="AS54" s="1">
        <f ca="1">IF(C54&lt;&gt;IF($C$3=1,12,$C$3-1),0,IF(繳費報酬率資料!$A$1&lt;&gt;1,VLOOKUP($A54,MP,8,0),IF(AND($A54&gt;=OP!$C$79,$A54&lt;=OP!$C$80),OP!$C$78,)))</f>
        <v>0</v>
      </c>
      <c r="AT54" s="298">
        <f t="shared" ca="1" si="13"/>
        <v>0</v>
      </c>
      <c r="AU54" s="298">
        <f ca="1">IF(AND(A54&lt;=OP!$C$120,COUNTIF(PAY,C54)=1),OP!$C$123,0)</f>
        <v>0</v>
      </c>
      <c r="AV54" s="298">
        <f ca="1">IF(AND(A54&gt;=OP!$C$132,A54&lt;=OP!$C$133,$C$3=C54),OP!$C$135,0)</f>
        <v>0</v>
      </c>
      <c r="AW54" s="180">
        <f t="shared" ca="1" si="26"/>
        <v>0.05</v>
      </c>
      <c r="AX54" s="180">
        <f t="shared" ca="1" si="27"/>
        <v>0.05</v>
      </c>
      <c r="AY54" s="286">
        <f t="shared" ca="1" si="14"/>
        <v>0</v>
      </c>
      <c r="AZ54" s="286">
        <f t="shared" ca="1" si="15"/>
        <v>0</v>
      </c>
      <c r="BA54" s="286">
        <f t="shared" ca="1" si="16"/>
        <v>0</v>
      </c>
      <c r="BB54" s="286">
        <f t="shared" ca="1" si="28"/>
        <v>0</v>
      </c>
      <c r="BC54" s="286">
        <f t="shared" ca="1" si="17"/>
        <v>0</v>
      </c>
      <c r="BD54" s="180">
        <f t="shared" ca="1" si="29"/>
        <v>0.05</v>
      </c>
      <c r="BE54" s="180">
        <f t="shared" ca="1" si="30"/>
        <v>0.05</v>
      </c>
      <c r="BF54" s="286">
        <f t="shared" ca="1" si="18"/>
        <v>0</v>
      </c>
      <c r="BG54" s="286">
        <f t="shared" ca="1" si="19"/>
        <v>0</v>
      </c>
    </row>
    <row r="55" spans="1:59">
      <c r="A55" s="1">
        <f t="shared" ca="1" si="3"/>
        <v>5</v>
      </c>
      <c r="B55" s="1">
        <f t="shared" ca="1" si="20"/>
        <v>110</v>
      </c>
      <c r="C55" s="1">
        <f t="shared" ca="1" si="21"/>
        <v>9</v>
      </c>
      <c r="D55" s="1">
        <f ca="1">MIN($D$3,VLOOKUP(C55,OP!$S$30:$T$41,2))</f>
        <v>2</v>
      </c>
      <c r="E55" s="1">
        <f t="shared" ca="1" si="4"/>
        <v>59</v>
      </c>
      <c r="F55" s="11" t="str">
        <f t="shared" ca="1" si="5"/>
        <v/>
      </c>
      <c r="G55" s="8">
        <f t="shared" ca="1" si="47"/>
        <v>365</v>
      </c>
      <c r="H55" s="8">
        <f t="shared" ca="1" si="6"/>
        <v>30</v>
      </c>
      <c r="I55" s="8" t="str">
        <f t="shared" ca="1" si="0"/>
        <v>59</v>
      </c>
      <c r="J55" s="13">
        <f>IF(繳費報酬率資料!$A$1=1,VALUE(OP!$C$121),VLOOKUP(A55,MP,2,0))</f>
        <v>0.05</v>
      </c>
      <c r="K55" s="14">
        <f ca="1">IF(SUM($K$4:K54,IF(繳費報酬率資料!$A$1=1,$AU55+$AV55,$BB55+$BC55))&gt;OP!$L$58,0,IF(繳費報酬率資料!$A$1=1,$AU55+$AV55,$BB55+$BC55))</f>
        <v>0</v>
      </c>
      <c r="L55" s="2"/>
      <c r="M55" s="2"/>
      <c r="N55" s="2"/>
      <c r="O55" s="261">
        <f t="shared" ca="1" si="7"/>
        <v>0</v>
      </c>
      <c r="P55" s="261">
        <f t="shared" ca="1" si="23"/>
        <v>0</v>
      </c>
      <c r="Q55" s="3">
        <f ca="1">IF(A55&gt;MAX(OP!$R$17:$R$26),0,VLOOKUP(A55,fees,3,FALSE))</f>
        <v>0</v>
      </c>
      <c r="R55" s="200" t="str">
        <f t="shared" ca="1" si="8"/>
        <v/>
      </c>
      <c r="S55" s="9" t="str">
        <f ca="1">IF(COUNTIF(($T$4:T54),"F")&gt;=1,"",IF(OR(C56&lt;&gt;$C$3,E55=""),"",A55))</f>
        <v/>
      </c>
      <c r="T55" s="20" t="str">
        <f t="shared" ca="1" si="1"/>
        <v/>
      </c>
      <c r="U55" s="2">
        <f ca="1">IF(IF(OP!$C$83=1,$Z54,IF(OP!$C$83=2,$AA54,IF(OP!$C$83=3,$AB54,)))+$K55-$O55-$P55-$AS55&lt;OP!$C$142,0,$AS55)</f>
        <v>0</v>
      </c>
      <c r="V55" s="9"/>
      <c r="W55" s="19">
        <f ca="1">MAX(SUM($K$4:K55),0)</f>
        <v>2000000</v>
      </c>
      <c r="X55" s="19"/>
      <c r="Y55" s="19">
        <f t="shared" ca="1" si="24"/>
        <v>1920000</v>
      </c>
      <c r="Z55" s="2">
        <f ca="1">IF(MIN($Z$4:Z54)=0,0,MAX(0,($Z54+$K55-$O55-$P55)*IF(AND(F55="F",$D$3&lt;&gt;$G$3),((1+(-J55))^(H55/MIN(G55,365))),((1+(-J55))^(1/12)))-$U55))</f>
        <v>1537340.9123360703</v>
      </c>
      <c r="AA55" s="2">
        <f ca="1">IF(MIN($AA$4:AA54)=0,0,MAX(0,($AA54+$K55-$O55-$P55)*IF(AND(F55="F",$D$3&lt;&gt;$G$3),((1+$AA$1)^(H55/MIN(G55,365))),((1+$AA$1)^(1/12)))-$U55))</f>
        <v>1920000</v>
      </c>
      <c r="AB55" s="2">
        <f ca="1">IF(MIN($AB$4:AB54)=0,0,MAX(0,($AB54+$K55-$O55-$P55)*IF(AND(F55="F",$D$3&lt;&gt;$G$3),((1+(J55))^(H55/MIN(G55,365))),((1+(J55))^(1/12)))-$U55))</f>
        <v>2372037.3584365202</v>
      </c>
      <c r="AC55" s="5"/>
      <c r="AD55" s="5"/>
      <c r="AE55" s="5"/>
      <c r="AF55" s="282">
        <f t="shared" ca="1" si="9"/>
        <v>1537341</v>
      </c>
      <c r="AG55" s="282">
        <f t="shared" ca="1" si="10"/>
        <v>1920000</v>
      </c>
      <c r="AH55" s="282">
        <f t="shared" ca="1" si="11"/>
        <v>2372037</v>
      </c>
      <c r="AI55" s="23" t="str">
        <f t="shared" ca="1" si="2"/>
        <v>5-</v>
      </c>
      <c r="AJ55" s="282" t="str">
        <f ca="1">IF(E55&gt;111,,IF(AND(OP!$C$99=1,T55="F"),Z55,IF(AND(OP!$C$99=2,COUNTIF($T$4:T55,"F")=1),OP!$C$97+IF(F55="F",OP!$C$98,0),"")))</f>
        <v/>
      </c>
      <c r="AK55" s="282" t="str">
        <f ca="1">IF(E55&gt;111,,IF(AND(OP!$D$99=1,T55="F"),AA55,IF(AND(OP!$D$99=2,COUNTIF($T$4:T55,"F")=1),OP!$D$97+IF(F55="F",OP!$D$98,0),"")))</f>
        <v/>
      </c>
      <c r="AL55" s="282" t="str">
        <f ca="1">IF(E55&gt;111,,IF(AND(OP!$E$99=1,T55="F"),AB55,IF(AND(OP!$E$99=2,COUNTIF($T$4:T55,"F")=1),OP!$E$97+IF(F55="F",OP!$E$98,0),"")))</f>
        <v/>
      </c>
      <c r="AM55" s="1" t="str">
        <f t="shared" ca="1" si="25"/>
        <v/>
      </c>
      <c r="AN55" s="1" t="str">
        <f ca="1">IF(OR(VLOOKUP($A55,MP,5,0)="季繳",VLOOKUP($A55,MP,5,0)="月繳"),1,"")</f>
        <v/>
      </c>
      <c r="AO55" s="1">
        <f t="shared" ca="1" si="12"/>
        <v>0</v>
      </c>
      <c r="AP55" s="1" t="str">
        <f ca="1">IF(AND(A55&lt;=OP!$C$120,COUNTIF(PAY,C55)=1),1,"")</f>
        <v/>
      </c>
      <c r="AR55" s="301">
        <f ca="1">IF(繳費報酬率資料!$A$1=1,$AY55+$AZ55,$BF55+$BG55)</f>
        <v>0</v>
      </c>
      <c r="AS55" s="1">
        <f ca="1">IF(C55&lt;&gt;IF($C$3=1,12,$C$3-1),0,IF(繳費報酬率資料!$A$1&lt;&gt;1,VLOOKUP($A55,MP,8,0),IF(AND($A55&gt;=OP!$C$79,$A55&lt;=OP!$C$80),OP!$C$78,)))</f>
        <v>0</v>
      </c>
      <c r="AT55" s="298">
        <f t="shared" ca="1" si="13"/>
        <v>0</v>
      </c>
      <c r="AU55" s="298">
        <f ca="1">IF(AND(A55&lt;=OP!$C$120,COUNTIF(PAY,C55)=1),OP!$C$123,0)</f>
        <v>0</v>
      </c>
      <c r="AV55" s="298">
        <f ca="1">IF(AND(A55&gt;=OP!$C$132,A55&lt;=OP!$C$133,$C$3=C55),OP!$C$135,0)</f>
        <v>0</v>
      </c>
      <c r="AW55" s="180">
        <f t="shared" ca="1" si="26"/>
        <v>0.05</v>
      </c>
      <c r="AX55" s="180">
        <f t="shared" ca="1" si="27"/>
        <v>0.05</v>
      </c>
      <c r="AY55" s="286">
        <f t="shared" ca="1" si="14"/>
        <v>0</v>
      </c>
      <c r="AZ55" s="286">
        <f t="shared" ca="1" si="15"/>
        <v>0</v>
      </c>
      <c r="BA55" s="286">
        <f t="shared" ca="1" si="16"/>
        <v>0</v>
      </c>
      <c r="BB55" s="286">
        <f t="shared" ca="1" si="28"/>
        <v>0</v>
      </c>
      <c r="BC55" s="286">
        <f t="shared" ca="1" si="17"/>
        <v>0</v>
      </c>
      <c r="BD55" s="180">
        <f t="shared" ca="1" si="29"/>
        <v>0.05</v>
      </c>
      <c r="BE55" s="180">
        <f t="shared" ca="1" si="30"/>
        <v>0.05</v>
      </c>
      <c r="BF55" s="286">
        <f t="shared" ca="1" si="18"/>
        <v>0</v>
      </c>
      <c r="BG55" s="286">
        <f t="shared" ca="1" si="19"/>
        <v>0</v>
      </c>
    </row>
    <row r="56" spans="1:59">
      <c r="A56" s="1">
        <f t="shared" ca="1" si="3"/>
        <v>5</v>
      </c>
      <c r="B56" s="1">
        <f t="shared" ca="1" si="20"/>
        <v>110</v>
      </c>
      <c r="C56" s="1">
        <f t="shared" ca="1" si="21"/>
        <v>10</v>
      </c>
      <c r="D56" s="1">
        <f ca="1">MIN($D$3,VLOOKUP(C56,OP!$S$30:$T$41,2))</f>
        <v>2</v>
      </c>
      <c r="E56" s="1">
        <f t="shared" ca="1" si="4"/>
        <v>59</v>
      </c>
      <c r="F56" s="11" t="str">
        <f t="shared" ca="1" si="5"/>
        <v/>
      </c>
      <c r="G56" s="8">
        <f t="shared" ca="1" si="47"/>
        <v>365</v>
      </c>
      <c r="H56" s="8">
        <f t="shared" ca="1" si="6"/>
        <v>31</v>
      </c>
      <c r="I56" s="8" t="str">
        <f t="shared" ca="1" si="0"/>
        <v>510</v>
      </c>
      <c r="J56" s="13">
        <f>IF(繳費報酬率資料!$A$1=1,VALUE(OP!$C$121),VLOOKUP(A56,MP,2,0))</f>
        <v>0.05</v>
      </c>
      <c r="K56" s="14">
        <f ca="1">IF(SUM($K$4:K55,IF(繳費報酬率資料!$A$1=1,$AU56+$AV56,$BB56+$BC56))&gt;OP!$L$58,0,IF(繳費報酬率資料!$A$1=1,$AU56+$AV56,$BB56+$BC56))</f>
        <v>0</v>
      </c>
      <c r="L56" s="2"/>
      <c r="M56" s="2"/>
      <c r="N56" s="2"/>
      <c r="O56" s="261">
        <f t="shared" ca="1" si="7"/>
        <v>0</v>
      </c>
      <c r="P56" s="261">
        <f t="shared" ca="1" si="23"/>
        <v>0</v>
      </c>
      <c r="Q56" s="3">
        <f ca="1">IF(A56&gt;MAX(OP!$R$17:$R$26),0,VLOOKUP(A56,fees,3,FALSE))</f>
        <v>0</v>
      </c>
      <c r="R56" s="200" t="str">
        <f t="shared" ca="1" si="8"/>
        <v/>
      </c>
      <c r="S56" s="9" t="str">
        <f ca="1">IF(COUNTIF(($T$4:T55),"F")&gt;=1,"",IF(OR(C57&lt;&gt;$C$3,E56=""),"",A56))</f>
        <v/>
      </c>
      <c r="T56" s="20" t="str">
        <f t="shared" ca="1" si="1"/>
        <v/>
      </c>
      <c r="U56" s="2">
        <f ca="1">IF(IF(OP!$C$83=1,$Z55,IF(OP!$C$83=2,$AA55,IF(OP!$C$83=3,$AB55,)))+$K56-$O56-$P56-$AS56&lt;OP!$C$142,0,$AS56)</f>
        <v>0</v>
      </c>
      <c r="V56" s="9"/>
      <c r="W56" s="19">
        <f ca="1">MAX(SUM($K$4:K56),0)</f>
        <v>2000000</v>
      </c>
      <c r="X56" s="19"/>
      <c r="Y56" s="19">
        <f t="shared" ca="1" si="24"/>
        <v>1920000</v>
      </c>
      <c r="Z56" s="2">
        <f ca="1">IF(MIN($Z$4:Z55)=0,0,MAX(0,($Z55+$K56-$O56-$P56)*IF(AND(F56="F",$D$3&lt;&gt;$G$3),((1+(-J56))^(H56/MIN(G56,365))),((1+(-J56))^(1/12)))-$U56))</f>
        <v>1530783.6632751711</v>
      </c>
      <c r="AA56" s="2">
        <f ca="1">IF(MIN($AA$4:AA55)=0,0,MAX(0,($AA55+$K56-$O56-$P56)*IF(AND(F56="F",$D$3&lt;&gt;$G$3),((1+$AA$1)^(H56/MIN(G56,365))),((1+$AA$1)^(1/12)))-$U56))</f>
        <v>1920000</v>
      </c>
      <c r="AB56" s="2">
        <f ca="1">IF(MIN($AB$4:AB55)=0,0,MAX(0,($AB55+$K56-$O56-$P56)*IF(AND(F56="F",$D$3&lt;&gt;$G$3),((1+(J56))^(H56/MIN(G56,365))),((1+(J56))^(1/12)))-$U56))</f>
        <v>2381701.3322542286</v>
      </c>
      <c r="AC56" s="5"/>
      <c r="AD56" s="5"/>
      <c r="AE56" s="5"/>
      <c r="AF56" s="282">
        <f t="shared" ca="1" si="9"/>
        <v>1530784</v>
      </c>
      <c r="AG56" s="282">
        <f t="shared" ca="1" si="10"/>
        <v>1920000</v>
      </c>
      <c r="AH56" s="282">
        <f t="shared" ca="1" si="11"/>
        <v>2381701</v>
      </c>
      <c r="AI56" s="23" t="str">
        <f t="shared" ca="1" si="2"/>
        <v>5-</v>
      </c>
      <c r="AJ56" s="282" t="str">
        <f ca="1">IF(E56&gt;111,,IF(AND(OP!$C$99=1,T56="F"),Z56,IF(AND(OP!$C$99=2,COUNTIF($T$4:T56,"F")=1),OP!$C$97+IF(F56="F",OP!$C$98,0),"")))</f>
        <v/>
      </c>
      <c r="AK56" s="282" t="str">
        <f ca="1">IF(E56&gt;111,,IF(AND(OP!$D$99=1,T56="F"),AA56,IF(AND(OP!$D$99=2,COUNTIF($T$4:T56,"F")=1),OP!$D$97+IF(F56="F",OP!$D$98,0),"")))</f>
        <v/>
      </c>
      <c r="AL56" s="282" t="str">
        <f ca="1">IF(E56&gt;111,,IF(AND(OP!$E$99=1,T56="F"),AB56,IF(AND(OP!$E$99=2,COUNTIF($T$4:T56,"F")=1),OP!$E$97+IF(F56="F",OP!$E$98,0),"")))</f>
        <v/>
      </c>
      <c r="AM56" s="1" t="str">
        <f t="shared" ca="1" si="25"/>
        <v/>
      </c>
      <c r="AN56" s="1" t="str">
        <f ca="1">IF(OR(VLOOKUP($A56,MP,5,0)="月繳"),1,"")</f>
        <v/>
      </c>
      <c r="AO56" s="1">
        <f t="shared" ca="1" si="12"/>
        <v>0</v>
      </c>
      <c r="AP56" s="1" t="str">
        <f ca="1">IF(AND(A56&lt;=OP!$C$120,COUNTIF(PAY,C56)=1),1,"")</f>
        <v/>
      </c>
      <c r="AR56" s="301">
        <f ca="1">IF(繳費報酬率資料!$A$1=1,$AY56+$AZ56,$BF56+$BG56)</f>
        <v>0</v>
      </c>
      <c r="AS56" s="1">
        <f ca="1">IF(C56&lt;&gt;IF($C$3=1,12,$C$3-1),0,IF(繳費報酬率資料!$A$1&lt;&gt;1,VLOOKUP($A56,MP,8,0),IF(AND($A56&gt;=OP!$C$79,$A56&lt;=OP!$C$80),OP!$C$78,)))</f>
        <v>0</v>
      </c>
      <c r="AT56" s="298">
        <f t="shared" ca="1" si="13"/>
        <v>0</v>
      </c>
      <c r="AU56" s="298">
        <f ca="1">IF(AND(A56&lt;=OP!$C$120,COUNTIF(PAY,C56)=1),OP!$C$123,0)</f>
        <v>0</v>
      </c>
      <c r="AV56" s="298">
        <f ca="1">IF(AND(A56&gt;=OP!$C$132,A56&lt;=OP!$C$133,$C$3=C56),OP!$C$135,0)</f>
        <v>0</v>
      </c>
      <c r="AW56" s="180">
        <f t="shared" ca="1" si="26"/>
        <v>0.05</v>
      </c>
      <c r="AX56" s="180">
        <f t="shared" ca="1" si="27"/>
        <v>0.05</v>
      </c>
      <c r="AY56" s="286">
        <f t="shared" ca="1" si="14"/>
        <v>0</v>
      </c>
      <c r="AZ56" s="286">
        <f t="shared" ca="1" si="15"/>
        <v>0</v>
      </c>
      <c r="BA56" s="286">
        <f t="shared" ca="1" si="16"/>
        <v>0</v>
      </c>
      <c r="BB56" s="286">
        <f t="shared" ca="1" si="28"/>
        <v>0</v>
      </c>
      <c r="BC56" s="286">
        <f t="shared" ca="1" si="17"/>
        <v>0</v>
      </c>
      <c r="BD56" s="180">
        <f t="shared" ca="1" si="29"/>
        <v>0.05</v>
      </c>
      <c r="BE56" s="180">
        <f t="shared" ca="1" si="30"/>
        <v>0.05</v>
      </c>
      <c r="BF56" s="286">
        <f t="shared" ca="1" si="18"/>
        <v>0</v>
      </c>
      <c r="BG56" s="286">
        <f t="shared" ca="1" si="19"/>
        <v>0</v>
      </c>
    </row>
    <row r="57" spans="1:59">
      <c r="A57" s="1">
        <f t="shared" ca="1" si="3"/>
        <v>5</v>
      </c>
      <c r="B57" s="1">
        <f t="shared" ca="1" si="20"/>
        <v>110</v>
      </c>
      <c r="C57" s="1">
        <f t="shared" ca="1" si="21"/>
        <v>11</v>
      </c>
      <c r="D57" s="1">
        <f ca="1">MIN($D$3,VLOOKUP(C57,OP!$S$30:$T$41,2))</f>
        <v>2</v>
      </c>
      <c r="E57" s="1">
        <f t="shared" ca="1" si="4"/>
        <v>59</v>
      </c>
      <c r="F57" s="11" t="str">
        <f t="shared" ca="1" si="5"/>
        <v/>
      </c>
      <c r="G57" s="8">
        <f t="shared" ca="1" si="47"/>
        <v>365</v>
      </c>
      <c r="H57" s="8">
        <f t="shared" ca="1" si="6"/>
        <v>30</v>
      </c>
      <c r="I57" s="8" t="str">
        <f t="shared" ca="1" si="0"/>
        <v>511</v>
      </c>
      <c r="J57" s="13">
        <f>IF(繳費報酬率資料!$A$1=1,VALUE(OP!$C$121),VLOOKUP(A57,MP,2,0))</f>
        <v>0.05</v>
      </c>
      <c r="K57" s="14">
        <f ca="1">IF(SUM($K$4:K56,IF(繳費報酬率資料!$A$1=1,$AU57+$AV57,$BB57+$BC57))&gt;OP!$L$58,0,IF(繳費報酬率資料!$A$1=1,$AU57+$AV57,$BB57+$BC57))</f>
        <v>0</v>
      </c>
      <c r="L57" s="2"/>
      <c r="M57" s="2"/>
      <c r="N57" s="2"/>
      <c r="O57" s="261">
        <f t="shared" ca="1" si="7"/>
        <v>0</v>
      </c>
      <c r="P57" s="261">
        <f t="shared" ca="1" si="23"/>
        <v>0</v>
      </c>
      <c r="Q57" s="3">
        <f ca="1">IF(A57&gt;MAX(OP!$R$17:$R$26),0,VLOOKUP(A57,fees,3,FALSE))</f>
        <v>0</v>
      </c>
      <c r="R57" s="200" t="str">
        <f t="shared" ca="1" si="8"/>
        <v/>
      </c>
      <c r="S57" s="9" t="str">
        <f ca="1">IF(COUNTIF(($T$4:T56),"F")&gt;=1,"",IF(OR(C58&lt;&gt;$C$3,E57=""),"",A57))</f>
        <v/>
      </c>
      <c r="T57" s="20" t="str">
        <f t="shared" ca="1" si="1"/>
        <v/>
      </c>
      <c r="U57" s="2">
        <f ca="1">IF(IF(OP!$C$83=1,$Z56,IF(OP!$C$83=2,$AA56,IF(OP!$C$83=3,$AB56,)))+$K57-$O57-$P57-$AS57&lt;OP!$C$142,0,$AS57)</f>
        <v>0</v>
      </c>
      <c r="V57" s="9"/>
      <c r="W57" s="19">
        <f ca="1">MAX(SUM($K$4:K57),0)</f>
        <v>2000000</v>
      </c>
      <c r="X57" s="19"/>
      <c r="Y57" s="19">
        <f t="shared" ca="1" si="24"/>
        <v>1920000</v>
      </c>
      <c r="Z57" s="2">
        <f ca="1">IF(MIN($Z$4:Z56)=0,0,MAX(0,($Z56+$K57-$O57-$P57)*IF(AND(F57="F",$D$3&lt;&gt;$G$3),((1+(-J57))^(H57/MIN(G57,365))),((1+(-J57))^(1/12)))-$U57))</f>
        <v>1524254.3829718204</v>
      </c>
      <c r="AA57" s="2">
        <f ca="1">IF(MIN($AA$4:AA56)=0,0,MAX(0,($AA56+$K57-$O57-$P57)*IF(AND(F57="F",$D$3&lt;&gt;$G$3),((1+$AA$1)^(H57/MIN(G57,365))),((1+$AA$1)^(1/12)))-$U57))</f>
        <v>1920000</v>
      </c>
      <c r="AB57" s="2">
        <f ca="1">IF(MIN($AB$4:AB56)=0,0,MAX(0,($AB56+$K57-$O57-$P57)*IF(AND(F57="F",$D$3&lt;&gt;$G$3),((1+(J57))^(H57/MIN(G57,365))),((1+(J57))^(1/12)))-$U57))</f>
        <v>2391404.6782975127</v>
      </c>
      <c r="AC57" s="5"/>
      <c r="AD57" s="5"/>
      <c r="AE57" s="5"/>
      <c r="AF57" s="282">
        <f t="shared" ca="1" si="9"/>
        <v>1524254</v>
      </c>
      <c r="AG57" s="282">
        <f t="shared" ca="1" si="10"/>
        <v>1920000</v>
      </c>
      <c r="AH57" s="282">
        <f t="shared" ca="1" si="11"/>
        <v>2391405</v>
      </c>
      <c r="AI57" s="23" t="str">
        <f t="shared" ca="1" si="2"/>
        <v>5-</v>
      </c>
      <c r="AJ57" s="282" t="str">
        <f ca="1">IF(E57&gt;111,,IF(AND(OP!$C$99=1,T57="F"),Z57,IF(AND(OP!$C$99=2,COUNTIF($T$4:T57,"F")=1),OP!$C$97+IF(F57="F",OP!$C$98,0),"")))</f>
        <v/>
      </c>
      <c r="AK57" s="282" t="str">
        <f ca="1">IF(E57&gt;111,,IF(AND(OP!$D$99=1,T57="F"),AA57,IF(AND(OP!$D$99=2,COUNTIF($T$4:T57,"F")=1),OP!$D$97+IF(F57="F",OP!$D$98,0),"")))</f>
        <v/>
      </c>
      <c r="AL57" s="282" t="str">
        <f ca="1">IF(E57&gt;111,,IF(AND(OP!$E$99=1,T57="F"),AB57,IF(AND(OP!$E$99=2,COUNTIF($T$4:T57,"F")=1),OP!$E$97+IF(F57="F",OP!$E$98,0),"")))</f>
        <v/>
      </c>
      <c r="AM57" s="1" t="str">
        <f t="shared" ca="1" si="25"/>
        <v/>
      </c>
      <c r="AN57" s="1" t="str">
        <f ca="1">IF(OR(VLOOKUP($A57,MP,5,0)="月繳"),1,"")</f>
        <v/>
      </c>
      <c r="AO57" s="1">
        <f t="shared" ca="1" si="12"/>
        <v>0</v>
      </c>
      <c r="AP57" s="1" t="str">
        <f ca="1">IF(AND(A57&lt;=OP!$C$120,COUNTIF(PAY,C57)=1),1,"")</f>
        <v/>
      </c>
      <c r="AR57" s="301">
        <f ca="1">IF(繳費報酬率資料!$A$1=1,$AY57+$AZ57,$BF57+$BG57)</f>
        <v>0</v>
      </c>
      <c r="AS57" s="1">
        <f ca="1">IF(C57&lt;&gt;IF($C$3=1,12,$C$3-1),0,IF(繳費報酬率資料!$A$1&lt;&gt;1,VLOOKUP($A57,MP,8,0),IF(AND($A57&gt;=OP!$C$79,$A57&lt;=OP!$C$80),OP!$C$78,)))</f>
        <v>0</v>
      </c>
      <c r="AT57" s="298">
        <f t="shared" ca="1" si="13"/>
        <v>0</v>
      </c>
      <c r="AU57" s="298">
        <f ca="1">IF(AND(A57&lt;=OP!$C$120,COUNTIF(PAY,C57)=1),OP!$C$123,0)</f>
        <v>0</v>
      </c>
      <c r="AV57" s="298">
        <f ca="1">IF(AND(A57&gt;=OP!$C$132,A57&lt;=OP!$C$133,$C$3=C57),OP!$C$135,0)</f>
        <v>0</v>
      </c>
      <c r="AW57" s="180">
        <f t="shared" ca="1" si="26"/>
        <v>0.05</v>
      </c>
      <c r="AX57" s="180">
        <f t="shared" ca="1" si="27"/>
        <v>0.05</v>
      </c>
      <c r="AY57" s="286">
        <f t="shared" ca="1" si="14"/>
        <v>0</v>
      </c>
      <c r="AZ57" s="286">
        <f t="shared" ca="1" si="15"/>
        <v>0</v>
      </c>
      <c r="BA57" s="286">
        <f t="shared" ca="1" si="16"/>
        <v>0</v>
      </c>
      <c r="BB57" s="286">
        <f t="shared" ca="1" si="28"/>
        <v>0</v>
      </c>
      <c r="BC57" s="286">
        <f t="shared" ca="1" si="17"/>
        <v>0</v>
      </c>
      <c r="BD57" s="180">
        <f t="shared" ca="1" si="29"/>
        <v>0.05</v>
      </c>
      <c r="BE57" s="180">
        <f t="shared" ca="1" si="30"/>
        <v>0.05</v>
      </c>
      <c r="BF57" s="286">
        <f t="shared" ca="1" si="18"/>
        <v>0</v>
      </c>
      <c r="BG57" s="286">
        <f t="shared" ca="1" si="19"/>
        <v>0</v>
      </c>
    </row>
    <row r="58" spans="1:59">
      <c r="A58" s="1">
        <f t="shared" ca="1" si="3"/>
        <v>5</v>
      </c>
      <c r="B58" s="1">
        <f t="shared" ca="1" si="20"/>
        <v>110</v>
      </c>
      <c r="C58" s="1">
        <f t="shared" ca="1" si="21"/>
        <v>12</v>
      </c>
      <c r="D58" s="1">
        <f ca="1">MIN($D$3,VLOOKUP(C58,OP!$S$30:$T$41,2))</f>
        <v>2</v>
      </c>
      <c r="E58" s="1">
        <f t="shared" ca="1" si="4"/>
        <v>59</v>
      </c>
      <c r="F58" s="11" t="str">
        <f t="shared" ca="1" si="5"/>
        <v/>
      </c>
      <c r="G58" s="8">
        <f t="shared" ca="1" si="47"/>
        <v>365</v>
      </c>
      <c r="H58" s="8">
        <f t="shared" ca="1" si="6"/>
        <v>31</v>
      </c>
      <c r="I58" s="8" t="str">
        <f t="shared" ca="1" si="0"/>
        <v>512</v>
      </c>
      <c r="J58" s="13">
        <f>IF(繳費報酬率資料!$A$1=1,VALUE(OP!$C$121),VLOOKUP(A58,MP,2,0))</f>
        <v>0.05</v>
      </c>
      <c r="K58" s="14">
        <f ca="1">IF(SUM($K$4:K57,IF(繳費報酬率資料!$A$1=1,$AU58+$AV58,$BB58+$BC58))&gt;OP!$L$58,0,IF(繳費報酬率資料!$A$1=1,$AU58+$AV58,$BB58+$BC58))</f>
        <v>0</v>
      </c>
      <c r="L58" s="2"/>
      <c r="M58" s="2"/>
      <c r="N58" s="2"/>
      <c r="O58" s="261">
        <f t="shared" ca="1" si="7"/>
        <v>0</v>
      </c>
      <c r="P58" s="261">
        <f t="shared" ca="1" si="23"/>
        <v>0</v>
      </c>
      <c r="Q58" s="3">
        <f ca="1">IF(A58&gt;MAX(OP!$R$17:$R$26),0,VLOOKUP(A58,fees,3,FALSE))</f>
        <v>0</v>
      </c>
      <c r="R58" s="200" t="str">
        <f t="shared" ca="1" si="8"/>
        <v/>
      </c>
      <c r="S58" s="9" t="str">
        <f ca="1">IF(COUNTIF(($T$4:T57),"F")&gt;=1,"",IF(OR(C59&lt;&gt;$C$3,E58=""),"",A58))</f>
        <v/>
      </c>
      <c r="T58" s="20" t="str">
        <f t="shared" ca="1" si="1"/>
        <v/>
      </c>
      <c r="U58" s="2">
        <f ca="1">IF(IF(OP!$C$83=1,$Z57,IF(OP!$C$83=2,$AA57,IF(OP!$C$83=3,$AB57,)))+$K58-$O58-$P58-$AS58&lt;OP!$C$142,0,$AS58)</f>
        <v>0</v>
      </c>
      <c r="V58" s="9"/>
      <c r="W58" s="19">
        <f ca="1">MAX(SUM($K$4:K58),0)</f>
        <v>2000000</v>
      </c>
      <c r="X58" s="19"/>
      <c r="Y58" s="19">
        <f t="shared" ca="1" si="24"/>
        <v>1920000</v>
      </c>
      <c r="Z58" s="2">
        <f ca="1">IF(MIN($Z$4:Z57)=0,0,MAX(0,($Z57+$K58-$O58-$P58)*IF(AND(F58="F",$D$3&lt;&gt;$G$3),((1+(-J58))^(H58/MIN(G58,365))),((1+(-J58))^(1/12)))-$U58))</f>
        <v>1517752.9521303517</v>
      </c>
      <c r="AA58" s="2">
        <f ca="1">IF(MIN($AA$4:AA57)=0,0,MAX(0,($AA57+$K58-$O58-$P58)*IF(AND(F58="F",$D$3&lt;&gt;$G$3),((1+$AA$1)^(H58/MIN(G58,365))),((1+$AA$1)^(1/12)))-$U58))</f>
        <v>1920000</v>
      </c>
      <c r="AB58" s="2">
        <f ca="1">IF(MIN($AB$4:AB57)=0,0,MAX(0,($AB57+$K58-$O58-$P58)*IF(AND(F58="F",$D$3&lt;&gt;$G$3),((1+(J58))^(H58/MIN(G58,365))),((1+(J58))^(1/12)))-$U58))</f>
        <v>2401147.5569736925</v>
      </c>
      <c r="AC58" s="5"/>
      <c r="AD58" s="5"/>
      <c r="AE58" s="5"/>
      <c r="AF58" s="282">
        <f t="shared" ca="1" si="9"/>
        <v>1517753</v>
      </c>
      <c r="AG58" s="282">
        <f t="shared" ca="1" si="10"/>
        <v>1920000</v>
      </c>
      <c r="AH58" s="282">
        <f t="shared" ca="1" si="11"/>
        <v>2401148</v>
      </c>
      <c r="AI58" s="23" t="str">
        <f t="shared" ca="1" si="2"/>
        <v>5-</v>
      </c>
      <c r="AJ58" s="282" t="str">
        <f ca="1">IF(E58&gt;111,,IF(AND(OP!$C$99=1,T58="F"),Z58,IF(AND(OP!$C$99=2,COUNTIF($T$4:T58,"F")=1),OP!$C$97+IF(F58="F",OP!$C$98,0),"")))</f>
        <v/>
      </c>
      <c r="AK58" s="282" t="str">
        <f ca="1">IF(E58&gt;111,,IF(AND(OP!$D$99=1,T58="F"),AA58,IF(AND(OP!$D$99=2,COUNTIF($T$4:T58,"F")=1),OP!$D$97+IF(F58="F",OP!$D$98,0),"")))</f>
        <v/>
      </c>
      <c r="AL58" s="282" t="str">
        <f ca="1">IF(E58&gt;111,,IF(AND(OP!$E$99=1,T58="F"),AB58,IF(AND(OP!$E$99=2,COUNTIF($T$4:T58,"F")=1),OP!$E$97+IF(F58="F",OP!$E$98,0),"")))</f>
        <v/>
      </c>
      <c r="AM58" s="1" t="str">
        <f t="shared" ca="1" si="25"/>
        <v/>
      </c>
      <c r="AN58" s="1" t="str">
        <f ca="1">IF(OR(VLOOKUP($A58,MP,5,0)="半年繳",VLOOKUP($A58,MP,5,0)="季繳",VLOOKUP($A58,MP,5,0)="月繳"),1,"")</f>
        <v/>
      </c>
      <c r="AO58" s="1">
        <f t="shared" ca="1" si="12"/>
        <v>0</v>
      </c>
      <c r="AP58" s="1" t="str">
        <f ca="1">IF(AND(A58&lt;=OP!$C$120,COUNTIF(PAY,C58)=1),1,"")</f>
        <v/>
      </c>
      <c r="AR58" s="301">
        <f ca="1">IF(繳費報酬率資料!$A$1=1,$AY58+$AZ58,$BF58+$BG58)</f>
        <v>0</v>
      </c>
      <c r="AS58" s="1">
        <f ca="1">IF(C58&lt;&gt;IF($C$3=1,12,$C$3-1),0,IF(繳費報酬率資料!$A$1&lt;&gt;1,VLOOKUP($A58,MP,8,0),IF(AND($A58&gt;=OP!$C$79,$A58&lt;=OP!$C$80),OP!$C$78,)))</f>
        <v>0</v>
      </c>
      <c r="AT58" s="298">
        <f t="shared" ca="1" si="13"/>
        <v>0</v>
      </c>
      <c r="AU58" s="298">
        <f ca="1">IF(AND(A58&lt;=OP!$C$120,COUNTIF(PAY,C58)=1),OP!$C$123,0)</f>
        <v>0</v>
      </c>
      <c r="AV58" s="298">
        <f ca="1">IF(AND(A58&gt;=OP!$C$132,A58&lt;=OP!$C$133,$C$3=C58),OP!$C$135,0)</f>
        <v>0</v>
      </c>
      <c r="AW58" s="180">
        <f t="shared" ca="1" si="26"/>
        <v>0.05</v>
      </c>
      <c r="AX58" s="180">
        <f t="shared" ca="1" si="27"/>
        <v>0.05</v>
      </c>
      <c r="AY58" s="286">
        <f t="shared" ca="1" si="14"/>
        <v>0</v>
      </c>
      <c r="AZ58" s="286">
        <f t="shared" ca="1" si="15"/>
        <v>0</v>
      </c>
      <c r="BA58" s="286">
        <f t="shared" ca="1" si="16"/>
        <v>0</v>
      </c>
      <c r="BB58" s="286">
        <f t="shared" ca="1" si="28"/>
        <v>0</v>
      </c>
      <c r="BC58" s="286">
        <f t="shared" ca="1" si="17"/>
        <v>0</v>
      </c>
      <c r="BD58" s="180">
        <f t="shared" ca="1" si="29"/>
        <v>0.05</v>
      </c>
      <c r="BE58" s="180">
        <f t="shared" ca="1" si="30"/>
        <v>0.05</v>
      </c>
      <c r="BF58" s="286">
        <f t="shared" ca="1" si="18"/>
        <v>0</v>
      </c>
      <c r="BG58" s="286">
        <f t="shared" ca="1" si="19"/>
        <v>0</v>
      </c>
    </row>
    <row r="59" spans="1:59">
      <c r="A59" s="1">
        <f t="shared" ca="1" si="3"/>
        <v>5</v>
      </c>
      <c r="B59" s="1">
        <f t="shared" ca="1" si="20"/>
        <v>111</v>
      </c>
      <c r="C59" s="1">
        <f t="shared" ca="1" si="21"/>
        <v>1</v>
      </c>
      <c r="D59" s="1">
        <f ca="1">MIN($D$3,VLOOKUP(C59,OP!$S$30:$T$41,2))</f>
        <v>2</v>
      </c>
      <c r="E59" s="1">
        <f t="shared" ca="1" si="4"/>
        <v>59</v>
      </c>
      <c r="F59" s="11" t="str">
        <f t="shared" ca="1" si="5"/>
        <v/>
      </c>
      <c r="G59" s="8">
        <f t="shared" ca="1" si="47"/>
        <v>365</v>
      </c>
      <c r="H59" s="8">
        <f t="shared" ca="1" si="6"/>
        <v>31</v>
      </c>
      <c r="I59" s="8" t="str">
        <f t="shared" ca="1" si="0"/>
        <v>51</v>
      </c>
      <c r="J59" s="13">
        <f>IF(繳費報酬率資料!$A$1=1,VALUE(OP!$C$121),VLOOKUP(A59,MP,2,0))</f>
        <v>0.05</v>
      </c>
      <c r="K59" s="14">
        <f ca="1">IF(SUM($K$4:K58,IF(繳費報酬率資料!$A$1=1,$AU59+$AV59,$BB59+$BC59))&gt;OP!$L$58,0,IF(繳費報酬率資料!$A$1=1,$AU59+$AV59,$BB59+$BC59))</f>
        <v>0</v>
      </c>
      <c r="L59" s="2"/>
      <c r="M59" s="2"/>
      <c r="N59" s="2"/>
      <c r="O59" s="261">
        <f t="shared" ca="1" si="7"/>
        <v>0</v>
      </c>
      <c r="P59" s="261">
        <f t="shared" ca="1" si="23"/>
        <v>0</v>
      </c>
      <c r="Q59" s="3">
        <f ca="1">IF(A59&gt;MAX(OP!$R$17:$R$26),0,VLOOKUP(A59,fees,3,FALSE))</f>
        <v>0</v>
      </c>
      <c r="R59" s="200" t="str">
        <f t="shared" ca="1" si="8"/>
        <v/>
      </c>
      <c r="S59" s="9" t="str">
        <f ca="1">IF(COUNTIF(($T$4:T58),"F")&gt;=1,"",IF(OR(C60&lt;&gt;$C$3,E59=""),"",A59))</f>
        <v/>
      </c>
      <c r="T59" s="20" t="str">
        <f t="shared" ca="1" si="1"/>
        <v/>
      </c>
      <c r="U59" s="2">
        <f ca="1">IF(IF(OP!$C$83=1,$Z58,IF(OP!$C$83=2,$AA58,IF(OP!$C$83=3,$AB58,)))+$K59-$O59-$P59-$AS59&lt;OP!$C$142,0,$AS59)</f>
        <v>0</v>
      </c>
      <c r="V59" s="9"/>
      <c r="W59" s="19">
        <f ca="1">MAX(SUM($K$4:K59),0)</f>
        <v>2000000</v>
      </c>
      <c r="X59" s="19"/>
      <c r="Y59" s="19">
        <f t="shared" ca="1" si="24"/>
        <v>1920000</v>
      </c>
      <c r="Z59" s="2">
        <f ca="1">IF(MIN($Z$4:Z58)=0,0,MAX(0,($Z58+$K59-$O59-$P59)*IF(AND(F59="F",$D$3&lt;&gt;$G$3),((1+(-J59))^(H59/MIN(G59,365))),((1+(-J59))^(1/12)))-$U59))</f>
        <v>1511279.2519639321</v>
      </c>
      <c r="AA59" s="2">
        <f ca="1">IF(MIN($AA$4:AA58)=0,0,MAX(0,($AA58+$K59-$O59-$P59)*IF(AND(F59="F",$D$3&lt;&gt;$G$3),((1+$AA$1)^(H59/MIN(G59,365))),((1+$AA$1)^(1/12)))-$U59))</f>
        <v>1920000</v>
      </c>
      <c r="AB59" s="2">
        <f ca="1">IF(MIN($AB$4:AB58)=0,0,MAX(0,($AB58+$K59-$O59-$P59)*IF(AND(F59="F",$D$3&lt;&gt;$G$3),((1+(J59))^(H59/MIN(G59,365))),((1+(J59))^(1/12)))-$U59))</f>
        <v>2410930.1293436079</v>
      </c>
      <c r="AC59" s="5"/>
      <c r="AD59" s="5"/>
      <c r="AE59" s="5"/>
      <c r="AF59" s="282">
        <f t="shared" ca="1" si="9"/>
        <v>1511279</v>
      </c>
      <c r="AG59" s="282">
        <f t="shared" ca="1" si="10"/>
        <v>1920000</v>
      </c>
      <c r="AH59" s="282">
        <f t="shared" ca="1" si="11"/>
        <v>2410930</v>
      </c>
      <c r="AI59" s="23" t="str">
        <f t="shared" ca="1" si="2"/>
        <v>5-</v>
      </c>
      <c r="AJ59" s="282" t="str">
        <f ca="1">IF(E59&gt;111,,IF(AND(OP!$C$99=1,T59="F"),Z59,IF(AND(OP!$C$99=2,COUNTIF($T$4:T59,"F")=1),OP!$C$97+IF(F59="F",OP!$C$98,0),"")))</f>
        <v/>
      </c>
      <c r="AK59" s="282" t="str">
        <f ca="1">IF(E59&gt;111,,IF(AND(OP!$D$99=1,T59="F"),AA59,IF(AND(OP!$D$99=2,COUNTIF($T$4:T59,"F")=1),OP!$D$97+IF(F59="F",OP!$D$98,0),"")))</f>
        <v/>
      </c>
      <c r="AL59" s="282" t="str">
        <f ca="1">IF(E59&gt;111,,IF(AND(OP!$E$99=1,T59="F"),AB59,IF(AND(OP!$E$99=2,COUNTIF($T$4:T59,"F")=1),OP!$E$97+IF(F59="F",OP!$E$98,0),"")))</f>
        <v/>
      </c>
      <c r="AM59" s="1" t="str">
        <f t="shared" ca="1" si="25"/>
        <v/>
      </c>
      <c r="AN59" s="1" t="str">
        <f ca="1">IF(OR(VLOOKUP($A59,MP,5,0)="月繳"),1,"")</f>
        <v/>
      </c>
      <c r="AO59" s="1">
        <f t="shared" ca="1" si="12"/>
        <v>0</v>
      </c>
      <c r="AP59" s="1" t="str">
        <f ca="1">IF(AND(A59&lt;=OP!$C$120,COUNTIF(PAY,C59)=1),1,"")</f>
        <v/>
      </c>
      <c r="AR59" s="301">
        <f ca="1">IF(繳費報酬率資料!$A$1=1,$AY59+$AZ59,$BF59+$BG59)</f>
        <v>0</v>
      </c>
      <c r="AS59" s="1">
        <f ca="1">IF(C59&lt;&gt;IF($C$3=1,12,$C$3-1),0,IF(繳費報酬率資料!$A$1&lt;&gt;1,VLOOKUP($A59,MP,8,0),IF(AND($A59&gt;=OP!$C$79,$A59&lt;=OP!$C$80),OP!$C$78,)))</f>
        <v>0</v>
      </c>
      <c r="AT59" s="298">
        <f t="shared" ca="1" si="13"/>
        <v>0</v>
      </c>
      <c r="AU59" s="298">
        <f ca="1">IF(AND(A59&lt;=OP!$C$120,COUNTIF(PAY,C59)=1),OP!$C$123,0)</f>
        <v>0</v>
      </c>
      <c r="AV59" s="298">
        <f ca="1">IF(AND(A59&gt;=OP!$C$132,A59&lt;=OP!$C$133,$C$3=C59),OP!$C$135,0)</f>
        <v>0</v>
      </c>
      <c r="AW59" s="180">
        <f t="shared" ca="1" si="26"/>
        <v>0.05</v>
      </c>
      <c r="AX59" s="180">
        <f t="shared" ca="1" si="27"/>
        <v>0.05</v>
      </c>
      <c r="AY59" s="286">
        <f t="shared" ca="1" si="14"/>
        <v>0</v>
      </c>
      <c r="AZ59" s="286">
        <f t="shared" ca="1" si="15"/>
        <v>0</v>
      </c>
      <c r="BA59" s="286">
        <f t="shared" ca="1" si="16"/>
        <v>0</v>
      </c>
      <c r="BB59" s="286">
        <f t="shared" ca="1" si="28"/>
        <v>0</v>
      </c>
      <c r="BC59" s="286">
        <f t="shared" ca="1" si="17"/>
        <v>0</v>
      </c>
      <c r="BD59" s="180">
        <f t="shared" ca="1" si="29"/>
        <v>0.05</v>
      </c>
      <c r="BE59" s="180">
        <f t="shared" ca="1" si="30"/>
        <v>0.05</v>
      </c>
      <c r="BF59" s="286">
        <f t="shared" ca="1" si="18"/>
        <v>0</v>
      </c>
      <c r="BG59" s="286">
        <f t="shared" ca="1" si="19"/>
        <v>0</v>
      </c>
    </row>
    <row r="60" spans="1:59">
      <c r="A60" s="1">
        <f t="shared" ca="1" si="3"/>
        <v>5</v>
      </c>
      <c r="B60" s="1">
        <f t="shared" ca="1" si="20"/>
        <v>111</v>
      </c>
      <c r="C60" s="1">
        <f t="shared" ca="1" si="21"/>
        <v>2</v>
      </c>
      <c r="D60" s="1">
        <f ca="1">MIN($D$3,VLOOKUP(C60,OP!$S$30:$T$41,2))</f>
        <v>2</v>
      </c>
      <c r="E60" s="1">
        <f t="shared" ca="1" si="4"/>
        <v>59</v>
      </c>
      <c r="F60" s="11" t="str">
        <f t="shared" ca="1" si="5"/>
        <v/>
      </c>
      <c r="G60" s="8">
        <f t="shared" ca="1" si="47"/>
        <v>365</v>
      </c>
      <c r="H60" s="8">
        <f t="shared" ca="1" si="6"/>
        <v>28</v>
      </c>
      <c r="I60" s="8" t="str">
        <f t="shared" ca="1" si="0"/>
        <v>52</v>
      </c>
      <c r="J60" s="13">
        <f>IF(繳費報酬率資料!$A$1=1,VALUE(OP!$C$121),VLOOKUP(A60,MP,2,0))</f>
        <v>0.05</v>
      </c>
      <c r="K60" s="14">
        <f ca="1">IF(SUM($K$4:K59,IF(繳費報酬率資料!$A$1=1,$AU60+$AV60,$BB60+$BC60))&gt;OP!$L$58,0,IF(繳費報酬率資料!$A$1=1,$AU60+$AV60,$BB60+$BC60))</f>
        <v>0</v>
      </c>
      <c r="L60" s="2"/>
      <c r="M60" s="2"/>
      <c r="N60" s="2"/>
      <c r="O60" s="261">
        <f t="shared" ca="1" si="7"/>
        <v>0</v>
      </c>
      <c r="P60" s="261">
        <f t="shared" ca="1" si="23"/>
        <v>0</v>
      </c>
      <c r="Q60" s="3">
        <f ca="1">IF(A60&gt;MAX(OP!$R$17:$R$26),0,VLOOKUP(A60,fees,3,FALSE))</f>
        <v>0</v>
      </c>
      <c r="R60" s="200" t="str">
        <f t="shared" ca="1" si="8"/>
        <v/>
      </c>
      <c r="S60" s="9" t="str">
        <f ca="1">IF(COUNTIF(($T$4:T59),"F")&gt;=1,"",IF(OR(C61&lt;&gt;$C$3,E60=""),"",A60))</f>
        <v/>
      </c>
      <c r="T60" s="20" t="str">
        <f t="shared" ca="1" si="1"/>
        <v/>
      </c>
      <c r="U60" s="2">
        <f ca="1">IF(IF(OP!$C$83=1,$Z59,IF(OP!$C$83=2,$AA59,IF(OP!$C$83=3,$AB59,)))+$K60-$O60-$P60-$AS60&lt;OP!$C$142,0,$AS60)</f>
        <v>0</v>
      </c>
      <c r="V60" s="9"/>
      <c r="W60" s="19">
        <f ca="1">MAX(SUM($K$4:K60),0)</f>
        <v>2000000</v>
      </c>
      <c r="X60" s="19"/>
      <c r="Y60" s="19">
        <f t="shared" ca="1" si="24"/>
        <v>1920000</v>
      </c>
      <c r="Z60" s="2">
        <f ca="1">IF(MIN($Z$4:Z59)=0,0,MAX(0,($Z59+$K60-$O60-$P60)*IF(AND(F60="F",$D$3&lt;&gt;$G$3),((1+(-J60))^(H60/MIN(G60,365))),((1+(-J60))^(1/12)))-$U60))</f>
        <v>1504833.1641923925</v>
      </c>
      <c r="AA60" s="2">
        <f ca="1">IF(MIN($AA$4:AA59)=0,0,MAX(0,($AA59+$K60-$O60-$P60)*IF(AND(F60="F",$D$3&lt;&gt;$G$3),((1+$AA$1)^(H60/MIN(G60,365))),((1+$AA$1)^(1/12)))-$U60))</f>
        <v>1920000</v>
      </c>
      <c r="AB60" s="2">
        <f ca="1">IF(MIN($AB$4:AB59)=0,0,MAX(0,($AB59+$K60-$O60-$P60)*IF(AND(F60="F",$D$3&lt;&gt;$G$3),((1+(J60))^(H60/MIN(G60,365))),((1+(J60))^(1/12)))-$U60))</f>
        <v>2420752.5571242813</v>
      </c>
      <c r="AC60" s="5"/>
      <c r="AD60" s="5"/>
      <c r="AE60" s="5"/>
      <c r="AF60" s="282">
        <f t="shared" ca="1" si="9"/>
        <v>1504833</v>
      </c>
      <c r="AG60" s="282">
        <f t="shared" ca="1" si="10"/>
        <v>1920000</v>
      </c>
      <c r="AH60" s="282">
        <f t="shared" ca="1" si="11"/>
        <v>2420753</v>
      </c>
      <c r="AI60" s="23" t="str">
        <f t="shared" ca="1" si="2"/>
        <v>5-</v>
      </c>
      <c r="AJ60" s="282" t="str">
        <f ca="1">IF(E60&gt;111,,IF(AND(OP!$C$99=1,T60="F"),Z60,IF(AND(OP!$C$99=2,COUNTIF($T$4:T60,"F")=1),OP!$C$97+IF(F60="F",OP!$C$98,0),"")))</f>
        <v/>
      </c>
      <c r="AK60" s="282" t="str">
        <f ca="1">IF(E60&gt;111,,IF(AND(OP!$D$99=1,T60="F"),AA60,IF(AND(OP!$D$99=2,COUNTIF($T$4:T60,"F")=1),OP!$D$97+IF(F60="F",OP!$D$98,0),"")))</f>
        <v/>
      </c>
      <c r="AL60" s="282" t="str">
        <f ca="1">IF(E60&gt;111,,IF(AND(OP!$E$99=1,T60="F"),AB60,IF(AND(OP!$E$99=2,COUNTIF($T$4:T60,"F")=1),OP!$E$97+IF(F60="F",OP!$E$98,0),"")))</f>
        <v/>
      </c>
      <c r="AM60" s="1" t="str">
        <f t="shared" ca="1" si="25"/>
        <v/>
      </c>
      <c r="AN60" s="1" t="str">
        <f ca="1">IF(OR(VLOOKUP($A60,MP,5,0)="月繳"),1,"")</f>
        <v/>
      </c>
      <c r="AO60" s="1">
        <f t="shared" ca="1" si="12"/>
        <v>0</v>
      </c>
      <c r="AP60" s="1" t="str">
        <f ca="1">IF(AND(A60&lt;=OP!$C$120,COUNTIF(PAY,C60)=1),1,"")</f>
        <v/>
      </c>
      <c r="AR60" s="301">
        <f ca="1">IF(繳費報酬率資料!$A$1=1,$AY60+$AZ60,$BF60+$BG60)</f>
        <v>0</v>
      </c>
      <c r="AS60" s="1">
        <f ca="1">IF(C60&lt;&gt;IF($C$3=1,12,$C$3-1),0,IF(繳費報酬率資料!$A$1&lt;&gt;1,VLOOKUP($A60,MP,8,0),IF(AND($A60&gt;=OP!$C$79,$A60&lt;=OP!$C$80),OP!$C$78,)))</f>
        <v>0</v>
      </c>
      <c r="AT60" s="298">
        <f t="shared" ca="1" si="13"/>
        <v>0</v>
      </c>
      <c r="AU60" s="298">
        <f ca="1">IF(AND(A60&lt;=OP!$C$120,COUNTIF(PAY,C60)=1),OP!$C$123,0)</f>
        <v>0</v>
      </c>
      <c r="AV60" s="298">
        <f ca="1">IF(AND(A60&gt;=OP!$C$132,A60&lt;=OP!$C$133,$C$3=C60),OP!$C$135,0)</f>
        <v>0</v>
      </c>
      <c r="AW60" s="180">
        <f t="shared" ca="1" si="26"/>
        <v>0.05</v>
      </c>
      <c r="AX60" s="180">
        <f t="shared" ca="1" si="27"/>
        <v>0.05</v>
      </c>
      <c r="AY60" s="286">
        <f t="shared" ca="1" si="14"/>
        <v>0</v>
      </c>
      <c r="AZ60" s="286">
        <f t="shared" ca="1" si="15"/>
        <v>0</v>
      </c>
      <c r="BA60" s="286">
        <f t="shared" ca="1" si="16"/>
        <v>0</v>
      </c>
      <c r="BB60" s="286">
        <f t="shared" ca="1" si="28"/>
        <v>0</v>
      </c>
      <c r="BC60" s="286">
        <f t="shared" ca="1" si="17"/>
        <v>0</v>
      </c>
      <c r="BD60" s="180">
        <f t="shared" ca="1" si="29"/>
        <v>0.05</v>
      </c>
      <c r="BE60" s="180">
        <f t="shared" ca="1" si="30"/>
        <v>0.05</v>
      </c>
      <c r="BF60" s="286">
        <f t="shared" ca="1" si="18"/>
        <v>0</v>
      </c>
      <c r="BG60" s="286">
        <f t="shared" ca="1" si="19"/>
        <v>0</v>
      </c>
    </row>
    <row r="61" spans="1:59">
      <c r="A61" s="1">
        <f t="shared" ca="1" si="3"/>
        <v>5</v>
      </c>
      <c r="B61" s="1">
        <f t="shared" ca="1" si="20"/>
        <v>111</v>
      </c>
      <c r="C61" s="1">
        <f t="shared" ca="1" si="21"/>
        <v>3</v>
      </c>
      <c r="D61" s="1">
        <f ca="1">MIN($D$3,VLOOKUP(C61,OP!$S$30:$T$41,2))</f>
        <v>2</v>
      </c>
      <c r="E61" s="1">
        <f t="shared" ca="1" si="4"/>
        <v>59</v>
      </c>
      <c r="F61" s="11" t="str">
        <f t="shared" ca="1" si="5"/>
        <v/>
      </c>
      <c r="G61" s="8">
        <f t="shared" ca="1" si="47"/>
        <v>365</v>
      </c>
      <c r="H61" s="8">
        <f t="shared" ca="1" si="6"/>
        <v>31</v>
      </c>
      <c r="I61" s="8" t="str">
        <f t="shared" ca="1" si="0"/>
        <v>53</v>
      </c>
      <c r="J61" s="13">
        <f>IF(繳費報酬率資料!$A$1=1,VALUE(OP!$C$121),VLOOKUP(A61,MP,2,0))</f>
        <v>0.05</v>
      </c>
      <c r="K61" s="14">
        <f ca="1">IF(SUM($K$4:K60,IF(繳費報酬率資料!$A$1=1,$AU61+$AV61,$BB61+$BC61))&gt;OP!$L$58,0,IF(繳費報酬率資料!$A$1=1,$AU61+$AV61,$BB61+$BC61))</f>
        <v>0</v>
      </c>
      <c r="L61" s="2"/>
      <c r="M61" s="2"/>
      <c r="N61" s="2"/>
      <c r="O61" s="261">
        <f t="shared" ca="1" si="7"/>
        <v>0</v>
      </c>
      <c r="P61" s="261">
        <f t="shared" ca="1" si="23"/>
        <v>0</v>
      </c>
      <c r="Q61" s="3">
        <f ca="1">IF(A61&gt;MAX(OP!$R$17:$R$26),0,VLOOKUP(A61,fees,3,FALSE))</f>
        <v>0</v>
      </c>
      <c r="R61" s="200" t="str">
        <f t="shared" ca="1" si="8"/>
        <v/>
      </c>
      <c r="S61" s="9" t="str">
        <f ca="1">IF(COUNTIF(($T$4:T60),"F")&gt;=1,"",IF(OR(C62&lt;&gt;$C$3,E61=""),"",A61))</f>
        <v/>
      </c>
      <c r="T61" s="20" t="str">
        <f t="shared" ca="1" si="1"/>
        <v/>
      </c>
      <c r="U61" s="2">
        <f ca="1">IF(IF(OP!$C$83=1,$Z60,IF(OP!$C$83=2,$AA60,IF(OP!$C$83=3,$AB60,)))+$K61-$O61-$P61-$AS61&lt;OP!$C$142,0,$AS61)</f>
        <v>0</v>
      </c>
      <c r="V61" s="9"/>
      <c r="W61" s="19">
        <f ca="1">MAX(SUM($K$4:K61),0)</f>
        <v>2000000</v>
      </c>
      <c r="X61" s="19"/>
      <c r="Y61" s="19">
        <f t="shared" ca="1" si="24"/>
        <v>1920000</v>
      </c>
      <c r="Z61" s="2">
        <f ca="1">IF(MIN($Z$4:Z60)=0,0,MAX(0,($Z60+$K61-$O61-$P61)*IF(AND(F61="F",$D$3&lt;&gt;$G$3),((1+(-J61))^(H61/MIN(G61,365))),((1+(-J61))^(1/12)))-$U61))</f>
        <v>1498414.5710400667</v>
      </c>
      <c r="AA61" s="2">
        <f ca="1">IF(MIN($AA$4:AA60)=0,0,MAX(0,($AA60+$K61-$O61-$P61)*IF(AND(F61="F",$D$3&lt;&gt;$G$3),((1+$AA$1)^(H61/MIN(G61,365))),((1+$AA$1)^(1/12)))-$U61))</f>
        <v>1920000</v>
      </c>
      <c r="AB61" s="2">
        <f ca="1">IF(MIN($AB$4:AB60)=0,0,MAX(0,($AB60+$K61-$O61-$P61)*IF(AND(F61="F",$D$3&lt;&gt;$G$3),((1+(J61))^(H61/MIN(G61,365))),((1+(J61))^(1/12)))-$U61))</f>
        <v>2430615.0026915888</v>
      </c>
      <c r="AC61" s="5"/>
      <c r="AD61" s="5"/>
      <c r="AE61" s="5"/>
      <c r="AF61" s="282">
        <f t="shared" ca="1" si="9"/>
        <v>1498415</v>
      </c>
      <c r="AG61" s="282">
        <f t="shared" ca="1" si="10"/>
        <v>1920000</v>
      </c>
      <c r="AH61" s="282">
        <f t="shared" ca="1" si="11"/>
        <v>2430615</v>
      </c>
      <c r="AI61" s="23" t="str">
        <f t="shared" ca="1" si="2"/>
        <v>5-</v>
      </c>
      <c r="AJ61" s="282" t="str">
        <f ca="1">IF(E61&gt;111,,IF(AND(OP!$C$99=1,T61="F"),Z61,IF(AND(OP!$C$99=2,COUNTIF($T$4:T61,"F")=1),OP!$C$97+IF(F61="F",OP!$C$98,0),"")))</f>
        <v/>
      </c>
      <c r="AK61" s="282" t="str">
        <f ca="1">IF(E61&gt;111,,IF(AND(OP!$D$99=1,T61="F"),AA61,IF(AND(OP!$D$99=2,COUNTIF($T$4:T61,"F")=1),OP!$D$97+IF(F61="F",OP!$D$98,0),"")))</f>
        <v/>
      </c>
      <c r="AL61" s="282" t="str">
        <f ca="1">IF(E61&gt;111,,IF(AND(OP!$E$99=1,T61="F"),AB61,IF(AND(OP!$E$99=2,COUNTIF($T$4:T61,"F")=1),OP!$E$97+IF(F61="F",OP!$E$98,0),"")))</f>
        <v/>
      </c>
      <c r="AM61" s="1" t="str">
        <f t="shared" ca="1" si="25"/>
        <v/>
      </c>
      <c r="AN61" s="1" t="str">
        <f ca="1">IF(OR(VLOOKUP($A61,MP,5,0)="季繳",VLOOKUP($A61,MP,5,0)="月繳"),1,"")</f>
        <v/>
      </c>
      <c r="AO61" s="1">
        <f t="shared" ca="1" si="12"/>
        <v>0</v>
      </c>
      <c r="AP61" s="1" t="str">
        <f ca="1">IF(AND(A61&lt;=OP!$C$120,COUNTIF(PAY,C61)=1),1,"")</f>
        <v/>
      </c>
      <c r="AR61" s="301">
        <f ca="1">IF(繳費報酬率資料!$A$1=1,$AY61+$AZ61,$BF61+$BG61)</f>
        <v>0</v>
      </c>
      <c r="AS61" s="1">
        <f ca="1">IF(C61&lt;&gt;IF($C$3=1,12,$C$3-1),0,IF(繳費報酬率資料!$A$1&lt;&gt;1,VLOOKUP($A61,MP,8,0),IF(AND($A61&gt;=OP!$C$79,$A61&lt;=OP!$C$80),OP!$C$78,)))</f>
        <v>0</v>
      </c>
      <c r="AT61" s="298">
        <f t="shared" ca="1" si="13"/>
        <v>0</v>
      </c>
      <c r="AU61" s="298">
        <f ca="1">IF(AND(A61&lt;=OP!$C$120,COUNTIF(PAY,C61)=1),OP!$C$123,0)</f>
        <v>0</v>
      </c>
      <c r="AV61" s="298">
        <f ca="1">IF(AND(A61&gt;=OP!$C$132,A61&lt;=OP!$C$133,$C$3=C61),OP!$C$135,0)</f>
        <v>0</v>
      </c>
      <c r="AW61" s="180">
        <f t="shared" ca="1" si="26"/>
        <v>0.05</v>
      </c>
      <c r="AX61" s="180">
        <f t="shared" ca="1" si="27"/>
        <v>0.05</v>
      </c>
      <c r="AY61" s="286">
        <f t="shared" ca="1" si="14"/>
        <v>0</v>
      </c>
      <c r="AZ61" s="286">
        <f t="shared" ca="1" si="15"/>
        <v>0</v>
      </c>
      <c r="BA61" s="286">
        <f t="shared" ca="1" si="16"/>
        <v>0</v>
      </c>
      <c r="BB61" s="286">
        <f t="shared" ca="1" si="28"/>
        <v>0</v>
      </c>
      <c r="BC61" s="286">
        <f t="shared" ca="1" si="17"/>
        <v>0</v>
      </c>
      <c r="BD61" s="180">
        <f t="shared" ca="1" si="29"/>
        <v>0.05</v>
      </c>
      <c r="BE61" s="180">
        <f t="shared" ca="1" si="30"/>
        <v>0.05</v>
      </c>
      <c r="BF61" s="286">
        <f t="shared" ca="1" si="18"/>
        <v>0</v>
      </c>
      <c r="BG61" s="286">
        <f t="shared" ca="1" si="19"/>
        <v>0</v>
      </c>
    </row>
    <row r="62" spans="1:59">
      <c r="A62" s="1">
        <f t="shared" ca="1" si="3"/>
        <v>5</v>
      </c>
      <c r="B62" s="1">
        <f t="shared" ca="1" si="20"/>
        <v>111</v>
      </c>
      <c r="C62" s="1">
        <f t="shared" ca="1" si="21"/>
        <v>4</v>
      </c>
      <c r="D62" s="1">
        <f ca="1">MIN($D$3,VLOOKUP(C62,OP!$S$30:$T$41,2))</f>
        <v>2</v>
      </c>
      <c r="E62" s="1">
        <f t="shared" ca="1" si="4"/>
        <v>59</v>
      </c>
      <c r="F62" s="11" t="str">
        <f t="shared" ca="1" si="5"/>
        <v/>
      </c>
      <c r="G62" s="8">
        <f t="shared" ca="1" si="47"/>
        <v>365</v>
      </c>
      <c r="H62" s="8">
        <f t="shared" ca="1" si="6"/>
        <v>30</v>
      </c>
      <c r="I62" s="8" t="str">
        <f t="shared" ca="1" si="0"/>
        <v>54</v>
      </c>
      <c r="J62" s="13">
        <f>IF(繳費報酬率資料!$A$1=1,VALUE(OP!$C$121),VLOOKUP(A62,MP,2,0))</f>
        <v>0.05</v>
      </c>
      <c r="K62" s="14">
        <f ca="1">IF(SUM($K$4:K61,IF(繳費報酬率資料!$A$1=1,$AU62+$AV62,$BB62+$BC62))&gt;OP!$L$58,0,IF(繳費報酬率資料!$A$1=1,$AU62+$AV62,$BB62+$BC62))</f>
        <v>0</v>
      </c>
      <c r="L62" s="2"/>
      <c r="M62" s="2"/>
      <c r="N62" s="2"/>
      <c r="O62" s="261">
        <f t="shared" ca="1" si="7"/>
        <v>0</v>
      </c>
      <c r="P62" s="261">
        <f t="shared" ca="1" si="23"/>
        <v>0</v>
      </c>
      <c r="Q62" s="3">
        <f ca="1">IF(A62&gt;MAX(OP!$R$17:$R$26),0,VLOOKUP(A62,fees,3,FALSE))</f>
        <v>0</v>
      </c>
      <c r="R62" s="200" t="str">
        <f t="shared" ca="1" si="8"/>
        <v/>
      </c>
      <c r="S62" s="9" t="str">
        <f ca="1">IF(COUNTIF(($T$4:T61),"F")&gt;=1,"",IF(OR(C63&lt;&gt;$C$3,E62=""),"",A62))</f>
        <v/>
      </c>
      <c r="T62" s="20" t="str">
        <f t="shared" ca="1" si="1"/>
        <v/>
      </c>
      <c r="U62" s="2">
        <f ca="1">IF(IF(OP!$C$83=1,$Z61,IF(OP!$C$83=2,$AA61,IF(OP!$C$83=3,$AB61,)))+$K62-$O62-$P62-$AS62&lt;OP!$C$142,0,$AS62)</f>
        <v>0</v>
      </c>
      <c r="V62" s="9"/>
      <c r="W62" s="19">
        <f ca="1">MAX(SUM($K$4:K62),0)</f>
        <v>2000000</v>
      </c>
      <c r="X62" s="19"/>
      <c r="Y62" s="19">
        <f t="shared" ca="1" si="24"/>
        <v>1920000</v>
      </c>
      <c r="Z62" s="2">
        <f ca="1">IF(MIN($Z$4:Z61)=0,0,MAX(0,($Z61+$K62-$O62-$P62)*IF(AND(F62="F",$D$3&lt;&gt;$G$3),((1+(-J62))^(H62/MIN(G62,365))),((1+(-J62))^(1/12)))-$U62))</f>
        <v>1492023.355233639</v>
      </c>
      <c r="AA62" s="2">
        <f ca="1">IF(MIN($AA$4:AA61)=0,0,MAX(0,($AA61+$K62-$O62-$P62)*IF(AND(F62="F",$D$3&lt;&gt;$G$3),((1+$AA$1)^(H62/MIN(G62,365))),((1+$AA$1)^(1/12)))-$U62))</f>
        <v>1920000</v>
      </c>
      <c r="AB62" s="2">
        <f ca="1">IF(MIN($AB$4:AB61)=0,0,MAX(0,($AB61+$K62-$O62-$P62)*IF(AND(F62="F",$D$3&lt;&gt;$G$3),((1+(J62))^(H62/MIN(G62,365))),((1+(J62))^(1/12)))-$U62))</f>
        <v>2440517.629082947</v>
      </c>
      <c r="AC62" s="5"/>
      <c r="AD62" s="5"/>
      <c r="AE62" s="5"/>
      <c r="AF62" s="282">
        <f t="shared" ca="1" si="9"/>
        <v>1492023</v>
      </c>
      <c r="AG62" s="282">
        <f t="shared" ca="1" si="10"/>
        <v>1920000</v>
      </c>
      <c r="AH62" s="282">
        <f t="shared" ca="1" si="11"/>
        <v>2440518</v>
      </c>
      <c r="AI62" s="23" t="str">
        <f t="shared" ca="1" si="2"/>
        <v>5-</v>
      </c>
      <c r="AJ62" s="282" t="str">
        <f ca="1">IF(E62&gt;111,,IF(AND(OP!$C$99=1,T62="F"),Z62,IF(AND(OP!$C$99=2,COUNTIF($T$4:T62,"F")=1),OP!$C$97+IF(F62="F",OP!$C$98,0),"")))</f>
        <v/>
      </c>
      <c r="AK62" s="282" t="str">
        <f ca="1">IF(E62&gt;111,,IF(AND(OP!$D$99=1,T62="F"),AA62,IF(AND(OP!$D$99=2,COUNTIF($T$4:T62,"F")=1),OP!$D$97+IF(F62="F",OP!$D$98,0),"")))</f>
        <v/>
      </c>
      <c r="AL62" s="282" t="str">
        <f ca="1">IF(E62&gt;111,,IF(AND(OP!$E$99=1,T62="F"),AB62,IF(AND(OP!$E$99=2,COUNTIF($T$4:T62,"F")=1),OP!$E$97+IF(F62="F",OP!$E$98,0),"")))</f>
        <v/>
      </c>
      <c r="AM62" s="1" t="str">
        <f t="shared" ca="1" si="25"/>
        <v/>
      </c>
      <c r="AN62" s="1" t="str">
        <f ca="1">IF(OR(VLOOKUP($A62,MP,5,0)="月繳"),1,"")</f>
        <v/>
      </c>
      <c r="AO62" s="1">
        <f t="shared" ca="1" si="12"/>
        <v>0</v>
      </c>
      <c r="AP62" s="1" t="str">
        <f ca="1">IF(AND(A62&lt;=OP!$C$120,COUNTIF(PAY,C62)=1),1,"")</f>
        <v/>
      </c>
      <c r="AR62" s="301">
        <f ca="1">IF(繳費報酬率資料!$A$1=1,$AY62+$AZ62,$BF62+$BG62)</f>
        <v>0</v>
      </c>
      <c r="AS62" s="1">
        <f ca="1">IF(C62&lt;&gt;IF($C$3=1,12,$C$3-1),0,IF(繳費報酬率資料!$A$1&lt;&gt;1,VLOOKUP($A62,MP,8,0),IF(AND($A62&gt;=OP!$C$79,$A62&lt;=OP!$C$80),OP!$C$78,)))</f>
        <v>0</v>
      </c>
      <c r="AT62" s="298">
        <f t="shared" ca="1" si="13"/>
        <v>0</v>
      </c>
      <c r="AU62" s="298">
        <f ca="1">IF(AND(A62&lt;=OP!$C$120,COUNTIF(PAY,C62)=1),OP!$C$123,0)</f>
        <v>0</v>
      </c>
      <c r="AV62" s="298">
        <f ca="1">IF(AND(A62&gt;=OP!$C$132,A62&lt;=OP!$C$133,$C$3=C62),OP!$C$135,0)</f>
        <v>0</v>
      </c>
      <c r="AW62" s="180">
        <f t="shared" ca="1" si="26"/>
        <v>0.05</v>
      </c>
      <c r="AX62" s="180">
        <f t="shared" ca="1" si="27"/>
        <v>0.05</v>
      </c>
      <c r="AY62" s="286">
        <f t="shared" ca="1" si="14"/>
        <v>0</v>
      </c>
      <c r="AZ62" s="286">
        <f t="shared" ca="1" si="15"/>
        <v>0</v>
      </c>
      <c r="BA62" s="286">
        <f t="shared" ca="1" si="16"/>
        <v>0</v>
      </c>
      <c r="BB62" s="286">
        <f t="shared" ca="1" si="28"/>
        <v>0</v>
      </c>
      <c r="BC62" s="286">
        <f t="shared" ca="1" si="17"/>
        <v>0</v>
      </c>
      <c r="BD62" s="180">
        <f t="shared" ca="1" si="29"/>
        <v>0.05</v>
      </c>
      <c r="BE62" s="180">
        <f t="shared" ca="1" si="30"/>
        <v>0.05</v>
      </c>
      <c r="BF62" s="286">
        <f t="shared" ca="1" si="18"/>
        <v>0</v>
      </c>
      <c r="BG62" s="286">
        <f t="shared" ca="1" si="19"/>
        <v>0</v>
      </c>
    </row>
    <row r="63" spans="1:59">
      <c r="A63" s="1">
        <f t="shared" ca="1" si="3"/>
        <v>5</v>
      </c>
      <c r="B63" s="1">
        <f t="shared" ca="1" si="20"/>
        <v>111</v>
      </c>
      <c r="C63" s="1">
        <f t="shared" ca="1" si="21"/>
        <v>5</v>
      </c>
      <c r="D63" s="1">
        <f ca="1">MIN($D$3,VLOOKUP(C63,OP!$S$30:$T$41,2))</f>
        <v>2</v>
      </c>
      <c r="E63" s="1">
        <f t="shared" ca="1" si="4"/>
        <v>59</v>
      </c>
      <c r="F63" s="11" t="str">
        <f t="shared" ca="1" si="5"/>
        <v/>
      </c>
      <c r="G63" s="8">
        <f t="shared" ca="1" si="47"/>
        <v>365</v>
      </c>
      <c r="H63" s="8">
        <f t="shared" ca="1" si="6"/>
        <v>31</v>
      </c>
      <c r="I63" s="8" t="str">
        <f t="shared" ca="1" si="0"/>
        <v>55</v>
      </c>
      <c r="J63" s="13">
        <f>IF(繳費報酬率資料!$A$1=1,VALUE(OP!$C$121),VLOOKUP(A63,MP,2,0))</f>
        <v>0.05</v>
      </c>
      <c r="K63" s="14">
        <f ca="1">IF(SUM($K$4:K62,IF(繳費報酬率資料!$A$1=1,$AU63+$AV63,$BB63+$BC63))&gt;OP!$L$58,0,IF(繳費報酬率資料!$A$1=1,$AU63+$AV63,$BB63+$BC63))</f>
        <v>0</v>
      </c>
      <c r="L63" s="2">
        <f ca="1">ROUND(IF(OP!$C$78&lt;(IF(OR($T63="F",$E63&gt;=111),0,Z62+$K63-$O63+IF($C$1=1,OP!$C$78,IF($C64=$C$3,SUM(AC52:AC63,0)))))*5%,0,(OP!$C$78-((IF(OR($T63="F",$E63&gt;=111),0,Z62+$K63-$O63+IF($C$1=1,AC63,IF($C64=$C$3,SUM(AC52:AC63,0)))))*5%))*$Q63),0)</f>
        <v>0</v>
      </c>
      <c r="M63" s="2">
        <f ca="1">ROUND(IF(OP!$C$78&lt;(IF(OR($T63="F",$E63&gt;=111),0,AA62+$K63-$O63+IF($C$1=1,AD63,IF($C64=$C$3,SUM(AD52:AD63,0)))))*5%,0,(OP!$C$78-((IF(OR($T63="F",$E63&gt;=111),0,AA62+$K63-$O63+IF($C$1=1,AD63,IF($C64=$C$3,SUM(AD52:AD63,0)))))*5%))*$Q63),0)</f>
        <v>0</v>
      </c>
      <c r="N63" s="2">
        <f ca="1">ROUND(IF(OP!$C$78&lt;(IF(OR($T63="F",$E63&gt;=111),0,AB62+$K63-$O63+IF($C$1=1,AE63,IF($C64=$C$3,SUM(AE52:AE63,0)))))*5%,0,(OP!$C$78-((IF(OR($T63="F",$E63&gt;=111),0,AB62+$K63-$O63+IF($C$1=1,AE63,IF($C64=$C$3,SUM(AE52:AE63,0)))))*5%))*$Q63),0)</f>
        <v>0</v>
      </c>
      <c r="O63" s="261">
        <f t="shared" ca="1" si="7"/>
        <v>0</v>
      </c>
      <c r="P63" s="261">
        <f t="shared" ca="1" si="23"/>
        <v>0</v>
      </c>
      <c r="Q63" s="3">
        <f ca="1">IF(A63&gt;MAX(OP!$R$17:$R$26),0,VLOOKUP(A63,fees,3,FALSE))</f>
        <v>0</v>
      </c>
      <c r="R63" s="200">
        <f t="shared" ca="1" si="8"/>
        <v>5</v>
      </c>
      <c r="S63" s="9">
        <f ca="1">IF(COUNTIF(($T$4:T62),"F")&gt;=1,"",IF(OR(C64&lt;&gt;$C$3,E63=""),"",A63))</f>
        <v>5</v>
      </c>
      <c r="T63" s="20" t="str">
        <f t="shared" ca="1" si="1"/>
        <v/>
      </c>
      <c r="U63" s="2">
        <f ca="1">IF(IF(OP!$C$83=1,$Z62,IF(OP!$C$83=2,$AA62,IF(OP!$C$83=3,$AB62,)))+$K63-$O63-$P63-$AS63&lt;OP!$C$142,0,$AS63)</f>
        <v>0</v>
      </c>
      <c r="V63" s="19">
        <f ca="1">SUM(K52:K63)</f>
        <v>0</v>
      </c>
      <c r="W63" s="19">
        <f ca="1">MAX(SUM($K$4:K63),0)</f>
        <v>2000000</v>
      </c>
      <c r="X63" s="19">
        <f ca="1">SUM(O52:P63)</f>
        <v>0</v>
      </c>
      <c r="Y63" s="19">
        <f t="shared" ca="1" si="24"/>
        <v>1920000</v>
      </c>
      <c r="Z63" s="2">
        <f ca="1">IF(MIN($Z$4:Z62)=0,0,MAX(0,($Z62+$K63-$O63-$P63)*IF(AND(F63="F",$D$3&lt;&gt;$G$3),((1+(-J63))^(H63/MIN(G63,365))),((1+(-J63))^(1/12)))-$U63))</f>
        <v>1485659.400000002</v>
      </c>
      <c r="AA63" s="2">
        <f ca="1">IF(MIN($AA$4:AA62)=0,0,MAX(0,($AA62+$K63-$O63-$P63)*IF(AND(F63="F",$D$3&lt;&gt;$G$3),((1+$AA$1)^(H63/MIN(G63,365))),((1+$AA$1)^(1/12)))-$U63))</f>
        <v>1920000</v>
      </c>
      <c r="AB63" s="2">
        <f ca="1">IF(MIN($AB$4:AB62)=0,0,MAX(0,($AB62+$K63-$O63-$P63)*IF(AND(F63="F",$D$3&lt;&gt;$G$3),((1+(J63))^(H63/MIN(G63,365))),((1+(J63))^(1/12)))-$U63))</f>
        <v>2450460.6000000071</v>
      </c>
      <c r="AC63" s="5"/>
      <c r="AD63" s="5"/>
      <c r="AE63" s="5"/>
      <c r="AF63" s="282">
        <f t="shared" ca="1" si="9"/>
        <v>1485659</v>
      </c>
      <c r="AG63" s="282">
        <f t="shared" ca="1" si="10"/>
        <v>1920000</v>
      </c>
      <c r="AH63" s="282">
        <f t="shared" ca="1" si="11"/>
        <v>2450461</v>
      </c>
      <c r="AI63" s="23" t="str">
        <f t="shared" ca="1" si="2"/>
        <v>6-</v>
      </c>
      <c r="AJ63" s="282" t="str">
        <f ca="1">IF(E63&gt;111,,IF(AND(OP!$C$99=1,T63="F"),Z63,IF(AND(OP!$C$99=2,COUNTIF($T$4:T63,"F")=1),OP!$C$97+IF(F63="F",OP!$C$98,0),"")))</f>
        <v/>
      </c>
      <c r="AK63" s="282" t="str">
        <f ca="1">IF(E63&gt;111,,IF(AND(OP!$D$99=1,T63="F"),AA63,IF(AND(OP!$D$99=2,COUNTIF($T$4:T63,"F")=1),OP!$D$97+IF(F63="F",OP!$D$98,0),"")))</f>
        <v/>
      </c>
      <c r="AL63" s="282" t="str">
        <f ca="1">IF(E63&gt;111,,IF(AND(OP!$E$99=1,T63="F"),AB63,IF(AND(OP!$E$99=2,COUNTIF($T$4:T63,"F")=1),OP!$E$97+IF(F63="F",OP!$E$98,0),"")))</f>
        <v/>
      </c>
      <c r="AM63" s="1" t="str">
        <f t="shared" ca="1" si="25"/>
        <v/>
      </c>
      <c r="AN63" s="1" t="str">
        <f ca="1">IF(OR(VLOOKUP($A63,MP,5,0)="月繳"),1,"")</f>
        <v/>
      </c>
      <c r="AO63" s="1">
        <f t="shared" ca="1" si="12"/>
        <v>0</v>
      </c>
      <c r="AP63" s="1" t="str">
        <f ca="1">IF(AND(A63&lt;=OP!$C$120,COUNTIF(PAY,C63)=1),1,"")</f>
        <v/>
      </c>
      <c r="AR63" s="301">
        <f ca="1">IF(繳費報酬率資料!$A$1=1,$AY63+$AZ63,$BF63+$BG63)</f>
        <v>0</v>
      </c>
      <c r="AS63" s="1">
        <f ca="1">IF(C63&lt;&gt;IF($C$3=1,12,$C$3-1),0,IF(繳費報酬率資料!$A$1&lt;&gt;1,VLOOKUP($A63,MP,8,0),IF(AND($A63&gt;=OP!$C$79,$A63&lt;=OP!$C$80),OP!$C$78,)))</f>
        <v>0</v>
      </c>
      <c r="AT63" s="298">
        <f t="shared" ca="1" si="13"/>
        <v>0</v>
      </c>
      <c r="AU63" s="298">
        <f ca="1">IF(AND(A63&lt;=OP!$C$120,COUNTIF(PAY,C63)=1),OP!$C$123,0)</f>
        <v>0</v>
      </c>
      <c r="AV63" s="298">
        <f ca="1">IF(AND(A63&gt;=OP!$C$132,A63&lt;=OP!$C$133,$C$3=C63),OP!$C$135,0)</f>
        <v>0</v>
      </c>
      <c r="AW63" s="180">
        <f t="shared" ca="1" si="26"/>
        <v>0.05</v>
      </c>
      <c r="AX63" s="180">
        <f t="shared" ca="1" si="27"/>
        <v>0.05</v>
      </c>
      <c r="AY63" s="286">
        <f t="shared" ca="1" si="14"/>
        <v>0</v>
      </c>
      <c r="AZ63" s="286">
        <f t="shared" ca="1" si="15"/>
        <v>0</v>
      </c>
      <c r="BA63" s="286">
        <f t="shared" ca="1" si="16"/>
        <v>0</v>
      </c>
      <c r="BB63" s="286">
        <f t="shared" ca="1" si="28"/>
        <v>0</v>
      </c>
      <c r="BC63" s="286">
        <f t="shared" ca="1" si="17"/>
        <v>0</v>
      </c>
      <c r="BD63" s="180">
        <f t="shared" ca="1" si="29"/>
        <v>0.05</v>
      </c>
      <c r="BE63" s="180">
        <f t="shared" ca="1" si="30"/>
        <v>0.05</v>
      </c>
      <c r="BF63" s="286">
        <f t="shared" ca="1" si="18"/>
        <v>0</v>
      </c>
      <c r="BG63" s="286">
        <f t="shared" ca="1" si="19"/>
        <v>0</v>
      </c>
    </row>
    <row r="64" spans="1:59">
      <c r="A64" s="1">
        <f t="shared" ca="1" si="3"/>
        <v>6</v>
      </c>
      <c r="B64" s="1">
        <f t="shared" ca="1" si="20"/>
        <v>111</v>
      </c>
      <c r="C64" s="1">
        <f t="shared" ca="1" si="21"/>
        <v>6</v>
      </c>
      <c r="D64" s="1">
        <f ca="1">MIN($D$3,VLOOKUP(C64,OP!$S$30:$T$41,2))</f>
        <v>2</v>
      </c>
      <c r="E64" s="1">
        <f t="shared" ca="1" si="4"/>
        <v>60</v>
      </c>
      <c r="F64" s="11" t="str">
        <f t="shared" ca="1" si="5"/>
        <v/>
      </c>
      <c r="G64" s="6">
        <f ca="1">DATEDIF(DATE(B64+1911,C64,D64),DATE(B76+1911,C76,D76),"d")</f>
        <v>365</v>
      </c>
      <c r="H64" s="8">
        <f ca="1">DATEDIF(DATE(B64+1911,C64,D64),IF(F64="F",DATE($E$3+1911,$F$3,$G$3),DATE(B65+1911,C65,D65)),"d")</f>
        <v>30</v>
      </c>
      <c r="I64" s="8" t="str">
        <f t="shared" ca="1" si="0"/>
        <v>66</v>
      </c>
      <c r="J64" s="13">
        <f>IF(繳費報酬率資料!$A$1=1,VALUE(OP!$C$121),VLOOKUP(A64,MP,2,0))</f>
        <v>0.05</v>
      </c>
      <c r="K64" s="14">
        <f ca="1">IF(SUM($K$4:K63,IF(繳費報酬率資料!$A$1=1,$AU64+$AV64,$BB64+$BC64))&gt;OP!$L$58,0,IF(繳費報酬率資料!$A$1=1,$AU64+$AV64,$BB64+$BC64))</f>
        <v>0</v>
      </c>
      <c r="L64" s="2"/>
      <c r="M64" s="2"/>
      <c r="N64" s="2"/>
      <c r="O64" s="261">
        <f t="shared" ca="1" si="7"/>
        <v>0</v>
      </c>
      <c r="P64" s="261">
        <f t="shared" ca="1" si="23"/>
        <v>0</v>
      </c>
      <c r="Q64" s="3">
        <f ca="1">IF(A64&gt;MAX(OP!$R$17:$R$26),0,VLOOKUP(A64,fees,3,FALSE))</f>
        <v>0</v>
      </c>
      <c r="R64" s="200" t="str">
        <f t="shared" ca="1" si="8"/>
        <v/>
      </c>
      <c r="S64" s="9" t="str">
        <f ca="1">IF(COUNTIF(($T$4:T63),"F")&gt;=1,"",IF(OR(C65&lt;&gt;$C$3,E64=""),"",A64))</f>
        <v/>
      </c>
      <c r="T64" s="20" t="str">
        <f ca="1">IF(F64&lt;&gt;"","F","")</f>
        <v/>
      </c>
      <c r="U64" s="2">
        <f ca="1">IF(IF(OP!$C$83=1,$Z63,IF(OP!$C$83=2,$AA63,IF(OP!$C$83=3,$AB63,)))+$K64-$O64-$P64-$AS64&lt;OP!$C$142,0,$AS64)</f>
        <v>0</v>
      </c>
      <c r="V64" s="9"/>
      <c r="W64" s="19">
        <f ca="1">MAX(SUM($K$4:K64),0)</f>
        <v>2000000</v>
      </c>
      <c r="X64" s="19"/>
      <c r="Y64" s="19">
        <f t="shared" ca="1" si="24"/>
        <v>1920000</v>
      </c>
      <c r="Z64" s="2">
        <f ca="1">IF(MIN($Z$4:Z63)=0,0,MAX(0,($Z63+$K64-$O64-$P64)*IF(AND(F64="F",$D$3&lt;&gt;$G$3),((1+(-J64))^(H64/MIN(G64,365))),((1+(-J64))^(1/12)))-$U64))</f>
        <v>1479322.5890641224</v>
      </c>
      <c r="AA64" s="2">
        <f ca="1">IF(MIN($AA$4:AA63)=0,0,MAX(0,($AA63+$K64-$O64-$P64)*IF(AND(F64="F",$D$3&lt;&gt;$G$3),((1+$AA$1)^(H64/MIN(G64,365))),((1+$AA$1)^(1/12)))-$U64))</f>
        <v>1920000</v>
      </c>
      <c r="AB64" s="2">
        <f ca="1">IF(MIN($AB$4:AB63)=0,0,MAX(0,($AB63+$K64-$O64-$P64)*IF(AND(F64="F",$D$3&lt;&gt;$G$3),((1+(J64))^(H64/MIN(G64,365))),((1+(J64))^(1/12)))-$U64))</f>
        <v>2460444.0798113602</v>
      </c>
      <c r="AC64" s="21"/>
      <c r="AD64" s="21"/>
      <c r="AE64" s="21"/>
      <c r="AF64" s="282">
        <f t="shared" ca="1" si="9"/>
        <v>1479323</v>
      </c>
      <c r="AG64" s="282">
        <f t="shared" ca="1" si="10"/>
        <v>1920000</v>
      </c>
      <c r="AH64" s="282">
        <f t="shared" ca="1" si="11"/>
        <v>2460444</v>
      </c>
      <c r="AI64" s="23" t="str">
        <f t="shared" ca="1" si="2"/>
        <v>6-</v>
      </c>
      <c r="AJ64" s="281" t="str">
        <f ca="1">IF(E64&gt;111,,IF(AND(OP!$C$99=1,T64="F"),Z64,IF(AND(OP!$C$99=2,COUNTIF($T$4:T64,"F")=1),OP!$C$97+IF(F64="F",OP!$C$98,0),"")))</f>
        <v/>
      </c>
      <c r="AK64" s="281" t="str">
        <f ca="1">IF(E64&gt;111,,IF(AND(OP!$D$99=1,T64="F"),AA64,IF(AND(OP!$D$99=2,COUNTIF($T$4:T64,"F")=1),OP!$D$97+IF(F64="F",OP!$D$98,0),"")))</f>
        <v/>
      </c>
      <c r="AL64" s="281" t="str">
        <f ca="1">IF(E64&gt;111,,IF(AND(OP!$E$99=1,T64="F"),AB64,IF(AND(OP!$E$99=2,COUNTIF($T$4:T64,"F")=1),OP!$E$97+IF(F64="F",OP!$E$98,0),"")))</f>
        <v/>
      </c>
      <c r="AM64" s="1" t="str">
        <f t="shared" ca="1" si="25"/>
        <v/>
      </c>
      <c r="AN64" s="1">
        <f ca="1">IF(OR(VLOOKUP($A64,MP,5,0)="年繳",VLOOKUP($A64,MP,5,0)="半年繳",VLOOKUP($A64,MP,5,0)="季繳",VLOOKUP($A64,MP,5,0)="月繳"),1,"")</f>
        <v>1</v>
      </c>
      <c r="AO64" s="1">
        <f t="shared" ca="1" si="12"/>
        <v>0</v>
      </c>
      <c r="AP64" s="1" t="str">
        <f ca="1">IF(AND(A64&lt;=OP!$C$120,COUNTIF(PAY,C64)=1),1,"")</f>
        <v/>
      </c>
      <c r="AR64" s="301">
        <f ca="1">IF(繳費報酬率資料!$A$1=1,$AY64+$AZ64,$BF64+$BG64)</f>
        <v>0</v>
      </c>
      <c r="AS64" s="1">
        <f ca="1">IF(C64&lt;&gt;IF($C$3=1,12,$C$3-1),0,IF(繳費報酬率資料!$A$1&lt;&gt;1,VLOOKUP($A64,MP,8,0),IF(AND($A64&gt;=OP!$C$79,$A64&lt;=OP!$C$80),OP!$C$78,)))</f>
        <v>0</v>
      </c>
      <c r="AT64" s="298">
        <f t="shared" ca="1" si="13"/>
        <v>0</v>
      </c>
      <c r="AU64" s="298">
        <f ca="1">IF(AND(A64&lt;=OP!$C$120,COUNTIF(PAY,C64)=1),OP!$C$123,0)</f>
        <v>0</v>
      </c>
      <c r="AV64" s="298">
        <f ca="1">IF(AND(A64&gt;=OP!$C$132,A64&lt;=OP!$C$133,$C$3=C64),OP!$C$135,0)</f>
        <v>0</v>
      </c>
      <c r="AW64" s="180">
        <f t="shared" ca="1" si="26"/>
        <v>0.05</v>
      </c>
      <c r="AX64" s="180">
        <f t="shared" ca="1" si="27"/>
        <v>0.05</v>
      </c>
      <c r="AY64" s="286">
        <f t="shared" ca="1" si="14"/>
        <v>0</v>
      </c>
      <c r="AZ64" s="286">
        <f t="shared" ca="1" si="15"/>
        <v>0</v>
      </c>
      <c r="BA64" s="286">
        <f t="shared" ca="1" si="16"/>
        <v>0</v>
      </c>
      <c r="BB64" s="286">
        <f t="shared" ca="1" si="28"/>
        <v>0</v>
      </c>
      <c r="BC64" s="286">
        <f t="shared" ca="1" si="17"/>
        <v>0</v>
      </c>
      <c r="BD64" s="180">
        <f t="shared" ca="1" si="29"/>
        <v>0.05</v>
      </c>
      <c r="BE64" s="180">
        <f t="shared" ca="1" si="30"/>
        <v>0.05</v>
      </c>
      <c r="BF64" s="286">
        <f t="shared" ca="1" si="18"/>
        <v>0</v>
      </c>
      <c r="BG64" s="286">
        <f t="shared" ca="1" si="19"/>
        <v>0</v>
      </c>
    </row>
    <row r="65" spans="1:59">
      <c r="A65" s="1">
        <f t="shared" ca="1" si="3"/>
        <v>6</v>
      </c>
      <c r="B65" s="1">
        <f t="shared" ca="1" si="20"/>
        <v>111</v>
      </c>
      <c r="C65" s="1">
        <f t="shared" ca="1" si="21"/>
        <v>7</v>
      </c>
      <c r="D65" s="1">
        <f ca="1">MIN($D$3,VLOOKUP(C65,OP!$S$30:$T$41,2))</f>
        <v>2</v>
      </c>
      <c r="E65" s="1">
        <f t="shared" ca="1" si="4"/>
        <v>60</v>
      </c>
      <c r="F65" s="11" t="str">
        <f t="shared" ca="1" si="5"/>
        <v/>
      </c>
      <c r="G65" s="8">
        <f t="shared" ref="G65:G75" ca="1" si="48">G64</f>
        <v>365</v>
      </c>
      <c r="H65" s="8">
        <f t="shared" ca="1" si="6"/>
        <v>31</v>
      </c>
      <c r="I65" s="8" t="str">
        <f t="shared" ca="1" si="0"/>
        <v>67</v>
      </c>
      <c r="J65" s="13">
        <f>IF(繳費報酬率資料!$A$1=1,VALUE(OP!$C$121),VLOOKUP(A65,MP,2,0))</f>
        <v>0.05</v>
      </c>
      <c r="K65" s="14">
        <f ca="1">IF(SUM($K$4:K64,IF(繳費報酬率資料!$A$1=1,$AU65+$AV65,$BB65+$BC65))&gt;OP!$L$58,0,IF(繳費報酬率資料!$A$1=1,$AU65+$AV65,$BB65+$BC65))</f>
        <v>0</v>
      </c>
      <c r="L65" s="2"/>
      <c r="M65" s="2"/>
      <c r="N65" s="2"/>
      <c r="O65" s="261">
        <f t="shared" ca="1" si="7"/>
        <v>0</v>
      </c>
      <c r="P65" s="261">
        <f t="shared" ca="1" si="23"/>
        <v>0</v>
      </c>
      <c r="Q65" s="3">
        <f ca="1">IF(A65&gt;MAX(OP!$R$17:$R$26),0,VLOOKUP(A65,fees,3,FALSE))</f>
        <v>0</v>
      </c>
      <c r="R65" s="200" t="str">
        <f t="shared" ca="1" si="8"/>
        <v/>
      </c>
      <c r="S65" s="9" t="str">
        <f ca="1">IF(COUNTIF(($T$4:T64),"F")&gt;=1,"",IF(OR(C66&lt;&gt;$C$3,E65=""),"",A65))</f>
        <v/>
      </c>
      <c r="T65" s="20" t="str">
        <f t="shared" ca="1" si="1"/>
        <v/>
      </c>
      <c r="U65" s="2">
        <f ca="1">IF(IF(OP!$C$83=1,$Z64,IF(OP!$C$83=2,$AA64,IF(OP!$C$83=3,$AB64,)))+$K65-$O65-$P65-$AS65&lt;OP!$C$142,0,$AS65)</f>
        <v>0</v>
      </c>
      <c r="V65" s="9"/>
      <c r="W65" s="19">
        <f ca="1">MAX(SUM($K$4:K65),0)</f>
        <v>2000000</v>
      </c>
      <c r="X65" s="19"/>
      <c r="Y65" s="19">
        <f t="shared" ca="1" si="24"/>
        <v>1920000</v>
      </c>
      <c r="Z65" s="2">
        <f ca="1">IF(MIN($Z$4:Z64)=0,0,MAX(0,($Z64+$K65-$O65-$P65)*IF(AND(F65="F",$D$3&lt;&gt;$G$3),((1+(-J65))^(H65/MIN(G65,365))),((1+(-J65))^(1/12)))-$U65))</f>
        <v>1473012.8066469175</v>
      </c>
      <c r="AA65" s="2">
        <f ca="1">IF(MIN($AA$4:AA64)=0,0,MAX(0,($AA64+$K65-$O65-$P65)*IF(AND(F65="F",$D$3&lt;&gt;$G$3),((1+$AA$1)^(H65/MIN(G65,365))),((1+$AA$1)^(1/12)))-$U65))</f>
        <v>1920000</v>
      </c>
      <c r="AB65" s="2">
        <f ca="1">IF(MIN($AB$4:AB64)=0,0,MAX(0,($AB64+$K65-$O65-$P65)*IF(AND(F65="F",$D$3&lt;&gt;$G$3),((1+(J65))^(H65/MIN(G65,365))),((1+(J65))^(1/12)))-$U65))</f>
        <v>2470468.2335552564</v>
      </c>
      <c r="AC65" s="5"/>
      <c r="AD65" s="5"/>
      <c r="AE65" s="5"/>
      <c r="AF65" s="282">
        <f t="shared" ca="1" si="9"/>
        <v>1473013</v>
      </c>
      <c r="AG65" s="282">
        <f t="shared" ca="1" si="10"/>
        <v>1920000</v>
      </c>
      <c r="AH65" s="282">
        <f t="shared" ca="1" si="11"/>
        <v>2470468</v>
      </c>
      <c r="AI65" s="23" t="str">
        <f t="shared" ca="1" si="2"/>
        <v>6-</v>
      </c>
      <c r="AJ65" s="282" t="str">
        <f ca="1">IF(E65&gt;111,,IF(AND(OP!$C$99=1,T65="F"),Z65,IF(AND(OP!$C$99=2,COUNTIF($T$4:T65,"F")=1),OP!$C$97+IF(F65="F",OP!$C$98,0),"")))</f>
        <v/>
      </c>
      <c r="AK65" s="282" t="str">
        <f ca="1">IF(E65&gt;111,,IF(AND(OP!$D$99=1,T65="F"),AA65,IF(AND(OP!$D$99=2,COUNTIF($T$4:T65,"F")=1),OP!$D$97+IF(F65="F",OP!$D$98,0),"")))</f>
        <v/>
      </c>
      <c r="AL65" s="282" t="str">
        <f ca="1">IF(E65&gt;111,,IF(AND(OP!$E$99=1,T65="F"),AB65,IF(AND(OP!$E$99=2,COUNTIF($T$4:T65,"F")=1),OP!$E$97+IF(F65="F",OP!$E$98,0),"")))</f>
        <v/>
      </c>
      <c r="AM65" s="1" t="str">
        <f t="shared" ca="1" si="25"/>
        <v/>
      </c>
      <c r="AN65" s="1" t="str">
        <f ca="1">IF(OR(VLOOKUP($A65,MP,5,0)="月繳"),1,"")</f>
        <v/>
      </c>
      <c r="AO65" s="1">
        <f t="shared" ca="1" si="12"/>
        <v>0</v>
      </c>
      <c r="AP65" s="1" t="str">
        <f ca="1">IF(AND(A65&lt;=OP!$C$120,COUNTIF(PAY,C65)=1),1,"")</f>
        <v/>
      </c>
      <c r="AR65" s="301">
        <f ca="1">IF(繳費報酬率資料!$A$1=1,$AY65+$AZ65,$BF65+$BG65)</f>
        <v>0</v>
      </c>
      <c r="AS65" s="1">
        <f ca="1">IF(C65&lt;&gt;IF($C$3=1,12,$C$3-1),0,IF(繳費報酬率資料!$A$1&lt;&gt;1,VLOOKUP($A65,MP,8,0),IF(AND($A65&gt;=OP!$C$79,$A65&lt;=OP!$C$80),OP!$C$78,)))</f>
        <v>0</v>
      </c>
      <c r="AT65" s="298">
        <f t="shared" ca="1" si="13"/>
        <v>0</v>
      </c>
      <c r="AU65" s="298">
        <f ca="1">IF(AND(A65&lt;=OP!$C$120,COUNTIF(PAY,C65)=1),OP!$C$123,0)</f>
        <v>0</v>
      </c>
      <c r="AV65" s="298">
        <f ca="1">IF(AND(A65&gt;=OP!$C$132,A65&lt;=OP!$C$133,$C$3=C65),OP!$C$135,0)</f>
        <v>0</v>
      </c>
      <c r="AW65" s="180">
        <f t="shared" ca="1" si="26"/>
        <v>0.05</v>
      </c>
      <c r="AX65" s="180">
        <f t="shared" ca="1" si="27"/>
        <v>0.05</v>
      </c>
      <c r="AY65" s="286">
        <f t="shared" ca="1" si="14"/>
        <v>0</v>
      </c>
      <c r="AZ65" s="286">
        <f t="shared" ca="1" si="15"/>
        <v>0</v>
      </c>
      <c r="BA65" s="286">
        <f t="shared" ca="1" si="16"/>
        <v>0</v>
      </c>
      <c r="BB65" s="286">
        <f t="shared" ca="1" si="28"/>
        <v>0</v>
      </c>
      <c r="BC65" s="286">
        <f t="shared" ca="1" si="17"/>
        <v>0</v>
      </c>
      <c r="BD65" s="180">
        <f t="shared" ca="1" si="29"/>
        <v>0.05</v>
      </c>
      <c r="BE65" s="180">
        <f t="shared" ca="1" si="30"/>
        <v>0.05</v>
      </c>
      <c r="BF65" s="286">
        <f t="shared" ca="1" si="18"/>
        <v>0</v>
      </c>
      <c r="BG65" s="286">
        <f t="shared" ca="1" si="19"/>
        <v>0</v>
      </c>
    </row>
    <row r="66" spans="1:59">
      <c r="A66" s="1">
        <f t="shared" ca="1" si="3"/>
        <v>6</v>
      </c>
      <c r="B66" s="1">
        <f t="shared" ca="1" si="20"/>
        <v>111</v>
      </c>
      <c r="C66" s="1">
        <f t="shared" ca="1" si="21"/>
        <v>8</v>
      </c>
      <c r="D66" s="1">
        <f ca="1">MIN($D$3,VLOOKUP(C66,OP!$S$30:$T$41,2))</f>
        <v>2</v>
      </c>
      <c r="E66" s="1">
        <f t="shared" ca="1" si="4"/>
        <v>60</v>
      </c>
      <c r="F66" s="11" t="str">
        <f t="shared" ca="1" si="5"/>
        <v/>
      </c>
      <c r="G66" s="8">
        <f t="shared" ca="1" si="48"/>
        <v>365</v>
      </c>
      <c r="H66" s="8">
        <f t="shared" ca="1" si="6"/>
        <v>31</v>
      </c>
      <c r="I66" s="8" t="str">
        <f t="shared" ca="1" si="0"/>
        <v>68</v>
      </c>
      <c r="J66" s="13">
        <f>IF(繳費報酬率資料!$A$1=1,VALUE(OP!$C$121),VLOOKUP(A66,MP,2,0))</f>
        <v>0.05</v>
      </c>
      <c r="K66" s="14">
        <f ca="1">IF(SUM($K$4:K65,IF(繳費報酬率資料!$A$1=1,$AU66+$AV66,$BB66+$BC66))&gt;OP!$L$58,0,IF(繳費報酬率資料!$A$1=1,$AU66+$AV66,$BB66+$BC66))</f>
        <v>0</v>
      </c>
      <c r="L66" s="2"/>
      <c r="M66" s="2"/>
      <c r="N66" s="2"/>
      <c r="O66" s="261">
        <f t="shared" ca="1" si="7"/>
        <v>0</v>
      </c>
      <c r="P66" s="261">
        <f t="shared" ca="1" si="23"/>
        <v>0</v>
      </c>
      <c r="Q66" s="3">
        <f ca="1">IF(A66&gt;MAX(OP!$R$17:$R$26),0,VLOOKUP(A66,fees,3,FALSE))</f>
        <v>0</v>
      </c>
      <c r="R66" s="200" t="str">
        <f t="shared" ca="1" si="8"/>
        <v/>
      </c>
      <c r="S66" s="9" t="str">
        <f ca="1">IF(COUNTIF(($T$4:T65),"F")&gt;=1,"",IF(OR(C67&lt;&gt;$C$3,E66=""),"",A66))</f>
        <v/>
      </c>
      <c r="T66" s="20" t="str">
        <f t="shared" ca="1" si="1"/>
        <v/>
      </c>
      <c r="U66" s="2">
        <f ca="1">IF(IF(OP!$C$83=1,$Z65,IF(OP!$C$83=2,$AA65,IF(OP!$C$83=3,$AB65,)))+$K66-$O66-$P66-$AS66&lt;OP!$C$142,0,$AS66)</f>
        <v>0</v>
      </c>
      <c r="V66" s="9"/>
      <c r="W66" s="19">
        <f ca="1">MAX(SUM($K$4:K66),0)</f>
        <v>2000000</v>
      </c>
      <c r="X66" s="19"/>
      <c r="Y66" s="19">
        <f t="shared" ca="1" si="24"/>
        <v>1920000</v>
      </c>
      <c r="Z66" s="2">
        <f ca="1">IF(MIN($Z$4:Z65)=0,0,MAX(0,($Z65+$K66-$O66-$P66)*IF(AND(F66="F",$D$3&lt;&gt;$G$3),((1+(-J66))^(H66/MIN(G66,365))),((1+(-J66))^(1/12)))-$U66))</f>
        <v>1466729.9374631392</v>
      </c>
      <c r="AA66" s="2">
        <f ca="1">IF(MIN($AA$4:AA65)=0,0,MAX(0,($AA65+$K66-$O66-$P66)*IF(AND(F66="F",$D$3&lt;&gt;$G$3),((1+$AA$1)^(H66/MIN(G66,365))),((1+$AA$1)^(1/12)))-$U66))</f>
        <v>1920000</v>
      </c>
      <c r="AB66" s="2">
        <f ca="1">IF(MIN($AB$4:AB65)=0,0,MAX(0,($AB65+$K66-$O66-$P66)*IF(AND(F66="F",$D$3&lt;&gt;$G$3),((1+(J66))^(H66/MIN(G66,365))),((1+(J66))^(1/12)))-$U66))</f>
        <v>2480533.2269423315</v>
      </c>
      <c r="AC66" s="5"/>
      <c r="AD66" s="5"/>
      <c r="AE66" s="5"/>
      <c r="AF66" s="282">
        <f t="shared" ca="1" si="9"/>
        <v>1466730</v>
      </c>
      <c r="AG66" s="282">
        <f t="shared" ca="1" si="10"/>
        <v>1920000</v>
      </c>
      <c r="AH66" s="282">
        <f t="shared" ca="1" si="11"/>
        <v>2480533</v>
      </c>
      <c r="AI66" s="23" t="str">
        <f t="shared" ca="1" si="2"/>
        <v>6-</v>
      </c>
      <c r="AJ66" s="282" t="str">
        <f ca="1">IF(E66&gt;111,,IF(AND(OP!$C$99=1,T66="F"),Z66,IF(AND(OP!$C$99=2,COUNTIF($T$4:T66,"F")=1),OP!$C$97+IF(F66="F",OP!$C$98,0),"")))</f>
        <v/>
      </c>
      <c r="AK66" s="282" t="str">
        <f ca="1">IF(E66&gt;111,,IF(AND(OP!$D$99=1,T66="F"),AA66,IF(AND(OP!$D$99=2,COUNTIF($T$4:T66,"F")=1),OP!$D$97+IF(F66="F",OP!$D$98,0),"")))</f>
        <v/>
      </c>
      <c r="AL66" s="282" t="str">
        <f ca="1">IF(E66&gt;111,,IF(AND(OP!$E$99=1,T66="F"),AB66,IF(AND(OP!$E$99=2,COUNTIF($T$4:T66,"F")=1),OP!$E$97+IF(F66="F",OP!$E$98,0),"")))</f>
        <v/>
      </c>
      <c r="AM66" s="1" t="str">
        <f t="shared" ca="1" si="25"/>
        <v/>
      </c>
      <c r="AN66" s="1" t="str">
        <f ca="1">IF(OR(VLOOKUP($A66,MP,5,0)="月繳"),1,"")</f>
        <v/>
      </c>
      <c r="AO66" s="1">
        <f t="shared" ca="1" si="12"/>
        <v>0</v>
      </c>
      <c r="AP66" s="1" t="str">
        <f ca="1">IF(AND(A66&lt;=OP!$C$120,COUNTIF(PAY,C66)=1),1,"")</f>
        <v/>
      </c>
      <c r="AR66" s="301">
        <f ca="1">IF(繳費報酬率資料!$A$1=1,$AY66+$AZ66,$BF66+$BG66)</f>
        <v>0</v>
      </c>
      <c r="AS66" s="1">
        <f ca="1">IF(C66&lt;&gt;IF($C$3=1,12,$C$3-1),0,IF(繳費報酬率資料!$A$1&lt;&gt;1,VLOOKUP($A66,MP,8,0),IF(AND($A66&gt;=OP!$C$79,$A66&lt;=OP!$C$80),OP!$C$78,)))</f>
        <v>0</v>
      </c>
      <c r="AT66" s="298">
        <f t="shared" ca="1" si="13"/>
        <v>0</v>
      </c>
      <c r="AU66" s="298">
        <f ca="1">IF(AND(A66&lt;=OP!$C$120,COUNTIF(PAY,C66)=1),OP!$C$123,0)</f>
        <v>0</v>
      </c>
      <c r="AV66" s="298">
        <f ca="1">IF(AND(A66&gt;=OP!$C$132,A66&lt;=OP!$C$133,$C$3=C66),OP!$C$135,0)</f>
        <v>0</v>
      </c>
      <c r="AW66" s="180">
        <f t="shared" ca="1" si="26"/>
        <v>0.05</v>
      </c>
      <c r="AX66" s="180">
        <f t="shared" ca="1" si="27"/>
        <v>0.05</v>
      </c>
      <c r="AY66" s="286">
        <f t="shared" ca="1" si="14"/>
        <v>0</v>
      </c>
      <c r="AZ66" s="286">
        <f t="shared" ca="1" si="15"/>
        <v>0</v>
      </c>
      <c r="BA66" s="286">
        <f t="shared" ca="1" si="16"/>
        <v>0</v>
      </c>
      <c r="BB66" s="286">
        <f t="shared" ca="1" si="28"/>
        <v>0</v>
      </c>
      <c r="BC66" s="286">
        <f t="shared" ca="1" si="17"/>
        <v>0</v>
      </c>
      <c r="BD66" s="180">
        <f t="shared" ca="1" si="29"/>
        <v>0.05</v>
      </c>
      <c r="BE66" s="180">
        <f t="shared" ca="1" si="30"/>
        <v>0.05</v>
      </c>
      <c r="BF66" s="286">
        <f t="shared" ca="1" si="18"/>
        <v>0</v>
      </c>
      <c r="BG66" s="286">
        <f t="shared" ca="1" si="19"/>
        <v>0</v>
      </c>
    </row>
    <row r="67" spans="1:59">
      <c r="A67" s="1">
        <f t="shared" ca="1" si="3"/>
        <v>6</v>
      </c>
      <c r="B67" s="1">
        <f t="shared" ca="1" si="20"/>
        <v>111</v>
      </c>
      <c r="C67" s="1">
        <f t="shared" ca="1" si="21"/>
        <v>9</v>
      </c>
      <c r="D67" s="1">
        <f ca="1">MIN($D$3,VLOOKUP(C67,OP!$S$30:$T$41,2))</f>
        <v>2</v>
      </c>
      <c r="E67" s="1">
        <f t="shared" ca="1" si="4"/>
        <v>60</v>
      </c>
      <c r="F67" s="11" t="str">
        <f t="shared" ca="1" si="5"/>
        <v/>
      </c>
      <c r="G67" s="8">
        <f t="shared" ca="1" si="48"/>
        <v>365</v>
      </c>
      <c r="H67" s="8">
        <f t="shared" ca="1" si="6"/>
        <v>30</v>
      </c>
      <c r="I67" s="8" t="str">
        <f t="shared" ca="1" si="0"/>
        <v>69</v>
      </c>
      <c r="J67" s="13">
        <f>IF(繳費報酬率資料!$A$1=1,VALUE(OP!$C$121),VLOOKUP(A67,MP,2,0))</f>
        <v>0.05</v>
      </c>
      <c r="K67" s="14">
        <f ca="1">IF(SUM($K$4:K66,IF(繳費報酬率資料!$A$1=1,$AU67+$AV67,$BB67+$BC67))&gt;OP!$L$58,0,IF(繳費報酬率資料!$A$1=1,$AU67+$AV67,$BB67+$BC67))</f>
        <v>0</v>
      </c>
      <c r="L67" s="2"/>
      <c r="M67" s="2"/>
      <c r="N67" s="2"/>
      <c r="O67" s="261">
        <f t="shared" ca="1" si="7"/>
        <v>0</v>
      </c>
      <c r="P67" s="261">
        <f t="shared" ca="1" si="23"/>
        <v>0</v>
      </c>
      <c r="Q67" s="3">
        <f ca="1">IF(A67&gt;MAX(OP!$R$17:$R$26),0,VLOOKUP(A67,fees,3,FALSE))</f>
        <v>0</v>
      </c>
      <c r="R67" s="200" t="str">
        <f t="shared" ca="1" si="8"/>
        <v/>
      </c>
      <c r="S67" s="9" t="str">
        <f ca="1">IF(COUNTIF(($T$4:T66),"F")&gt;=1,"",IF(OR(C68&lt;&gt;$C$3,E67=""),"",A67))</f>
        <v/>
      </c>
      <c r="T67" s="20" t="str">
        <f t="shared" ca="1" si="1"/>
        <v/>
      </c>
      <c r="U67" s="2">
        <f ca="1">IF(IF(OP!$C$83=1,$Z66,IF(OP!$C$83=2,$AA66,IF(OP!$C$83=3,$AB66,)))+$K67-$O67-$P67-$AS67&lt;OP!$C$142,0,$AS67)</f>
        <v>0</v>
      </c>
      <c r="V67" s="9"/>
      <c r="W67" s="19">
        <f ca="1">MAX(SUM($K$4:K67),0)</f>
        <v>2000000</v>
      </c>
      <c r="X67" s="19"/>
      <c r="Y67" s="19">
        <f t="shared" ca="1" si="24"/>
        <v>1920000</v>
      </c>
      <c r="Z67" s="2">
        <f ca="1">IF(MIN($Z$4:Z66)=0,0,MAX(0,($Z66+$K67-$O67-$P67)*IF(AND(F67="F",$D$3&lt;&gt;$G$3),((1+(-J67))^(H67/MIN(G67,365))),((1+(-J67))^(1/12)))-$U67))</f>
        <v>1460473.8667192673</v>
      </c>
      <c r="AA67" s="2">
        <f ca="1">IF(MIN($AA$4:AA66)=0,0,MAX(0,($AA66+$K67-$O67-$P67)*IF(AND(F67="F",$D$3&lt;&gt;$G$3),((1+$AA$1)^(H67/MIN(G67,365))),((1+$AA$1)^(1/12)))-$U67))</f>
        <v>1920000</v>
      </c>
      <c r="AB67" s="2">
        <f ca="1">IF(MIN($AB$4:AB66)=0,0,MAX(0,($AB66+$K67-$O67-$P67)*IF(AND(F67="F",$D$3&lt;&gt;$G$3),((1+(J67))^(H67/MIN(G67,365))),((1+(J67))^(1/12)))-$U67))</f>
        <v>2490639.2263583471</v>
      </c>
      <c r="AC67" s="5"/>
      <c r="AD67" s="5"/>
      <c r="AE67" s="5"/>
      <c r="AF67" s="282">
        <f t="shared" ca="1" si="9"/>
        <v>1460474</v>
      </c>
      <c r="AG67" s="282">
        <f t="shared" ca="1" si="10"/>
        <v>1920000</v>
      </c>
      <c r="AH67" s="282">
        <f t="shared" ca="1" si="11"/>
        <v>2490639</v>
      </c>
      <c r="AI67" s="23" t="str">
        <f t="shared" ca="1" si="2"/>
        <v>6-</v>
      </c>
      <c r="AJ67" s="282" t="str">
        <f ca="1">IF(E67&gt;111,,IF(AND(OP!$C$99=1,T67="F"),Z67,IF(AND(OP!$C$99=2,COUNTIF($T$4:T67,"F")=1),OP!$C$97+IF(F67="F",OP!$C$98,0),"")))</f>
        <v/>
      </c>
      <c r="AK67" s="282" t="str">
        <f ca="1">IF(E67&gt;111,,IF(AND(OP!$D$99=1,T67="F"),AA67,IF(AND(OP!$D$99=2,COUNTIF($T$4:T67,"F")=1),OP!$D$97+IF(F67="F",OP!$D$98,0),"")))</f>
        <v/>
      </c>
      <c r="AL67" s="282" t="str">
        <f ca="1">IF(E67&gt;111,,IF(AND(OP!$E$99=1,T67="F"),AB67,IF(AND(OP!$E$99=2,COUNTIF($T$4:T67,"F")=1),OP!$E$97+IF(F67="F",OP!$E$98,0),"")))</f>
        <v/>
      </c>
      <c r="AM67" s="1" t="str">
        <f t="shared" ca="1" si="25"/>
        <v/>
      </c>
      <c r="AN67" s="1" t="str">
        <f ca="1">IF(OR(VLOOKUP($A67,MP,5,0)="季繳",VLOOKUP($A67,MP,5,0)="月繳"),1,"")</f>
        <v/>
      </c>
      <c r="AO67" s="1">
        <f t="shared" ca="1" si="12"/>
        <v>0</v>
      </c>
      <c r="AP67" s="1" t="str">
        <f ca="1">IF(AND(A67&lt;=OP!$C$120,COUNTIF(PAY,C67)=1),1,"")</f>
        <v/>
      </c>
      <c r="AR67" s="301">
        <f ca="1">IF(繳費報酬率資料!$A$1=1,$AY67+$AZ67,$BF67+$BG67)</f>
        <v>0</v>
      </c>
      <c r="AS67" s="1">
        <f ca="1">IF(C67&lt;&gt;IF($C$3=1,12,$C$3-1),0,IF(繳費報酬率資料!$A$1&lt;&gt;1,VLOOKUP($A67,MP,8,0),IF(AND($A67&gt;=OP!$C$79,$A67&lt;=OP!$C$80),OP!$C$78,)))</f>
        <v>0</v>
      </c>
      <c r="AT67" s="298">
        <f t="shared" ca="1" si="13"/>
        <v>0</v>
      </c>
      <c r="AU67" s="298">
        <f ca="1">IF(AND(A67&lt;=OP!$C$120,COUNTIF(PAY,C67)=1),OP!$C$123,0)</f>
        <v>0</v>
      </c>
      <c r="AV67" s="298">
        <f ca="1">IF(AND(A67&gt;=OP!$C$132,A67&lt;=OP!$C$133,$C$3=C67),OP!$C$135,0)</f>
        <v>0</v>
      </c>
      <c r="AW67" s="180">
        <f t="shared" ca="1" si="26"/>
        <v>0.05</v>
      </c>
      <c r="AX67" s="180">
        <f t="shared" ca="1" si="27"/>
        <v>0.05</v>
      </c>
      <c r="AY67" s="286">
        <f t="shared" ca="1" si="14"/>
        <v>0</v>
      </c>
      <c r="AZ67" s="286">
        <f t="shared" ca="1" si="15"/>
        <v>0</v>
      </c>
      <c r="BA67" s="286">
        <f t="shared" ca="1" si="16"/>
        <v>0</v>
      </c>
      <c r="BB67" s="286">
        <f t="shared" ca="1" si="28"/>
        <v>0</v>
      </c>
      <c r="BC67" s="286">
        <f t="shared" ca="1" si="17"/>
        <v>0</v>
      </c>
      <c r="BD67" s="180">
        <f t="shared" ca="1" si="29"/>
        <v>0.05</v>
      </c>
      <c r="BE67" s="180">
        <f t="shared" ca="1" si="30"/>
        <v>0.05</v>
      </c>
      <c r="BF67" s="286">
        <f t="shared" ca="1" si="18"/>
        <v>0</v>
      </c>
      <c r="BG67" s="286">
        <f t="shared" ca="1" si="19"/>
        <v>0</v>
      </c>
    </row>
    <row r="68" spans="1:59">
      <c r="A68" s="1">
        <f t="shared" ca="1" si="3"/>
        <v>6</v>
      </c>
      <c r="B68" s="1">
        <f t="shared" ca="1" si="20"/>
        <v>111</v>
      </c>
      <c r="C68" s="1">
        <f t="shared" ca="1" si="21"/>
        <v>10</v>
      </c>
      <c r="D68" s="1">
        <f ca="1">MIN($D$3,VLOOKUP(C68,OP!$S$30:$T$41,2))</f>
        <v>2</v>
      </c>
      <c r="E68" s="1">
        <f t="shared" ca="1" si="4"/>
        <v>60</v>
      </c>
      <c r="F68" s="11" t="str">
        <f t="shared" ca="1" si="5"/>
        <v/>
      </c>
      <c r="G68" s="8">
        <f t="shared" ca="1" si="48"/>
        <v>365</v>
      </c>
      <c r="H68" s="8">
        <f t="shared" ca="1" si="6"/>
        <v>31</v>
      </c>
      <c r="I68" s="8" t="str">
        <f t="shared" ref="I68:I131" ca="1" si="49">A68&amp;C68</f>
        <v>610</v>
      </c>
      <c r="J68" s="13">
        <f>IF(繳費報酬率資料!$A$1=1,VALUE(OP!$C$121),VLOOKUP(A68,MP,2,0))</f>
        <v>0.05</v>
      </c>
      <c r="K68" s="14">
        <f ca="1">IF(SUM($K$4:K67,IF(繳費報酬率資料!$A$1=1,$AU68+$AV68,$BB68+$BC68))&gt;OP!$L$58,0,IF(繳費報酬率資料!$A$1=1,$AU68+$AV68,$BB68+$BC68))</f>
        <v>0</v>
      </c>
      <c r="L68" s="2"/>
      <c r="M68" s="2"/>
      <c r="N68" s="2"/>
      <c r="O68" s="261">
        <f t="shared" ca="1" si="7"/>
        <v>0</v>
      </c>
      <c r="P68" s="261">
        <f t="shared" ca="1" si="23"/>
        <v>0</v>
      </c>
      <c r="Q68" s="3">
        <f ca="1">IF(A68&gt;MAX(OP!$R$17:$R$26),0,VLOOKUP(A68,fees,3,FALSE))</f>
        <v>0</v>
      </c>
      <c r="R68" s="200" t="str">
        <f t="shared" ca="1" si="8"/>
        <v/>
      </c>
      <c r="S68" s="9" t="str">
        <f ca="1">IF(COUNTIF(($T$4:T67),"F")&gt;=1,"",IF(OR(C69&lt;&gt;$C$3,E68=""),"",A68))</f>
        <v/>
      </c>
      <c r="T68" s="20" t="str">
        <f t="shared" ref="T68:T123" ca="1" si="50">IF(F68&lt;&gt;"","F","")</f>
        <v/>
      </c>
      <c r="U68" s="2">
        <f ca="1">IF(IF(OP!$C$83=1,$Z67,IF(OP!$C$83=2,$AA67,IF(OP!$C$83=3,$AB67,)))+$K68-$O68-$P68-$AS68&lt;OP!$C$142,0,$AS68)</f>
        <v>0</v>
      </c>
      <c r="V68" s="9"/>
      <c r="W68" s="19">
        <f ca="1">MAX(SUM($K$4:K68),0)</f>
        <v>2000000</v>
      </c>
      <c r="X68" s="19"/>
      <c r="Y68" s="19">
        <f t="shared" ca="1" si="24"/>
        <v>1920000</v>
      </c>
      <c r="Z68" s="2">
        <f ca="1">IF(MIN($Z$4:Z67)=0,0,MAX(0,($Z67+$K68-$O68-$P68)*IF(AND(F68="F",$D$3&lt;&gt;$G$3),((1+(-J68))^(H68/MIN(G68,365))),((1+(-J68))^(1/12)))-$U68))</f>
        <v>1454244.4801114129</v>
      </c>
      <c r="AA68" s="2">
        <f ca="1">IF(MIN($AA$4:AA67)=0,0,MAX(0,($AA67+$K68-$O68-$P68)*IF(AND(F68="F",$D$3&lt;&gt;$G$3),((1+$AA$1)^(H68/MIN(G68,365))),((1+$AA$1)^(1/12)))-$U68))</f>
        <v>1920000</v>
      </c>
      <c r="AB68" s="2">
        <f ca="1">IF(MIN($AB$4:AB67)=0,0,MAX(0,($AB67+$K68-$O68-$P68)*IF(AND(F68="F",$D$3&lt;&gt;$G$3),((1+(J68))^(H68/MIN(G68,365))),((1+(J68))^(1/12)))-$U68))</f>
        <v>2500786.3988669412</v>
      </c>
      <c r="AC68" s="5"/>
      <c r="AD68" s="5"/>
      <c r="AE68" s="5"/>
      <c r="AF68" s="282">
        <f t="shared" ca="1" si="9"/>
        <v>1454244</v>
      </c>
      <c r="AG68" s="282">
        <f t="shared" ca="1" si="10"/>
        <v>1920000</v>
      </c>
      <c r="AH68" s="282">
        <f t="shared" ca="1" si="11"/>
        <v>2500786</v>
      </c>
      <c r="AI68" s="23" t="str">
        <f t="shared" ref="AI68:AI74" ca="1" si="51">IF($G$3=D69,A69,A68)&amp;"-"&amp;AM68</f>
        <v>6-</v>
      </c>
      <c r="AJ68" s="282" t="str">
        <f ca="1">IF(E68&gt;111,,IF(AND(OP!$C$99=1,T68="F"),Z68,IF(AND(OP!$C$99=2,COUNTIF($T$4:T68,"F")=1),OP!$C$97+IF(F68="F",OP!$C$98,0),"")))</f>
        <v/>
      </c>
      <c r="AK68" s="282" t="str">
        <f ca="1">IF(E68&gt;111,,IF(AND(OP!$D$99=1,T68="F"),AA68,IF(AND(OP!$D$99=2,COUNTIF($T$4:T68,"F")=1),OP!$D$97+IF(F68="F",OP!$D$98,0),"")))</f>
        <v/>
      </c>
      <c r="AL68" s="282" t="str">
        <f ca="1">IF(E68&gt;111,,IF(AND(OP!$E$99=1,T68="F"),AB68,IF(AND(OP!$E$99=2,COUNTIF($T$4:T68,"F")=1),OP!$E$97+IF(F68="F",OP!$E$98,0),"")))</f>
        <v/>
      </c>
      <c r="AM68" s="1" t="str">
        <f t="shared" ca="1" si="25"/>
        <v/>
      </c>
      <c r="AN68" s="1" t="str">
        <f ca="1">IF(OR(VLOOKUP($A68,MP,5,0)="月繳"),1,"")</f>
        <v/>
      </c>
      <c r="AO68" s="1">
        <f t="shared" ca="1" si="12"/>
        <v>0</v>
      </c>
      <c r="AP68" s="1" t="str">
        <f ca="1">IF(AND(A68&lt;=OP!$C$120,COUNTIF(PAY,C68)=1),1,"")</f>
        <v/>
      </c>
      <c r="AR68" s="301">
        <f ca="1">IF(繳費報酬率資料!$A$1=1,$AY68+$AZ68,$BF68+$BG68)</f>
        <v>0</v>
      </c>
      <c r="AS68" s="1">
        <f ca="1">IF(C68&lt;&gt;IF($C$3=1,12,$C$3-1),0,IF(繳費報酬率資料!$A$1&lt;&gt;1,VLOOKUP($A68,MP,8,0),IF(AND($A68&gt;=OP!$C$79,$A68&lt;=OP!$C$80),OP!$C$78,)))</f>
        <v>0</v>
      </c>
      <c r="AT68" s="298">
        <f t="shared" ca="1" si="13"/>
        <v>0</v>
      </c>
      <c r="AU68" s="298">
        <f ca="1">IF(AND(A68&lt;=OP!$C$120,COUNTIF(PAY,C68)=1),OP!$C$123,0)</f>
        <v>0</v>
      </c>
      <c r="AV68" s="298">
        <f ca="1">IF(AND(A68&gt;=OP!$C$132,A68&lt;=OP!$C$133,$C$3=C68),OP!$C$135,0)</f>
        <v>0</v>
      </c>
      <c r="AW68" s="180">
        <f t="shared" ca="1" si="26"/>
        <v>0.05</v>
      </c>
      <c r="AX68" s="180">
        <f t="shared" ca="1" si="27"/>
        <v>0.05</v>
      </c>
      <c r="AY68" s="286">
        <f t="shared" ca="1" si="14"/>
        <v>0</v>
      </c>
      <c r="AZ68" s="286">
        <f t="shared" ca="1" si="15"/>
        <v>0</v>
      </c>
      <c r="BA68" s="286">
        <f t="shared" ca="1" si="16"/>
        <v>0</v>
      </c>
      <c r="BB68" s="286">
        <f t="shared" ca="1" si="28"/>
        <v>0</v>
      </c>
      <c r="BC68" s="286">
        <f t="shared" ca="1" si="17"/>
        <v>0</v>
      </c>
      <c r="BD68" s="180">
        <f t="shared" ca="1" si="29"/>
        <v>0.05</v>
      </c>
      <c r="BE68" s="180">
        <f t="shared" ca="1" si="30"/>
        <v>0.05</v>
      </c>
      <c r="BF68" s="286">
        <f t="shared" ca="1" si="18"/>
        <v>0</v>
      </c>
      <c r="BG68" s="286">
        <f t="shared" ca="1" si="19"/>
        <v>0</v>
      </c>
    </row>
    <row r="69" spans="1:59">
      <c r="A69" s="1">
        <f t="shared" ref="A69:A132" ca="1" si="52">IF(C69=$C$4,A68+1,A68)</f>
        <v>6</v>
      </c>
      <c r="B69" s="1">
        <f t="shared" ca="1" si="20"/>
        <v>111</v>
      </c>
      <c r="C69" s="1">
        <f t="shared" ca="1" si="21"/>
        <v>11</v>
      </c>
      <c r="D69" s="1">
        <f ca="1">MIN($D$3,VLOOKUP(C69,OP!$S$30:$T$41,2))</f>
        <v>2</v>
      </c>
      <c r="E69" s="1">
        <f t="shared" ref="E69:E123" ca="1" si="53">IF($K$1+A69-1&gt;$D$1,"",$K$1+A69-1)</f>
        <v>60</v>
      </c>
      <c r="F69" s="11" t="str">
        <f t="shared" ref="F69:F132" ca="1" si="54">IF(AND(DATE($E$3+1911,$F$3,$G$3)&gt;DATE(B69+1911,C69,D69),DATE($E$3+1911,$F$3,$G$3)&lt;=DATE(B70+1911,C70,D70)),"F","")</f>
        <v/>
      </c>
      <c r="G69" s="8">
        <f t="shared" ca="1" si="48"/>
        <v>365</v>
      </c>
      <c r="H69" s="8">
        <f t="shared" ref="H69:H132" ca="1" si="55">DATEDIF(DATE(B69+1911,C69,D69),IF(F69="F",DATE($E$3+1911,$F$3,$G$3),DATE(B70+1911,C70,D70)),"d")</f>
        <v>30</v>
      </c>
      <c r="I69" s="8" t="str">
        <f t="shared" ca="1" si="49"/>
        <v>611</v>
      </c>
      <c r="J69" s="13">
        <f>IF(繳費報酬率資料!$A$1=1,VALUE(OP!$C$121),VLOOKUP(A69,MP,2,0))</f>
        <v>0.05</v>
      </c>
      <c r="K69" s="14">
        <f ca="1">IF(SUM($K$4:K68,IF(繳費報酬率資料!$A$1=1,$AU69+$AV69,$BB69+$BC69))&gt;OP!$L$58,0,IF(繳費報酬率資料!$A$1=1,$AU69+$AV69,$BB69+$BC69))</f>
        <v>0</v>
      </c>
      <c r="L69" s="2"/>
      <c r="M69" s="2"/>
      <c r="N69" s="2"/>
      <c r="O69" s="261">
        <f t="shared" ref="O69:O132" ca="1" si="56">IF(K69=0,0,$AR69)</f>
        <v>0</v>
      </c>
      <c r="P69" s="261">
        <f t="shared" ca="1" si="23"/>
        <v>0</v>
      </c>
      <c r="Q69" s="3">
        <f ca="1">IF(A69&gt;MAX(OP!$R$17:$R$26),0,VLOOKUP(A69,fees,3,FALSE))</f>
        <v>0</v>
      </c>
      <c r="R69" s="200" t="str">
        <f t="shared" ref="R69:R132" ca="1" si="57">IF(OR(C70&lt;&gt;$C$3,E69=""),"",A69)</f>
        <v/>
      </c>
      <c r="S69" s="9" t="str">
        <f ca="1">IF(COUNTIF(($T$4:T68),"F")&gt;=1,"",IF(OR(C70&lt;&gt;$C$3,E69=""),"",A69))</f>
        <v/>
      </c>
      <c r="T69" s="20" t="str">
        <f t="shared" ca="1" si="50"/>
        <v/>
      </c>
      <c r="U69" s="2">
        <f ca="1">IF(IF(OP!$C$83=1,$Z68,IF(OP!$C$83=2,$AA68,IF(OP!$C$83=3,$AB68,)))+$K69-$O69-$P69-$AS69&lt;OP!$C$142,0,$AS69)</f>
        <v>0</v>
      </c>
      <c r="V69" s="9"/>
      <c r="W69" s="19">
        <f ca="1">MAX(SUM($K$4:K69),0)</f>
        <v>2000000</v>
      </c>
      <c r="X69" s="19"/>
      <c r="Y69" s="19">
        <f t="shared" ca="1" si="24"/>
        <v>1920000</v>
      </c>
      <c r="Z69" s="2">
        <f ca="1">IF(MIN($Z$4:Z68)=0,0,MAX(0,($Z68+$K69-$O69-$P69)*IF(AND(F69="F",$D$3&lt;&gt;$G$3),((1+(-J69))^(H69/MIN(G69,365))),((1+(-J69))^(1/12)))-$U69))</f>
        <v>1448041.6638232297</v>
      </c>
      <c r="AA69" s="2">
        <f ca="1">IF(MIN($AA$4:AA68)=0,0,MAX(0,($AA68+$K69-$O69-$P69)*IF(AND(F69="F",$D$3&lt;&gt;$G$3),((1+$AA$1)^(H69/MIN(G69,365))),((1+$AA$1)^(1/12)))-$U69))</f>
        <v>1920000</v>
      </c>
      <c r="AB69" s="2">
        <f ca="1">IF(MIN($AB$4:AB68)=0,0,MAX(0,($AB68+$K69-$O69-$P69)*IF(AND(F69="F",$D$3&lt;&gt;$G$3),((1+(J69))^(H69/MIN(G69,365))),((1+(J69))^(1/12)))-$U69))</f>
        <v>2510974.9122123895</v>
      </c>
      <c r="AC69" s="5"/>
      <c r="AD69" s="5"/>
      <c r="AE69" s="5"/>
      <c r="AF69" s="282">
        <f t="shared" ref="AF69:AF132" ca="1" si="58">ROUND(Z69*(1-$Q69),$AF$1)</f>
        <v>1448042</v>
      </c>
      <c r="AG69" s="282">
        <f t="shared" ref="AG69:AG132" ca="1" si="59">ROUND(AA69*(1-$Q69),$AF$1)</f>
        <v>1920000</v>
      </c>
      <c r="AH69" s="282">
        <f t="shared" ref="AH69:AH132" ca="1" si="60">ROUND(AB69*(1-$Q69),$AF$1)</f>
        <v>2510975</v>
      </c>
      <c r="AI69" s="23" t="str">
        <f t="shared" ca="1" si="51"/>
        <v>6-</v>
      </c>
      <c r="AJ69" s="282" t="str">
        <f ca="1">IF(E69&gt;111,,IF(AND(OP!$C$99=1,T69="F"),Z69,IF(AND(OP!$C$99=2,COUNTIF($T$4:T69,"F")=1),OP!$C$97+IF(F69="F",OP!$C$98,0),"")))</f>
        <v/>
      </c>
      <c r="AK69" s="282" t="str">
        <f ca="1">IF(E69&gt;111,,IF(AND(OP!$D$99=1,T69="F"),AA69,IF(AND(OP!$D$99=2,COUNTIF($T$4:T69,"F")=1),OP!$D$97+IF(F69="F",OP!$D$98,0),"")))</f>
        <v/>
      </c>
      <c r="AL69" s="282" t="str">
        <f ca="1">IF(E69&gt;111,,IF(AND(OP!$E$99=1,T69="F"),AB69,IF(AND(OP!$E$99=2,COUNTIF($T$4:T69,"F")=1),OP!$E$97+IF(F69="F",OP!$E$98,0),"")))</f>
        <v/>
      </c>
      <c r="AM69" s="1" t="str">
        <f t="shared" ref="AM69:AM123" ca="1" si="61">IF(AND(AK69&lt;&gt;"",AM68=""),1,IF(AND(AK69&lt;&gt;"",AM68&gt;0),IF(AM68=12,1,AM68+1),""))</f>
        <v/>
      </c>
      <c r="AN69" s="1" t="str">
        <f ca="1">IF(OR(VLOOKUP($A69,MP,5,0)="月繳"),1,"")</f>
        <v/>
      </c>
      <c r="AO69" s="1">
        <f t="shared" ref="AO69:AO132" ca="1" si="62">IF(ISNA(VLOOKUP(A69,MP,2,0)),,IF(C69=$C$3,ROUND(VLOOKUP(A69,MP,4,0),0),0)+IF(AN69=1,ROUND(VLOOKUP(A69,MP,6,0),0),0))</f>
        <v>0</v>
      </c>
      <c r="AP69" s="1" t="str">
        <f ca="1">IF(AND(A69&lt;=OP!$C$120,COUNTIF(PAY,C69)=1),1,"")</f>
        <v/>
      </c>
      <c r="AR69" s="301">
        <f ca="1">IF(繳費報酬率資料!$A$1=1,$AY69+$AZ69,$BF69+$BG69)</f>
        <v>0</v>
      </c>
      <c r="AS69" s="1">
        <f ca="1">IF(C69&lt;&gt;IF($C$3=1,12,$C$3-1),0,IF(繳費報酬率資料!$A$1&lt;&gt;1,VLOOKUP($A69,MP,8,0),IF(AND($A69&gt;=OP!$C$79,$A69&lt;=OP!$C$80),OP!$C$78,)))</f>
        <v>0</v>
      </c>
      <c r="AT69" s="298">
        <f t="shared" ref="AT69:AT132" ca="1" si="63">AU69+AV69</f>
        <v>0</v>
      </c>
      <c r="AU69" s="298">
        <f ca="1">IF(AND(A69&lt;=OP!$C$120,COUNTIF(PAY,C69)=1),OP!$C$123,0)</f>
        <v>0</v>
      </c>
      <c r="AV69" s="298">
        <f ca="1">IF(AND(A69&gt;=OP!$C$132,A69&lt;=OP!$C$133,$C$3=C69),OP!$C$135,0)</f>
        <v>0</v>
      </c>
      <c r="AW69" s="180">
        <f t="shared" ref="AW69:AW132" ca="1" si="64">HLOOKUP(IF($AU69&lt;$AY$1,1,IF(AND($AU69&gt;=$AY$1,$AU69&lt;$AZ$1),2,IF(AND($AU69&gt;=$AZ$1,$AU69&lt;$BA$1),3,IF(AND($AU69&gt;=$BA$1),4,1)))),PR,2,0)</f>
        <v>0.05</v>
      </c>
      <c r="AX69" s="180">
        <f t="shared" ref="AX69:AX132" ca="1" si="65">HLOOKUP(IF($AV69&lt;$AY$1,1,IF(AND($AV69&gt;=$AY$1,$AV69&lt;$AZ$1),2,IF(AND($AV69&gt;=$AZ$1,$AV69&lt;$BA$1),3,IF(AND($AV69&gt;=$BA$1),4,1)))),PR,2,0)</f>
        <v>0.05</v>
      </c>
      <c r="AY69" s="286">
        <f t="shared" ref="AY69:AY132" ca="1" si="66">ROUND(AU69*AW69,0)</f>
        <v>0</v>
      </c>
      <c r="AZ69" s="286">
        <f t="shared" ref="AZ69:AZ132" ca="1" si="67">ROUND(AV69*AX69,0)</f>
        <v>0</v>
      </c>
      <c r="BA69" s="286">
        <f t="shared" ref="BA69:BA132" ca="1" si="68">BB69+BC69</f>
        <v>0</v>
      </c>
      <c r="BB69" s="286">
        <f t="shared" ref="BB69:BB132" ca="1" si="69">IF(ISNA(VLOOKUP(A69,MP,2,0)),,IF(C69=$C$3,ROUND(VLOOKUP(A69,MP,6,0),0),0))</f>
        <v>0</v>
      </c>
      <c r="BC69" s="286">
        <f t="shared" ref="BC69:BC132" ca="1" si="70">IF(ISNA(VLOOKUP(A69,MP,4,0)),,IF(AND(C69=$C$3,AN69=1),ROUND(VLOOKUP(A69,MP,4,0),0),0))</f>
        <v>0</v>
      </c>
      <c r="BD69" s="180">
        <f t="shared" ref="BD69:BD132" ca="1" si="71">HLOOKUP(IF($BB69&lt;$AY$1,1,IF(AND($BB69&gt;=$AY$1,$BB69&lt;$AZ$1),2,IF(AND($BB69&gt;=$AZ$1,$BB69&lt;$BA$1),3,IF(AND($BB69&gt;=$BA$1),4,1)))),PR,2,0)</f>
        <v>0.05</v>
      </c>
      <c r="BE69" s="180">
        <f t="shared" ref="BE69:BE132" ca="1" si="72">HLOOKUP(IF($BC69&lt;$AY$1,1,IF(AND($BC69&gt;=$AY$1,$BC69&lt;$AZ$1),2,IF(AND($BC69&gt;=$AZ$1,$BC69&lt;$BA$1),3,IF(AND($BC69&gt;=$BA$1),4,1)))),PR,2,0)</f>
        <v>0.05</v>
      </c>
      <c r="BF69" s="286">
        <f t="shared" ref="BF69:BF132" ca="1" si="73">ROUND(BB69*BD69,0)</f>
        <v>0</v>
      </c>
      <c r="BG69" s="286">
        <f t="shared" ref="BG69:BG132" ca="1" si="74">ROUND(BC69*BE69,0)</f>
        <v>0</v>
      </c>
    </row>
    <row r="70" spans="1:59">
      <c r="A70" s="1">
        <f t="shared" ca="1" si="52"/>
        <v>6</v>
      </c>
      <c r="B70" s="1">
        <f t="shared" ref="B70:B123" ca="1" si="75">IF(C70=1,B69+1,B69)</f>
        <v>111</v>
      </c>
      <c r="C70" s="1">
        <f t="shared" ref="C70:C123" ca="1" si="76">IF(C69=12,1,C69+1)</f>
        <v>12</v>
      </c>
      <c r="D70" s="1">
        <f ca="1">MIN($D$3,VLOOKUP(C70,OP!$S$30:$T$41,2))</f>
        <v>2</v>
      </c>
      <c r="E70" s="1">
        <f t="shared" ca="1" si="53"/>
        <v>60</v>
      </c>
      <c r="F70" s="11" t="str">
        <f t="shared" ca="1" si="54"/>
        <v/>
      </c>
      <c r="G70" s="8">
        <f t="shared" ca="1" si="48"/>
        <v>365</v>
      </c>
      <c r="H70" s="8">
        <f t="shared" ca="1" si="55"/>
        <v>31</v>
      </c>
      <c r="I70" s="8" t="str">
        <f t="shared" ca="1" si="49"/>
        <v>612</v>
      </c>
      <c r="J70" s="13">
        <f>IF(繳費報酬率資料!$A$1=1,VALUE(OP!$C$121),VLOOKUP(A70,MP,2,0))</f>
        <v>0.05</v>
      </c>
      <c r="K70" s="14">
        <f ca="1">IF(SUM($K$4:K69,IF(繳費報酬率資料!$A$1=1,$AU70+$AV70,$BB70+$BC70))&gt;OP!$L$58,0,IF(繳費報酬率資料!$A$1=1,$AU70+$AV70,$BB70+$BC70))</f>
        <v>0</v>
      </c>
      <c r="L70" s="2"/>
      <c r="M70" s="2"/>
      <c r="N70" s="2"/>
      <c r="O70" s="261">
        <f t="shared" ca="1" si="56"/>
        <v>0</v>
      </c>
      <c r="P70" s="261">
        <f t="shared" ref="P70:P133" ca="1" si="77">IF(MAX(Z69:AB69)=0,0,P69)</f>
        <v>0</v>
      </c>
      <c r="Q70" s="3">
        <f ca="1">IF(A70&gt;MAX(OP!$R$17:$R$26),0,VLOOKUP(A70,fees,3,FALSE))</f>
        <v>0</v>
      </c>
      <c r="R70" s="200" t="str">
        <f t="shared" ca="1" si="57"/>
        <v/>
      </c>
      <c r="S70" s="9" t="str">
        <f ca="1">IF(COUNTIF(($T$4:T69),"F")&gt;=1,"",IF(OR(C71&lt;&gt;$C$3,E70=""),"",A70))</f>
        <v/>
      </c>
      <c r="T70" s="20" t="str">
        <f t="shared" ca="1" si="50"/>
        <v/>
      </c>
      <c r="U70" s="2">
        <f ca="1">IF(IF(OP!$C$83=1,$Z69,IF(OP!$C$83=2,$AA69,IF(OP!$C$83=3,$AB69,)))+$K70-$O70-$P70-$AS70&lt;OP!$C$142,0,$AS70)</f>
        <v>0</v>
      </c>
      <c r="V70" s="9"/>
      <c r="W70" s="19">
        <f ca="1">MAX(SUM($K$4:K70),0)</f>
        <v>2000000</v>
      </c>
      <c r="X70" s="19"/>
      <c r="Y70" s="19">
        <f t="shared" ref="Y70:Y133" ca="1" si="78">Y69+K70-O70</f>
        <v>1920000</v>
      </c>
      <c r="Z70" s="2">
        <f ca="1">IF(MIN($Z$4:Z69)=0,0,MAX(0,($Z69+$K70-$O70-$P70)*IF(AND(F70="F",$D$3&lt;&gt;$G$3),((1+(-J70))^(H70/MIN(G70,365))),((1+(-J70))^(1/12)))-$U70))</f>
        <v>1441865.3045238343</v>
      </c>
      <c r="AA70" s="2">
        <f ca="1">IF(MIN($AA$4:AA69)=0,0,MAX(0,($AA69+$K70-$O70-$P70)*IF(AND(F70="F",$D$3&lt;&gt;$G$3),((1+$AA$1)^(H70/MIN(G70,365))),((1+$AA$1)^(1/12)))-$U70))</f>
        <v>1920000</v>
      </c>
      <c r="AB70" s="2">
        <f ca="1">IF(MIN($AB$4:AB69)=0,0,MAX(0,($AB69+$K70-$O70-$P70)*IF(AND(F70="F",$D$3&lt;&gt;$G$3),((1+(J70))^(H70/MIN(G70,365))),((1+(J70))^(1/12)))-$U70))</f>
        <v>2521204.9348223782</v>
      </c>
      <c r="AC70" s="5"/>
      <c r="AD70" s="5"/>
      <c r="AE70" s="5"/>
      <c r="AF70" s="282">
        <f t="shared" ca="1" si="58"/>
        <v>1441865</v>
      </c>
      <c r="AG70" s="282">
        <f t="shared" ca="1" si="59"/>
        <v>1920000</v>
      </c>
      <c r="AH70" s="282">
        <f t="shared" ca="1" si="60"/>
        <v>2521205</v>
      </c>
      <c r="AI70" s="23" t="str">
        <f t="shared" ca="1" si="51"/>
        <v>6-</v>
      </c>
      <c r="AJ70" s="282" t="str">
        <f ca="1">IF(E70&gt;111,,IF(AND(OP!$C$99=1,T70="F"),Z70,IF(AND(OP!$C$99=2,COUNTIF($T$4:T70,"F")=1),OP!$C$97+IF(F70="F",OP!$C$98,0),"")))</f>
        <v/>
      </c>
      <c r="AK70" s="282" t="str">
        <f ca="1">IF(E70&gt;111,,IF(AND(OP!$D$99=1,T70="F"),AA70,IF(AND(OP!$D$99=2,COUNTIF($T$4:T70,"F")=1),OP!$D$97+IF(F70="F",OP!$D$98,0),"")))</f>
        <v/>
      </c>
      <c r="AL70" s="282" t="str">
        <f ca="1">IF(E70&gt;111,,IF(AND(OP!$E$99=1,T70="F"),AB70,IF(AND(OP!$E$99=2,COUNTIF($T$4:T70,"F")=1),OP!$E$97+IF(F70="F",OP!$E$98,0),"")))</f>
        <v/>
      </c>
      <c r="AM70" s="1" t="str">
        <f t="shared" ca="1" si="61"/>
        <v/>
      </c>
      <c r="AN70" s="1" t="str">
        <f ca="1">IF(OR(VLOOKUP($A70,MP,5,0)="半年繳",VLOOKUP($A70,MP,5,0)="季繳",VLOOKUP($A70,MP,5,0)="月繳"),1,"")</f>
        <v/>
      </c>
      <c r="AO70" s="1">
        <f t="shared" ca="1" si="62"/>
        <v>0</v>
      </c>
      <c r="AP70" s="1" t="str">
        <f ca="1">IF(AND(A70&lt;=OP!$C$120,COUNTIF(PAY,C70)=1),1,"")</f>
        <v/>
      </c>
      <c r="AR70" s="301">
        <f ca="1">IF(繳費報酬率資料!$A$1=1,$AY70+$AZ70,$BF70+$BG70)</f>
        <v>0</v>
      </c>
      <c r="AS70" s="1">
        <f ca="1">IF(C70&lt;&gt;IF($C$3=1,12,$C$3-1),0,IF(繳費報酬率資料!$A$1&lt;&gt;1,VLOOKUP($A70,MP,8,0),IF(AND($A70&gt;=OP!$C$79,$A70&lt;=OP!$C$80),OP!$C$78,)))</f>
        <v>0</v>
      </c>
      <c r="AT70" s="298">
        <f t="shared" ca="1" si="63"/>
        <v>0</v>
      </c>
      <c r="AU70" s="298">
        <f ca="1">IF(AND(A70&lt;=OP!$C$120,COUNTIF(PAY,C70)=1),OP!$C$123,0)</f>
        <v>0</v>
      </c>
      <c r="AV70" s="298">
        <f ca="1">IF(AND(A70&gt;=OP!$C$132,A70&lt;=OP!$C$133,$C$3=C70),OP!$C$135,0)</f>
        <v>0</v>
      </c>
      <c r="AW70" s="180">
        <f t="shared" ca="1" si="64"/>
        <v>0.05</v>
      </c>
      <c r="AX70" s="180">
        <f t="shared" ca="1" si="65"/>
        <v>0.05</v>
      </c>
      <c r="AY70" s="286">
        <f t="shared" ca="1" si="66"/>
        <v>0</v>
      </c>
      <c r="AZ70" s="286">
        <f t="shared" ca="1" si="67"/>
        <v>0</v>
      </c>
      <c r="BA70" s="286">
        <f t="shared" ca="1" si="68"/>
        <v>0</v>
      </c>
      <c r="BB70" s="286">
        <f t="shared" ca="1" si="69"/>
        <v>0</v>
      </c>
      <c r="BC70" s="286">
        <f t="shared" ca="1" si="70"/>
        <v>0</v>
      </c>
      <c r="BD70" s="180">
        <f t="shared" ca="1" si="71"/>
        <v>0.05</v>
      </c>
      <c r="BE70" s="180">
        <f t="shared" ca="1" si="72"/>
        <v>0.05</v>
      </c>
      <c r="BF70" s="286">
        <f t="shared" ca="1" si="73"/>
        <v>0</v>
      </c>
      <c r="BG70" s="286">
        <f t="shared" ca="1" si="74"/>
        <v>0</v>
      </c>
    </row>
    <row r="71" spans="1:59">
      <c r="A71" s="1">
        <f t="shared" ca="1" si="52"/>
        <v>6</v>
      </c>
      <c r="B71" s="1">
        <f t="shared" ca="1" si="75"/>
        <v>112</v>
      </c>
      <c r="C71" s="1">
        <f t="shared" ca="1" si="76"/>
        <v>1</v>
      </c>
      <c r="D71" s="1">
        <f ca="1">MIN($D$3,VLOOKUP(C71,OP!$S$30:$T$41,2))</f>
        <v>2</v>
      </c>
      <c r="E71" s="1">
        <f t="shared" ca="1" si="53"/>
        <v>60</v>
      </c>
      <c r="F71" s="11" t="str">
        <f t="shared" ca="1" si="54"/>
        <v/>
      </c>
      <c r="G71" s="8">
        <f t="shared" ca="1" si="48"/>
        <v>365</v>
      </c>
      <c r="H71" s="8">
        <f t="shared" ca="1" si="55"/>
        <v>31</v>
      </c>
      <c r="I71" s="8" t="str">
        <f t="shared" ca="1" si="49"/>
        <v>61</v>
      </c>
      <c r="J71" s="13">
        <f>IF(繳費報酬率資料!$A$1=1,VALUE(OP!$C$121),VLOOKUP(A71,MP,2,0))</f>
        <v>0.05</v>
      </c>
      <c r="K71" s="14">
        <f ca="1">IF(SUM($K$4:K70,IF(繳費報酬率資料!$A$1=1,$AU71+$AV71,$BB71+$BC71))&gt;OP!$L$58,0,IF(繳費報酬率資料!$A$1=1,$AU71+$AV71,$BB71+$BC71))</f>
        <v>0</v>
      </c>
      <c r="L71" s="2"/>
      <c r="M71" s="2"/>
      <c r="N71" s="2"/>
      <c r="O71" s="261">
        <f t="shared" ca="1" si="56"/>
        <v>0</v>
      </c>
      <c r="P71" s="261">
        <f t="shared" ca="1" si="77"/>
        <v>0</v>
      </c>
      <c r="Q71" s="3">
        <f ca="1">IF(A71&gt;MAX(OP!$R$17:$R$26),0,VLOOKUP(A71,fees,3,FALSE))</f>
        <v>0</v>
      </c>
      <c r="R71" s="200" t="str">
        <f t="shared" ca="1" si="57"/>
        <v/>
      </c>
      <c r="S71" s="9" t="str">
        <f ca="1">IF(COUNTIF(($T$4:T70),"F")&gt;=1,"",IF(OR(C72&lt;&gt;$C$3,E71=""),"",A71))</f>
        <v/>
      </c>
      <c r="T71" s="20" t="str">
        <f t="shared" ca="1" si="50"/>
        <v/>
      </c>
      <c r="U71" s="2">
        <f ca="1">IF(IF(OP!$C$83=1,$Z70,IF(OP!$C$83=2,$AA70,IF(OP!$C$83=3,$AB70,)))+$K71-$O71-$P71-$AS71&lt;OP!$C$142,0,$AS71)</f>
        <v>0</v>
      </c>
      <c r="V71" s="9"/>
      <c r="W71" s="19">
        <f ca="1">MAX(SUM($K$4:K71),0)</f>
        <v>2000000</v>
      </c>
      <c r="X71" s="19"/>
      <c r="Y71" s="19">
        <f t="shared" ca="1" si="78"/>
        <v>1920000</v>
      </c>
      <c r="Z71" s="2">
        <f ca="1">IF(MIN($Z$4:Z70)=0,0,MAX(0,($Z70+$K71-$O71-$P71)*IF(AND(F71="F",$D$3&lt;&gt;$G$3),((1+(-J71))^(H71/MIN(G71,365))),((1+(-J71))^(1/12)))-$U71))</f>
        <v>1435715.2893657356</v>
      </c>
      <c r="AA71" s="2">
        <f ca="1">IF(MIN($AA$4:AA70)=0,0,MAX(0,($AA70+$K71-$O71-$P71)*IF(AND(F71="F",$D$3&lt;&gt;$G$3),((1+$AA$1)^(H71/MIN(G71,365))),((1+$AA$1)^(1/12)))-$U71))</f>
        <v>1920000</v>
      </c>
      <c r="AB71" s="2">
        <f ca="1">IF(MIN($AB$4:AB70)=0,0,MAX(0,($AB70+$K71-$O71-$P71)*IF(AND(F71="F",$D$3&lt;&gt;$G$3),((1+(J71))^(H71/MIN(G71,365))),((1+(J71))^(1/12)))-$U71))</f>
        <v>2531476.6358107897</v>
      </c>
      <c r="AC71" s="5"/>
      <c r="AD71" s="5"/>
      <c r="AE71" s="5"/>
      <c r="AF71" s="282">
        <f t="shared" ca="1" si="58"/>
        <v>1435715</v>
      </c>
      <c r="AG71" s="282">
        <f t="shared" ca="1" si="59"/>
        <v>1920000</v>
      </c>
      <c r="AH71" s="282">
        <f t="shared" ca="1" si="60"/>
        <v>2531477</v>
      </c>
      <c r="AI71" s="23" t="str">
        <f t="shared" ca="1" si="51"/>
        <v>6-</v>
      </c>
      <c r="AJ71" s="282" t="str">
        <f ca="1">IF(E71&gt;111,,IF(AND(OP!$C$99=1,T71="F"),Z71,IF(AND(OP!$C$99=2,COUNTIF($T$4:T71,"F")=1),OP!$C$97+IF(F71="F",OP!$C$98,0),"")))</f>
        <v/>
      </c>
      <c r="AK71" s="282" t="str">
        <f ca="1">IF(E71&gt;111,,IF(AND(OP!$D$99=1,T71="F"),AA71,IF(AND(OP!$D$99=2,COUNTIF($T$4:T71,"F")=1),OP!$D$97+IF(F71="F",OP!$D$98,0),"")))</f>
        <v/>
      </c>
      <c r="AL71" s="282" t="str">
        <f ca="1">IF(E71&gt;111,,IF(AND(OP!$E$99=1,T71="F"),AB71,IF(AND(OP!$E$99=2,COUNTIF($T$4:T71,"F")=1),OP!$E$97+IF(F71="F",OP!$E$98,0),"")))</f>
        <v/>
      </c>
      <c r="AM71" s="1" t="str">
        <f t="shared" ca="1" si="61"/>
        <v/>
      </c>
      <c r="AN71" s="1" t="str">
        <f ca="1">IF(OR(VLOOKUP($A71,MP,5,0)="月繳"),1,"")</f>
        <v/>
      </c>
      <c r="AO71" s="1">
        <f t="shared" ca="1" si="62"/>
        <v>0</v>
      </c>
      <c r="AP71" s="1" t="str">
        <f ca="1">IF(AND(A71&lt;=OP!$C$120,COUNTIF(PAY,C71)=1),1,"")</f>
        <v/>
      </c>
      <c r="AR71" s="301">
        <f ca="1">IF(繳費報酬率資料!$A$1=1,$AY71+$AZ71,$BF71+$BG71)</f>
        <v>0</v>
      </c>
      <c r="AS71" s="1">
        <f ca="1">IF(C71&lt;&gt;IF($C$3=1,12,$C$3-1),0,IF(繳費報酬率資料!$A$1&lt;&gt;1,VLOOKUP($A71,MP,8,0),IF(AND($A71&gt;=OP!$C$79,$A71&lt;=OP!$C$80),OP!$C$78,)))</f>
        <v>0</v>
      </c>
      <c r="AT71" s="298">
        <f t="shared" ca="1" si="63"/>
        <v>0</v>
      </c>
      <c r="AU71" s="298">
        <f ca="1">IF(AND(A71&lt;=OP!$C$120,COUNTIF(PAY,C71)=1),OP!$C$123,0)</f>
        <v>0</v>
      </c>
      <c r="AV71" s="298">
        <f ca="1">IF(AND(A71&gt;=OP!$C$132,A71&lt;=OP!$C$133,$C$3=C71),OP!$C$135,0)</f>
        <v>0</v>
      </c>
      <c r="AW71" s="180">
        <f t="shared" ca="1" si="64"/>
        <v>0.05</v>
      </c>
      <c r="AX71" s="180">
        <f t="shared" ca="1" si="65"/>
        <v>0.05</v>
      </c>
      <c r="AY71" s="286">
        <f t="shared" ca="1" si="66"/>
        <v>0</v>
      </c>
      <c r="AZ71" s="286">
        <f t="shared" ca="1" si="67"/>
        <v>0</v>
      </c>
      <c r="BA71" s="286">
        <f t="shared" ca="1" si="68"/>
        <v>0</v>
      </c>
      <c r="BB71" s="286">
        <f t="shared" ca="1" si="69"/>
        <v>0</v>
      </c>
      <c r="BC71" s="286">
        <f t="shared" ca="1" si="70"/>
        <v>0</v>
      </c>
      <c r="BD71" s="180">
        <f t="shared" ca="1" si="71"/>
        <v>0.05</v>
      </c>
      <c r="BE71" s="180">
        <f t="shared" ca="1" si="72"/>
        <v>0.05</v>
      </c>
      <c r="BF71" s="286">
        <f t="shared" ca="1" si="73"/>
        <v>0</v>
      </c>
      <c r="BG71" s="286">
        <f t="shared" ca="1" si="74"/>
        <v>0</v>
      </c>
    </row>
    <row r="72" spans="1:59">
      <c r="A72" s="1">
        <f t="shared" ca="1" si="52"/>
        <v>6</v>
      </c>
      <c r="B72" s="1">
        <f t="shared" ca="1" si="75"/>
        <v>112</v>
      </c>
      <c r="C72" s="1">
        <f t="shared" ca="1" si="76"/>
        <v>2</v>
      </c>
      <c r="D72" s="1">
        <f ca="1">MIN($D$3,VLOOKUP(C72,OP!$S$30:$T$41,2))</f>
        <v>2</v>
      </c>
      <c r="E72" s="1">
        <f t="shared" ca="1" si="53"/>
        <v>60</v>
      </c>
      <c r="F72" s="11" t="str">
        <f t="shared" ca="1" si="54"/>
        <v/>
      </c>
      <c r="G72" s="8">
        <f t="shared" ca="1" si="48"/>
        <v>365</v>
      </c>
      <c r="H72" s="8">
        <f t="shared" ca="1" si="55"/>
        <v>28</v>
      </c>
      <c r="I72" s="8" t="str">
        <f t="shared" ca="1" si="49"/>
        <v>62</v>
      </c>
      <c r="J72" s="13">
        <f>IF(繳費報酬率資料!$A$1=1,VALUE(OP!$C$121),VLOOKUP(A72,MP,2,0))</f>
        <v>0.05</v>
      </c>
      <c r="K72" s="14">
        <f ca="1">IF(SUM($K$4:K71,IF(繳費報酬率資料!$A$1=1,$AU72+$AV72,$BB72+$BC72))&gt;OP!$L$58,0,IF(繳費報酬率資料!$A$1=1,$AU72+$AV72,$BB72+$BC72))</f>
        <v>0</v>
      </c>
      <c r="L72" s="2"/>
      <c r="M72" s="2"/>
      <c r="N72" s="2"/>
      <c r="O72" s="261">
        <f t="shared" ca="1" si="56"/>
        <v>0</v>
      </c>
      <c r="P72" s="261">
        <f t="shared" ca="1" si="77"/>
        <v>0</v>
      </c>
      <c r="Q72" s="3">
        <f ca="1">IF(A72&gt;MAX(OP!$R$17:$R$26),0,VLOOKUP(A72,fees,3,FALSE))</f>
        <v>0</v>
      </c>
      <c r="R72" s="200" t="str">
        <f t="shared" ca="1" si="57"/>
        <v/>
      </c>
      <c r="S72" s="9" t="str">
        <f ca="1">IF(COUNTIF(($T$4:T71),"F")&gt;=1,"",IF(OR(C73&lt;&gt;$C$3,E72=""),"",A72))</f>
        <v/>
      </c>
      <c r="T72" s="20" t="str">
        <f t="shared" ca="1" si="50"/>
        <v/>
      </c>
      <c r="U72" s="2">
        <f ca="1">IF(IF(OP!$C$83=1,$Z71,IF(OP!$C$83=2,$AA71,IF(OP!$C$83=3,$AB71,)))+$K72-$O72-$P72-$AS72&lt;OP!$C$142,0,$AS72)</f>
        <v>0</v>
      </c>
      <c r="V72" s="9"/>
      <c r="W72" s="19">
        <f ca="1">MAX(SUM($K$4:K72),0)</f>
        <v>2000000</v>
      </c>
      <c r="X72" s="19"/>
      <c r="Y72" s="19">
        <f t="shared" ca="1" si="78"/>
        <v>1920000</v>
      </c>
      <c r="Z72" s="2">
        <f ca="1">IF(MIN($Z$4:Z71)=0,0,MAX(0,($Z71+$K72-$O72-$P72)*IF(AND(F72="F",$D$3&lt;&gt;$G$3),((1+(-J72))^(H72/MIN(G72,365))),((1+(-J72))^(1/12)))-$U72))</f>
        <v>1429591.5059827729</v>
      </c>
      <c r="AA72" s="2">
        <f ca="1">IF(MIN($AA$4:AA71)=0,0,MAX(0,($AA71+$K72-$O72-$P72)*IF(AND(F72="F",$D$3&lt;&gt;$G$3),((1+$AA$1)^(H72/MIN(G72,365))),((1+$AA$1)^(1/12)))-$U72))</f>
        <v>1920000</v>
      </c>
      <c r="AB72" s="2">
        <f ca="1">IF(MIN($AB$4:AB71)=0,0,MAX(0,($AB71+$K72-$O72-$P72)*IF(AND(F72="F",$D$3&lt;&gt;$G$3),((1+(J72))^(H72/MIN(G72,365))),((1+(J72))^(1/12)))-$U72))</f>
        <v>2541790.1849804963</v>
      </c>
      <c r="AC72" s="5"/>
      <c r="AD72" s="5"/>
      <c r="AE72" s="5"/>
      <c r="AF72" s="282">
        <f t="shared" ca="1" si="58"/>
        <v>1429592</v>
      </c>
      <c r="AG72" s="282">
        <f t="shared" ca="1" si="59"/>
        <v>1920000</v>
      </c>
      <c r="AH72" s="282">
        <f t="shared" ca="1" si="60"/>
        <v>2541790</v>
      </c>
      <c r="AI72" s="23" t="str">
        <f t="shared" ca="1" si="51"/>
        <v>6-</v>
      </c>
      <c r="AJ72" s="282" t="str">
        <f ca="1">IF(E72&gt;111,,IF(AND(OP!$C$99=1,T72="F"),Z72,IF(AND(OP!$C$99=2,COUNTIF($T$4:T72,"F")=1),OP!$C$97+IF(F72="F",OP!$C$98,0),"")))</f>
        <v/>
      </c>
      <c r="AK72" s="282" t="str">
        <f ca="1">IF(E72&gt;111,,IF(AND(OP!$D$99=1,T72="F"),AA72,IF(AND(OP!$D$99=2,COUNTIF($T$4:T72,"F")=1),OP!$D$97+IF(F72="F",OP!$D$98,0),"")))</f>
        <v/>
      </c>
      <c r="AL72" s="282" t="str">
        <f ca="1">IF(E72&gt;111,,IF(AND(OP!$E$99=1,T72="F"),AB72,IF(AND(OP!$E$99=2,COUNTIF($T$4:T72,"F")=1),OP!$E$97+IF(F72="F",OP!$E$98,0),"")))</f>
        <v/>
      </c>
      <c r="AM72" s="1" t="str">
        <f t="shared" ca="1" si="61"/>
        <v/>
      </c>
      <c r="AN72" s="1" t="str">
        <f ca="1">IF(OR(VLOOKUP($A72,MP,5,0)="月繳"),1,"")</f>
        <v/>
      </c>
      <c r="AO72" s="1">
        <f t="shared" ca="1" si="62"/>
        <v>0</v>
      </c>
      <c r="AP72" s="1" t="str">
        <f ca="1">IF(AND(A72&lt;=OP!$C$120,COUNTIF(PAY,C72)=1),1,"")</f>
        <v/>
      </c>
      <c r="AR72" s="301">
        <f ca="1">IF(繳費報酬率資料!$A$1=1,$AY72+$AZ72,$BF72+$BG72)</f>
        <v>0</v>
      </c>
      <c r="AS72" s="1">
        <f ca="1">IF(C72&lt;&gt;IF($C$3=1,12,$C$3-1),0,IF(繳費報酬率資料!$A$1&lt;&gt;1,VLOOKUP($A72,MP,8,0),IF(AND($A72&gt;=OP!$C$79,$A72&lt;=OP!$C$80),OP!$C$78,)))</f>
        <v>0</v>
      </c>
      <c r="AT72" s="298">
        <f t="shared" ca="1" si="63"/>
        <v>0</v>
      </c>
      <c r="AU72" s="298">
        <f ca="1">IF(AND(A72&lt;=OP!$C$120,COUNTIF(PAY,C72)=1),OP!$C$123,0)</f>
        <v>0</v>
      </c>
      <c r="AV72" s="298">
        <f ca="1">IF(AND(A72&gt;=OP!$C$132,A72&lt;=OP!$C$133,$C$3=C72),OP!$C$135,0)</f>
        <v>0</v>
      </c>
      <c r="AW72" s="180">
        <f t="shared" ca="1" si="64"/>
        <v>0.05</v>
      </c>
      <c r="AX72" s="180">
        <f t="shared" ca="1" si="65"/>
        <v>0.05</v>
      </c>
      <c r="AY72" s="286">
        <f t="shared" ca="1" si="66"/>
        <v>0</v>
      </c>
      <c r="AZ72" s="286">
        <f t="shared" ca="1" si="67"/>
        <v>0</v>
      </c>
      <c r="BA72" s="286">
        <f t="shared" ca="1" si="68"/>
        <v>0</v>
      </c>
      <c r="BB72" s="286">
        <f t="shared" ca="1" si="69"/>
        <v>0</v>
      </c>
      <c r="BC72" s="286">
        <f t="shared" ca="1" si="70"/>
        <v>0</v>
      </c>
      <c r="BD72" s="180">
        <f t="shared" ca="1" si="71"/>
        <v>0.05</v>
      </c>
      <c r="BE72" s="180">
        <f t="shared" ca="1" si="72"/>
        <v>0.05</v>
      </c>
      <c r="BF72" s="286">
        <f t="shared" ca="1" si="73"/>
        <v>0</v>
      </c>
      <c r="BG72" s="286">
        <f t="shared" ca="1" si="74"/>
        <v>0</v>
      </c>
    </row>
    <row r="73" spans="1:59">
      <c r="A73" s="1">
        <f t="shared" ca="1" si="52"/>
        <v>6</v>
      </c>
      <c r="B73" s="1">
        <f t="shared" ca="1" si="75"/>
        <v>112</v>
      </c>
      <c r="C73" s="1">
        <f t="shared" ca="1" si="76"/>
        <v>3</v>
      </c>
      <c r="D73" s="1">
        <f ca="1">MIN($D$3,VLOOKUP(C73,OP!$S$30:$T$41,2))</f>
        <v>2</v>
      </c>
      <c r="E73" s="1">
        <f t="shared" ca="1" si="53"/>
        <v>60</v>
      </c>
      <c r="F73" s="11" t="str">
        <f t="shared" ca="1" si="54"/>
        <v/>
      </c>
      <c r="G73" s="8">
        <f t="shared" ca="1" si="48"/>
        <v>365</v>
      </c>
      <c r="H73" s="8">
        <f t="shared" ca="1" si="55"/>
        <v>31</v>
      </c>
      <c r="I73" s="8" t="str">
        <f t="shared" ca="1" si="49"/>
        <v>63</v>
      </c>
      <c r="J73" s="13">
        <f>IF(繳費報酬率資料!$A$1=1,VALUE(OP!$C$121),VLOOKUP(A73,MP,2,0))</f>
        <v>0.05</v>
      </c>
      <c r="K73" s="14">
        <f ca="1">IF(SUM($K$4:K72,IF(繳費報酬率資料!$A$1=1,$AU73+$AV73,$BB73+$BC73))&gt;OP!$L$58,0,IF(繳費報酬率資料!$A$1=1,$AU73+$AV73,$BB73+$BC73))</f>
        <v>0</v>
      </c>
      <c r="L73" s="2"/>
      <c r="M73" s="2"/>
      <c r="N73" s="2"/>
      <c r="O73" s="261">
        <f t="shared" ca="1" si="56"/>
        <v>0</v>
      </c>
      <c r="P73" s="261">
        <f t="shared" ca="1" si="77"/>
        <v>0</v>
      </c>
      <c r="Q73" s="3">
        <f ca="1">IF(A73&gt;MAX(OP!$R$17:$R$26),0,VLOOKUP(A73,fees,3,FALSE))</f>
        <v>0</v>
      </c>
      <c r="R73" s="200" t="str">
        <f t="shared" ca="1" si="57"/>
        <v/>
      </c>
      <c r="S73" s="9" t="str">
        <f ca="1">IF(COUNTIF(($T$4:T72),"F")&gt;=1,"",IF(OR(C74&lt;&gt;$C$3,E73=""),"",A73))</f>
        <v/>
      </c>
      <c r="T73" s="20" t="str">
        <f t="shared" ca="1" si="50"/>
        <v/>
      </c>
      <c r="U73" s="2">
        <f ca="1">IF(IF(OP!$C$83=1,$Z72,IF(OP!$C$83=2,$AA72,IF(OP!$C$83=3,$AB72,)))+$K73-$O73-$P73-$AS73&lt;OP!$C$142,0,$AS73)</f>
        <v>0</v>
      </c>
      <c r="V73" s="9"/>
      <c r="W73" s="19">
        <f ca="1">MAX(SUM($K$4:K73),0)</f>
        <v>2000000</v>
      </c>
      <c r="X73" s="19"/>
      <c r="Y73" s="19">
        <f t="shared" ca="1" si="78"/>
        <v>1920000</v>
      </c>
      <c r="Z73" s="2">
        <f ca="1">IF(MIN($Z$4:Z72)=0,0,MAX(0,($Z72+$K73-$O73-$P73)*IF(AND(F73="F",$D$3&lt;&gt;$G$3),((1+(-J73))^(H73/MIN(G73,365))),((1+(-J73))^(1/12)))-$U73))</f>
        <v>1423493.8424880635</v>
      </c>
      <c r="AA73" s="2">
        <f ca="1">IF(MIN($AA$4:AA72)=0,0,MAX(0,($AA72+$K73-$O73-$P73)*IF(AND(F73="F",$D$3&lt;&gt;$G$3),((1+$AA$1)^(H73/MIN(G73,365))),((1+$AA$1)^(1/12)))-$U73))</f>
        <v>1920000</v>
      </c>
      <c r="AB73" s="2">
        <f ca="1">IF(MIN($AB$4:AB72)=0,0,MAX(0,($AB72+$K73-$O73-$P73)*IF(AND(F73="F",$D$3&lt;&gt;$G$3),((1+(J73))^(H73/MIN(G73,365))),((1+(J73))^(1/12)))-$U73))</f>
        <v>2552145.7528261691</v>
      </c>
      <c r="AC73" s="5"/>
      <c r="AD73" s="5"/>
      <c r="AE73" s="5"/>
      <c r="AF73" s="282">
        <f t="shared" ca="1" si="58"/>
        <v>1423494</v>
      </c>
      <c r="AG73" s="282">
        <f t="shared" ca="1" si="59"/>
        <v>1920000</v>
      </c>
      <c r="AH73" s="282">
        <f t="shared" ca="1" si="60"/>
        <v>2552146</v>
      </c>
      <c r="AI73" s="23" t="str">
        <f t="shared" ca="1" si="51"/>
        <v>6-</v>
      </c>
      <c r="AJ73" s="282" t="str">
        <f ca="1">IF(E73&gt;111,,IF(AND(OP!$C$99=1,T73="F"),Z73,IF(AND(OP!$C$99=2,COUNTIF($T$4:T73,"F")=1),OP!$C$97+IF(F73="F",OP!$C$98,0),"")))</f>
        <v/>
      </c>
      <c r="AK73" s="282" t="str">
        <f ca="1">IF(E73&gt;111,,IF(AND(OP!$D$99=1,T73="F"),AA73,IF(AND(OP!$D$99=2,COUNTIF($T$4:T73,"F")=1),OP!$D$97+IF(F73="F",OP!$D$98,0),"")))</f>
        <v/>
      </c>
      <c r="AL73" s="282" t="str">
        <f ca="1">IF(E73&gt;111,,IF(AND(OP!$E$99=1,T73="F"),AB73,IF(AND(OP!$E$99=2,COUNTIF($T$4:T73,"F")=1),OP!$E$97+IF(F73="F",OP!$E$98,0),"")))</f>
        <v/>
      </c>
      <c r="AM73" s="1" t="str">
        <f t="shared" ca="1" si="61"/>
        <v/>
      </c>
      <c r="AN73" s="1" t="str">
        <f ca="1">IF(OR(VLOOKUP($A73,MP,5,0)="季繳",VLOOKUP($A73,MP,5,0)="月繳"),1,"")</f>
        <v/>
      </c>
      <c r="AO73" s="1">
        <f t="shared" ca="1" si="62"/>
        <v>0</v>
      </c>
      <c r="AP73" s="1" t="str">
        <f ca="1">IF(AND(A73&lt;=OP!$C$120,COUNTIF(PAY,C73)=1),1,"")</f>
        <v/>
      </c>
      <c r="AR73" s="301">
        <f ca="1">IF(繳費報酬率資料!$A$1=1,$AY73+$AZ73,$BF73+$BG73)</f>
        <v>0</v>
      </c>
      <c r="AS73" s="1">
        <f ca="1">IF(C73&lt;&gt;IF($C$3=1,12,$C$3-1),0,IF(繳費報酬率資料!$A$1&lt;&gt;1,VLOOKUP($A73,MP,8,0),IF(AND($A73&gt;=OP!$C$79,$A73&lt;=OP!$C$80),OP!$C$78,)))</f>
        <v>0</v>
      </c>
      <c r="AT73" s="298">
        <f t="shared" ca="1" si="63"/>
        <v>0</v>
      </c>
      <c r="AU73" s="298">
        <f ca="1">IF(AND(A73&lt;=OP!$C$120,COUNTIF(PAY,C73)=1),OP!$C$123,0)</f>
        <v>0</v>
      </c>
      <c r="AV73" s="298">
        <f ca="1">IF(AND(A73&gt;=OP!$C$132,A73&lt;=OP!$C$133,$C$3=C73),OP!$C$135,0)</f>
        <v>0</v>
      </c>
      <c r="AW73" s="180">
        <f t="shared" ca="1" si="64"/>
        <v>0.05</v>
      </c>
      <c r="AX73" s="180">
        <f t="shared" ca="1" si="65"/>
        <v>0.05</v>
      </c>
      <c r="AY73" s="286">
        <f t="shared" ca="1" si="66"/>
        <v>0</v>
      </c>
      <c r="AZ73" s="286">
        <f t="shared" ca="1" si="67"/>
        <v>0</v>
      </c>
      <c r="BA73" s="286">
        <f t="shared" ca="1" si="68"/>
        <v>0</v>
      </c>
      <c r="BB73" s="286">
        <f t="shared" ca="1" si="69"/>
        <v>0</v>
      </c>
      <c r="BC73" s="286">
        <f t="shared" ca="1" si="70"/>
        <v>0</v>
      </c>
      <c r="BD73" s="180">
        <f t="shared" ca="1" si="71"/>
        <v>0.05</v>
      </c>
      <c r="BE73" s="180">
        <f t="shared" ca="1" si="72"/>
        <v>0.05</v>
      </c>
      <c r="BF73" s="286">
        <f t="shared" ca="1" si="73"/>
        <v>0</v>
      </c>
      <c r="BG73" s="286">
        <f t="shared" ca="1" si="74"/>
        <v>0</v>
      </c>
    </row>
    <row r="74" spans="1:59">
      <c r="A74" s="1">
        <f t="shared" ca="1" si="52"/>
        <v>6</v>
      </c>
      <c r="B74" s="1">
        <f t="shared" ca="1" si="75"/>
        <v>112</v>
      </c>
      <c r="C74" s="1">
        <f t="shared" ca="1" si="76"/>
        <v>4</v>
      </c>
      <c r="D74" s="1">
        <f ca="1">MIN($D$3,VLOOKUP(C74,OP!$S$30:$T$41,2))</f>
        <v>2</v>
      </c>
      <c r="E74" s="1">
        <f t="shared" ca="1" si="53"/>
        <v>60</v>
      </c>
      <c r="F74" s="11" t="str">
        <f t="shared" ca="1" si="54"/>
        <v/>
      </c>
      <c r="G74" s="8">
        <f t="shared" ca="1" si="48"/>
        <v>365</v>
      </c>
      <c r="H74" s="8">
        <f t="shared" ca="1" si="55"/>
        <v>30</v>
      </c>
      <c r="I74" s="8" t="str">
        <f t="shared" ca="1" si="49"/>
        <v>64</v>
      </c>
      <c r="J74" s="13">
        <f>IF(繳費報酬率資料!$A$1=1,VALUE(OP!$C$121),VLOOKUP(A74,MP,2,0))</f>
        <v>0.05</v>
      </c>
      <c r="K74" s="14">
        <f ca="1">IF(SUM($K$4:K73,IF(繳費報酬率資料!$A$1=1,$AU74+$AV74,$BB74+$BC74))&gt;OP!$L$58,0,IF(繳費報酬率資料!$A$1=1,$AU74+$AV74,$BB74+$BC74))</f>
        <v>0</v>
      </c>
      <c r="L74" s="2"/>
      <c r="M74" s="2"/>
      <c r="N74" s="2"/>
      <c r="O74" s="261">
        <f t="shared" ca="1" si="56"/>
        <v>0</v>
      </c>
      <c r="P74" s="261">
        <f t="shared" ca="1" si="77"/>
        <v>0</v>
      </c>
      <c r="Q74" s="3">
        <f ca="1">IF(A74&gt;MAX(OP!$R$17:$R$26),0,VLOOKUP(A74,fees,3,FALSE))</f>
        <v>0</v>
      </c>
      <c r="R74" s="200" t="str">
        <f t="shared" ca="1" si="57"/>
        <v/>
      </c>
      <c r="S74" s="9" t="str">
        <f ca="1">IF(COUNTIF(($T$4:T73),"F")&gt;=1,"",IF(OR(C75&lt;&gt;$C$3,E74=""),"",A74))</f>
        <v/>
      </c>
      <c r="T74" s="20" t="str">
        <f ca="1">IF(F74&lt;&gt;"","F","")</f>
        <v/>
      </c>
      <c r="U74" s="2">
        <f ca="1">IF(IF(OP!$C$83=1,$Z73,IF(OP!$C$83=2,$AA73,IF(OP!$C$83=3,$AB73,)))+$K74-$O74-$P74-$AS74&lt;OP!$C$142,0,$AS74)</f>
        <v>0</v>
      </c>
      <c r="V74" s="9"/>
      <c r="W74" s="19">
        <f ca="1">MAX(SUM($K$4:K74),0)</f>
        <v>2000000</v>
      </c>
      <c r="X74" s="19"/>
      <c r="Y74" s="19">
        <f t="shared" ca="1" si="78"/>
        <v>1920000</v>
      </c>
      <c r="Z74" s="2">
        <f ca="1">IF(MIN($Z$4:Z73)=0,0,MAX(0,($Z73+$K74-$O74-$P74)*IF(AND(F74="F",$D$3&lt;&gt;$G$3),((1+(-J74))^(H74/MIN(G74,365))),((1+(-J74))^(1/12)))-$U74))</f>
        <v>1417422.1874719572</v>
      </c>
      <c r="AA74" s="2">
        <f ca="1">IF(MIN($AA$4:AA73)=0,0,MAX(0,($AA73+$K74-$O74-$P74)*IF(AND(F74="F",$D$3&lt;&gt;$G$3),((1+$AA$1)^(H74/MIN(G74,365))),((1+$AA$1)^(1/12)))-$U74))</f>
        <v>1920000</v>
      </c>
      <c r="AB74" s="2">
        <f ca="1">IF(MIN($AB$4:AB73)=0,0,MAX(0,($AB73+$K74-$O74-$P74)*IF(AND(F74="F",$D$3&lt;&gt;$G$3),((1+(J74))^(H74/MIN(G74,365))),((1+(J74))^(1/12)))-$U74))</f>
        <v>2562543.5105370954</v>
      </c>
      <c r="AC74" s="5"/>
      <c r="AD74" s="5"/>
      <c r="AE74" s="5"/>
      <c r="AF74" s="282">
        <f t="shared" ca="1" si="58"/>
        <v>1417422</v>
      </c>
      <c r="AG74" s="282">
        <f t="shared" ca="1" si="59"/>
        <v>1920000</v>
      </c>
      <c r="AH74" s="282">
        <f t="shared" ca="1" si="60"/>
        <v>2562544</v>
      </c>
      <c r="AI74" s="23" t="str">
        <f t="shared" ca="1" si="51"/>
        <v>6-</v>
      </c>
      <c r="AJ74" s="282" t="str">
        <f ca="1">IF(E74&gt;111,,IF(AND(OP!$C$99=1,T74="F"),Z74,IF(AND(OP!$C$99=2,COUNTIF($T$4:T74,"F")=1),OP!$C$97+IF(F74="F",OP!$C$98,0),"")))</f>
        <v/>
      </c>
      <c r="AK74" s="282" t="str">
        <f ca="1">IF(E74&gt;111,,IF(AND(OP!$D$99=1,T74="F"),AA74,IF(AND(OP!$D$99=2,COUNTIF($T$4:T74,"F")=1),OP!$D$97+IF(F74="F",OP!$D$98,0),"")))</f>
        <v/>
      </c>
      <c r="AL74" s="282" t="str">
        <f ca="1">IF(E74&gt;111,,IF(AND(OP!$E$99=1,T74="F"),AB74,IF(AND(OP!$E$99=2,COUNTIF($T$4:T74,"F")=1),OP!$E$97+IF(F74="F",OP!$E$98,0),"")))</f>
        <v/>
      </c>
      <c r="AM74" s="1" t="str">
        <f t="shared" ca="1" si="61"/>
        <v/>
      </c>
      <c r="AN74" s="1" t="str">
        <f ca="1">IF(OR(VLOOKUP($A74,MP,5,0)="月繳"),1,"")</f>
        <v/>
      </c>
      <c r="AO74" s="1">
        <f t="shared" ca="1" si="62"/>
        <v>0</v>
      </c>
      <c r="AP74" s="1" t="str">
        <f ca="1">IF(AND(A74&lt;=OP!$C$120,COUNTIF(PAY,C74)=1),1,"")</f>
        <v/>
      </c>
      <c r="AR74" s="301">
        <f ca="1">IF(繳費報酬率資料!$A$1=1,$AY74+$AZ74,$BF74+$BG74)</f>
        <v>0</v>
      </c>
      <c r="AS74" s="1">
        <f ca="1">IF(C74&lt;&gt;IF($C$3=1,12,$C$3-1),0,IF(繳費報酬率資料!$A$1&lt;&gt;1,VLOOKUP($A74,MP,8,0),IF(AND($A74&gt;=OP!$C$79,$A74&lt;=OP!$C$80),OP!$C$78,)))</f>
        <v>0</v>
      </c>
      <c r="AT74" s="298">
        <f t="shared" ca="1" si="63"/>
        <v>0</v>
      </c>
      <c r="AU74" s="298">
        <f ca="1">IF(AND(A74&lt;=OP!$C$120,COUNTIF(PAY,C74)=1),OP!$C$123,0)</f>
        <v>0</v>
      </c>
      <c r="AV74" s="298">
        <f ca="1">IF(AND(A74&gt;=OP!$C$132,A74&lt;=OP!$C$133,$C$3=C74),OP!$C$135,0)</f>
        <v>0</v>
      </c>
      <c r="AW74" s="180">
        <f t="shared" ca="1" si="64"/>
        <v>0.05</v>
      </c>
      <c r="AX74" s="180">
        <f t="shared" ca="1" si="65"/>
        <v>0.05</v>
      </c>
      <c r="AY74" s="286">
        <f t="shared" ca="1" si="66"/>
        <v>0</v>
      </c>
      <c r="AZ74" s="286">
        <f t="shared" ca="1" si="67"/>
        <v>0</v>
      </c>
      <c r="BA74" s="286">
        <f t="shared" ca="1" si="68"/>
        <v>0</v>
      </c>
      <c r="BB74" s="286">
        <f t="shared" ca="1" si="69"/>
        <v>0</v>
      </c>
      <c r="BC74" s="286">
        <f t="shared" ca="1" si="70"/>
        <v>0</v>
      </c>
      <c r="BD74" s="180">
        <f t="shared" ca="1" si="71"/>
        <v>0.05</v>
      </c>
      <c r="BE74" s="180">
        <f t="shared" ca="1" si="72"/>
        <v>0.05</v>
      </c>
      <c r="BF74" s="286">
        <f t="shared" ca="1" si="73"/>
        <v>0</v>
      </c>
      <c r="BG74" s="286">
        <f t="shared" ca="1" si="74"/>
        <v>0</v>
      </c>
    </row>
    <row r="75" spans="1:59">
      <c r="A75" s="1">
        <f t="shared" ca="1" si="52"/>
        <v>6</v>
      </c>
      <c r="B75" s="1">
        <f t="shared" ca="1" si="75"/>
        <v>112</v>
      </c>
      <c r="C75" s="1">
        <f t="shared" ca="1" si="76"/>
        <v>5</v>
      </c>
      <c r="D75" s="1">
        <f ca="1">MIN($D$3,VLOOKUP(C75,OP!$S$30:$T$41,2))</f>
        <v>2</v>
      </c>
      <c r="E75" s="1">
        <f t="shared" ca="1" si="53"/>
        <v>60</v>
      </c>
      <c r="F75" s="11" t="str">
        <f t="shared" ca="1" si="54"/>
        <v>F</v>
      </c>
      <c r="G75" s="8">
        <f t="shared" ca="1" si="48"/>
        <v>365</v>
      </c>
      <c r="H75" s="8">
        <f t="shared" ca="1" si="55"/>
        <v>31</v>
      </c>
      <c r="I75" s="8" t="str">
        <f t="shared" ca="1" si="49"/>
        <v>65</v>
      </c>
      <c r="J75" s="13">
        <f>IF(繳費報酬率資料!$A$1=1,VALUE(OP!$C$121),VLOOKUP(A75,MP,2,0))</f>
        <v>0.05</v>
      </c>
      <c r="K75" s="14">
        <f ca="1">IF(SUM($K$4:K74,IF(繳費報酬率資料!$A$1=1,$AU75+$AV75,$BB75+$BC75))&gt;OP!$L$58,0,IF(繳費報酬率資料!$A$1=1,$AU75+$AV75,$BB75+$BC75))</f>
        <v>0</v>
      </c>
      <c r="L75" s="2">
        <f ca="1">ROUND(IF(OP!$C$78&lt;(IF(OR($T75="F",$E75&gt;=111),0,Z74+$K75-$O75+IF($C$1=1,OP!$C$78,IF($C76=$C$3,SUM(AC64:AC75,0)))))*5%,0,(OP!$C$78-((IF(OR($T75="F",$E75&gt;=111),0,Z74+$K75-$O75+IF($C$1=1,AC75,IF($C76=$C$3,SUM(AC64:AC75,0)))))*5%))*$Q75),0)</f>
        <v>0</v>
      </c>
      <c r="M75" s="2">
        <f ca="1">ROUND(IF(OP!$C$78&lt;(IF(OR($T75="F",$E75&gt;=111),0,AA74+$K75-$O75+IF($C$1=1,AD75,IF($C76=$C$3,SUM(AD64:AD75,0)))))*5%,0,(OP!$C$78-((IF(OR($T75="F",$E75&gt;=111),0,AA74+$K75-$O75+IF($C$1=1,AD75,IF($C76=$C$3,SUM(AD64:AD75,0)))))*5%))*$Q75),0)</f>
        <v>0</v>
      </c>
      <c r="N75" s="2">
        <f ca="1">ROUND(IF(OP!$C$78&lt;(IF(OR($T75="F",$E75&gt;=111),0,AB74+$K75-$O75+IF($C$1=1,AE75,IF($C76=$C$3,SUM(AE64:AE75,0)))))*5%,0,(OP!$C$78-((IF(OR($T75="F",$E75&gt;=111),0,AB74+$K75-$O75+IF($C$1=1,AE75,IF($C76=$C$3,SUM(AE64:AE75,0)))))*5%))*$Q75),0)</f>
        <v>0</v>
      </c>
      <c r="O75" s="261">
        <f t="shared" ca="1" si="56"/>
        <v>0</v>
      </c>
      <c r="P75" s="261">
        <f t="shared" ca="1" si="77"/>
        <v>0</v>
      </c>
      <c r="Q75" s="3">
        <f ca="1">IF(A75&gt;MAX(OP!$R$17:$R$26),0,VLOOKUP(A75,fees,3,FALSE))</f>
        <v>0</v>
      </c>
      <c r="R75" s="200">
        <f t="shared" ca="1" si="57"/>
        <v>6</v>
      </c>
      <c r="S75" s="9">
        <f ca="1">IF(COUNTIF(($T$4:T74),"F")&gt;=1,"",IF(OR(C76&lt;&gt;$C$3,E75=""),"",A75))</f>
        <v>6</v>
      </c>
      <c r="T75" s="20" t="str">
        <f t="shared" ca="1" si="50"/>
        <v>F</v>
      </c>
      <c r="U75" s="2">
        <f ca="1">IF(IF(OP!$C$83=1,$Z74,IF(OP!$C$83=2,$AA74,IF(OP!$C$83=3,$AB74,)))+$K75-$O75-$P75-$AS75&lt;OP!$C$142,0,$AS75)</f>
        <v>0</v>
      </c>
      <c r="V75" s="19">
        <f ca="1">SUM(K64:K75)</f>
        <v>0</v>
      </c>
      <c r="W75" s="19">
        <f ca="1">MAX(SUM($K$4:K75),0)</f>
        <v>2000000</v>
      </c>
      <c r="X75" s="19">
        <f ca="1">SUM(O64:P75)</f>
        <v>0</v>
      </c>
      <c r="Y75" s="19">
        <f t="shared" ca="1" si="78"/>
        <v>1920000</v>
      </c>
      <c r="Z75" s="2">
        <f ca="1">IF(MIN($Z$4:Z74)=0,0,MAX(0,($Z74+$K75-$O75-$P75)*IF(AND(F75="F",$D$3&lt;&gt;$G$3),((1+(-J75))^(H75/MIN(G75,365))),((1+(-J75))^(1/12)))-$U75))</f>
        <v>1411376.430000002</v>
      </c>
      <c r="AA75" s="2">
        <f ca="1">IF(MIN($AA$4:AA74)=0,0,MAX(0,($AA74+$K75-$O75-$P75)*IF(AND(F75="F",$D$3&lt;&gt;$G$3),((1+$AA$1)^(H75/MIN(G75,365))),((1+$AA$1)^(1/12)))-$U75))</f>
        <v>1920000</v>
      </c>
      <c r="AB75" s="2">
        <f ca="1">IF(MIN($AB$4:AB74)=0,0,MAX(0,($AB74+$K75-$O75-$P75)*IF(AND(F75="F",$D$3&lt;&gt;$G$3),((1+(J75))^(H75/MIN(G75,365))),((1+(J75))^(1/12)))-$U75))</f>
        <v>2572983.6300000083</v>
      </c>
      <c r="AC75" s="5"/>
      <c r="AD75" s="5"/>
      <c r="AE75" s="5"/>
      <c r="AF75" s="282">
        <f t="shared" ca="1" si="58"/>
        <v>1411376</v>
      </c>
      <c r="AG75" s="282">
        <f t="shared" ca="1" si="59"/>
        <v>1920000</v>
      </c>
      <c r="AH75" s="282">
        <f t="shared" ca="1" si="60"/>
        <v>2572984</v>
      </c>
      <c r="AI75" s="23" t="str">
        <f ca="1">IF($G$3=D76,A76,A75)&amp;"-"&amp;AM75</f>
        <v>7-1</v>
      </c>
      <c r="AJ75" s="282">
        <f ca="1">IF(E75&gt;111,,IF(AND(OP!$C$99=1,T75="F"),Z75,IF(AND(OP!$C$99=2,COUNTIF($T$4:T75,"F")=1),OP!$C$97+IF(F75="F",OP!$C$98,0),"")))</f>
        <v>54527</v>
      </c>
      <c r="AK75" s="282">
        <f ca="1">IF(E75&gt;111,,IF(AND(OP!$D$99=1,T75="F"),AA75,IF(AND(OP!$D$99=2,COUNTIF($T$4:T75,"F")=1),OP!$D$97+IF(F75="F",OP!$D$98,0),"")))</f>
        <v>74177</v>
      </c>
      <c r="AL75" s="282">
        <f ca="1">IF(E75&gt;111,,IF(AND(OP!$E$99=1,T75="F"),AB75,IF(AND(OP!$E$99=2,COUNTIF($T$4:T75,"F")=1),OP!$E$97+IF(F75="F",OP!$E$98,0),"")))</f>
        <v>99404</v>
      </c>
      <c r="AM75" s="1">
        <f t="shared" ca="1" si="61"/>
        <v>1</v>
      </c>
      <c r="AN75" s="1" t="str">
        <f ca="1">IF(OR(VLOOKUP($A75,MP,5,0)="月繳"),1,"")</f>
        <v/>
      </c>
      <c r="AO75" s="1">
        <f t="shared" ca="1" si="62"/>
        <v>0</v>
      </c>
      <c r="AP75" s="1" t="str">
        <f ca="1">IF(AND(A75&lt;=OP!$C$120,COUNTIF(PAY,C75)=1),1,"")</f>
        <v/>
      </c>
      <c r="AR75" s="301">
        <f ca="1">IF(繳費報酬率資料!$A$1=1,$AY75+$AZ75,$BF75+$BG75)</f>
        <v>0</v>
      </c>
      <c r="AS75" s="1">
        <f ca="1">IF(C75&lt;&gt;IF($C$3=1,12,$C$3-1),0,IF(繳費報酬率資料!$A$1&lt;&gt;1,VLOOKUP($A75,MP,8,0),IF(AND($A75&gt;=OP!$C$79,$A75&lt;=OP!$C$80),OP!$C$78,)))</f>
        <v>0</v>
      </c>
      <c r="AT75" s="298">
        <f t="shared" ca="1" si="63"/>
        <v>0</v>
      </c>
      <c r="AU75" s="298">
        <f ca="1">IF(AND(A75&lt;=OP!$C$120,COUNTIF(PAY,C75)=1),OP!$C$123,0)</f>
        <v>0</v>
      </c>
      <c r="AV75" s="298">
        <f ca="1">IF(AND(A75&gt;=OP!$C$132,A75&lt;=OP!$C$133,$C$3=C75),OP!$C$135,0)</f>
        <v>0</v>
      </c>
      <c r="AW75" s="180">
        <f t="shared" ca="1" si="64"/>
        <v>0.05</v>
      </c>
      <c r="AX75" s="180">
        <f t="shared" ca="1" si="65"/>
        <v>0.05</v>
      </c>
      <c r="AY75" s="286">
        <f t="shared" ca="1" si="66"/>
        <v>0</v>
      </c>
      <c r="AZ75" s="286">
        <f t="shared" ca="1" si="67"/>
        <v>0</v>
      </c>
      <c r="BA75" s="286">
        <f t="shared" ca="1" si="68"/>
        <v>0</v>
      </c>
      <c r="BB75" s="286">
        <f t="shared" ca="1" si="69"/>
        <v>0</v>
      </c>
      <c r="BC75" s="286">
        <f t="shared" ca="1" si="70"/>
        <v>0</v>
      </c>
      <c r="BD75" s="180">
        <f t="shared" ca="1" si="71"/>
        <v>0.05</v>
      </c>
      <c r="BE75" s="180">
        <f t="shared" ca="1" si="72"/>
        <v>0.05</v>
      </c>
      <c r="BF75" s="286">
        <f t="shared" ca="1" si="73"/>
        <v>0</v>
      </c>
      <c r="BG75" s="286">
        <f t="shared" ca="1" si="74"/>
        <v>0</v>
      </c>
    </row>
    <row r="76" spans="1:59">
      <c r="A76" s="255">
        <f t="shared" ca="1" si="52"/>
        <v>7</v>
      </c>
      <c r="B76" s="1">
        <f t="shared" ca="1" si="75"/>
        <v>112</v>
      </c>
      <c r="C76" s="1">
        <f t="shared" ca="1" si="76"/>
        <v>6</v>
      </c>
      <c r="D76" s="1">
        <f ca="1">MIN($D$3,VLOOKUP(C76,OP!$S$30:$T$41,2))</f>
        <v>2</v>
      </c>
      <c r="E76" s="1">
        <f t="shared" ca="1" si="53"/>
        <v>61</v>
      </c>
      <c r="F76" s="11" t="str">
        <f t="shared" ca="1" si="54"/>
        <v/>
      </c>
      <c r="G76" s="6">
        <f ca="1">DATEDIF(DATE(B76+1911,C76,D76),DATE(B88+1911,C88,D88),"d")</f>
        <v>366</v>
      </c>
      <c r="H76" s="8">
        <f t="shared" ca="1" si="55"/>
        <v>30</v>
      </c>
      <c r="I76" s="8" t="str">
        <f t="shared" ca="1" si="49"/>
        <v>76</v>
      </c>
      <c r="J76" s="13">
        <f>IF(繳費報酬率資料!$A$1=1,VALUE(OP!$C$121),VLOOKUP(A76,MP,2,0))</f>
        <v>0.05</v>
      </c>
      <c r="K76" s="14">
        <f ca="1">IF(SUM($K$4:K75,IF(繳費報酬率資料!$A$1=1,$AU76+$AV76,$BB76+$BC76))&gt;OP!$L$58,0,IF(繳費報酬率資料!$A$1=1,$AU76+$AV76,$BB76+$BC76))</f>
        <v>0</v>
      </c>
      <c r="L76" s="2"/>
      <c r="M76" s="2"/>
      <c r="N76" s="2"/>
      <c r="O76" s="261">
        <f t="shared" ca="1" si="56"/>
        <v>0</v>
      </c>
      <c r="P76" s="261">
        <f t="shared" ca="1" si="77"/>
        <v>0</v>
      </c>
      <c r="Q76" s="3">
        <f ca="1">IF(A76&gt;MAX(OP!$R$17:$R$26),0,VLOOKUP(A76,fees,3,FALSE))</f>
        <v>0</v>
      </c>
      <c r="R76" s="200" t="str">
        <f t="shared" ca="1" si="57"/>
        <v/>
      </c>
      <c r="S76" s="9" t="str">
        <f ca="1">IF(COUNTIF(($T$4:T75),"F")&gt;=1,"",IF(OR(C77&lt;&gt;$C$3,E76=""),"",A76))</f>
        <v/>
      </c>
      <c r="T76" s="20" t="str">
        <f t="shared" ca="1" si="50"/>
        <v/>
      </c>
      <c r="U76" s="2">
        <f ca="1">IF(IF(OP!$C$83=1,$Z75,IF(OP!$C$83=2,$AA75,IF(OP!$C$83=3,$AB75,)))+$K76-$O76-$P76-$AS76&lt;OP!$C$142,0,$AS76)</f>
        <v>0</v>
      </c>
      <c r="V76" s="9"/>
      <c r="W76" s="19">
        <f ca="1">MAX(SUM($K$4:K76),0)</f>
        <v>2000000</v>
      </c>
      <c r="X76" s="19"/>
      <c r="Y76" s="19">
        <f t="shared" ca="1" si="78"/>
        <v>1920000</v>
      </c>
      <c r="Z76" s="2">
        <f ca="1">IF(MIN($Z$4:Z75)=0,0,MAX(0,($Z75+$K76-$O76-$P76)*IF(AND(F76="F",$D$3&lt;&gt;$G$3),((1+(-J76))^(H76/MIN(G76,365))),((1+(-J76))^(1/12)))-$U76))</f>
        <v>1405356.4596109164</v>
      </c>
      <c r="AA76" s="2">
        <f ca="1">IF(MIN($AA$4:AA75)=0,0,MAX(0,($AA75+$K76-$O76-$P76)*IF(AND(F76="F",$D$3&lt;&gt;$G$3),((1+$AA$1)^(H76/MIN(G76,365))),((1+$AA$1)^(1/12)))-$U76))</f>
        <v>1920000</v>
      </c>
      <c r="AB76" s="2">
        <f ca="1">IF(MIN($AB$4:AB75)=0,0,MAX(0,($AB75+$K76-$O76-$P76)*IF(AND(F76="F",$D$3&lt;&gt;$G$3),((1+(J76))^(H76/MIN(G76,365))),((1+(J76))^(1/12)))-$U76))</f>
        <v>2583466.2838019291</v>
      </c>
      <c r="AC76" s="21"/>
      <c r="AD76" s="21"/>
      <c r="AE76" s="21"/>
      <c r="AF76" s="282">
        <f t="shared" ca="1" si="58"/>
        <v>1405356</v>
      </c>
      <c r="AG76" s="282">
        <f t="shared" ca="1" si="59"/>
        <v>1920000</v>
      </c>
      <c r="AH76" s="282">
        <f t="shared" ca="1" si="60"/>
        <v>2583466</v>
      </c>
      <c r="AI76" s="23" t="str">
        <f t="shared" ref="AI76:AI139" ca="1" si="79">IF($G$3=D77,A77,A76)&amp;"-"&amp;AM76</f>
        <v>7-2</v>
      </c>
      <c r="AJ76" s="281">
        <f ca="1">IF(E76&gt;111,,IF(AND(OP!$C$99=1,T76="F"),Z76,IF(AND(OP!$C$99=2,COUNTIF($T$4:T76,"F")=1),OP!$C$97+IF(F76="F",OP!$C$98,0),"")))</f>
        <v>54527</v>
      </c>
      <c r="AK76" s="281">
        <f ca="1">IF(E76&gt;111,,IF(AND(OP!$D$99=1,T76="F"),AA76,IF(AND(OP!$D$99=2,COUNTIF($T$4:T76,"F")=1),OP!$D$97+IF(F76="F",OP!$D$98,0),"")))</f>
        <v>74177</v>
      </c>
      <c r="AL76" s="281">
        <f ca="1">IF(E76&gt;111,,IF(AND(OP!$E$99=1,T76="F"),AB76,IF(AND(OP!$E$99=2,COUNTIF($T$4:T76,"F")=1),OP!$E$97+IF(F76="F",OP!$E$98,0),"")))</f>
        <v>99404</v>
      </c>
      <c r="AM76" s="1">
        <f t="shared" ca="1" si="61"/>
        <v>2</v>
      </c>
      <c r="AN76" s="1">
        <f ca="1">IF(OR(VLOOKUP($A76,MP,5,0)="年繳",VLOOKUP($A76,MP,5,0)="半年繳",VLOOKUP($A76,MP,5,0)="季繳",VLOOKUP($A76,MP,5,0)="月繳"),1,"")</f>
        <v>1</v>
      </c>
      <c r="AO76" s="1">
        <f t="shared" ca="1" si="62"/>
        <v>0</v>
      </c>
      <c r="AP76" s="1" t="str">
        <f ca="1">IF(AND(A76&lt;=OP!$C$120,COUNTIF(PAY,C76)=1),1,"")</f>
        <v/>
      </c>
      <c r="AR76" s="301">
        <f ca="1">IF(繳費報酬率資料!$A$1=1,$AY76+$AZ76,$BF76+$BG76)</f>
        <v>0</v>
      </c>
      <c r="AS76" s="1">
        <f ca="1">IF(C76&lt;&gt;IF($C$3=1,12,$C$3-1),0,IF(繳費報酬率資料!$A$1&lt;&gt;1,VLOOKUP($A76,MP,8,0),IF(AND($A76&gt;=OP!$C$79,$A76&lt;=OP!$C$80),OP!$C$78,)))</f>
        <v>0</v>
      </c>
      <c r="AT76" s="298">
        <f t="shared" ca="1" si="63"/>
        <v>0</v>
      </c>
      <c r="AU76" s="298">
        <f ca="1">IF(AND(A76&lt;=OP!$C$120,COUNTIF(PAY,C76)=1),OP!$C$123,0)</f>
        <v>0</v>
      </c>
      <c r="AV76" s="298">
        <f ca="1">IF(AND(A76&gt;=OP!$C$132,A76&lt;=OP!$C$133,$C$3=C76),OP!$C$135,0)</f>
        <v>0</v>
      </c>
      <c r="AW76" s="180">
        <f t="shared" ca="1" si="64"/>
        <v>0.05</v>
      </c>
      <c r="AX76" s="180">
        <f t="shared" ca="1" si="65"/>
        <v>0.05</v>
      </c>
      <c r="AY76" s="286">
        <f t="shared" ca="1" si="66"/>
        <v>0</v>
      </c>
      <c r="AZ76" s="286">
        <f t="shared" ca="1" si="67"/>
        <v>0</v>
      </c>
      <c r="BA76" s="286">
        <f t="shared" ca="1" si="68"/>
        <v>0</v>
      </c>
      <c r="BB76" s="286">
        <f t="shared" ca="1" si="69"/>
        <v>0</v>
      </c>
      <c r="BC76" s="286">
        <f t="shared" ca="1" si="70"/>
        <v>0</v>
      </c>
      <c r="BD76" s="180">
        <f t="shared" ca="1" si="71"/>
        <v>0.05</v>
      </c>
      <c r="BE76" s="180">
        <f t="shared" ca="1" si="72"/>
        <v>0.05</v>
      </c>
      <c r="BF76" s="286">
        <f t="shared" ca="1" si="73"/>
        <v>0</v>
      </c>
      <c r="BG76" s="286">
        <f t="shared" ca="1" si="74"/>
        <v>0</v>
      </c>
    </row>
    <row r="77" spans="1:59">
      <c r="A77" s="1">
        <f t="shared" ca="1" si="52"/>
        <v>7</v>
      </c>
      <c r="B77" s="1">
        <f t="shared" ca="1" si="75"/>
        <v>112</v>
      </c>
      <c r="C77" s="1">
        <f t="shared" ca="1" si="76"/>
        <v>7</v>
      </c>
      <c r="D77" s="1">
        <f ca="1">MIN($D$3,VLOOKUP(C77,OP!$S$30:$T$41,2))</f>
        <v>2</v>
      </c>
      <c r="E77" s="1">
        <f t="shared" ca="1" si="53"/>
        <v>61</v>
      </c>
      <c r="F77" s="11" t="str">
        <f t="shared" ca="1" si="54"/>
        <v/>
      </c>
      <c r="G77" s="8">
        <f t="shared" ref="G77:G87" ca="1" si="80">G76</f>
        <v>366</v>
      </c>
      <c r="H77" s="8">
        <f t="shared" ca="1" si="55"/>
        <v>31</v>
      </c>
      <c r="I77" s="8" t="str">
        <f t="shared" ca="1" si="49"/>
        <v>77</v>
      </c>
      <c r="J77" s="13">
        <f>IF(繳費報酬率資料!$A$1=1,VALUE(OP!$C$121),VLOOKUP(A77,MP,2,0))</f>
        <v>0.05</v>
      </c>
      <c r="K77" s="14">
        <f ca="1">IF(SUM($K$4:K76,IF(繳費報酬率資料!$A$1=1,$AU77+$AV77,$BB77+$BC77))&gt;OP!$L$58,0,IF(繳費報酬率資料!$A$1=1,$AU77+$AV77,$BB77+$BC77))</f>
        <v>0</v>
      </c>
      <c r="L77" s="2"/>
      <c r="M77" s="2"/>
      <c r="N77" s="2"/>
      <c r="O77" s="261">
        <f t="shared" ca="1" si="56"/>
        <v>0</v>
      </c>
      <c r="P77" s="261">
        <f t="shared" ca="1" si="77"/>
        <v>0</v>
      </c>
      <c r="Q77" s="3">
        <f ca="1">IF(A77&gt;MAX(OP!$R$17:$R$26),0,VLOOKUP(A77,fees,3,FALSE))</f>
        <v>0</v>
      </c>
      <c r="R77" s="200" t="str">
        <f t="shared" ca="1" si="57"/>
        <v/>
      </c>
      <c r="S77" s="9" t="str">
        <f ca="1">IF(COUNTIF(($T$4:T76),"F")&gt;=1,"",IF(OR(C78&lt;&gt;$C$3,E77=""),"",A77))</f>
        <v/>
      </c>
      <c r="T77" s="20" t="str">
        <f t="shared" ca="1" si="50"/>
        <v/>
      </c>
      <c r="U77" s="2">
        <f ca="1">IF(IF(OP!$C$83=1,$Z76,IF(OP!$C$83=2,$AA76,IF(OP!$C$83=3,$AB76,)))+$K77-$O77-$P77-$AS77&lt;OP!$C$142,0,$AS77)</f>
        <v>0</v>
      </c>
      <c r="V77" s="9"/>
      <c r="W77" s="19">
        <f ca="1">MAX(SUM($K$4:K77),0)</f>
        <v>2000000</v>
      </c>
      <c r="X77" s="19"/>
      <c r="Y77" s="19">
        <f t="shared" ca="1" si="78"/>
        <v>1920000</v>
      </c>
      <c r="Z77" s="2">
        <f ca="1">IF(MIN($Z$4:Z76)=0,0,MAX(0,($Z76+$K77-$O77-$P77)*IF(AND(F77="F",$D$3&lt;&gt;$G$3),((1+(-J77))^(H77/MIN(G77,365))),((1+(-J77))^(1/12)))-$U77))</f>
        <v>1399362.1663145719</v>
      </c>
      <c r="AA77" s="2">
        <f ca="1">IF(MIN($AA$4:AA76)=0,0,MAX(0,($AA76+$K77-$O77-$P77)*IF(AND(F77="F",$D$3&lt;&gt;$G$3),((1+$AA$1)^(H77/MIN(G77,365))),((1+$AA$1)^(1/12)))-$U77))</f>
        <v>1920000</v>
      </c>
      <c r="AB77" s="2">
        <f ca="1">IF(MIN($AB$4:AB76)=0,0,MAX(0,($AB76+$K77-$O77-$P77)*IF(AND(F77="F",$D$3&lt;&gt;$G$3),((1+(J77))^(H77/MIN(G77,365))),((1+(J77))^(1/12)))-$U77))</f>
        <v>2593991.6452330202</v>
      </c>
      <c r="AC77" s="5"/>
      <c r="AD77" s="5"/>
      <c r="AE77" s="5"/>
      <c r="AF77" s="282">
        <f t="shared" ca="1" si="58"/>
        <v>1399362</v>
      </c>
      <c r="AG77" s="282">
        <f t="shared" ca="1" si="59"/>
        <v>1920000</v>
      </c>
      <c r="AH77" s="282">
        <f t="shared" ca="1" si="60"/>
        <v>2593992</v>
      </c>
      <c r="AI77" s="23" t="str">
        <f t="shared" ca="1" si="79"/>
        <v>7-3</v>
      </c>
      <c r="AJ77" s="282">
        <f ca="1">IF(E77&gt;111,,IF(AND(OP!$C$99=1,T77="F"),Z77,IF(AND(OP!$C$99=2,COUNTIF($T$4:T77,"F")=1),OP!$C$97+IF(F77="F",OP!$C$98,0),"")))</f>
        <v>54527</v>
      </c>
      <c r="AK77" s="282">
        <f ca="1">IF(E77&gt;111,,IF(AND(OP!$D$99=1,T77="F"),AA77,IF(AND(OP!$D$99=2,COUNTIF($T$4:T77,"F")=1),OP!$D$97+IF(F77="F",OP!$D$98,0),"")))</f>
        <v>74177</v>
      </c>
      <c r="AL77" s="282">
        <f ca="1">IF(E77&gt;111,,IF(AND(OP!$E$99=1,T77="F"),AB77,IF(AND(OP!$E$99=2,COUNTIF($T$4:T77,"F")=1),OP!$E$97+IF(F77="F",OP!$E$98,0),"")))</f>
        <v>99404</v>
      </c>
      <c r="AM77" s="1">
        <f t="shared" ca="1" si="61"/>
        <v>3</v>
      </c>
      <c r="AN77" s="1" t="str">
        <f ca="1">IF(OR(VLOOKUP($A77,MP,5,0)="月繳"),1,"")</f>
        <v/>
      </c>
      <c r="AO77" s="1">
        <f t="shared" ca="1" si="62"/>
        <v>0</v>
      </c>
      <c r="AP77" s="1" t="str">
        <f ca="1">IF(AND(A77&lt;=OP!$C$120,COUNTIF(PAY,C77)=1),1,"")</f>
        <v/>
      </c>
      <c r="AR77" s="301">
        <f ca="1">IF(繳費報酬率資料!$A$1=1,$AY77+$AZ77,$BF77+$BG77)</f>
        <v>0</v>
      </c>
      <c r="AS77" s="1">
        <f ca="1">IF(C77&lt;&gt;IF($C$3=1,12,$C$3-1),0,IF(繳費報酬率資料!$A$1&lt;&gt;1,VLOOKUP($A77,MP,8,0),IF(AND($A77&gt;=OP!$C$79,$A77&lt;=OP!$C$80),OP!$C$78,)))</f>
        <v>0</v>
      </c>
      <c r="AT77" s="298">
        <f t="shared" ca="1" si="63"/>
        <v>0</v>
      </c>
      <c r="AU77" s="298">
        <f ca="1">IF(AND(A77&lt;=OP!$C$120,COUNTIF(PAY,C77)=1),OP!$C$123,0)</f>
        <v>0</v>
      </c>
      <c r="AV77" s="298">
        <f ca="1">IF(AND(A77&gt;=OP!$C$132,A77&lt;=OP!$C$133,$C$3=C77),OP!$C$135,0)</f>
        <v>0</v>
      </c>
      <c r="AW77" s="180">
        <f t="shared" ca="1" si="64"/>
        <v>0.05</v>
      </c>
      <c r="AX77" s="180">
        <f t="shared" ca="1" si="65"/>
        <v>0.05</v>
      </c>
      <c r="AY77" s="286">
        <f t="shared" ca="1" si="66"/>
        <v>0</v>
      </c>
      <c r="AZ77" s="286">
        <f t="shared" ca="1" si="67"/>
        <v>0</v>
      </c>
      <c r="BA77" s="286">
        <f t="shared" ca="1" si="68"/>
        <v>0</v>
      </c>
      <c r="BB77" s="286">
        <f t="shared" ca="1" si="69"/>
        <v>0</v>
      </c>
      <c r="BC77" s="286">
        <f t="shared" ca="1" si="70"/>
        <v>0</v>
      </c>
      <c r="BD77" s="180">
        <f t="shared" ca="1" si="71"/>
        <v>0.05</v>
      </c>
      <c r="BE77" s="180">
        <f t="shared" ca="1" si="72"/>
        <v>0.05</v>
      </c>
      <c r="BF77" s="286">
        <f t="shared" ca="1" si="73"/>
        <v>0</v>
      </c>
      <c r="BG77" s="286">
        <f t="shared" ca="1" si="74"/>
        <v>0</v>
      </c>
    </row>
    <row r="78" spans="1:59">
      <c r="A78" s="1">
        <f t="shared" ca="1" si="52"/>
        <v>7</v>
      </c>
      <c r="B78" s="1">
        <f t="shared" ca="1" si="75"/>
        <v>112</v>
      </c>
      <c r="C78" s="1">
        <f t="shared" ca="1" si="76"/>
        <v>8</v>
      </c>
      <c r="D78" s="1">
        <f ca="1">MIN($D$3,VLOOKUP(C78,OP!$S$30:$T$41,2))</f>
        <v>2</v>
      </c>
      <c r="E78" s="1">
        <f t="shared" ca="1" si="53"/>
        <v>61</v>
      </c>
      <c r="F78" s="11" t="str">
        <f t="shared" ca="1" si="54"/>
        <v/>
      </c>
      <c r="G78" s="8">
        <f t="shared" ca="1" si="80"/>
        <v>366</v>
      </c>
      <c r="H78" s="8">
        <f t="shared" ca="1" si="55"/>
        <v>31</v>
      </c>
      <c r="I78" s="8" t="str">
        <f t="shared" ca="1" si="49"/>
        <v>78</v>
      </c>
      <c r="J78" s="13">
        <f>IF(繳費報酬率資料!$A$1=1,VALUE(OP!$C$121),VLOOKUP(A78,MP,2,0))</f>
        <v>0.05</v>
      </c>
      <c r="K78" s="14">
        <f ca="1">IF(SUM($K$4:K77,IF(繳費報酬率資料!$A$1=1,$AU78+$AV78,$BB78+$BC78))&gt;OP!$L$58,0,IF(繳費報酬率資料!$A$1=1,$AU78+$AV78,$BB78+$BC78))</f>
        <v>0</v>
      </c>
      <c r="L78" s="2"/>
      <c r="M78" s="2"/>
      <c r="N78" s="2"/>
      <c r="O78" s="261">
        <f t="shared" ca="1" si="56"/>
        <v>0</v>
      </c>
      <c r="P78" s="261">
        <f t="shared" ca="1" si="77"/>
        <v>0</v>
      </c>
      <c r="Q78" s="3">
        <f ca="1">IF(A78&gt;MAX(OP!$R$17:$R$26),0,VLOOKUP(A78,fees,3,FALSE))</f>
        <v>0</v>
      </c>
      <c r="R78" s="200" t="str">
        <f t="shared" ca="1" si="57"/>
        <v/>
      </c>
      <c r="S78" s="9" t="str">
        <f ca="1">IF(COUNTIF(($T$4:T77),"F")&gt;=1,"",IF(OR(C79&lt;&gt;$C$3,E78=""),"",A78))</f>
        <v/>
      </c>
      <c r="T78" s="20" t="str">
        <f t="shared" ca="1" si="50"/>
        <v/>
      </c>
      <c r="U78" s="2">
        <f ca="1">IF(IF(OP!$C$83=1,$Z77,IF(OP!$C$83=2,$AA77,IF(OP!$C$83=3,$AB77,)))+$K78-$O78-$P78-$AS78&lt;OP!$C$142,0,$AS78)</f>
        <v>0</v>
      </c>
      <c r="V78" s="9"/>
      <c r="W78" s="19">
        <f ca="1">MAX(SUM($K$4:K78),0)</f>
        <v>2000000</v>
      </c>
      <c r="X78" s="19"/>
      <c r="Y78" s="19">
        <f t="shared" ca="1" si="78"/>
        <v>1920000</v>
      </c>
      <c r="Z78" s="2">
        <f ca="1">IF(MIN($Z$4:Z77)=0,0,MAX(0,($Z77+$K78-$O78-$P78)*IF(AND(F78="F",$D$3&lt;&gt;$G$3),((1+(-J78))^(H78/MIN(G78,365))),((1+(-J78))^(1/12)))-$U78))</f>
        <v>1393393.4405899823</v>
      </c>
      <c r="AA78" s="2">
        <f ca="1">IF(MIN($AA$4:AA77)=0,0,MAX(0,($AA77+$K78-$O78-$P78)*IF(AND(F78="F",$D$3&lt;&gt;$G$3),((1+$AA$1)^(H78/MIN(G78,365))),((1+$AA$1)^(1/12)))-$U78))</f>
        <v>1920000</v>
      </c>
      <c r="AB78" s="2">
        <f ca="1">IF(MIN($AB$4:AB77)=0,0,MAX(0,($AB77+$K78-$O78-$P78)*IF(AND(F78="F",$D$3&lt;&gt;$G$3),((1+(J78))^(H78/MIN(G78,365))),((1+(J78))^(1/12)))-$U78))</f>
        <v>2604559.8882894493</v>
      </c>
      <c r="AC78" s="5"/>
      <c r="AD78" s="5"/>
      <c r="AE78" s="5"/>
      <c r="AF78" s="282">
        <f t="shared" ca="1" si="58"/>
        <v>1393393</v>
      </c>
      <c r="AG78" s="282">
        <f t="shared" ca="1" si="59"/>
        <v>1920000</v>
      </c>
      <c r="AH78" s="282">
        <f t="shared" ca="1" si="60"/>
        <v>2604560</v>
      </c>
      <c r="AI78" s="23" t="str">
        <f t="shared" ca="1" si="79"/>
        <v>7-4</v>
      </c>
      <c r="AJ78" s="282">
        <f ca="1">IF(E78&gt;111,,IF(AND(OP!$C$99=1,T78="F"),Z78,IF(AND(OP!$C$99=2,COUNTIF($T$4:T78,"F")=1),OP!$C$97+IF(F78="F",OP!$C$98,0),"")))</f>
        <v>54527</v>
      </c>
      <c r="AK78" s="282">
        <f ca="1">IF(E78&gt;111,,IF(AND(OP!$D$99=1,T78="F"),AA78,IF(AND(OP!$D$99=2,COUNTIF($T$4:T78,"F")=1),OP!$D$97+IF(F78="F",OP!$D$98,0),"")))</f>
        <v>74177</v>
      </c>
      <c r="AL78" s="282">
        <f ca="1">IF(E78&gt;111,,IF(AND(OP!$E$99=1,T78="F"),AB78,IF(AND(OP!$E$99=2,COUNTIF($T$4:T78,"F")=1),OP!$E$97+IF(F78="F",OP!$E$98,0),"")))</f>
        <v>99404</v>
      </c>
      <c r="AM78" s="1">
        <f t="shared" ca="1" si="61"/>
        <v>4</v>
      </c>
      <c r="AN78" s="1" t="str">
        <f ca="1">IF(OR(VLOOKUP($A78,MP,5,0)="月繳"),1,"")</f>
        <v/>
      </c>
      <c r="AO78" s="1">
        <f t="shared" ca="1" si="62"/>
        <v>0</v>
      </c>
      <c r="AP78" s="1" t="str">
        <f ca="1">IF(AND(A78&lt;=OP!$C$120,COUNTIF(PAY,C78)=1),1,"")</f>
        <v/>
      </c>
      <c r="AR78" s="301">
        <f ca="1">IF(繳費報酬率資料!$A$1=1,$AY78+$AZ78,$BF78+$BG78)</f>
        <v>0</v>
      </c>
      <c r="AS78" s="1">
        <f ca="1">IF(C78&lt;&gt;IF($C$3=1,12,$C$3-1),0,IF(繳費報酬率資料!$A$1&lt;&gt;1,VLOOKUP($A78,MP,8,0),IF(AND($A78&gt;=OP!$C$79,$A78&lt;=OP!$C$80),OP!$C$78,)))</f>
        <v>0</v>
      </c>
      <c r="AT78" s="298">
        <f t="shared" ca="1" si="63"/>
        <v>0</v>
      </c>
      <c r="AU78" s="298">
        <f ca="1">IF(AND(A78&lt;=OP!$C$120,COUNTIF(PAY,C78)=1),OP!$C$123,0)</f>
        <v>0</v>
      </c>
      <c r="AV78" s="298">
        <f ca="1">IF(AND(A78&gt;=OP!$C$132,A78&lt;=OP!$C$133,$C$3=C78),OP!$C$135,0)</f>
        <v>0</v>
      </c>
      <c r="AW78" s="180">
        <f t="shared" ca="1" si="64"/>
        <v>0.05</v>
      </c>
      <c r="AX78" s="180">
        <f t="shared" ca="1" si="65"/>
        <v>0.05</v>
      </c>
      <c r="AY78" s="286">
        <f t="shared" ca="1" si="66"/>
        <v>0</v>
      </c>
      <c r="AZ78" s="286">
        <f t="shared" ca="1" si="67"/>
        <v>0</v>
      </c>
      <c r="BA78" s="286">
        <f t="shared" ca="1" si="68"/>
        <v>0</v>
      </c>
      <c r="BB78" s="286">
        <f t="shared" ca="1" si="69"/>
        <v>0</v>
      </c>
      <c r="BC78" s="286">
        <f t="shared" ca="1" si="70"/>
        <v>0</v>
      </c>
      <c r="BD78" s="180">
        <f t="shared" ca="1" si="71"/>
        <v>0.05</v>
      </c>
      <c r="BE78" s="180">
        <f t="shared" ca="1" si="72"/>
        <v>0.05</v>
      </c>
      <c r="BF78" s="286">
        <f t="shared" ca="1" si="73"/>
        <v>0</v>
      </c>
      <c r="BG78" s="286">
        <f t="shared" ca="1" si="74"/>
        <v>0</v>
      </c>
    </row>
    <row r="79" spans="1:59">
      <c r="A79" s="1">
        <f t="shared" ca="1" si="52"/>
        <v>7</v>
      </c>
      <c r="B79" s="1">
        <f t="shared" ca="1" si="75"/>
        <v>112</v>
      </c>
      <c r="C79" s="1">
        <f t="shared" ca="1" si="76"/>
        <v>9</v>
      </c>
      <c r="D79" s="1">
        <f ca="1">MIN($D$3,VLOOKUP(C79,OP!$S$30:$T$41,2))</f>
        <v>2</v>
      </c>
      <c r="E79" s="1">
        <f t="shared" ca="1" si="53"/>
        <v>61</v>
      </c>
      <c r="F79" s="11" t="str">
        <f t="shared" ca="1" si="54"/>
        <v/>
      </c>
      <c r="G79" s="8">
        <f t="shared" ca="1" si="80"/>
        <v>366</v>
      </c>
      <c r="H79" s="8">
        <f t="shared" ca="1" si="55"/>
        <v>30</v>
      </c>
      <c r="I79" s="8" t="str">
        <f t="shared" ca="1" si="49"/>
        <v>79</v>
      </c>
      <c r="J79" s="13">
        <f>IF(繳費報酬率資料!$A$1=1,VALUE(OP!$C$121),VLOOKUP(A79,MP,2,0))</f>
        <v>0.05</v>
      </c>
      <c r="K79" s="14">
        <f ca="1">IF(SUM($K$4:K78,IF(繳費報酬率資料!$A$1=1,$AU79+$AV79,$BB79+$BC79))&gt;OP!$L$58,0,IF(繳費報酬率資料!$A$1=1,$AU79+$AV79,$BB79+$BC79))</f>
        <v>0</v>
      </c>
      <c r="L79" s="2"/>
      <c r="M79" s="2"/>
      <c r="N79" s="2"/>
      <c r="O79" s="261">
        <f t="shared" ca="1" si="56"/>
        <v>0</v>
      </c>
      <c r="P79" s="261">
        <f t="shared" ca="1" si="77"/>
        <v>0</v>
      </c>
      <c r="Q79" s="3">
        <f ca="1">IF(A79&gt;MAX(OP!$R$17:$R$26),0,VLOOKUP(A79,fees,3,FALSE))</f>
        <v>0</v>
      </c>
      <c r="R79" s="200" t="str">
        <f t="shared" ca="1" si="57"/>
        <v/>
      </c>
      <c r="S79" s="9" t="str">
        <f ca="1">IF(COUNTIF(($T$4:T78),"F")&gt;=1,"",IF(OR(C80&lt;&gt;$C$3,E79=""),"",A79))</f>
        <v/>
      </c>
      <c r="T79" s="20" t="str">
        <f t="shared" ca="1" si="50"/>
        <v/>
      </c>
      <c r="U79" s="2">
        <f ca="1">IF(IF(OP!$C$83=1,$Z78,IF(OP!$C$83=2,$AA78,IF(OP!$C$83=3,$AB78,)))+$K79-$O79-$P79-$AS79&lt;OP!$C$142,0,$AS79)</f>
        <v>0</v>
      </c>
      <c r="V79" s="9"/>
      <c r="W79" s="19">
        <f ca="1">MAX(SUM($K$4:K79),0)</f>
        <v>2000000</v>
      </c>
      <c r="X79" s="19"/>
      <c r="Y79" s="19">
        <f t="shared" ca="1" si="78"/>
        <v>1920000</v>
      </c>
      <c r="Z79" s="2">
        <f ca="1">IF(MIN($Z$4:Z78)=0,0,MAX(0,($Z78+$K79-$O79-$P79)*IF(AND(F79="F",$D$3&lt;&gt;$G$3),((1+(-J79))^(H79/MIN(G79,365))),((1+(-J79))^(1/12)))-$U79))</f>
        <v>1387450.1733833039</v>
      </c>
      <c r="AA79" s="2">
        <f ca="1">IF(MIN($AA$4:AA78)=0,0,MAX(0,($AA78+$K79-$O79-$P79)*IF(AND(F79="F",$D$3&lt;&gt;$G$3),((1+$AA$1)^(H79/MIN(G79,365))),((1+$AA$1)^(1/12)))-$U79))</f>
        <v>1920000</v>
      </c>
      <c r="AB79" s="2">
        <f ca="1">IF(MIN($AB$4:AB78)=0,0,MAX(0,($AB78+$K79-$O79-$P79)*IF(AND(F79="F",$D$3&lt;&gt;$G$3),((1+(J79))^(H79/MIN(G79,365))),((1+(J79))^(1/12)))-$U79))</f>
        <v>2615171.1876762658</v>
      </c>
      <c r="AC79" s="5"/>
      <c r="AD79" s="5"/>
      <c r="AE79" s="5"/>
      <c r="AF79" s="282">
        <f t="shared" ca="1" si="58"/>
        <v>1387450</v>
      </c>
      <c r="AG79" s="282">
        <f t="shared" ca="1" si="59"/>
        <v>1920000</v>
      </c>
      <c r="AH79" s="282">
        <f t="shared" ca="1" si="60"/>
        <v>2615171</v>
      </c>
      <c r="AI79" s="23" t="str">
        <f t="shared" ca="1" si="79"/>
        <v>7-5</v>
      </c>
      <c r="AJ79" s="282">
        <f ca="1">IF(E79&gt;111,,IF(AND(OP!$C$99=1,T79="F"),Z79,IF(AND(OP!$C$99=2,COUNTIF($T$4:T79,"F")=1),OP!$C$97+IF(F79="F",OP!$C$98,0),"")))</f>
        <v>54527</v>
      </c>
      <c r="AK79" s="282">
        <f ca="1">IF(E79&gt;111,,IF(AND(OP!$D$99=1,T79="F"),AA79,IF(AND(OP!$D$99=2,COUNTIF($T$4:T79,"F")=1),OP!$D$97+IF(F79="F",OP!$D$98,0),"")))</f>
        <v>74177</v>
      </c>
      <c r="AL79" s="282">
        <f ca="1">IF(E79&gt;111,,IF(AND(OP!$E$99=1,T79="F"),AB79,IF(AND(OP!$E$99=2,COUNTIF($T$4:T79,"F")=1),OP!$E$97+IF(F79="F",OP!$E$98,0),"")))</f>
        <v>99404</v>
      </c>
      <c r="AM79" s="1">
        <f t="shared" ca="1" si="61"/>
        <v>5</v>
      </c>
      <c r="AN79" s="1" t="str">
        <f ca="1">IF(OR(VLOOKUP($A79,MP,5,0)="季繳",VLOOKUP($A79,MP,5,0)="月繳"),1,"")</f>
        <v/>
      </c>
      <c r="AO79" s="1">
        <f t="shared" ca="1" si="62"/>
        <v>0</v>
      </c>
      <c r="AP79" s="1" t="str">
        <f ca="1">IF(AND(A79&lt;=OP!$C$120,COUNTIF(PAY,C79)=1),1,"")</f>
        <v/>
      </c>
      <c r="AR79" s="301">
        <f ca="1">IF(繳費報酬率資料!$A$1=1,$AY79+$AZ79,$BF79+$BG79)</f>
        <v>0</v>
      </c>
      <c r="AS79" s="1">
        <f ca="1">IF(C79&lt;&gt;IF($C$3=1,12,$C$3-1),0,IF(繳費報酬率資料!$A$1&lt;&gt;1,VLOOKUP($A79,MP,8,0),IF(AND($A79&gt;=OP!$C$79,$A79&lt;=OP!$C$80),OP!$C$78,)))</f>
        <v>0</v>
      </c>
      <c r="AT79" s="298">
        <f t="shared" ca="1" si="63"/>
        <v>0</v>
      </c>
      <c r="AU79" s="298">
        <f ca="1">IF(AND(A79&lt;=OP!$C$120,COUNTIF(PAY,C79)=1),OP!$C$123,0)</f>
        <v>0</v>
      </c>
      <c r="AV79" s="298">
        <f ca="1">IF(AND(A79&gt;=OP!$C$132,A79&lt;=OP!$C$133,$C$3=C79),OP!$C$135,0)</f>
        <v>0</v>
      </c>
      <c r="AW79" s="180">
        <f t="shared" ca="1" si="64"/>
        <v>0.05</v>
      </c>
      <c r="AX79" s="180">
        <f t="shared" ca="1" si="65"/>
        <v>0.05</v>
      </c>
      <c r="AY79" s="286">
        <f t="shared" ca="1" si="66"/>
        <v>0</v>
      </c>
      <c r="AZ79" s="286">
        <f t="shared" ca="1" si="67"/>
        <v>0</v>
      </c>
      <c r="BA79" s="286">
        <f t="shared" ca="1" si="68"/>
        <v>0</v>
      </c>
      <c r="BB79" s="286">
        <f t="shared" ca="1" si="69"/>
        <v>0</v>
      </c>
      <c r="BC79" s="286">
        <f t="shared" ca="1" si="70"/>
        <v>0</v>
      </c>
      <c r="BD79" s="180">
        <f t="shared" ca="1" si="71"/>
        <v>0.05</v>
      </c>
      <c r="BE79" s="180">
        <f t="shared" ca="1" si="72"/>
        <v>0.05</v>
      </c>
      <c r="BF79" s="286">
        <f t="shared" ca="1" si="73"/>
        <v>0</v>
      </c>
      <c r="BG79" s="286">
        <f t="shared" ca="1" si="74"/>
        <v>0</v>
      </c>
    </row>
    <row r="80" spans="1:59">
      <c r="A80" s="1">
        <f t="shared" ca="1" si="52"/>
        <v>7</v>
      </c>
      <c r="B80" s="1">
        <f t="shared" ca="1" si="75"/>
        <v>112</v>
      </c>
      <c r="C80" s="1">
        <f t="shared" ca="1" si="76"/>
        <v>10</v>
      </c>
      <c r="D80" s="1">
        <f ca="1">MIN($D$3,VLOOKUP(C80,OP!$S$30:$T$41,2))</f>
        <v>2</v>
      </c>
      <c r="E80" s="1">
        <f t="shared" ca="1" si="53"/>
        <v>61</v>
      </c>
      <c r="F80" s="11" t="str">
        <f t="shared" ca="1" si="54"/>
        <v/>
      </c>
      <c r="G80" s="8">
        <f t="shared" ca="1" si="80"/>
        <v>366</v>
      </c>
      <c r="H80" s="8">
        <f t="shared" ca="1" si="55"/>
        <v>31</v>
      </c>
      <c r="I80" s="8" t="str">
        <f t="shared" ca="1" si="49"/>
        <v>710</v>
      </c>
      <c r="J80" s="13">
        <f>IF(繳費報酬率資料!$A$1=1,VALUE(OP!$C$121),VLOOKUP(A80,MP,2,0))</f>
        <v>0.05</v>
      </c>
      <c r="K80" s="14">
        <f ca="1">IF(SUM($K$4:K79,IF(繳費報酬率資料!$A$1=1,$AU80+$AV80,$BB80+$BC80))&gt;OP!$L$58,0,IF(繳費報酬率資料!$A$1=1,$AU80+$AV80,$BB80+$BC80))</f>
        <v>0</v>
      </c>
      <c r="L80" s="2"/>
      <c r="M80" s="2"/>
      <c r="N80" s="2"/>
      <c r="O80" s="261">
        <f t="shared" ca="1" si="56"/>
        <v>0</v>
      </c>
      <c r="P80" s="261">
        <f t="shared" ca="1" si="77"/>
        <v>0</v>
      </c>
      <c r="Q80" s="3">
        <f ca="1">IF(A80&gt;MAX(OP!$R$17:$R$26),0,VLOOKUP(A80,fees,3,FALSE))</f>
        <v>0</v>
      </c>
      <c r="R80" s="200" t="str">
        <f t="shared" ca="1" si="57"/>
        <v/>
      </c>
      <c r="S80" s="9" t="str">
        <f ca="1">IF(COUNTIF(($T$4:T79),"F")&gt;=1,"",IF(OR(C81&lt;&gt;$C$3,E80=""),"",A80))</f>
        <v/>
      </c>
      <c r="T80" s="20" t="str">
        <f t="shared" ca="1" si="50"/>
        <v/>
      </c>
      <c r="U80" s="2">
        <f ca="1">IF(IF(OP!$C$83=1,$Z79,IF(OP!$C$83=2,$AA79,IF(OP!$C$83=3,$AB79,)))+$K80-$O80-$P80-$AS80&lt;OP!$C$142,0,$AS80)</f>
        <v>0</v>
      </c>
      <c r="V80" s="9"/>
      <c r="W80" s="19">
        <f ca="1">MAX(SUM($K$4:K80),0)</f>
        <v>2000000</v>
      </c>
      <c r="X80" s="19"/>
      <c r="Y80" s="19">
        <f t="shared" ca="1" si="78"/>
        <v>1920000</v>
      </c>
      <c r="Z80" s="2">
        <f ca="1">IF(MIN($Z$4:Z79)=0,0,MAX(0,($Z79+$K80-$O80-$P80)*IF(AND(F80="F",$D$3&lt;&gt;$G$3),((1+(-J80))^(H80/MIN(G80,365))),((1+(-J80))^(1/12)))-$U80))</f>
        <v>1381532.2561058423</v>
      </c>
      <c r="AA80" s="2">
        <f ca="1">IF(MIN($AA$4:AA79)=0,0,MAX(0,($AA79+$K80-$O80-$P80)*IF(AND(F80="F",$D$3&lt;&gt;$G$3),((1+$AA$1)^(H80/MIN(G80,365))),((1+$AA$1)^(1/12)))-$U80))</f>
        <v>1920000</v>
      </c>
      <c r="AB80" s="2">
        <f ca="1">IF(MIN($AB$4:AB79)=0,0,MAX(0,($AB79+$K80-$O80-$P80)*IF(AND(F80="F",$D$3&lt;&gt;$G$3),((1+(J80))^(H80/MIN(G80,365))),((1+(J80))^(1/12)))-$U80))</f>
        <v>2625825.7188102896</v>
      </c>
      <c r="AC80" s="5"/>
      <c r="AD80" s="5"/>
      <c r="AE80" s="5"/>
      <c r="AF80" s="282">
        <f t="shared" ca="1" si="58"/>
        <v>1381532</v>
      </c>
      <c r="AG80" s="282">
        <f t="shared" ca="1" si="59"/>
        <v>1920000</v>
      </c>
      <c r="AH80" s="282">
        <f t="shared" ca="1" si="60"/>
        <v>2625826</v>
      </c>
      <c r="AI80" s="23" t="str">
        <f t="shared" ca="1" si="79"/>
        <v>7-6</v>
      </c>
      <c r="AJ80" s="282">
        <f ca="1">IF(E80&gt;111,,IF(AND(OP!$C$99=1,T80="F"),Z80,IF(AND(OP!$C$99=2,COUNTIF($T$4:T80,"F")=1),OP!$C$97+IF(F80="F",OP!$C$98,0),"")))</f>
        <v>54527</v>
      </c>
      <c r="AK80" s="282">
        <f ca="1">IF(E80&gt;111,,IF(AND(OP!$D$99=1,T80="F"),AA80,IF(AND(OP!$D$99=2,COUNTIF($T$4:T80,"F")=1),OP!$D$97+IF(F80="F",OP!$D$98,0),"")))</f>
        <v>74177</v>
      </c>
      <c r="AL80" s="282">
        <f ca="1">IF(E80&gt;111,,IF(AND(OP!$E$99=1,T80="F"),AB80,IF(AND(OP!$E$99=2,COUNTIF($T$4:T80,"F")=1),OP!$E$97+IF(F80="F",OP!$E$98,0),"")))</f>
        <v>99404</v>
      </c>
      <c r="AM80" s="1">
        <f t="shared" ca="1" si="61"/>
        <v>6</v>
      </c>
      <c r="AN80" s="1" t="str">
        <f ca="1">IF(OR(VLOOKUP($A80,MP,5,0)="月繳"),1,"")</f>
        <v/>
      </c>
      <c r="AO80" s="1">
        <f t="shared" ca="1" si="62"/>
        <v>0</v>
      </c>
      <c r="AP80" s="1" t="str">
        <f ca="1">IF(AND(A80&lt;=OP!$C$120,COUNTIF(PAY,C80)=1),1,"")</f>
        <v/>
      </c>
      <c r="AR80" s="301">
        <f ca="1">IF(繳費報酬率資料!$A$1=1,$AY80+$AZ80,$BF80+$BG80)</f>
        <v>0</v>
      </c>
      <c r="AS80" s="1">
        <f ca="1">IF(C80&lt;&gt;IF($C$3=1,12,$C$3-1),0,IF(繳費報酬率資料!$A$1&lt;&gt;1,VLOOKUP($A80,MP,8,0),IF(AND($A80&gt;=OP!$C$79,$A80&lt;=OP!$C$80),OP!$C$78,)))</f>
        <v>0</v>
      </c>
      <c r="AT80" s="298">
        <f t="shared" ca="1" si="63"/>
        <v>0</v>
      </c>
      <c r="AU80" s="298">
        <f ca="1">IF(AND(A80&lt;=OP!$C$120,COUNTIF(PAY,C80)=1),OP!$C$123,0)</f>
        <v>0</v>
      </c>
      <c r="AV80" s="298">
        <f ca="1">IF(AND(A80&gt;=OP!$C$132,A80&lt;=OP!$C$133,$C$3=C80),OP!$C$135,0)</f>
        <v>0</v>
      </c>
      <c r="AW80" s="180">
        <f t="shared" ca="1" si="64"/>
        <v>0.05</v>
      </c>
      <c r="AX80" s="180">
        <f t="shared" ca="1" si="65"/>
        <v>0.05</v>
      </c>
      <c r="AY80" s="286">
        <f t="shared" ca="1" si="66"/>
        <v>0</v>
      </c>
      <c r="AZ80" s="286">
        <f t="shared" ca="1" si="67"/>
        <v>0</v>
      </c>
      <c r="BA80" s="286">
        <f t="shared" ca="1" si="68"/>
        <v>0</v>
      </c>
      <c r="BB80" s="286">
        <f t="shared" ca="1" si="69"/>
        <v>0</v>
      </c>
      <c r="BC80" s="286">
        <f t="shared" ca="1" si="70"/>
        <v>0</v>
      </c>
      <c r="BD80" s="180">
        <f t="shared" ca="1" si="71"/>
        <v>0.05</v>
      </c>
      <c r="BE80" s="180">
        <f t="shared" ca="1" si="72"/>
        <v>0.05</v>
      </c>
      <c r="BF80" s="286">
        <f t="shared" ca="1" si="73"/>
        <v>0</v>
      </c>
      <c r="BG80" s="286">
        <f t="shared" ca="1" si="74"/>
        <v>0</v>
      </c>
    </row>
    <row r="81" spans="1:59">
      <c r="A81" s="1">
        <f t="shared" ca="1" si="52"/>
        <v>7</v>
      </c>
      <c r="B81" s="1">
        <f t="shared" ca="1" si="75"/>
        <v>112</v>
      </c>
      <c r="C81" s="1">
        <f t="shared" ca="1" si="76"/>
        <v>11</v>
      </c>
      <c r="D81" s="1">
        <f ca="1">MIN($D$3,VLOOKUP(C81,OP!$S$30:$T$41,2))</f>
        <v>2</v>
      </c>
      <c r="E81" s="1">
        <f t="shared" ca="1" si="53"/>
        <v>61</v>
      </c>
      <c r="F81" s="11" t="str">
        <f t="shared" ca="1" si="54"/>
        <v/>
      </c>
      <c r="G81" s="8">
        <f t="shared" ca="1" si="80"/>
        <v>366</v>
      </c>
      <c r="H81" s="8">
        <f t="shared" ca="1" si="55"/>
        <v>30</v>
      </c>
      <c r="I81" s="8" t="str">
        <f t="shared" ca="1" si="49"/>
        <v>711</v>
      </c>
      <c r="J81" s="13">
        <f>IF(繳費報酬率資料!$A$1=1,VALUE(OP!$C$121),VLOOKUP(A81,MP,2,0))</f>
        <v>0.05</v>
      </c>
      <c r="K81" s="14">
        <f ca="1">IF(SUM($K$4:K80,IF(繳費報酬率資料!$A$1=1,$AU81+$AV81,$BB81+$BC81))&gt;OP!$L$58,0,IF(繳費報酬率資料!$A$1=1,$AU81+$AV81,$BB81+$BC81))</f>
        <v>0</v>
      </c>
      <c r="L81" s="2"/>
      <c r="M81" s="2"/>
      <c r="N81" s="2"/>
      <c r="O81" s="261">
        <f t="shared" ca="1" si="56"/>
        <v>0</v>
      </c>
      <c r="P81" s="261">
        <f t="shared" ca="1" si="77"/>
        <v>0</v>
      </c>
      <c r="Q81" s="3">
        <f ca="1">IF(A81&gt;MAX(OP!$R$17:$R$26),0,VLOOKUP(A81,fees,3,FALSE))</f>
        <v>0</v>
      </c>
      <c r="R81" s="200" t="str">
        <f t="shared" ca="1" si="57"/>
        <v/>
      </c>
      <c r="S81" s="9" t="str">
        <f ca="1">IF(COUNTIF(($T$4:T80),"F")&gt;=1,"",IF(OR(C82&lt;&gt;$C$3,E81=""),"",A81))</f>
        <v/>
      </c>
      <c r="T81" s="20" t="str">
        <f t="shared" ca="1" si="50"/>
        <v/>
      </c>
      <c r="U81" s="2">
        <f ca="1">IF(IF(OP!$C$83=1,$Z80,IF(OP!$C$83=2,$AA80,IF(OP!$C$83=3,$AB80,)))+$K81-$O81-$P81-$AS81&lt;OP!$C$142,0,$AS81)</f>
        <v>0</v>
      </c>
      <c r="V81" s="9"/>
      <c r="W81" s="19">
        <f ca="1">MAX(SUM($K$4:K81),0)</f>
        <v>2000000</v>
      </c>
      <c r="X81" s="19"/>
      <c r="Y81" s="19">
        <f t="shared" ca="1" si="78"/>
        <v>1920000</v>
      </c>
      <c r="Z81" s="2">
        <f ca="1">IF(MIN($Z$4:Z80)=0,0,MAX(0,($Z80+$K81-$O81-$P81)*IF(AND(F81="F",$D$3&lt;&gt;$G$3),((1+(-J81))^(H81/MIN(G81,365))),((1+(-J81))^(1/12)))-$U81))</f>
        <v>1375639.5806320682</v>
      </c>
      <c r="AA81" s="2">
        <f ca="1">IF(MIN($AA$4:AA80)=0,0,MAX(0,($AA80+$K81-$O81-$P81)*IF(AND(F81="F",$D$3&lt;&gt;$G$3),((1+$AA$1)^(H81/MIN(G81,365))),((1+$AA$1)^(1/12)))-$U81))</f>
        <v>1920000</v>
      </c>
      <c r="AB81" s="2">
        <f ca="1">IF(MIN($AB$4:AB80)=0,0,MAX(0,($AB80+$K81-$O81-$P81)*IF(AND(F81="F",$D$3&lt;&gt;$G$3),((1+(J81))^(H81/MIN(G81,365))),((1+(J81))^(1/12)))-$U81))</f>
        <v>2636523.6578230103</v>
      </c>
      <c r="AC81" s="5"/>
      <c r="AD81" s="5"/>
      <c r="AE81" s="5"/>
      <c r="AF81" s="282">
        <f t="shared" ca="1" si="58"/>
        <v>1375640</v>
      </c>
      <c r="AG81" s="282">
        <f t="shared" ca="1" si="59"/>
        <v>1920000</v>
      </c>
      <c r="AH81" s="282">
        <f t="shared" ca="1" si="60"/>
        <v>2636524</v>
      </c>
      <c r="AI81" s="23" t="str">
        <f t="shared" ca="1" si="79"/>
        <v>7-7</v>
      </c>
      <c r="AJ81" s="282">
        <f ca="1">IF(E81&gt;111,,IF(AND(OP!$C$99=1,T81="F"),Z81,IF(AND(OP!$C$99=2,COUNTIF($T$4:T81,"F")=1),OP!$C$97+IF(F81="F",OP!$C$98,0),"")))</f>
        <v>54527</v>
      </c>
      <c r="AK81" s="282">
        <f ca="1">IF(E81&gt;111,,IF(AND(OP!$D$99=1,T81="F"),AA81,IF(AND(OP!$D$99=2,COUNTIF($T$4:T81,"F")=1),OP!$D$97+IF(F81="F",OP!$D$98,0),"")))</f>
        <v>74177</v>
      </c>
      <c r="AL81" s="282">
        <f ca="1">IF(E81&gt;111,,IF(AND(OP!$E$99=1,T81="F"),AB81,IF(AND(OP!$E$99=2,COUNTIF($T$4:T81,"F")=1),OP!$E$97+IF(F81="F",OP!$E$98,0),"")))</f>
        <v>99404</v>
      </c>
      <c r="AM81" s="1">
        <f t="shared" ca="1" si="61"/>
        <v>7</v>
      </c>
      <c r="AN81" s="1" t="str">
        <f ca="1">IF(OR(VLOOKUP($A81,MP,5,0)="月繳"),1,"")</f>
        <v/>
      </c>
      <c r="AO81" s="1">
        <f t="shared" ca="1" si="62"/>
        <v>0</v>
      </c>
      <c r="AP81" s="1" t="str">
        <f ca="1">IF(AND(A81&lt;=OP!$C$120,COUNTIF(PAY,C81)=1),1,"")</f>
        <v/>
      </c>
      <c r="AR81" s="301">
        <f ca="1">IF(繳費報酬率資料!$A$1=1,$AY81+$AZ81,$BF81+$BG81)</f>
        <v>0</v>
      </c>
      <c r="AS81" s="1">
        <f ca="1">IF(C81&lt;&gt;IF($C$3=1,12,$C$3-1),0,IF(繳費報酬率資料!$A$1&lt;&gt;1,VLOOKUP($A81,MP,8,0),IF(AND($A81&gt;=OP!$C$79,$A81&lt;=OP!$C$80),OP!$C$78,)))</f>
        <v>0</v>
      </c>
      <c r="AT81" s="298">
        <f t="shared" ca="1" si="63"/>
        <v>0</v>
      </c>
      <c r="AU81" s="298">
        <f ca="1">IF(AND(A81&lt;=OP!$C$120,COUNTIF(PAY,C81)=1),OP!$C$123,0)</f>
        <v>0</v>
      </c>
      <c r="AV81" s="298">
        <f ca="1">IF(AND(A81&gt;=OP!$C$132,A81&lt;=OP!$C$133,$C$3=C81),OP!$C$135,0)</f>
        <v>0</v>
      </c>
      <c r="AW81" s="180">
        <f t="shared" ca="1" si="64"/>
        <v>0.05</v>
      </c>
      <c r="AX81" s="180">
        <f t="shared" ca="1" si="65"/>
        <v>0.05</v>
      </c>
      <c r="AY81" s="286">
        <f t="shared" ca="1" si="66"/>
        <v>0</v>
      </c>
      <c r="AZ81" s="286">
        <f t="shared" ca="1" si="67"/>
        <v>0</v>
      </c>
      <c r="BA81" s="286">
        <f t="shared" ca="1" si="68"/>
        <v>0</v>
      </c>
      <c r="BB81" s="286">
        <f t="shared" ca="1" si="69"/>
        <v>0</v>
      </c>
      <c r="BC81" s="286">
        <f t="shared" ca="1" si="70"/>
        <v>0</v>
      </c>
      <c r="BD81" s="180">
        <f t="shared" ca="1" si="71"/>
        <v>0.05</v>
      </c>
      <c r="BE81" s="180">
        <f t="shared" ca="1" si="72"/>
        <v>0.05</v>
      </c>
      <c r="BF81" s="286">
        <f t="shared" ca="1" si="73"/>
        <v>0</v>
      </c>
      <c r="BG81" s="286">
        <f t="shared" ca="1" si="74"/>
        <v>0</v>
      </c>
    </row>
    <row r="82" spans="1:59">
      <c r="A82" s="1">
        <f t="shared" ca="1" si="52"/>
        <v>7</v>
      </c>
      <c r="B82" s="1">
        <f t="shared" ca="1" si="75"/>
        <v>112</v>
      </c>
      <c r="C82" s="1">
        <f t="shared" ca="1" si="76"/>
        <v>12</v>
      </c>
      <c r="D82" s="1">
        <f ca="1">MIN($D$3,VLOOKUP(C82,OP!$S$30:$T$41,2))</f>
        <v>2</v>
      </c>
      <c r="E82" s="1">
        <f t="shared" ca="1" si="53"/>
        <v>61</v>
      </c>
      <c r="F82" s="11" t="str">
        <f t="shared" ca="1" si="54"/>
        <v/>
      </c>
      <c r="G82" s="8">
        <f t="shared" ca="1" si="80"/>
        <v>366</v>
      </c>
      <c r="H82" s="8">
        <f t="shared" ca="1" si="55"/>
        <v>31</v>
      </c>
      <c r="I82" s="8" t="str">
        <f t="shared" ca="1" si="49"/>
        <v>712</v>
      </c>
      <c r="J82" s="13">
        <f>IF(繳費報酬率資料!$A$1=1,VALUE(OP!$C$121),VLOOKUP(A82,MP,2,0))</f>
        <v>0.05</v>
      </c>
      <c r="K82" s="14">
        <f ca="1">IF(SUM($K$4:K81,IF(繳費報酬率資料!$A$1=1,$AU82+$AV82,$BB82+$BC82))&gt;OP!$L$58,0,IF(繳費報酬率資料!$A$1=1,$AU82+$AV82,$BB82+$BC82))</f>
        <v>0</v>
      </c>
      <c r="L82" s="2"/>
      <c r="M82" s="2"/>
      <c r="N82" s="2"/>
      <c r="O82" s="261">
        <f t="shared" ca="1" si="56"/>
        <v>0</v>
      </c>
      <c r="P82" s="261">
        <f t="shared" ca="1" si="77"/>
        <v>0</v>
      </c>
      <c r="Q82" s="3">
        <f ca="1">IF(A82&gt;MAX(OP!$R$17:$R$26),0,VLOOKUP(A82,fees,3,FALSE))</f>
        <v>0</v>
      </c>
      <c r="R82" s="200" t="str">
        <f t="shared" ca="1" si="57"/>
        <v/>
      </c>
      <c r="S82" s="9" t="str">
        <f ca="1">IF(COUNTIF(($T$4:T81),"F")&gt;=1,"",IF(OR(C83&lt;&gt;$C$3,E82=""),"",A82))</f>
        <v/>
      </c>
      <c r="T82" s="20" t="str">
        <f t="shared" ca="1" si="50"/>
        <v/>
      </c>
      <c r="U82" s="2">
        <f ca="1">IF(IF(OP!$C$83=1,$Z81,IF(OP!$C$83=2,$AA81,IF(OP!$C$83=3,$AB81,)))+$K82-$O82-$P82-$AS82&lt;OP!$C$142,0,$AS82)</f>
        <v>0</v>
      </c>
      <c r="V82" s="9"/>
      <c r="W82" s="19">
        <f ca="1">MAX(SUM($K$4:K82),0)</f>
        <v>2000000</v>
      </c>
      <c r="X82" s="19"/>
      <c r="Y82" s="19">
        <f t="shared" ca="1" si="78"/>
        <v>1920000</v>
      </c>
      <c r="Z82" s="2">
        <f ca="1">IF(MIN($Z$4:Z81)=0,0,MAX(0,($Z81+$K82-$O82-$P82)*IF(AND(F82="F",$D$3&lt;&gt;$G$3),((1+(-J82))^(H82/MIN(G82,365))),((1+(-J82))^(1/12)))-$U82))</f>
        <v>1369772.0392976427</v>
      </c>
      <c r="AA82" s="2">
        <f ca="1">IF(MIN($AA$4:AA81)=0,0,MAX(0,($AA81+$K82-$O82-$P82)*IF(AND(F82="F",$D$3&lt;&gt;$G$3),((1+$AA$1)^(H82/MIN(G82,365))),((1+$AA$1)^(1/12)))-$U82))</f>
        <v>1920000</v>
      </c>
      <c r="AB82" s="2">
        <f ca="1">IF(MIN($AB$4:AB81)=0,0,MAX(0,($AB81+$K82-$O82-$P82)*IF(AND(F82="F",$D$3&lt;&gt;$G$3),((1+(J82))^(H82/MIN(G82,365))),((1+(J82))^(1/12)))-$U82))</f>
        <v>2647265.1815634985</v>
      </c>
      <c r="AC82" s="5"/>
      <c r="AD82" s="5"/>
      <c r="AE82" s="5"/>
      <c r="AF82" s="282">
        <f t="shared" ca="1" si="58"/>
        <v>1369772</v>
      </c>
      <c r="AG82" s="282">
        <f t="shared" ca="1" si="59"/>
        <v>1920000</v>
      </c>
      <c r="AH82" s="282">
        <f t="shared" ca="1" si="60"/>
        <v>2647265</v>
      </c>
      <c r="AI82" s="23" t="str">
        <f t="shared" ca="1" si="79"/>
        <v>7-8</v>
      </c>
      <c r="AJ82" s="282">
        <f ca="1">IF(E82&gt;111,,IF(AND(OP!$C$99=1,T82="F"),Z82,IF(AND(OP!$C$99=2,COUNTIF($T$4:T82,"F")=1),OP!$C$97+IF(F82="F",OP!$C$98,0),"")))</f>
        <v>54527</v>
      </c>
      <c r="AK82" s="282">
        <f ca="1">IF(E82&gt;111,,IF(AND(OP!$D$99=1,T82="F"),AA82,IF(AND(OP!$D$99=2,COUNTIF($T$4:T82,"F")=1),OP!$D$97+IF(F82="F",OP!$D$98,0),"")))</f>
        <v>74177</v>
      </c>
      <c r="AL82" s="282">
        <f ca="1">IF(E82&gt;111,,IF(AND(OP!$E$99=1,T82="F"),AB82,IF(AND(OP!$E$99=2,COUNTIF($T$4:T82,"F")=1),OP!$E$97+IF(F82="F",OP!$E$98,0),"")))</f>
        <v>99404</v>
      </c>
      <c r="AM82" s="1">
        <f t="shared" ca="1" si="61"/>
        <v>8</v>
      </c>
      <c r="AN82" s="1" t="str">
        <f ca="1">IF(OR(VLOOKUP($A82,MP,5,0)="半年繳",VLOOKUP($A82,MP,5,0)="季繳",VLOOKUP($A82,MP,5,0)="月繳"),1,"")</f>
        <v/>
      </c>
      <c r="AO82" s="1">
        <f t="shared" ca="1" si="62"/>
        <v>0</v>
      </c>
      <c r="AP82" s="1" t="str">
        <f ca="1">IF(AND(A82&lt;=OP!$C$120,COUNTIF(PAY,C82)=1),1,"")</f>
        <v/>
      </c>
      <c r="AR82" s="301">
        <f ca="1">IF(繳費報酬率資料!$A$1=1,$AY82+$AZ82,$BF82+$BG82)</f>
        <v>0</v>
      </c>
      <c r="AS82" s="1">
        <f ca="1">IF(C82&lt;&gt;IF($C$3=1,12,$C$3-1),0,IF(繳費報酬率資料!$A$1&lt;&gt;1,VLOOKUP($A82,MP,8,0),IF(AND($A82&gt;=OP!$C$79,$A82&lt;=OP!$C$80),OP!$C$78,)))</f>
        <v>0</v>
      </c>
      <c r="AT82" s="298">
        <f t="shared" ca="1" si="63"/>
        <v>0</v>
      </c>
      <c r="AU82" s="298">
        <f ca="1">IF(AND(A82&lt;=OP!$C$120,COUNTIF(PAY,C82)=1),OP!$C$123,0)</f>
        <v>0</v>
      </c>
      <c r="AV82" s="298">
        <f ca="1">IF(AND(A82&gt;=OP!$C$132,A82&lt;=OP!$C$133,$C$3=C82),OP!$C$135,0)</f>
        <v>0</v>
      </c>
      <c r="AW82" s="180">
        <f t="shared" ca="1" si="64"/>
        <v>0.05</v>
      </c>
      <c r="AX82" s="180">
        <f t="shared" ca="1" si="65"/>
        <v>0.05</v>
      </c>
      <c r="AY82" s="286">
        <f t="shared" ca="1" si="66"/>
        <v>0</v>
      </c>
      <c r="AZ82" s="286">
        <f t="shared" ca="1" si="67"/>
        <v>0</v>
      </c>
      <c r="BA82" s="286">
        <f t="shared" ca="1" si="68"/>
        <v>0</v>
      </c>
      <c r="BB82" s="286">
        <f t="shared" ca="1" si="69"/>
        <v>0</v>
      </c>
      <c r="BC82" s="286">
        <f t="shared" ca="1" si="70"/>
        <v>0</v>
      </c>
      <c r="BD82" s="180">
        <f t="shared" ca="1" si="71"/>
        <v>0.05</v>
      </c>
      <c r="BE82" s="180">
        <f t="shared" ca="1" si="72"/>
        <v>0.05</v>
      </c>
      <c r="BF82" s="286">
        <f t="shared" ca="1" si="73"/>
        <v>0</v>
      </c>
      <c r="BG82" s="286">
        <f t="shared" ca="1" si="74"/>
        <v>0</v>
      </c>
    </row>
    <row r="83" spans="1:59">
      <c r="A83" s="1">
        <f t="shared" ca="1" si="52"/>
        <v>7</v>
      </c>
      <c r="B83" s="1">
        <f t="shared" ca="1" si="75"/>
        <v>113</v>
      </c>
      <c r="C83" s="1">
        <f t="shared" ca="1" si="76"/>
        <v>1</v>
      </c>
      <c r="D83" s="1">
        <f ca="1">MIN($D$3,VLOOKUP(C83,OP!$S$30:$T$41,2))</f>
        <v>2</v>
      </c>
      <c r="E83" s="1">
        <f t="shared" ca="1" si="53"/>
        <v>61</v>
      </c>
      <c r="F83" s="11" t="str">
        <f t="shared" ca="1" si="54"/>
        <v/>
      </c>
      <c r="G83" s="8">
        <f t="shared" ca="1" si="80"/>
        <v>366</v>
      </c>
      <c r="H83" s="8">
        <f t="shared" ca="1" si="55"/>
        <v>31</v>
      </c>
      <c r="I83" s="8" t="str">
        <f t="shared" ca="1" si="49"/>
        <v>71</v>
      </c>
      <c r="J83" s="13">
        <f>IF(繳費報酬率資料!$A$1=1,VALUE(OP!$C$121),VLOOKUP(A83,MP,2,0))</f>
        <v>0.05</v>
      </c>
      <c r="K83" s="14">
        <f ca="1">IF(SUM($K$4:K82,IF(繳費報酬率資料!$A$1=1,$AU83+$AV83,$BB83+$BC83))&gt;OP!$L$58,0,IF(繳費報酬率資料!$A$1=1,$AU83+$AV83,$BB83+$BC83))</f>
        <v>0</v>
      </c>
      <c r="L83" s="2"/>
      <c r="M83" s="2"/>
      <c r="N83" s="2"/>
      <c r="O83" s="261">
        <f t="shared" ca="1" si="56"/>
        <v>0</v>
      </c>
      <c r="P83" s="261">
        <f t="shared" ca="1" si="77"/>
        <v>0</v>
      </c>
      <c r="Q83" s="3">
        <f ca="1">IF(A83&gt;MAX(OP!$R$17:$R$26),0,VLOOKUP(A83,fees,3,FALSE))</f>
        <v>0</v>
      </c>
      <c r="R83" s="200" t="str">
        <f t="shared" ca="1" si="57"/>
        <v/>
      </c>
      <c r="S83" s="9" t="str">
        <f ca="1">IF(COUNTIF(($T$4:T82),"F")&gt;=1,"",IF(OR(C84&lt;&gt;$C$3,E83=""),"",A83))</f>
        <v/>
      </c>
      <c r="T83" s="20" t="str">
        <f t="shared" ca="1" si="50"/>
        <v/>
      </c>
      <c r="U83" s="2">
        <f ca="1">IF(IF(OP!$C$83=1,$Z82,IF(OP!$C$83=2,$AA82,IF(OP!$C$83=3,$AB82,)))+$K83-$O83-$P83-$AS83&lt;OP!$C$142,0,$AS83)</f>
        <v>0</v>
      </c>
      <c r="V83" s="9"/>
      <c r="W83" s="19">
        <f ca="1">MAX(SUM($K$4:K83),0)</f>
        <v>2000000</v>
      </c>
      <c r="X83" s="19"/>
      <c r="Y83" s="19">
        <f t="shared" ca="1" si="78"/>
        <v>1920000</v>
      </c>
      <c r="Z83" s="2">
        <f ca="1">IF(MIN($Z$4:Z82)=0,0,MAX(0,($Z82+$K83-$O83-$P83)*IF(AND(F83="F",$D$3&lt;&gt;$G$3),((1+(-J83))^(H83/MIN(G83,365))),((1+(-J83))^(1/12)))-$U83))</f>
        <v>1363929.524897449</v>
      </c>
      <c r="AA83" s="2">
        <f ca="1">IF(MIN($AA$4:AA82)=0,0,MAX(0,($AA82+$K83-$O83-$P83)*IF(AND(F83="F",$D$3&lt;&gt;$G$3),((1+$AA$1)^(H83/MIN(G83,365))),((1+$AA$1)^(1/12)))-$U83))</f>
        <v>1920000</v>
      </c>
      <c r="AB83" s="2">
        <f ca="1">IF(MIN($AB$4:AB82)=0,0,MAX(0,($AB82+$K83-$O83-$P83)*IF(AND(F83="F",$D$3&lt;&gt;$G$3),((1+(J83))^(H83/MIN(G83,365))),((1+(J83))^(1/12)))-$U83))</f>
        <v>2658050.4676013305</v>
      </c>
      <c r="AC83" s="5"/>
      <c r="AD83" s="5"/>
      <c r="AE83" s="5"/>
      <c r="AF83" s="282">
        <f t="shared" ca="1" si="58"/>
        <v>1363930</v>
      </c>
      <c r="AG83" s="282">
        <f t="shared" ca="1" si="59"/>
        <v>1920000</v>
      </c>
      <c r="AH83" s="282">
        <f t="shared" ca="1" si="60"/>
        <v>2658050</v>
      </c>
      <c r="AI83" s="23" t="str">
        <f t="shared" ca="1" si="79"/>
        <v>7-9</v>
      </c>
      <c r="AJ83" s="282">
        <f ca="1">IF(E83&gt;111,,IF(AND(OP!$C$99=1,T83="F"),Z83,IF(AND(OP!$C$99=2,COUNTIF($T$4:T83,"F")=1),OP!$C$97+IF(F83="F",OP!$C$98,0),"")))</f>
        <v>54527</v>
      </c>
      <c r="AK83" s="282">
        <f ca="1">IF(E83&gt;111,,IF(AND(OP!$D$99=1,T83="F"),AA83,IF(AND(OP!$D$99=2,COUNTIF($T$4:T83,"F")=1),OP!$D$97+IF(F83="F",OP!$D$98,0),"")))</f>
        <v>74177</v>
      </c>
      <c r="AL83" s="282">
        <f ca="1">IF(E83&gt;111,,IF(AND(OP!$E$99=1,T83="F"),AB83,IF(AND(OP!$E$99=2,COUNTIF($T$4:T83,"F")=1),OP!$E$97+IF(F83="F",OP!$E$98,0),"")))</f>
        <v>99404</v>
      </c>
      <c r="AM83" s="1">
        <f t="shared" ca="1" si="61"/>
        <v>9</v>
      </c>
      <c r="AN83" s="1" t="str">
        <f ca="1">IF(OR(VLOOKUP($A83,MP,5,0)="月繳"),1,"")</f>
        <v/>
      </c>
      <c r="AO83" s="1">
        <f t="shared" ca="1" si="62"/>
        <v>0</v>
      </c>
      <c r="AP83" s="1" t="str">
        <f ca="1">IF(AND(A83&lt;=OP!$C$120,COUNTIF(PAY,C83)=1),1,"")</f>
        <v/>
      </c>
      <c r="AR83" s="301">
        <f ca="1">IF(繳費報酬率資料!$A$1=1,$AY83+$AZ83,$BF83+$BG83)</f>
        <v>0</v>
      </c>
      <c r="AS83" s="1">
        <f ca="1">IF(C83&lt;&gt;IF($C$3=1,12,$C$3-1),0,IF(繳費報酬率資料!$A$1&lt;&gt;1,VLOOKUP($A83,MP,8,0),IF(AND($A83&gt;=OP!$C$79,$A83&lt;=OP!$C$80),OP!$C$78,)))</f>
        <v>0</v>
      </c>
      <c r="AT83" s="298">
        <f t="shared" ca="1" si="63"/>
        <v>0</v>
      </c>
      <c r="AU83" s="298">
        <f ca="1">IF(AND(A83&lt;=OP!$C$120,COUNTIF(PAY,C83)=1),OP!$C$123,0)</f>
        <v>0</v>
      </c>
      <c r="AV83" s="298">
        <f ca="1">IF(AND(A83&gt;=OP!$C$132,A83&lt;=OP!$C$133,$C$3=C83),OP!$C$135,0)</f>
        <v>0</v>
      </c>
      <c r="AW83" s="180">
        <f t="shared" ca="1" si="64"/>
        <v>0.05</v>
      </c>
      <c r="AX83" s="180">
        <f t="shared" ca="1" si="65"/>
        <v>0.05</v>
      </c>
      <c r="AY83" s="286">
        <f t="shared" ca="1" si="66"/>
        <v>0</v>
      </c>
      <c r="AZ83" s="286">
        <f t="shared" ca="1" si="67"/>
        <v>0</v>
      </c>
      <c r="BA83" s="286">
        <f t="shared" ca="1" si="68"/>
        <v>0</v>
      </c>
      <c r="BB83" s="286">
        <f t="shared" ca="1" si="69"/>
        <v>0</v>
      </c>
      <c r="BC83" s="286">
        <f t="shared" ca="1" si="70"/>
        <v>0</v>
      </c>
      <c r="BD83" s="180">
        <f t="shared" ca="1" si="71"/>
        <v>0.05</v>
      </c>
      <c r="BE83" s="180">
        <f t="shared" ca="1" si="72"/>
        <v>0.05</v>
      </c>
      <c r="BF83" s="286">
        <f t="shared" ca="1" si="73"/>
        <v>0</v>
      </c>
      <c r="BG83" s="286">
        <f t="shared" ca="1" si="74"/>
        <v>0</v>
      </c>
    </row>
    <row r="84" spans="1:59">
      <c r="A84" s="1">
        <f t="shared" ca="1" si="52"/>
        <v>7</v>
      </c>
      <c r="B84" s="1">
        <f t="shared" ca="1" si="75"/>
        <v>113</v>
      </c>
      <c r="C84" s="1">
        <f t="shared" ca="1" si="76"/>
        <v>2</v>
      </c>
      <c r="D84" s="1">
        <f ca="1">MIN($D$3,VLOOKUP(C84,OP!$S$30:$T$41,2))</f>
        <v>2</v>
      </c>
      <c r="E84" s="1">
        <f t="shared" ca="1" si="53"/>
        <v>61</v>
      </c>
      <c r="F84" s="11" t="str">
        <f t="shared" ca="1" si="54"/>
        <v/>
      </c>
      <c r="G84" s="8">
        <f t="shared" ca="1" si="80"/>
        <v>366</v>
      </c>
      <c r="H84" s="8">
        <f t="shared" ca="1" si="55"/>
        <v>29</v>
      </c>
      <c r="I84" s="8" t="str">
        <f t="shared" ca="1" si="49"/>
        <v>72</v>
      </c>
      <c r="J84" s="13">
        <f>IF(繳費報酬率資料!$A$1=1,VALUE(OP!$C$121),VLOOKUP(A84,MP,2,0))</f>
        <v>0.05</v>
      </c>
      <c r="K84" s="14">
        <f ca="1">IF(SUM($K$4:K83,IF(繳費報酬率資料!$A$1=1,$AU84+$AV84,$BB84+$BC84))&gt;OP!$L$58,0,IF(繳費報酬率資料!$A$1=1,$AU84+$AV84,$BB84+$BC84))</f>
        <v>0</v>
      </c>
      <c r="L84" s="2"/>
      <c r="M84" s="2"/>
      <c r="N84" s="2"/>
      <c r="O84" s="261">
        <f t="shared" ca="1" si="56"/>
        <v>0</v>
      </c>
      <c r="P84" s="261">
        <f t="shared" ca="1" si="77"/>
        <v>0</v>
      </c>
      <c r="Q84" s="3">
        <f ca="1">IF(A84&gt;MAX(OP!$R$17:$R$26),0,VLOOKUP(A84,fees,3,FALSE))</f>
        <v>0</v>
      </c>
      <c r="R84" s="200" t="str">
        <f t="shared" ca="1" si="57"/>
        <v/>
      </c>
      <c r="S84" s="9" t="str">
        <f ca="1">IF(COUNTIF(($T$4:T83),"F")&gt;=1,"",IF(OR(C85&lt;&gt;$C$3,E84=""),"",A84))</f>
        <v/>
      </c>
      <c r="T84" s="20" t="str">
        <f t="shared" ca="1" si="50"/>
        <v/>
      </c>
      <c r="U84" s="2">
        <f ca="1">IF(IF(OP!$C$83=1,$Z83,IF(OP!$C$83=2,$AA83,IF(OP!$C$83=3,$AB83,)))+$K84-$O84-$P84-$AS84&lt;OP!$C$142,0,$AS84)</f>
        <v>0</v>
      </c>
      <c r="V84" s="9"/>
      <c r="W84" s="19">
        <f ca="1">MAX(SUM($K$4:K84),0)</f>
        <v>2000000</v>
      </c>
      <c r="X84" s="19"/>
      <c r="Y84" s="19">
        <f t="shared" ca="1" si="78"/>
        <v>1920000</v>
      </c>
      <c r="Z84" s="2">
        <f ca="1">IF(MIN($Z$4:Z83)=0,0,MAX(0,($Z83+$K84-$O84-$P84)*IF(AND(F84="F",$D$3&lt;&gt;$G$3),((1+(-J84))^(H84/MIN(G84,365))),((1+(-J84))^(1/12)))-$U84))</f>
        <v>1358111.9306836345</v>
      </c>
      <c r="AA84" s="2">
        <f ca="1">IF(MIN($AA$4:AA83)=0,0,MAX(0,($AA83+$K84-$O84-$P84)*IF(AND(F84="F",$D$3&lt;&gt;$G$3),((1+$AA$1)^(H84/MIN(G84,365))),((1+$AA$1)^(1/12)))-$U84))</f>
        <v>1920000</v>
      </c>
      <c r="AB84" s="2">
        <f ca="1">IF(MIN($AB$4:AB83)=0,0,MAX(0,($AB83+$K84-$O84-$P84)*IF(AND(F84="F",$D$3&lt;&gt;$G$3),((1+(J84))^(H84/MIN(G84,365))),((1+(J84))^(1/12)))-$U84))</f>
        <v>2668879.6942295227</v>
      </c>
      <c r="AC84" s="5"/>
      <c r="AD84" s="5"/>
      <c r="AE84" s="5"/>
      <c r="AF84" s="282">
        <f t="shared" ca="1" si="58"/>
        <v>1358112</v>
      </c>
      <c r="AG84" s="282">
        <f t="shared" ca="1" si="59"/>
        <v>1920000</v>
      </c>
      <c r="AH84" s="282">
        <f t="shared" ca="1" si="60"/>
        <v>2668880</v>
      </c>
      <c r="AI84" s="23" t="str">
        <f t="shared" ca="1" si="79"/>
        <v>7-10</v>
      </c>
      <c r="AJ84" s="282">
        <f ca="1">IF(E84&gt;111,,IF(AND(OP!$C$99=1,T84="F"),Z84,IF(AND(OP!$C$99=2,COUNTIF($T$4:T84,"F")=1),OP!$C$97+IF(F84="F",OP!$C$98,0),"")))</f>
        <v>54527</v>
      </c>
      <c r="AK84" s="282">
        <f ca="1">IF(E84&gt;111,,IF(AND(OP!$D$99=1,T84="F"),AA84,IF(AND(OP!$D$99=2,COUNTIF($T$4:T84,"F")=1),OP!$D$97+IF(F84="F",OP!$D$98,0),"")))</f>
        <v>74177</v>
      </c>
      <c r="AL84" s="282">
        <f ca="1">IF(E84&gt;111,,IF(AND(OP!$E$99=1,T84="F"),AB84,IF(AND(OP!$E$99=2,COUNTIF($T$4:T84,"F")=1),OP!$E$97+IF(F84="F",OP!$E$98,0),"")))</f>
        <v>99404</v>
      </c>
      <c r="AM84" s="1">
        <f t="shared" ca="1" si="61"/>
        <v>10</v>
      </c>
      <c r="AN84" s="1" t="str">
        <f ca="1">IF(OR(VLOOKUP($A84,MP,5,0)="月繳"),1,"")</f>
        <v/>
      </c>
      <c r="AO84" s="1">
        <f t="shared" ca="1" si="62"/>
        <v>0</v>
      </c>
      <c r="AP84" s="1" t="str">
        <f ca="1">IF(AND(A84&lt;=OP!$C$120,COUNTIF(PAY,C84)=1),1,"")</f>
        <v/>
      </c>
      <c r="AR84" s="301">
        <f ca="1">IF(繳費報酬率資料!$A$1=1,$AY84+$AZ84,$BF84+$BG84)</f>
        <v>0</v>
      </c>
      <c r="AS84" s="1">
        <f ca="1">IF(C84&lt;&gt;IF($C$3=1,12,$C$3-1),0,IF(繳費報酬率資料!$A$1&lt;&gt;1,VLOOKUP($A84,MP,8,0),IF(AND($A84&gt;=OP!$C$79,$A84&lt;=OP!$C$80),OP!$C$78,)))</f>
        <v>0</v>
      </c>
      <c r="AT84" s="298">
        <f t="shared" ca="1" si="63"/>
        <v>0</v>
      </c>
      <c r="AU84" s="298">
        <f ca="1">IF(AND(A84&lt;=OP!$C$120,COUNTIF(PAY,C84)=1),OP!$C$123,0)</f>
        <v>0</v>
      </c>
      <c r="AV84" s="298">
        <f ca="1">IF(AND(A84&gt;=OP!$C$132,A84&lt;=OP!$C$133,$C$3=C84),OP!$C$135,0)</f>
        <v>0</v>
      </c>
      <c r="AW84" s="180">
        <f t="shared" ca="1" si="64"/>
        <v>0.05</v>
      </c>
      <c r="AX84" s="180">
        <f t="shared" ca="1" si="65"/>
        <v>0.05</v>
      </c>
      <c r="AY84" s="286">
        <f t="shared" ca="1" si="66"/>
        <v>0</v>
      </c>
      <c r="AZ84" s="286">
        <f t="shared" ca="1" si="67"/>
        <v>0</v>
      </c>
      <c r="BA84" s="286">
        <f t="shared" ca="1" si="68"/>
        <v>0</v>
      </c>
      <c r="BB84" s="286">
        <f t="shared" ca="1" si="69"/>
        <v>0</v>
      </c>
      <c r="BC84" s="286">
        <f t="shared" ca="1" si="70"/>
        <v>0</v>
      </c>
      <c r="BD84" s="180">
        <f t="shared" ca="1" si="71"/>
        <v>0.05</v>
      </c>
      <c r="BE84" s="180">
        <f t="shared" ca="1" si="72"/>
        <v>0.05</v>
      </c>
      <c r="BF84" s="286">
        <f t="shared" ca="1" si="73"/>
        <v>0</v>
      </c>
      <c r="BG84" s="286">
        <f t="shared" ca="1" si="74"/>
        <v>0</v>
      </c>
    </row>
    <row r="85" spans="1:59">
      <c r="A85" s="1">
        <f t="shared" ca="1" si="52"/>
        <v>7</v>
      </c>
      <c r="B85" s="1">
        <f t="shared" ca="1" si="75"/>
        <v>113</v>
      </c>
      <c r="C85" s="1">
        <f t="shared" ca="1" si="76"/>
        <v>3</v>
      </c>
      <c r="D85" s="1">
        <f ca="1">MIN($D$3,VLOOKUP(C85,OP!$S$30:$T$41,2))</f>
        <v>2</v>
      </c>
      <c r="E85" s="1">
        <f t="shared" ca="1" si="53"/>
        <v>61</v>
      </c>
      <c r="F85" s="11" t="str">
        <f t="shared" ca="1" si="54"/>
        <v/>
      </c>
      <c r="G85" s="8">
        <f t="shared" ca="1" si="80"/>
        <v>366</v>
      </c>
      <c r="H85" s="8">
        <f t="shared" ca="1" si="55"/>
        <v>31</v>
      </c>
      <c r="I85" s="8" t="str">
        <f t="shared" ca="1" si="49"/>
        <v>73</v>
      </c>
      <c r="J85" s="13">
        <f>IF(繳費報酬率資料!$A$1=1,VALUE(OP!$C$121),VLOOKUP(A85,MP,2,0))</f>
        <v>0.05</v>
      </c>
      <c r="K85" s="14">
        <f ca="1">IF(SUM($K$4:K84,IF(繳費報酬率資料!$A$1=1,$AU85+$AV85,$BB85+$BC85))&gt;OP!$L$58,0,IF(繳費報酬率資料!$A$1=1,$AU85+$AV85,$BB85+$BC85))</f>
        <v>0</v>
      </c>
      <c r="L85" s="2"/>
      <c r="M85" s="2"/>
      <c r="N85" s="2"/>
      <c r="O85" s="261">
        <f t="shared" ca="1" si="56"/>
        <v>0</v>
      </c>
      <c r="P85" s="261">
        <f t="shared" ca="1" si="77"/>
        <v>0</v>
      </c>
      <c r="Q85" s="3">
        <f ca="1">IF(A85&gt;MAX(OP!$R$17:$R$26),0,VLOOKUP(A85,fees,3,FALSE))</f>
        <v>0</v>
      </c>
      <c r="R85" s="200" t="str">
        <f t="shared" ca="1" si="57"/>
        <v/>
      </c>
      <c r="S85" s="9" t="str">
        <f ca="1">IF(COUNTIF(($T$4:T84),"F")&gt;=1,"",IF(OR(C86&lt;&gt;$C$3,E85=""),"",A85))</f>
        <v/>
      </c>
      <c r="T85" s="20" t="str">
        <f t="shared" ca="1" si="50"/>
        <v/>
      </c>
      <c r="U85" s="2">
        <f ca="1">IF(IF(OP!$C$83=1,$Z84,IF(OP!$C$83=2,$AA84,IF(OP!$C$83=3,$AB84,)))+$K85-$O85-$P85-$AS85&lt;OP!$C$142,0,$AS85)</f>
        <v>0</v>
      </c>
      <c r="V85" s="9"/>
      <c r="W85" s="19">
        <f ca="1">MAX(SUM($K$4:K85),0)</f>
        <v>2000000</v>
      </c>
      <c r="X85" s="19"/>
      <c r="Y85" s="19">
        <f t="shared" ca="1" si="78"/>
        <v>1920000</v>
      </c>
      <c r="Z85" s="2">
        <f ca="1">IF(MIN($Z$4:Z84)=0,0,MAX(0,($Z84+$K85-$O85-$P85)*IF(AND(F85="F",$D$3&lt;&gt;$G$3),((1+(-J85))^(H85/MIN(G85,365))),((1+(-J85))^(1/12)))-$U85))</f>
        <v>1352319.1503636604</v>
      </c>
      <c r="AA85" s="2">
        <f ca="1">IF(MIN($AA$4:AA84)=0,0,MAX(0,($AA84+$K85-$O85-$P85)*IF(AND(F85="F",$D$3&lt;&gt;$G$3),((1+$AA$1)^(H85/MIN(G85,365))),((1+$AA$1)^(1/12)))-$U85))</f>
        <v>1920000</v>
      </c>
      <c r="AB85" s="2">
        <f ca="1">IF(MIN($AB$4:AB84)=0,0,MAX(0,($AB84+$K85-$O85-$P85)*IF(AND(F85="F",$D$3&lt;&gt;$G$3),((1+(J85))^(H85/MIN(G85,365))),((1+(J85))^(1/12)))-$U85))</f>
        <v>2679753.0404674793</v>
      </c>
      <c r="AC85" s="5"/>
      <c r="AD85" s="5"/>
      <c r="AE85" s="5"/>
      <c r="AF85" s="282">
        <f t="shared" ca="1" si="58"/>
        <v>1352319</v>
      </c>
      <c r="AG85" s="282">
        <f t="shared" ca="1" si="59"/>
        <v>1920000</v>
      </c>
      <c r="AH85" s="282">
        <f t="shared" ca="1" si="60"/>
        <v>2679753</v>
      </c>
      <c r="AI85" s="23" t="str">
        <f t="shared" ca="1" si="79"/>
        <v>7-11</v>
      </c>
      <c r="AJ85" s="282">
        <f ca="1">IF(E85&gt;111,,IF(AND(OP!$C$99=1,T85="F"),Z85,IF(AND(OP!$C$99=2,COUNTIF($T$4:T85,"F")=1),OP!$C$97+IF(F85="F",OP!$C$98,0),"")))</f>
        <v>54527</v>
      </c>
      <c r="AK85" s="282">
        <f ca="1">IF(E85&gt;111,,IF(AND(OP!$D$99=1,T85="F"),AA85,IF(AND(OP!$D$99=2,COUNTIF($T$4:T85,"F")=1),OP!$D$97+IF(F85="F",OP!$D$98,0),"")))</f>
        <v>74177</v>
      </c>
      <c r="AL85" s="282">
        <f ca="1">IF(E85&gt;111,,IF(AND(OP!$E$99=1,T85="F"),AB85,IF(AND(OP!$E$99=2,COUNTIF($T$4:T85,"F")=1),OP!$E$97+IF(F85="F",OP!$E$98,0),"")))</f>
        <v>99404</v>
      </c>
      <c r="AM85" s="1">
        <f t="shared" ca="1" si="61"/>
        <v>11</v>
      </c>
      <c r="AN85" s="1" t="str">
        <f ca="1">IF(OR(VLOOKUP($A85,MP,5,0)="季繳",VLOOKUP($A85,MP,5,0)="月繳"),1,"")</f>
        <v/>
      </c>
      <c r="AO85" s="1">
        <f t="shared" ca="1" si="62"/>
        <v>0</v>
      </c>
      <c r="AP85" s="1" t="str">
        <f ca="1">IF(AND(A85&lt;=OP!$C$120,COUNTIF(PAY,C85)=1),1,"")</f>
        <v/>
      </c>
      <c r="AR85" s="301">
        <f ca="1">IF(繳費報酬率資料!$A$1=1,$AY85+$AZ85,$BF85+$BG85)</f>
        <v>0</v>
      </c>
      <c r="AS85" s="1">
        <f ca="1">IF(C85&lt;&gt;IF($C$3=1,12,$C$3-1),0,IF(繳費報酬率資料!$A$1&lt;&gt;1,VLOOKUP($A85,MP,8,0),IF(AND($A85&gt;=OP!$C$79,$A85&lt;=OP!$C$80),OP!$C$78,)))</f>
        <v>0</v>
      </c>
      <c r="AT85" s="298">
        <f t="shared" ca="1" si="63"/>
        <v>0</v>
      </c>
      <c r="AU85" s="298">
        <f ca="1">IF(AND(A85&lt;=OP!$C$120,COUNTIF(PAY,C85)=1),OP!$C$123,0)</f>
        <v>0</v>
      </c>
      <c r="AV85" s="298">
        <f ca="1">IF(AND(A85&gt;=OP!$C$132,A85&lt;=OP!$C$133,$C$3=C85),OP!$C$135,0)</f>
        <v>0</v>
      </c>
      <c r="AW85" s="180">
        <f t="shared" ca="1" si="64"/>
        <v>0.05</v>
      </c>
      <c r="AX85" s="180">
        <f t="shared" ca="1" si="65"/>
        <v>0.05</v>
      </c>
      <c r="AY85" s="286">
        <f t="shared" ca="1" si="66"/>
        <v>0</v>
      </c>
      <c r="AZ85" s="286">
        <f t="shared" ca="1" si="67"/>
        <v>0</v>
      </c>
      <c r="BA85" s="286">
        <f t="shared" ca="1" si="68"/>
        <v>0</v>
      </c>
      <c r="BB85" s="286">
        <f t="shared" ca="1" si="69"/>
        <v>0</v>
      </c>
      <c r="BC85" s="286">
        <f t="shared" ca="1" si="70"/>
        <v>0</v>
      </c>
      <c r="BD85" s="180">
        <f t="shared" ca="1" si="71"/>
        <v>0.05</v>
      </c>
      <c r="BE85" s="180">
        <f t="shared" ca="1" si="72"/>
        <v>0.05</v>
      </c>
      <c r="BF85" s="286">
        <f t="shared" ca="1" si="73"/>
        <v>0</v>
      </c>
      <c r="BG85" s="286">
        <f t="shared" ca="1" si="74"/>
        <v>0</v>
      </c>
    </row>
    <row r="86" spans="1:59">
      <c r="A86" s="1">
        <f t="shared" ca="1" si="52"/>
        <v>7</v>
      </c>
      <c r="B86" s="1">
        <f t="shared" ca="1" si="75"/>
        <v>113</v>
      </c>
      <c r="C86" s="1">
        <f t="shared" ca="1" si="76"/>
        <v>4</v>
      </c>
      <c r="D86" s="1">
        <f ca="1">MIN($D$3,VLOOKUP(C86,OP!$S$30:$T$41,2))</f>
        <v>2</v>
      </c>
      <c r="E86" s="1">
        <f t="shared" ca="1" si="53"/>
        <v>61</v>
      </c>
      <c r="F86" s="11" t="str">
        <f t="shared" ca="1" si="54"/>
        <v/>
      </c>
      <c r="G86" s="8">
        <f t="shared" ca="1" si="80"/>
        <v>366</v>
      </c>
      <c r="H86" s="8">
        <f t="shared" ca="1" si="55"/>
        <v>30</v>
      </c>
      <c r="I86" s="8" t="str">
        <f t="shared" ca="1" si="49"/>
        <v>74</v>
      </c>
      <c r="J86" s="13">
        <f>IF(繳費報酬率資料!$A$1=1,VALUE(OP!$C$121),VLOOKUP(A86,MP,2,0))</f>
        <v>0.05</v>
      </c>
      <c r="K86" s="14">
        <f ca="1">IF(SUM($K$4:K85,IF(繳費報酬率資料!$A$1=1,$AU86+$AV86,$BB86+$BC86))&gt;OP!$L$58,0,IF(繳費報酬率資料!$A$1=1,$AU86+$AV86,$BB86+$BC86))</f>
        <v>0</v>
      </c>
      <c r="L86" s="2"/>
      <c r="M86" s="2"/>
      <c r="N86" s="2"/>
      <c r="O86" s="261">
        <f t="shared" ca="1" si="56"/>
        <v>0</v>
      </c>
      <c r="P86" s="261">
        <f t="shared" ca="1" si="77"/>
        <v>0</v>
      </c>
      <c r="Q86" s="3">
        <f ca="1">IF(A86&gt;MAX(OP!$R$17:$R$26),0,VLOOKUP(A86,fees,3,FALSE))</f>
        <v>0</v>
      </c>
      <c r="R86" s="200" t="str">
        <f t="shared" ca="1" si="57"/>
        <v/>
      </c>
      <c r="S86" s="9" t="str">
        <f ca="1">IF(COUNTIF(($T$4:T85),"F")&gt;=1,"",IF(OR(C87&lt;&gt;$C$3,E86=""),"",A86))</f>
        <v/>
      </c>
      <c r="T86" s="20" t="str">
        <f t="shared" ca="1" si="50"/>
        <v/>
      </c>
      <c r="U86" s="2">
        <f ca="1">IF(IF(OP!$C$83=1,$Z85,IF(OP!$C$83=2,$AA85,IF(OP!$C$83=3,$AB85,)))+$K86-$O86-$P86-$AS86&lt;OP!$C$142,0,$AS86)</f>
        <v>0</v>
      </c>
      <c r="V86" s="9"/>
      <c r="W86" s="19">
        <f ca="1">MAX(SUM($K$4:K86),0)</f>
        <v>2000000</v>
      </c>
      <c r="X86" s="19"/>
      <c r="Y86" s="19">
        <f t="shared" ca="1" si="78"/>
        <v>1920000</v>
      </c>
      <c r="Z86" s="2">
        <f ca="1">IF(MIN($Z$4:Z85)=0,0,MAX(0,($Z85+$K86-$O86-$P86)*IF(AND(F86="F",$D$3&lt;&gt;$G$3),((1+(-J86))^(H86/MIN(G86,365))),((1+(-J86))^(1/12)))-$U86))</f>
        <v>1346551.0780983595</v>
      </c>
      <c r="AA86" s="2">
        <f ca="1">IF(MIN($AA$4:AA85)=0,0,MAX(0,($AA85+$K86-$O86-$P86)*IF(AND(F86="F",$D$3&lt;&gt;$G$3),((1+$AA$1)^(H86/MIN(G86,365))),((1+$AA$1)^(1/12)))-$U86))</f>
        <v>1920000</v>
      </c>
      <c r="AB86" s="2">
        <f ca="1">IF(MIN($AB$4:AB85)=0,0,MAX(0,($AB85+$K86-$O86-$P86)*IF(AND(F86="F",$D$3&lt;&gt;$G$3),((1+(J86))^(H86/MIN(G86,365))),((1+(J86))^(1/12)))-$U86))</f>
        <v>2690670.6860639518</v>
      </c>
      <c r="AC86" s="5"/>
      <c r="AD86" s="5"/>
      <c r="AE86" s="5"/>
      <c r="AF86" s="282">
        <f t="shared" ca="1" si="58"/>
        <v>1346551</v>
      </c>
      <c r="AG86" s="282">
        <f t="shared" ca="1" si="59"/>
        <v>1920000</v>
      </c>
      <c r="AH86" s="282">
        <f t="shared" ca="1" si="60"/>
        <v>2690671</v>
      </c>
      <c r="AI86" s="23" t="str">
        <f t="shared" ca="1" si="79"/>
        <v>7-12</v>
      </c>
      <c r="AJ86" s="282">
        <f ca="1">IF(E86&gt;111,,IF(AND(OP!$C$99=1,T86="F"),Z86,IF(AND(OP!$C$99=2,COUNTIF($T$4:T86,"F")=1),OP!$C$97+IF(F86="F",OP!$C$98,0),"")))</f>
        <v>54527</v>
      </c>
      <c r="AK86" s="282">
        <f ca="1">IF(E86&gt;111,,IF(AND(OP!$D$99=1,T86="F"),AA86,IF(AND(OP!$D$99=2,COUNTIF($T$4:T86,"F")=1),OP!$D$97+IF(F86="F",OP!$D$98,0),"")))</f>
        <v>74177</v>
      </c>
      <c r="AL86" s="282">
        <f ca="1">IF(E86&gt;111,,IF(AND(OP!$E$99=1,T86="F"),AB86,IF(AND(OP!$E$99=2,COUNTIF($T$4:T86,"F")=1),OP!$E$97+IF(F86="F",OP!$E$98,0),"")))</f>
        <v>99404</v>
      </c>
      <c r="AM86" s="1">
        <f t="shared" ca="1" si="61"/>
        <v>12</v>
      </c>
      <c r="AN86" s="1" t="str">
        <f ca="1">IF(OR(VLOOKUP($A86,MP,5,0)="月繳"),1,"")</f>
        <v/>
      </c>
      <c r="AO86" s="1">
        <f t="shared" ca="1" si="62"/>
        <v>0</v>
      </c>
      <c r="AP86" s="1" t="str">
        <f ca="1">IF(AND(A86&lt;=OP!$C$120,COUNTIF(PAY,C86)=1),1,"")</f>
        <v/>
      </c>
      <c r="AR86" s="301">
        <f ca="1">IF(繳費報酬率資料!$A$1=1,$AY86+$AZ86,$BF86+$BG86)</f>
        <v>0</v>
      </c>
      <c r="AS86" s="1">
        <f ca="1">IF(C86&lt;&gt;IF($C$3=1,12,$C$3-1),0,IF(繳費報酬率資料!$A$1&lt;&gt;1,VLOOKUP($A86,MP,8,0),IF(AND($A86&gt;=OP!$C$79,$A86&lt;=OP!$C$80),OP!$C$78,)))</f>
        <v>0</v>
      </c>
      <c r="AT86" s="298">
        <f t="shared" ca="1" si="63"/>
        <v>0</v>
      </c>
      <c r="AU86" s="298">
        <f ca="1">IF(AND(A86&lt;=OP!$C$120,COUNTIF(PAY,C86)=1),OP!$C$123,0)</f>
        <v>0</v>
      </c>
      <c r="AV86" s="298">
        <f ca="1">IF(AND(A86&gt;=OP!$C$132,A86&lt;=OP!$C$133,$C$3=C86),OP!$C$135,0)</f>
        <v>0</v>
      </c>
      <c r="AW86" s="180">
        <f t="shared" ca="1" si="64"/>
        <v>0.05</v>
      </c>
      <c r="AX86" s="180">
        <f t="shared" ca="1" si="65"/>
        <v>0.05</v>
      </c>
      <c r="AY86" s="286">
        <f t="shared" ca="1" si="66"/>
        <v>0</v>
      </c>
      <c r="AZ86" s="286">
        <f t="shared" ca="1" si="67"/>
        <v>0</v>
      </c>
      <c r="BA86" s="286">
        <f t="shared" ca="1" si="68"/>
        <v>0</v>
      </c>
      <c r="BB86" s="286">
        <f t="shared" ca="1" si="69"/>
        <v>0</v>
      </c>
      <c r="BC86" s="286">
        <f t="shared" ca="1" si="70"/>
        <v>0</v>
      </c>
      <c r="BD86" s="180">
        <f t="shared" ca="1" si="71"/>
        <v>0.05</v>
      </c>
      <c r="BE86" s="180">
        <f t="shared" ca="1" si="72"/>
        <v>0.05</v>
      </c>
      <c r="BF86" s="286">
        <f t="shared" ca="1" si="73"/>
        <v>0</v>
      </c>
      <c r="BG86" s="286">
        <f t="shared" ca="1" si="74"/>
        <v>0</v>
      </c>
    </row>
    <row r="87" spans="1:59">
      <c r="A87" s="1">
        <f t="shared" ca="1" si="52"/>
        <v>7</v>
      </c>
      <c r="B87" s="1">
        <f t="shared" ca="1" si="75"/>
        <v>113</v>
      </c>
      <c r="C87" s="1">
        <f t="shared" ca="1" si="76"/>
        <v>5</v>
      </c>
      <c r="D87" s="1">
        <f ca="1">MIN($D$3,VLOOKUP(C87,OP!$S$30:$T$41,2))</f>
        <v>2</v>
      </c>
      <c r="E87" s="1">
        <f t="shared" ca="1" si="53"/>
        <v>61</v>
      </c>
      <c r="F87" s="11" t="str">
        <f t="shared" ca="1" si="54"/>
        <v/>
      </c>
      <c r="G87" s="8">
        <f t="shared" ca="1" si="80"/>
        <v>366</v>
      </c>
      <c r="H87" s="8">
        <f t="shared" ca="1" si="55"/>
        <v>31</v>
      </c>
      <c r="I87" s="8" t="str">
        <f t="shared" ca="1" si="49"/>
        <v>75</v>
      </c>
      <c r="J87" s="13">
        <f>IF(繳費報酬率資料!$A$1=1,VALUE(OP!$C$121),VLOOKUP(A87,MP,2,0))</f>
        <v>0.05</v>
      </c>
      <c r="K87" s="14">
        <f ca="1">IF(SUM($K$4:K86,IF(繳費報酬率資料!$A$1=1,$AU87+$AV87,$BB87+$BC87))&gt;OP!$L$58,0,IF(繳費報酬率資料!$A$1=1,$AU87+$AV87,$BB87+$BC87))</f>
        <v>0</v>
      </c>
      <c r="L87" s="2">
        <f ca="1">ROUND(IF(OP!$C$78&lt;(IF(OR($T87="F",$E87&gt;=111),0,Z86+$K87-$O87+IF($C$1=1,OP!$C$78,IF($C88=$C$3,SUM(AC76:AC87,0)))))*5%,0,(OP!$C$78-((IF(OR($T87="F",$E87&gt;=111),0,Z86+$K87-$O87+IF($C$1=1,AC87,IF($C88=$C$3,SUM(AC76:AC87,0)))))*5%))*$Q87),0)</f>
        <v>0</v>
      </c>
      <c r="M87" s="2">
        <f ca="1">ROUND(IF(OP!$C$78&lt;(IF(OR($T87="F",$E87&gt;=111),0,AA86+$K87-$O87+IF($C$1=1,AD87,IF($C88=$C$3,SUM(AD76:AD87,0)))))*5%,0,(OP!$C$78-((IF(OR($T87="F",$E87&gt;=111),0,AA86+$K87-$O87+IF($C$1=1,AD87,IF($C88=$C$3,SUM(AD76:AD87,0)))))*5%))*$Q87),0)</f>
        <v>0</v>
      </c>
      <c r="N87" s="2">
        <f ca="1">ROUND(IF(OP!$C$78&lt;(IF(OR($T87="F",$E87&gt;=111),0,AB86+$K87-$O87+IF($C$1=1,AE87,IF($C88=$C$3,SUM(AE76:AE87,0)))))*5%,0,(OP!$C$78-((IF(OR($T87="F",$E87&gt;=111),0,AB86+$K87-$O87+IF($C$1=1,AE87,IF($C88=$C$3,SUM(AE76:AE87,0)))))*5%))*$Q87),0)</f>
        <v>0</v>
      </c>
      <c r="O87" s="261">
        <f t="shared" ca="1" si="56"/>
        <v>0</v>
      </c>
      <c r="P87" s="261">
        <f t="shared" ca="1" si="77"/>
        <v>0</v>
      </c>
      <c r="Q87" s="3">
        <f ca="1">IF(A87&gt;MAX(OP!$R$17:$R$26),0,VLOOKUP(A87,fees,3,FALSE))</f>
        <v>0</v>
      </c>
      <c r="R87" s="200">
        <f t="shared" ca="1" si="57"/>
        <v>7</v>
      </c>
      <c r="S87" s="9" t="str">
        <f ca="1">IF(COUNTIF(($T$4:T86),"F")&gt;=1,"",IF(OR(C88&lt;&gt;$C$3,E87=""),"",A87))</f>
        <v/>
      </c>
      <c r="T87" s="20" t="str">
        <f t="shared" ca="1" si="50"/>
        <v/>
      </c>
      <c r="U87" s="2">
        <f ca="1">IF(IF(OP!$C$83=1,$Z86,IF(OP!$C$83=2,$AA86,IF(OP!$C$83=3,$AB86,)))+$K87-$O87-$P87-$AS87&lt;OP!$C$142,0,$AS87)</f>
        <v>0</v>
      </c>
      <c r="V87" s="19">
        <f ca="1">SUM(K76:K87)</f>
        <v>0</v>
      </c>
      <c r="W87" s="19">
        <f ca="1">MAX(SUM($K$4:K87),0)</f>
        <v>2000000</v>
      </c>
      <c r="X87" s="19">
        <f ca="1">SUM(O76:P87)</f>
        <v>0</v>
      </c>
      <c r="Y87" s="19">
        <f t="shared" ca="1" si="78"/>
        <v>1920000</v>
      </c>
      <c r="Z87" s="2">
        <f ca="1">IF(MIN($Z$4:Z86)=0,0,MAX(0,($Z86+$K87-$O87-$P87)*IF(AND(F87="F",$D$3&lt;&gt;$G$3),((1+(-J87))^(H87/MIN(G87,365))),((1+(-J87))^(1/12)))-$U87))</f>
        <v>1340807.608500002</v>
      </c>
      <c r="AA87" s="2">
        <f ca="1">IF(MIN($AA$4:AA86)=0,0,MAX(0,($AA86+$K87-$O87-$P87)*IF(AND(F87="F",$D$3&lt;&gt;$G$3),((1+$AA$1)^(H87/MIN(G87,365))),((1+$AA$1)^(1/12)))-$U87))</f>
        <v>1920000</v>
      </c>
      <c r="AB87" s="2">
        <f ca="1">IF(MIN($AB$4:AB86)=0,0,MAX(0,($AB86+$K87-$O87-$P87)*IF(AND(F87="F",$D$3&lt;&gt;$G$3),((1+(J87))^(H87/MIN(G87,365))),((1+(J87))^(1/12)))-$U87))</f>
        <v>2701632.8115000105</v>
      </c>
      <c r="AC87" s="5"/>
      <c r="AD87" s="5"/>
      <c r="AE87" s="5"/>
      <c r="AF87" s="282">
        <f t="shared" ca="1" si="58"/>
        <v>1340808</v>
      </c>
      <c r="AG87" s="282">
        <f t="shared" ca="1" si="59"/>
        <v>1920000</v>
      </c>
      <c r="AH87" s="282">
        <f t="shared" ca="1" si="60"/>
        <v>2701633</v>
      </c>
      <c r="AI87" s="23" t="str">
        <f t="shared" ca="1" si="79"/>
        <v>8-1</v>
      </c>
      <c r="AJ87" s="282">
        <f ca="1">IF(E87&gt;111,,IF(AND(OP!$C$99=1,T87="F"),Z87,IF(AND(OP!$C$99=2,COUNTIF($T$4:T87,"F")=1),OP!$C$97+IF(F87="F",OP!$C$98,0),"")))</f>
        <v>54527</v>
      </c>
      <c r="AK87" s="282">
        <f ca="1">IF(E87&gt;111,,IF(AND(OP!$D$99=1,T87="F"),AA87,IF(AND(OP!$D$99=2,COUNTIF($T$4:T87,"F")=1),OP!$D$97+IF(F87="F",OP!$D$98,0),"")))</f>
        <v>74177</v>
      </c>
      <c r="AL87" s="282">
        <f ca="1">IF(E87&gt;111,,IF(AND(OP!$E$99=1,T87="F"),AB87,IF(AND(OP!$E$99=2,COUNTIF($T$4:T87,"F")=1),OP!$E$97+IF(F87="F",OP!$E$98,0),"")))</f>
        <v>99404</v>
      </c>
      <c r="AM87" s="1">
        <f t="shared" ca="1" si="61"/>
        <v>1</v>
      </c>
      <c r="AN87" s="1" t="str">
        <f ca="1">IF(OR(VLOOKUP($A87,MP,5,0)="月繳"),1,"")</f>
        <v/>
      </c>
      <c r="AO87" s="1">
        <f t="shared" ca="1" si="62"/>
        <v>0</v>
      </c>
      <c r="AP87" s="1" t="str">
        <f ca="1">IF(AND(A87&lt;=OP!$C$120,COUNTIF(PAY,C87)=1),1,"")</f>
        <v/>
      </c>
      <c r="AR87" s="301">
        <f ca="1">IF(繳費報酬率資料!$A$1=1,$AY87+$AZ87,$BF87+$BG87)</f>
        <v>0</v>
      </c>
      <c r="AS87" s="1">
        <f ca="1">IF(C87&lt;&gt;IF($C$3=1,12,$C$3-1),0,IF(繳費報酬率資料!$A$1&lt;&gt;1,VLOOKUP($A87,MP,8,0),IF(AND($A87&gt;=OP!$C$79,$A87&lt;=OP!$C$80),OP!$C$78,)))</f>
        <v>0</v>
      </c>
      <c r="AT87" s="298">
        <f t="shared" ca="1" si="63"/>
        <v>0</v>
      </c>
      <c r="AU87" s="298">
        <f ca="1">IF(AND(A87&lt;=OP!$C$120,COUNTIF(PAY,C87)=1),OP!$C$123,0)</f>
        <v>0</v>
      </c>
      <c r="AV87" s="298">
        <f ca="1">IF(AND(A87&gt;=OP!$C$132,A87&lt;=OP!$C$133,$C$3=C87),OP!$C$135,0)</f>
        <v>0</v>
      </c>
      <c r="AW87" s="180">
        <f t="shared" ca="1" si="64"/>
        <v>0.05</v>
      </c>
      <c r="AX87" s="180">
        <f t="shared" ca="1" si="65"/>
        <v>0.05</v>
      </c>
      <c r="AY87" s="286">
        <f t="shared" ca="1" si="66"/>
        <v>0</v>
      </c>
      <c r="AZ87" s="286">
        <f t="shared" ca="1" si="67"/>
        <v>0</v>
      </c>
      <c r="BA87" s="286">
        <f t="shared" ca="1" si="68"/>
        <v>0</v>
      </c>
      <c r="BB87" s="286">
        <f t="shared" ca="1" si="69"/>
        <v>0</v>
      </c>
      <c r="BC87" s="286">
        <f t="shared" ca="1" si="70"/>
        <v>0</v>
      </c>
      <c r="BD87" s="180">
        <f t="shared" ca="1" si="71"/>
        <v>0.05</v>
      </c>
      <c r="BE87" s="180">
        <f t="shared" ca="1" si="72"/>
        <v>0.05</v>
      </c>
      <c r="BF87" s="286">
        <f t="shared" ca="1" si="73"/>
        <v>0</v>
      </c>
      <c r="BG87" s="286">
        <f t="shared" ca="1" si="74"/>
        <v>0</v>
      </c>
    </row>
    <row r="88" spans="1:59">
      <c r="A88" s="1">
        <f t="shared" ca="1" si="52"/>
        <v>8</v>
      </c>
      <c r="B88" s="1">
        <f t="shared" ca="1" si="75"/>
        <v>113</v>
      </c>
      <c r="C88" s="1">
        <f t="shared" ca="1" si="76"/>
        <v>6</v>
      </c>
      <c r="D88" s="1">
        <f ca="1">MIN($D$3,VLOOKUP(C88,OP!$S$30:$T$41,2))</f>
        <v>2</v>
      </c>
      <c r="E88" s="1">
        <f t="shared" ca="1" si="53"/>
        <v>62</v>
      </c>
      <c r="F88" s="11" t="str">
        <f t="shared" ca="1" si="54"/>
        <v/>
      </c>
      <c r="G88" s="6">
        <f ca="1">DATEDIF(DATE(B88+1911,C88,D88),DATE(B100+1911,C100,D100),"d")</f>
        <v>365</v>
      </c>
      <c r="H88" s="8">
        <f t="shared" ca="1" si="55"/>
        <v>30</v>
      </c>
      <c r="I88" s="8" t="str">
        <f t="shared" ca="1" si="49"/>
        <v>86</v>
      </c>
      <c r="J88" s="13">
        <f>IF(繳費報酬率資料!$A$1=1,VALUE(OP!$C$121),VLOOKUP(A88,MP,2,0))</f>
        <v>0.05</v>
      </c>
      <c r="K88" s="14">
        <f ca="1">IF(SUM($K$4:K87,IF(繳費報酬率資料!$A$1=1,$AU88+$AV88,$BB88+$BC88))&gt;OP!$L$58,0,IF(繳費報酬率資料!$A$1=1,$AU88+$AV88,$BB88+$BC88))</f>
        <v>0</v>
      </c>
      <c r="L88" s="2"/>
      <c r="M88" s="2"/>
      <c r="N88" s="2"/>
      <c r="O88" s="261">
        <f t="shared" ca="1" si="56"/>
        <v>0</v>
      </c>
      <c r="P88" s="261">
        <f t="shared" ca="1" si="77"/>
        <v>0</v>
      </c>
      <c r="Q88" s="3">
        <f ca="1">IF(A88&gt;MAX(OP!$R$17:$R$26),0,VLOOKUP(A88,fees,3,FALSE))</f>
        <v>0</v>
      </c>
      <c r="R88" s="200" t="str">
        <f t="shared" ca="1" si="57"/>
        <v/>
      </c>
      <c r="S88" s="9" t="str">
        <f ca="1">IF(COUNTIF(($T$4:T87),"F")&gt;=1,"",IF(OR(C89&lt;&gt;$C$3,E88=""),"",A88))</f>
        <v/>
      </c>
      <c r="T88" s="20" t="str">
        <f t="shared" ca="1" si="50"/>
        <v/>
      </c>
      <c r="U88" s="2">
        <f ca="1">IF(IF(OP!$C$83=1,$Z87,IF(OP!$C$83=2,$AA87,IF(OP!$C$83=3,$AB87,)))+$K88-$O88-$P88-$AS88&lt;OP!$C$142,0,$AS88)</f>
        <v>0</v>
      </c>
      <c r="V88" s="9"/>
      <c r="W88" s="19">
        <f ca="1">MAX(SUM($K$4:K88),0)</f>
        <v>2000000</v>
      </c>
      <c r="X88" s="19"/>
      <c r="Y88" s="19">
        <f t="shared" ca="1" si="78"/>
        <v>1920000</v>
      </c>
      <c r="Z88" s="2">
        <f ca="1">IF(MIN($Z$4:Z87)=0,0,MAX(0,($Z87+$K88-$O88-$P88)*IF(AND(F88="F",$D$3&lt;&gt;$G$3),((1+(-J88))^(H88/MIN(G88,365))),((1+(-J88))^(1/12)))-$U88))</f>
        <v>1335088.6366303707</v>
      </c>
      <c r="AA88" s="2">
        <f ca="1">IF(MIN($AA$4:AA87)=0,0,MAX(0,($AA87+$K88-$O88-$P88)*IF(AND(F88="F",$D$3&lt;&gt;$G$3),((1+$AA$1)^(H88/MIN(G88,365))),((1+$AA$1)^(1/12)))-$U88))</f>
        <v>1920000</v>
      </c>
      <c r="AB88" s="2">
        <f ca="1">IF(MIN($AB$4:AB87)=0,0,MAX(0,($AB87+$K88-$O88-$P88)*IF(AND(F88="F",$D$3&lt;&gt;$G$3),((1+(J88))^(H88/MIN(G88,365))),((1+(J88))^(1/12)))-$U88))</f>
        <v>2712639.5979920276</v>
      </c>
      <c r="AC88" s="21"/>
      <c r="AD88" s="21"/>
      <c r="AE88" s="21"/>
      <c r="AF88" s="282">
        <f t="shared" ca="1" si="58"/>
        <v>1335089</v>
      </c>
      <c r="AG88" s="282">
        <f t="shared" ca="1" si="59"/>
        <v>1920000</v>
      </c>
      <c r="AH88" s="282">
        <f ca="1">ROUND(AB88*(1-$Q88),$AF$1)</f>
        <v>2712640</v>
      </c>
      <c r="AI88" s="23" t="str">
        <f t="shared" ca="1" si="79"/>
        <v>8-2</v>
      </c>
      <c r="AJ88" s="281">
        <f ca="1">IF(E88&gt;111,,IF(AND(OP!$C$99=1,T88="F"),Z88,IF(AND(OP!$C$99=2,COUNTIF($T$4:T88,"F")=1),OP!$C$97+IF(F88="F",OP!$C$98,0),"")))</f>
        <v>54527</v>
      </c>
      <c r="AK88" s="281">
        <f ca="1">IF(E88&gt;111,,IF(AND(OP!$D$99=1,T88="F"),AA88,IF(AND(OP!$D$99=2,COUNTIF($T$4:T88,"F")=1),OP!$D$97+IF(F88="F",OP!$D$98,0),"")))</f>
        <v>74177</v>
      </c>
      <c r="AL88" s="281">
        <f ca="1">IF(E88&gt;111,,IF(AND(OP!$E$99=1,T88="F"),AB88,IF(AND(OP!$E$99=2,COUNTIF($T$4:T88,"F")=1),OP!$E$97+IF(F88="F",OP!$E$98,0),"")))</f>
        <v>99404</v>
      </c>
      <c r="AM88" s="1">
        <f t="shared" ca="1" si="61"/>
        <v>2</v>
      </c>
      <c r="AN88" s="1">
        <f ca="1">IF(OR(VLOOKUP($A88,MP,5,0)="年繳",VLOOKUP($A88,MP,5,0)="半年繳",VLOOKUP($A88,MP,5,0)="季繳",VLOOKUP($A88,MP,5,0)="月繳"),1,"")</f>
        <v>1</v>
      </c>
      <c r="AO88" s="1">
        <f t="shared" ca="1" si="62"/>
        <v>0</v>
      </c>
      <c r="AP88" s="1" t="str">
        <f ca="1">IF(AND(A88&lt;=OP!$C$120,COUNTIF(PAY,C88)=1),1,"")</f>
        <v/>
      </c>
      <c r="AR88" s="301">
        <f ca="1">IF(繳費報酬率資料!$A$1=1,$AY88+$AZ88,$BF88+$BG88)</f>
        <v>0</v>
      </c>
      <c r="AS88" s="1">
        <f ca="1">IF(C88&lt;&gt;IF($C$3=1,12,$C$3-1),0,IF(繳費報酬率資料!$A$1&lt;&gt;1,VLOOKUP($A88,MP,8,0),IF(AND($A88&gt;=OP!$C$79,$A88&lt;=OP!$C$80),OP!$C$78,)))</f>
        <v>0</v>
      </c>
      <c r="AT88" s="298">
        <f t="shared" ca="1" si="63"/>
        <v>0</v>
      </c>
      <c r="AU88" s="298">
        <f ca="1">IF(AND(A88&lt;=OP!$C$120,COUNTIF(PAY,C88)=1),OP!$C$123,0)</f>
        <v>0</v>
      </c>
      <c r="AV88" s="298">
        <f ca="1">IF(AND(A88&gt;=OP!$C$132,A88&lt;=OP!$C$133,$C$3=C88),OP!$C$135,0)</f>
        <v>0</v>
      </c>
      <c r="AW88" s="180">
        <f t="shared" ca="1" si="64"/>
        <v>0.05</v>
      </c>
      <c r="AX88" s="180">
        <f t="shared" ca="1" si="65"/>
        <v>0.05</v>
      </c>
      <c r="AY88" s="286">
        <f t="shared" ca="1" si="66"/>
        <v>0</v>
      </c>
      <c r="AZ88" s="286">
        <f t="shared" ca="1" si="67"/>
        <v>0</v>
      </c>
      <c r="BA88" s="286">
        <f t="shared" ca="1" si="68"/>
        <v>0</v>
      </c>
      <c r="BB88" s="286">
        <f t="shared" ca="1" si="69"/>
        <v>0</v>
      </c>
      <c r="BC88" s="286">
        <f t="shared" ca="1" si="70"/>
        <v>0</v>
      </c>
      <c r="BD88" s="180">
        <f t="shared" ca="1" si="71"/>
        <v>0.05</v>
      </c>
      <c r="BE88" s="180">
        <f t="shared" ca="1" si="72"/>
        <v>0.05</v>
      </c>
      <c r="BF88" s="286">
        <f t="shared" ca="1" si="73"/>
        <v>0</v>
      </c>
      <c r="BG88" s="286">
        <f t="shared" ca="1" si="74"/>
        <v>0</v>
      </c>
    </row>
    <row r="89" spans="1:59">
      <c r="A89" s="1">
        <f t="shared" ca="1" si="52"/>
        <v>8</v>
      </c>
      <c r="B89" s="1">
        <f t="shared" ca="1" si="75"/>
        <v>113</v>
      </c>
      <c r="C89" s="1">
        <f t="shared" ca="1" si="76"/>
        <v>7</v>
      </c>
      <c r="D89" s="1">
        <f ca="1">MIN($D$3,VLOOKUP(C89,OP!$S$30:$T$41,2))</f>
        <v>2</v>
      </c>
      <c r="E89" s="1">
        <f t="shared" ca="1" si="53"/>
        <v>62</v>
      </c>
      <c r="F89" s="11" t="str">
        <f t="shared" ca="1" si="54"/>
        <v/>
      </c>
      <c r="G89" s="8">
        <f t="shared" ref="G89:G99" ca="1" si="81">G88</f>
        <v>365</v>
      </c>
      <c r="H89" s="8">
        <f t="shared" ca="1" si="55"/>
        <v>31</v>
      </c>
      <c r="I89" s="8" t="str">
        <f t="shared" ca="1" si="49"/>
        <v>87</v>
      </c>
      <c r="J89" s="13">
        <f>IF(繳費報酬率資料!$A$1=1,VALUE(OP!$C$121),VLOOKUP(A89,MP,2,0))</f>
        <v>0.05</v>
      </c>
      <c r="K89" s="14">
        <f ca="1">IF(SUM($K$4:K88,IF(繳費報酬率資料!$A$1=1,$AU89+$AV89,$BB89+$BC89))&gt;OP!$L$58,0,IF(繳費報酬率資料!$A$1=1,$AU89+$AV89,$BB89+$BC89))</f>
        <v>0</v>
      </c>
      <c r="L89" s="2"/>
      <c r="M89" s="2"/>
      <c r="N89" s="2"/>
      <c r="O89" s="261">
        <f t="shared" ca="1" si="56"/>
        <v>0</v>
      </c>
      <c r="P89" s="261">
        <f t="shared" ca="1" si="77"/>
        <v>0</v>
      </c>
      <c r="Q89" s="3">
        <f ca="1">IF(A89&gt;MAX(OP!$R$17:$R$26),0,VLOOKUP(A89,fees,3,FALSE))</f>
        <v>0</v>
      </c>
      <c r="R89" s="200" t="str">
        <f t="shared" ca="1" si="57"/>
        <v/>
      </c>
      <c r="S89" s="9" t="str">
        <f ca="1">IF(COUNTIF(($T$4:T88),"F")&gt;=1,"",IF(OR(C90&lt;&gt;$C$3,E89=""),"",A89))</f>
        <v/>
      </c>
      <c r="T89" s="20" t="str">
        <f t="shared" ca="1" si="50"/>
        <v/>
      </c>
      <c r="U89" s="2">
        <f ca="1">IF(IF(OP!$C$83=1,$Z88,IF(OP!$C$83=2,$AA88,IF(OP!$C$83=3,$AB88,)))+$K89-$O89-$P89-$AS89&lt;OP!$C$142,0,$AS89)</f>
        <v>0</v>
      </c>
      <c r="V89" s="9"/>
      <c r="W89" s="19">
        <f ca="1">MAX(SUM($K$4:K89),0)</f>
        <v>2000000</v>
      </c>
      <c r="X89" s="19"/>
      <c r="Y89" s="19">
        <f t="shared" ca="1" si="78"/>
        <v>1920000</v>
      </c>
      <c r="Z89" s="2">
        <f ca="1">IF(MIN($Z$4:Z88)=0,0,MAX(0,($Z88+$K89-$O89-$P89)*IF(AND(F89="F",$D$3&lt;&gt;$G$3),((1+(-J89))^(H89/MIN(G89,365))),((1+(-J89))^(1/12)))-$U89))</f>
        <v>1329394.0579988435</v>
      </c>
      <c r="AA89" s="2">
        <f ca="1">IF(MIN($AA$4:AA88)=0,0,MAX(0,($AA88+$K89-$O89-$P89)*IF(AND(F89="F",$D$3&lt;&gt;$G$3),((1+$AA$1)^(H89/MIN(G89,365))),((1+$AA$1)^(1/12)))-$U89))</f>
        <v>1920000</v>
      </c>
      <c r="AB89" s="2">
        <f ca="1">IF(MIN($AB$4:AB88)=0,0,MAX(0,($AB88+$K89-$O89-$P89)*IF(AND(F89="F",$D$3&lt;&gt;$G$3),((1+(J89))^(H89/MIN(G89,365))),((1+(J89))^(1/12)))-$U89))</f>
        <v>2723691.2274946733</v>
      </c>
      <c r="AC89" s="5"/>
      <c r="AD89" s="5"/>
      <c r="AE89" s="5"/>
      <c r="AF89" s="282">
        <f t="shared" ca="1" si="58"/>
        <v>1329394</v>
      </c>
      <c r="AG89" s="282">
        <f t="shared" ca="1" si="59"/>
        <v>1920000</v>
      </c>
      <c r="AH89" s="282">
        <f t="shared" ca="1" si="60"/>
        <v>2723691</v>
      </c>
      <c r="AI89" s="23" t="str">
        <f t="shared" ca="1" si="79"/>
        <v>8-3</v>
      </c>
      <c r="AJ89" s="282">
        <f ca="1">IF(E89&gt;111,,IF(AND(OP!$C$99=1,T89="F"),Z89,IF(AND(OP!$C$99=2,COUNTIF($T$4:T89,"F")=1),OP!$C$97+IF(F89="F",OP!$C$98,0),"")))</f>
        <v>54527</v>
      </c>
      <c r="AK89" s="282">
        <f ca="1">IF(E89&gt;111,,IF(AND(OP!$D$99=1,T89="F"),AA89,IF(AND(OP!$D$99=2,COUNTIF($T$4:T89,"F")=1),OP!$D$97+IF(F89="F",OP!$D$98,0),"")))</f>
        <v>74177</v>
      </c>
      <c r="AL89" s="282">
        <f ca="1">IF(E89&gt;111,,IF(AND(OP!$E$99=1,T89="F"),AB89,IF(AND(OP!$E$99=2,COUNTIF($T$4:T89,"F")=1),OP!$E$97+IF(F89="F",OP!$E$98,0),"")))</f>
        <v>99404</v>
      </c>
      <c r="AM89" s="1">
        <f t="shared" ca="1" si="61"/>
        <v>3</v>
      </c>
      <c r="AN89" s="1" t="str">
        <f ca="1">IF(OR(VLOOKUP($A89,MP,5,0)="月繳"),1,"")</f>
        <v/>
      </c>
      <c r="AO89" s="1">
        <f t="shared" ca="1" si="62"/>
        <v>0</v>
      </c>
      <c r="AP89" s="1" t="str">
        <f ca="1">IF(AND(A89&lt;=OP!$C$120,COUNTIF(PAY,C89)=1),1,"")</f>
        <v/>
      </c>
      <c r="AR89" s="301">
        <f ca="1">IF(繳費報酬率資料!$A$1=1,$AY89+$AZ89,$BF89+$BG89)</f>
        <v>0</v>
      </c>
      <c r="AS89" s="1">
        <f ca="1">IF(C89&lt;&gt;IF($C$3=1,12,$C$3-1),0,IF(繳費報酬率資料!$A$1&lt;&gt;1,VLOOKUP($A89,MP,8,0),IF(AND($A89&gt;=OP!$C$79,$A89&lt;=OP!$C$80),OP!$C$78,)))</f>
        <v>0</v>
      </c>
      <c r="AT89" s="298">
        <f t="shared" ca="1" si="63"/>
        <v>0</v>
      </c>
      <c r="AU89" s="298">
        <f ca="1">IF(AND(A89&lt;=OP!$C$120,COUNTIF(PAY,C89)=1),OP!$C$123,0)</f>
        <v>0</v>
      </c>
      <c r="AV89" s="298">
        <f ca="1">IF(AND(A89&gt;=OP!$C$132,A89&lt;=OP!$C$133,$C$3=C89),OP!$C$135,0)</f>
        <v>0</v>
      </c>
      <c r="AW89" s="180">
        <f t="shared" ca="1" si="64"/>
        <v>0.05</v>
      </c>
      <c r="AX89" s="180">
        <f t="shared" ca="1" si="65"/>
        <v>0.05</v>
      </c>
      <c r="AY89" s="286">
        <f t="shared" ca="1" si="66"/>
        <v>0</v>
      </c>
      <c r="AZ89" s="286">
        <f t="shared" ca="1" si="67"/>
        <v>0</v>
      </c>
      <c r="BA89" s="286">
        <f t="shared" ca="1" si="68"/>
        <v>0</v>
      </c>
      <c r="BB89" s="286">
        <f t="shared" ca="1" si="69"/>
        <v>0</v>
      </c>
      <c r="BC89" s="286">
        <f t="shared" ca="1" si="70"/>
        <v>0</v>
      </c>
      <c r="BD89" s="180">
        <f t="shared" ca="1" si="71"/>
        <v>0.05</v>
      </c>
      <c r="BE89" s="180">
        <f t="shared" ca="1" si="72"/>
        <v>0.05</v>
      </c>
      <c r="BF89" s="286">
        <f t="shared" ca="1" si="73"/>
        <v>0</v>
      </c>
      <c r="BG89" s="286">
        <f t="shared" ca="1" si="74"/>
        <v>0</v>
      </c>
    </row>
    <row r="90" spans="1:59">
      <c r="A90" s="1">
        <f t="shared" ca="1" si="52"/>
        <v>8</v>
      </c>
      <c r="B90" s="1">
        <f t="shared" ca="1" si="75"/>
        <v>113</v>
      </c>
      <c r="C90" s="1">
        <f t="shared" ca="1" si="76"/>
        <v>8</v>
      </c>
      <c r="D90" s="1">
        <f ca="1">MIN($D$3,VLOOKUP(C90,OP!$S$30:$T$41,2))</f>
        <v>2</v>
      </c>
      <c r="E90" s="1">
        <f t="shared" ca="1" si="53"/>
        <v>62</v>
      </c>
      <c r="F90" s="11" t="str">
        <f t="shared" ca="1" si="54"/>
        <v/>
      </c>
      <c r="G90" s="8">
        <f t="shared" ca="1" si="81"/>
        <v>365</v>
      </c>
      <c r="H90" s="8">
        <f t="shared" ca="1" si="55"/>
        <v>31</v>
      </c>
      <c r="I90" s="8" t="str">
        <f t="shared" ca="1" si="49"/>
        <v>88</v>
      </c>
      <c r="J90" s="13">
        <f>IF(繳費報酬率資料!$A$1=1,VALUE(OP!$C$121),VLOOKUP(A90,MP,2,0))</f>
        <v>0.05</v>
      </c>
      <c r="K90" s="14">
        <f ca="1">IF(SUM($K$4:K89,IF(繳費報酬率資料!$A$1=1,$AU90+$AV90,$BB90+$BC90))&gt;OP!$L$58,0,IF(繳費報酬率資料!$A$1=1,$AU90+$AV90,$BB90+$BC90))</f>
        <v>0</v>
      </c>
      <c r="L90" s="2"/>
      <c r="M90" s="2"/>
      <c r="N90" s="2"/>
      <c r="O90" s="261">
        <f t="shared" ca="1" si="56"/>
        <v>0</v>
      </c>
      <c r="P90" s="261">
        <f t="shared" ca="1" si="77"/>
        <v>0</v>
      </c>
      <c r="Q90" s="3">
        <f ca="1">IF(A90&gt;MAX(OP!$R$17:$R$26),0,VLOOKUP(A90,fees,3,FALSE))</f>
        <v>0</v>
      </c>
      <c r="R90" s="200" t="str">
        <f t="shared" ca="1" si="57"/>
        <v/>
      </c>
      <c r="S90" s="9" t="str">
        <f ca="1">IF(COUNTIF(($T$4:T89),"F")&gt;=1,"",IF(OR(C91&lt;&gt;$C$3,E90=""),"",A90))</f>
        <v/>
      </c>
      <c r="T90" s="20" t="str">
        <f t="shared" ca="1" si="50"/>
        <v/>
      </c>
      <c r="U90" s="2">
        <f ca="1">IF(IF(OP!$C$83=1,$Z89,IF(OP!$C$83=2,$AA89,IF(OP!$C$83=3,$AB89,)))+$K90-$O90-$P90-$AS90&lt;OP!$C$142,0,$AS90)</f>
        <v>0</v>
      </c>
      <c r="V90" s="9"/>
      <c r="W90" s="19">
        <f ca="1">MAX(SUM($K$4:K90),0)</f>
        <v>2000000</v>
      </c>
      <c r="X90" s="19"/>
      <c r="Y90" s="19">
        <f t="shared" ca="1" si="78"/>
        <v>1920000</v>
      </c>
      <c r="Z90" s="2">
        <f ca="1">IF(MIN($Z$4:Z89)=0,0,MAX(0,($Z89+$K90-$O90-$P90)*IF(AND(F90="F",$D$3&lt;&gt;$G$3),((1+(-J90))^(H90/MIN(G90,365))),((1+(-J90))^(1/12)))-$U90))</f>
        <v>1323723.7685604836</v>
      </c>
      <c r="AA90" s="2">
        <f ca="1">IF(MIN($AA$4:AA89)=0,0,MAX(0,($AA89+$K90-$O90-$P90)*IF(AND(F90="F",$D$3&lt;&gt;$G$3),((1+$AA$1)^(H90/MIN(G90,365))),((1+$AA$1)^(1/12)))-$U90))</f>
        <v>1920000</v>
      </c>
      <c r="AB90" s="2">
        <f ca="1">IF(MIN($AB$4:AB89)=0,0,MAX(0,($AB89+$K90-$O90-$P90)*IF(AND(F90="F",$D$3&lt;&gt;$G$3),((1+(J90))^(H90/MIN(G90,365))),((1+(J90))^(1/12)))-$U90))</f>
        <v>2734787.8827039236</v>
      </c>
      <c r="AC90" s="5"/>
      <c r="AD90" s="5"/>
      <c r="AE90" s="5"/>
      <c r="AF90" s="282">
        <f t="shared" ca="1" si="58"/>
        <v>1323724</v>
      </c>
      <c r="AG90" s="282">
        <f t="shared" ca="1" si="59"/>
        <v>1920000</v>
      </c>
      <c r="AH90" s="282">
        <f t="shared" ca="1" si="60"/>
        <v>2734788</v>
      </c>
      <c r="AI90" s="23" t="str">
        <f t="shared" ca="1" si="79"/>
        <v>8-4</v>
      </c>
      <c r="AJ90" s="282">
        <f ca="1">IF(E90&gt;111,,IF(AND(OP!$C$99=1,T90="F"),Z90,IF(AND(OP!$C$99=2,COUNTIF($T$4:T90,"F")=1),OP!$C$97+IF(F90="F",OP!$C$98,0),"")))</f>
        <v>54527</v>
      </c>
      <c r="AK90" s="282">
        <f ca="1">IF(E90&gt;111,,IF(AND(OP!$D$99=1,T90="F"),AA90,IF(AND(OP!$D$99=2,COUNTIF($T$4:T90,"F")=1),OP!$D$97+IF(F90="F",OP!$D$98,0),"")))</f>
        <v>74177</v>
      </c>
      <c r="AL90" s="282">
        <f ca="1">IF(E90&gt;111,,IF(AND(OP!$E$99=1,T90="F"),AB90,IF(AND(OP!$E$99=2,COUNTIF($T$4:T90,"F")=1),OP!$E$97+IF(F90="F",OP!$E$98,0),"")))</f>
        <v>99404</v>
      </c>
      <c r="AM90" s="1">
        <f t="shared" ca="1" si="61"/>
        <v>4</v>
      </c>
      <c r="AN90" s="1" t="str">
        <f ca="1">IF(OR(VLOOKUP($A90,MP,5,0)="月繳"),1,"")</f>
        <v/>
      </c>
      <c r="AO90" s="1">
        <f t="shared" ca="1" si="62"/>
        <v>0</v>
      </c>
      <c r="AP90" s="1" t="str">
        <f ca="1">IF(AND(A90&lt;=OP!$C$120,COUNTIF(PAY,C90)=1),1,"")</f>
        <v/>
      </c>
      <c r="AR90" s="301">
        <f ca="1">IF(繳費報酬率資料!$A$1=1,$AY90+$AZ90,$BF90+$BG90)</f>
        <v>0</v>
      </c>
      <c r="AS90" s="1">
        <f ca="1">IF(C90&lt;&gt;IF($C$3=1,12,$C$3-1),0,IF(繳費報酬率資料!$A$1&lt;&gt;1,VLOOKUP($A90,MP,8,0),IF(AND($A90&gt;=OP!$C$79,$A90&lt;=OP!$C$80),OP!$C$78,)))</f>
        <v>0</v>
      </c>
      <c r="AT90" s="298">
        <f t="shared" ca="1" si="63"/>
        <v>0</v>
      </c>
      <c r="AU90" s="298">
        <f ca="1">IF(AND(A90&lt;=OP!$C$120,COUNTIF(PAY,C90)=1),OP!$C$123,0)</f>
        <v>0</v>
      </c>
      <c r="AV90" s="298">
        <f ca="1">IF(AND(A90&gt;=OP!$C$132,A90&lt;=OP!$C$133,$C$3=C90),OP!$C$135,0)</f>
        <v>0</v>
      </c>
      <c r="AW90" s="180">
        <f t="shared" ca="1" si="64"/>
        <v>0.05</v>
      </c>
      <c r="AX90" s="180">
        <f t="shared" ca="1" si="65"/>
        <v>0.05</v>
      </c>
      <c r="AY90" s="286">
        <f t="shared" ca="1" si="66"/>
        <v>0</v>
      </c>
      <c r="AZ90" s="286">
        <f t="shared" ca="1" si="67"/>
        <v>0</v>
      </c>
      <c r="BA90" s="286">
        <f t="shared" ca="1" si="68"/>
        <v>0</v>
      </c>
      <c r="BB90" s="286">
        <f t="shared" ca="1" si="69"/>
        <v>0</v>
      </c>
      <c r="BC90" s="286">
        <f t="shared" ca="1" si="70"/>
        <v>0</v>
      </c>
      <c r="BD90" s="180">
        <f t="shared" ca="1" si="71"/>
        <v>0.05</v>
      </c>
      <c r="BE90" s="180">
        <f t="shared" ca="1" si="72"/>
        <v>0.05</v>
      </c>
      <c r="BF90" s="286">
        <f t="shared" ca="1" si="73"/>
        <v>0</v>
      </c>
      <c r="BG90" s="286">
        <f t="shared" ca="1" si="74"/>
        <v>0</v>
      </c>
    </row>
    <row r="91" spans="1:59">
      <c r="A91" s="1">
        <f t="shared" ca="1" si="52"/>
        <v>8</v>
      </c>
      <c r="B91" s="1">
        <f t="shared" ca="1" si="75"/>
        <v>113</v>
      </c>
      <c r="C91" s="1">
        <f t="shared" ca="1" si="76"/>
        <v>9</v>
      </c>
      <c r="D91" s="1">
        <f ca="1">MIN($D$3,VLOOKUP(C91,OP!$S$30:$T$41,2))</f>
        <v>2</v>
      </c>
      <c r="E91" s="1">
        <f t="shared" ca="1" si="53"/>
        <v>62</v>
      </c>
      <c r="F91" s="11" t="str">
        <f t="shared" ca="1" si="54"/>
        <v/>
      </c>
      <c r="G91" s="8">
        <f t="shared" ca="1" si="81"/>
        <v>365</v>
      </c>
      <c r="H91" s="8">
        <f t="shared" ca="1" si="55"/>
        <v>30</v>
      </c>
      <c r="I91" s="8" t="str">
        <f t="shared" ca="1" si="49"/>
        <v>89</v>
      </c>
      <c r="J91" s="13">
        <f>IF(繳費報酬率資料!$A$1=1,VALUE(OP!$C$121),VLOOKUP(A91,MP,2,0))</f>
        <v>0.05</v>
      </c>
      <c r="K91" s="14">
        <f ca="1">IF(SUM($K$4:K90,IF(繳費報酬率資料!$A$1=1,$AU91+$AV91,$BB91+$BC91))&gt;OP!$L$58,0,IF(繳費報酬率資料!$A$1=1,$AU91+$AV91,$BB91+$BC91))</f>
        <v>0</v>
      </c>
      <c r="L91" s="2"/>
      <c r="M91" s="2"/>
      <c r="N91" s="2"/>
      <c r="O91" s="261">
        <f t="shared" ca="1" si="56"/>
        <v>0</v>
      </c>
      <c r="P91" s="261">
        <f t="shared" ca="1" si="77"/>
        <v>0</v>
      </c>
      <c r="Q91" s="3">
        <f ca="1">IF(A91&gt;MAX(OP!$R$17:$R$26),0,VLOOKUP(A91,fees,3,FALSE))</f>
        <v>0</v>
      </c>
      <c r="R91" s="200" t="str">
        <f t="shared" ca="1" si="57"/>
        <v/>
      </c>
      <c r="S91" s="9" t="str">
        <f ca="1">IF(COUNTIF(($T$4:T90),"F")&gt;=1,"",IF(OR(C92&lt;&gt;$C$3,E91=""),"",A91))</f>
        <v/>
      </c>
      <c r="T91" s="20" t="str">
        <f t="shared" ca="1" si="50"/>
        <v/>
      </c>
      <c r="U91" s="2">
        <f ca="1">IF(IF(OP!$C$83=1,$Z90,IF(OP!$C$83=2,$AA90,IF(OP!$C$83=3,$AB90,)))+$K91-$O91-$P91-$AS91&lt;OP!$C$142,0,$AS91)</f>
        <v>0</v>
      </c>
      <c r="V91" s="9"/>
      <c r="W91" s="19">
        <f ca="1">MAX(SUM($K$4:K91),0)</f>
        <v>2000000</v>
      </c>
      <c r="X91" s="19"/>
      <c r="Y91" s="19">
        <f t="shared" ca="1" si="78"/>
        <v>1920000</v>
      </c>
      <c r="Z91" s="2">
        <f ca="1">IF(MIN($Z$4:Z90)=0,0,MAX(0,($Z90+$K91-$O91-$P91)*IF(AND(F91="F",$D$3&lt;&gt;$G$3),((1+(-J91))^(H91/MIN(G91,365))),((1+(-J91))^(1/12)))-$U91))</f>
        <v>1318077.6647141392</v>
      </c>
      <c r="AA91" s="2">
        <f ca="1">IF(MIN($AA$4:AA90)=0,0,MAX(0,($AA90+$K91-$O91-$P91)*IF(AND(F91="F",$D$3&lt;&gt;$G$3),((1+$AA$1)^(H91/MIN(G91,365))),((1+$AA$1)^(1/12)))-$U91))</f>
        <v>1920000</v>
      </c>
      <c r="AB91" s="2">
        <f ca="1">IF(MIN($AB$4:AB90)=0,0,MAX(0,($AB90+$K91-$O91-$P91)*IF(AND(F91="F",$D$3&lt;&gt;$G$3),((1+(J91))^(H91/MIN(G91,365))),((1+(J91))^(1/12)))-$U91))</f>
        <v>2745929.747060081</v>
      </c>
      <c r="AC91" s="5"/>
      <c r="AD91" s="5"/>
      <c r="AE91" s="5"/>
      <c r="AF91" s="282">
        <f t="shared" ca="1" si="58"/>
        <v>1318078</v>
      </c>
      <c r="AG91" s="282">
        <f t="shared" ca="1" si="59"/>
        <v>1920000</v>
      </c>
      <c r="AH91" s="282">
        <f t="shared" ca="1" si="60"/>
        <v>2745930</v>
      </c>
      <c r="AI91" s="23" t="str">
        <f t="shared" ca="1" si="79"/>
        <v>8-5</v>
      </c>
      <c r="AJ91" s="282">
        <f ca="1">IF(E91&gt;111,,IF(AND(OP!$C$99=1,T91="F"),Z91,IF(AND(OP!$C$99=2,COUNTIF($T$4:T91,"F")=1),OP!$C$97+IF(F91="F",OP!$C$98,0),"")))</f>
        <v>54527</v>
      </c>
      <c r="AK91" s="282">
        <f ca="1">IF(E91&gt;111,,IF(AND(OP!$D$99=1,T91="F"),AA91,IF(AND(OP!$D$99=2,COUNTIF($T$4:T91,"F")=1),OP!$D$97+IF(F91="F",OP!$D$98,0),"")))</f>
        <v>74177</v>
      </c>
      <c r="AL91" s="282">
        <f ca="1">IF(E91&gt;111,,IF(AND(OP!$E$99=1,T91="F"),AB91,IF(AND(OP!$E$99=2,COUNTIF($T$4:T91,"F")=1),OP!$E$97+IF(F91="F",OP!$E$98,0),"")))</f>
        <v>99404</v>
      </c>
      <c r="AM91" s="1">
        <f t="shared" ca="1" si="61"/>
        <v>5</v>
      </c>
      <c r="AN91" s="1" t="str">
        <f ca="1">IF(OR(VLOOKUP($A91,MP,5,0)="季繳",VLOOKUP($A91,MP,5,0)="月繳"),1,"")</f>
        <v/>
      </c>
      <c r="AO91" s="1">
        <f t="shared" ca="1" si="62"/>
        <v>0</v>
      </c>
      <c r="AP91" s="1" t="str">
        <f ca="1">IF(AND(A91&lt;=OP!$C$120,COUNTIF(PAY,C91)=1),1,"")</f>
        <v/>
      </c>
      <c r="AR91" s="301">
        <f ca="1">IF(繳費報酬率資料!$A$1=1,$AY91+$AZ91,$BF91+$BG91)</f>
        <v>0</v>
      </c>
      <c r="AS91" s="1">
        <f ca="1">IF(C91&lt;&gt;IF($C$3=1,12,$C$3-1),0,IF(繳費報酬率資料!$A$1&lt;&gt;1,VLOOKUP($A91,MP,8,0),IF(AND($A91&gt;=OP!$C$79,$A91&lt;=OP!$C$80),OP!$C$78,)))</f>
        <v>0</v>
      </c>
      <c r="AT91" s="298">
        <f t="shared" ca="1" si="63"/>
        <v>0</v>
      </c>
      <c r="AU91" s="298">
        <f ca="1">IF(AND(A91&lt;=OP!$C$120,COUNTIF(PAY,C91)=1),OP!$C$123,0)</f>
        <v>0</v>
      </c>
      <c r="AV91" s="298">
        <f ca="1">IF(AND(A91&gt;=OP!$C$132,A91&lt;=OP!$C$133,$C$3=C91),OP!$C$135,0)</f>
        <v>0</v>
      </c>
      <c r="AW91" s="180">
        <f t="shared" ca="1" si="64"/>
        <v>0.05</v>
      </c>
      <c r="AX91" s="180">
        <f t="shared" ca="1" si="65"/>
        <v>0.05</v>
      </c>
      <c r="AY91" s="286">
        <f t="shared" ca="1" si="66"/>
        <v>0</v>
      </c>
      <c r="AZ91" s="286">
        <f t="shared" ca="1" si="67"/>
        <v>0</v>
      </c>
      <c r="BA91" s="286">
        <f t="shared" ca="1" si="68"/>
        <v>0</v>
      </c>
      <c r="BB91" s="286">
        <f t="shared" ca="1" si="69"/>
        <v>0</v>
      </c>
      <c r="BC91" s="286">
        <f t="shared" ca="1" si="70"/>
        <v>0</v>
      </c>
      <c r="BD91" s="180">
        <f t="shared" ca="1" si="71"/>
        <v>0.05</v>
      </c>
      <c r="BE91" s="180">
        <f t="shared" ca="1" si="72"/>
        <v>0.05</v>
      </c>
      <c r="BF91" s="286">
        <f t="shared" ca="1" si="73"/>
        <v>0</v>
      </c>
      <c r="BG91" s="286">
        <f t="shared" ca="1" si="74"/>
        <v>0</v>
      </c>
    </row>
    <row r="92" spans="1:59">
      <c r="A92" s="1">
        <f t="shared" ca="1" si="52"/>
        <v>8</v>
      </c>
      <c r="B92" s="1">
        <f t="shared" ca="1" si="75"/>
        <v>113</v>
      </c>
      <c r="C92" s="1">
        <f t="shared" ca="1" si="76"/>
        <v>10</v>
      </c>
      <c r="D92" s="1">
        <f ca="1">MIN($D$3,VLOOKUP(C92,OP!$S$30:$T$41,2))</f>
        <v>2</v>
      </c>
      <c r="E92" s="1">
        <f t="shared" ca="1" si="53"/>
        <v>62</v>
      </c>
      <c r="F92" s="11" t="str">
        <f t="shared" ca="1" si="54"/>
        <v/>
      </c>
      <c r="G92" s="8">
        <f t="shared" ca="1" si="81"/>
        <v>365</v>
      </c>
      <c r="H92" s="8">
        <f t="shared" ca="1" si="55"/>
        <v>31</v>
      </c>
      <c r="I92" s="8" t="str">
        <f t="shared" ca="1" si="49"/>
        <v>810</v>
      </c>
      <c r="J92" s="13">
        <f>IF(繳費報酬率資料!$A$1=1,VALUE(OP!$C$121),VLOOKUP(A92,MP,2,0))</f>
        <v>0.05</v>
      </c>
      <c r="K92" s="14">
        <f ca="1">IF(SUM($K$4:K91,IF(繳費報酬率資料!$A$1=1,$AU92+$AV92,$BB92+$BC92))&gt;OP!$L$58,0,IF(繳費報酬率資料!$A$1=1,$AU92+$AV92,$BB92+$BC92))</f>
        <v>0</v>
      </c>
      <c r="L92" s="2"/>
      <c r="M92" s="2"/>
      <c r="N92" s="2"/>
      <c r="O92" s="261">
        <f t="shared" ca="1" si="56"/>
        <v>0</v>
      </c>
      <c r="P92" s="261">
        <f t="shared" ca="1" si="77"/>
        <v>0</v>
      </c>
      <c r="Q92" s="3">
        <f ca="1">IF(A92&gt;MAX(OP!$R$17:$R$26),0,VLOOKUP(A92,fees,3,FALSE))</f>
        <v>0</v>
      </c>
      <c r="R92" s="200" t="str">
        <f t="shared" ca="1" si="57"/>
        <v/>
      </c>
      <c r="S92" s="9" t="str">
        <f ca="1">IF(COUNTIF(($T$4:T91),"F")&gt;=1,"",IF(OR(C93&lt;&gt;$C$3,E92=""),"",A92))</f>
        <v/>
      </c>
      <c r="T92" s="20" t="str">
        <f t="shared" ca="1" si="50"/>
        <v/>
      </c>
      <c r="U92" s="2">
        <f ca="1">IF(IF(OP!$C$83=1,$Z91,IF(OP!$C$83=2,$AA91,IF(OP!$C$83=3,$AB91,)))+$K92-$O92-$P92-$AS92&lt;OP!$C$142,0,$AS92)</f>
        <v>0</v>
      </c>
      <c r="V92" s="9"/>
      <c r="W92" s="19">
        <f ca="1">MAX(SUM($K$4:K92),0)</f>
        <v>2000000</v>
      </c>
      <c r="X92" s="19"/>
      <c r="Y92" s="19">
        <f t="shared" ca="1" si="78"/>
        <v>1920000</v>
      </c>
      <c r="Z92" s="2">
        <f ca="1">IF(MIN($Z$4:Z91)=0,0,MAX(0,($Z91+$K92-$O92-$P92)*IF(AND(F92="F",$D$3&lt;&gt;$G$3),((1+(-J92))^(H92/MIN(G92,365))),((1+(-J92))^(1/12)))-$U92))</f>
        <v>1312455.6433005508</v>
      </c>
      <c r="AA92" s="2">
        <f ca="1">IF(MIN($AA$4:AA91)=0,0,MAX(0,($AA91+$K92-$O92-$P92)*IF(AND(F92="F",$D$3&lt;&gt;$G$3),((1+$AA$1)^(H92/MIN(G92,365))),((1+$AA$1)^(1/12)))-$U92))</f>
        <v>1920000</v>
      </c>
      <c r="AB92" s="2">
        <f ca="1">IF(MIN($AB$4:AB91)=0,0,MAX(0,($AB91+$K92-$O92-$P92)*IF(AND(F92="F",$D$3&lt;&gt;$G$3),((1+(J92))^(H92/MIN(G92,365))),((1+(J92))^(1/12)))-$U92))</f>
        <v>2757117.0047508059</v>
      </c>
      <c r="AC92" s="5"/>
      <c r="AD92" s="5"/>
      <c r="AE92" s="5"/>
      <c r="AF92" s="282">
        <f t="shared" ca="1" si="58"/>
        <v>1312456</v>
      </c>
      <c r="AG92" s="282">
        <f t="shared" ca="1" si="59"/>
        <v>1920000</v>
      </c>
      <c r="AH92" s="282">
        <f t="shared" ca="1" si="60"/>
        <v>2757117</v>
      </c>
      <c r="AI92" s="23" t="str">
        <f t="shared" ca="1" si="79"/>
        <v>8-6</v>
      </c>
      <c r="AJ92" s="282">
        <f ca="1">IF(E92&gt;111,,IF(AND(OP!$C$99=1,T92="F"),Z92,IF(AND(OP!$C$99=2,COUNTIF($T$4:T92,"F")=1),OP!$C$97+IF(F92="F",OP!$C$98,0),"")))</f>
        <v>54527</v>
      </c>
      <c r="AK92" s="282">
        <f ca="1">IF(E92&gt;111,,IF(AND(OP!$D$99=1,T92="F"),AA92,IF(AND(OP!$D$99=2,COUNTIF($T$4:T92,"F")=1),OP!$D$97+IF(F92="F",OP!$D$98,0),"")))</f>
        <v>74177</v>
      </c>
      <c r="AL92" s="282">
        <f ca="1">IF(E92&gt;111,,IF(AND(OP!$E$99=1,T92="F"),AB92,IF(AND(OP!$E$99=2,COUNTIF($T$4:T92,"F")=1),OP!$E$97+IF(F92="F",OP!$E$98,0),"")))</f>
        <v>99404</v>
      </c>
      <c r="AM92" s="1">
        <f t="shared" ca="1" si="61"/>
        <v>6</v>
      </c>
      <c r="AN92" s="1" t="str">
        <f ca="1">IF(OR(VLOOKUP($A92,MP,5,0)="月繳"),1,"")</f>
        <v/>
      </c>
      <c r="AO92" s="1">
        <f t="shared" ca="1" si="62"/>
        <v>0</v>
      </c>
      <c r="AP92" s="1" t="str">
        <f ca="1">IF(AND(A92&lt;=OP!$C$120,COUNTIF(PAY,C92)=1),1,"")</f>
        <v/>
      </c>
      <c r="AR92" s="301">
        <f ca="1">IF(繳費報酬率資料!$A$1=1,$AY92+$AZ92,$BF92+$BG92)</f>
        <v>0</v>
      </c>
      <c r="AS92" s="1">
        <f ca="1">IF(C92&lt;&gt;IF($C$3=1,12,$C$3-1),0,IF(繳費報酬率資料!$A$1&lt;&gt;1,VLOOKUP($A92,MP,8,0),IF(AND($A92&gt;=OP!$C$79,$A92&lt;=OP!$C$80),OP!$C$78,)))</f>
        <v>0</v>
      </c>
      <c r="AT92" s="298">
        <f t="shared" ca="1" si="63"/>
        <v>0</v>
      </c>
      <c r="AU92" s="298">
        <f ca="1">IF(AND(A92&lt;=OP!$C$120,COUNTIF(PAY,C92)=1),OP!$C$123,0)</f>
        <v>0</v>
      </c>
      <c r="AV92" s="298">
        <f ca="1">IF(AND(A92&gt;=OP!$C$132,A92&lt;=OP!$C$133,$C$3=C92),OP!$C$135,0)</f>
        <v>0</v>
      </c>
      <c r="AW92" s="180">
        <f t="shared" ca="1" si="64"/>
        <v>0.05</v>
      </c>
      <c r="AX92" s="180">
        <f t="shared" ca="1" si="65"/>
        <v>0.05</v>
      </c>
      <c r="AY92" s="286">
        <f t="shared" ca="1" si="66"/>
        <v>0</v>
      </c>
      <c r="AZ92" s="286">
        <f t="shared" ca="1" si="67"/>
        <v>0</v>
      </c>
      <c r="BA92" s="286">
        <f t="shared" ca="1" si="68"/>
        <v>0</v>
      </c>
      <c r="BB92" s="286">
        <f t="shared" ca="1" si="69"/>
        <v>0</v>
      </c>
      <c r="BC92" s="286">
        <f t="shared" ca="1" si="70"/>
        <v>0</v>
      </c>
      <c r="BD92" s="180">
        <f t="shared" ca="1" si="71"/>
        <v>0.05</v>
      </c>
      <c r="BE92" s="180">
        <f t="shared" ca="1" si="72"/>
        <v>0.05</v>
      </c>
      <c r="BF92" s="286">
        <f t="shared" ca="1" si="73"/>
        <v>0</v>
      </c>
      <c r="BG92" s="286">
        <f t="shared" ca="1" si="74"/>
        <v>0</v>
      </c>
    </row>
    <row r="93" spans="1:59">
      <c r="A93" s="1">
        <f t="shared" ca="1" si="52"/>
        <v>8</v>
      </c>
      <c r="B93" s="1">
        <f t="shared" ca="1" si="75"/>
        <v>113</v>
      </c>
      <c r="C93" s="1">
        <f t="shared" ca="1" si="76"/>
        <v>11</v>
      </c>
      <c r="D93" s="1">
        <f ca="1">MIN($D$3,VLOOKUP(C93,OP!$S$30:$T$41,2))</f>
        <v>2</v>
      </c>
      <c r="E93" s="1">
        <f t="shared" ca="1" si="53"/>
        <v>62</v>
      </c>
      <c r="F93" s="11" t="str">
        <f t="shared" ca="1" si="54"/>
        <v/>
      </c>
      <c r="G93" s="8">
        <f t="shared" ca="1" si="81"/>
        <v>365</v>
      </c>
      <c r="H93" s="8">
        <f t="shared" ca="1" si="55"/>
        <v>30</v>
      </c>
      <c r="I93" s="8" t="str">
        <f t="shared" ca="1" si="49"/>
        <v>811</v>
      </c>
      <c r="J93" s="13">
        <f>IF(繳費報酬率資料!$A$1=1,VALUE(OP!$C$121),VLOOKUP(A93,MP,2,0))</f>
        <v>0.05</v>
      </c>
      <c r="K93" s="14">
        <f ca="1">IF(SUM($K$4:K92,IF(繳費報酬率資料!$A$1=1,$AU93+$AV93,$BB93+$BC93))&gt;OP!$L$58,0,IF(繳費報酬率資料!$A$1=1,$AU93+$AV93,$BB93+$BC93))</f>
        <v>0</v>
      </c>
      <c r="L93" s="2"/>
      <c r="M93" s="2"/>
      <c r="N93" s="2"/>
      <c r="O93" s="261">
        <f t="shared" ca="1" si="56"/>
        <v>0</v>
      </c>
      <c r="P93" s="261">
        <f t="shared" ca="1" si="77"/>
        <v>0</v>
      </c>
      <c r="Q93" s="3">
        <f ca="1">IF(A93&gt;MAX(OP!$R$17:$R$26),0,VLOOKUP(A93,fees,3,FALSE))</f>
        <v>0</v>
      </c>
      <c r="R93" s="200" t="str">
        <f t="shared" ca="1" si="57"/>
        <v/>
      </c>
      <c r="S93" s="9" t="str">
        <f ca="1">IF(COUNTIF(($T$4:T92),"F")&gt;=1,"",IF(OR(C94&lt;&gt;$C$3,E93=""),"",A93))</f>
        <v/>
      </c>
      <c r="T93" s="20" t="str">
        <f t="shared" ca="1" si="50"/>
        <v/>
      </c>
      <c r="U93" s="2">
        <f ca="1">IF(IF(OP!$C$83=1,$Z92,IF(OP!$C$83=2,$AA92,IF(OP!$C$83=3,$AB92,)))+$K93-$O93-$P93-$AS93&lt;OP!$C$142,0,$AS93)</f>
        <v>0</v>
      </c>
      <c r="V93" s="9"/>
      <c r="W93" s="19">
        <f ca="1">MAX(SUM($K$4:K93),0)</f>
        <v>2000000</v>
      </c>
      <c r="X93" s="19"/>
      <c r="Y93" s="19">
        <f t="shared" ca="1" si="78"/>
        <v>1920000</v>
      </c>
      <c r="Z93" s="2">
        <f ca="1">IF(MIN($Z$4:Z92)=0,0,MAX(0,($Z92+$K93-$O93-$P93)*IF(AND(F93="F",$D$3&lt;&gt;$G$3),((1+(-J93))^(H93/MIN(G93,365))),((1+(-J93))^(1/12)))-$U93))</f>
        <v>1306857.6016004656</v>
      </c>
      <c r="AA93" s="2">
        <f ca="1">IF(MIN($AA$4:AA92)=0,0,MAX(0,($AA92+$K93-$O93-$P93)*IF(AND(F93="F",$D$3&lt;&gt;$G$3),((1+$AA$1)^(H93/MIN(G93,365))),((1+$AA$1)^(1/12)))-$U93))</f>
        <v>1920000</v>
      </c>
      <c r="AB93" s="2">
        <f ca="1">IF(MIN($AB$4:AB92)=0,0,MAX(0,($AB92+$K93-$O93-$P93)*IF(AND(F93="F",$D$3&lt;&gt;$G$3),((1+(J93))^(H93/MIN(G93,365))),((1+(J93))^(1/12)))-$U93))</f>
        <v>2768349.8407141627</v>
      </c>
      <c r="AC93" s="5"/>
      <c r="AD93" s="5"/>
      <c r="AE93" s="5"/>
      <c r="AF93" s="282">
        <f t="shared" ca="1" si="58"/>
        <v>1306858</v>
      </c>
      <c r="AG93" s="282">
        <f t="shared" ca="1" si="59"/>
        <v>1920000</v>
      </c>
      <c r="AH93" s="282">
        <f t="shared" ca="1" si="60"/>
        <v>2768350</v>
      </c>
      <c r="AI93" s="23" t="str">
        <f t="shared" ca="1" si="79"/>
        <v>8-7</v>
      </c>
      <c r="AJ93" s="282">
        <f ca="1">IF(E93&gt;111,,IF(AND(OP!$C$99=1,T93="F"),Z93,IF(AND(OP!$C$99=2,COUNTIF($T$4:T93,"F")=1),OP!$C$97+IF(F93="F",OP!$C$98,0),"")))</f>
        <v>54527</v>
      </c>
      <c r="AK93" s="282">
        <f ca="1">IF(E93&gt;111,,IF(AND(OP!$D$99=1,T93="F"),AA93,IF(AND(OP!$D$99=2,COUNTIF($T$4:T93,"F")=1),OP!$D$97+IF(F93="F",OP!$D$98,0),"")))</f>
        <v>74177</v>
      </c>
      <c r="AL93" s="282">
        <f ca="1">IF(E93&gt;111,,IF(AND(OP!$E$99=1,T93="F"),AB93,IF(AND(OP!$E$99=2,COUNTIF($T$4:T93,"F")=1),OP!$E$97+IF(F93="F",OP!$E$98,0),"")))</f>
        <v>99404</v>
      </c>
      <c r="AM93" s="1">
        <f t="shared" ca="1" si="61"/>
        <v>7</v>
      </c>
      <c r="AN93" s="1" t="str">
        <f ca="1">IF(OR(VLOOKUP($A93,MP,5,0)="月繳"),1,"")</f>
        <v/>
      </c>
      <c r="AO93" s="1">
        <f t="shared" ca="1" si="62"/>
        <v>0</v>
      </c>
      <c r="AP93" s="1" t="str">
        <f ca="1">IF(AND(A93&lt;=OP!$C$120,COUNTIF(PAY,C93)=1),1,"")</f>
        <v/>
      </c>
      <c r="AR93" s="301">
        <f ca="1">IF(繳費報酬率資料!$A$1=1,$AY93+$AZ93,$BF93+$BG93)</f>
        <v>0</v>
      </c>
      <c r="AS93" s="1">
        <f ca="1">IF(C93&lt;&gt;IF($C$3=1,12,$C$3-1),0,IF(繳費報酬率資料!$A$1&lt;&gt;1,VLOOKUP($A93,MP,8,0),IF(AND($A93&gt;=OP!$C$79,$A93&lt;=OP!$C$80),OP!$C$78,)))</f>
        <v>0</v>
      </c>
      <c r="AT93" s="298">
        <f t="shared" ca="1" si="63"/>
        <v>0</v>
      </c>
      <c r="AU93" s="298">
        <f ca="1">IF(AND(A93&lt;=OP!$C$120,COUNTIF(PAY,C93)=1),OP!$C$123,0)</f>
        <v>0</v>
      </c>
      <c r="AV93" s="298">
        <f ca="1">IF(AND(A93&gt;=OP!$C$132,A93&lt;=OP!$C$133,$C$3=C93),OP!$C$135,0)</f>
        <v>0</v>
      </c>
      <c r="AW93" s="180">
        <f t="shared" ca="1" si="64"/>
        <v>0.05</v>
      </c>
      <c r="AX93" s="180">
        <f t="shared" ca="1" si="65"/>
        <v>0.05</v>
      </c>
      <c r="AY93" s="286">
        <f t="shared" ca="1" si="66"/>
        <v>0</v>
      </c>
      <c r="AZ93" s="286">
        <f t="shared" ca="1" si="67"/>
        <v>0</v>
      </c>
      <c r="BA93" s="286">
        <f t="shared" ca="1" si="68"/>
        <v>0</v>
      </c>
      <c r="BB93" s="286">
        <f t="shared" ca="1" si="69"/>
        <v>0</v>
      </c>
      <c r="BC93" s="286">
        <f t="shared" ca="1" si="70"/>
        <v>0</v>
      </c>
      <c r="BD93" s="180">
        <f t="shared" ca="1" si="71"/>
        <v>0.05</v>
      </c>
      <c r="BE93" s="180">
        <f t="shared" ca="1" si="72"/>
        <v>0.05</v>
      </c>
      <c r="BF93" s="286">
        <f t="shared" ca="1" si="73"/>
        <v>0</v>
      </c>
      <c r="BG93" s="286">
        <f t="shared" ca="1" si="74"/>
        <v>0</v>
      </c>
    </row>
    <row r="94" spans="1:59">
      <c r="A94" s="1">
        <f t="shared" ca="1" si="52"/>
        <v>8</v>
      </c>
      <c r="B94" s="1">
        <f t="shared" ca="1" si="75"/>
        <v>113</v>
      </c>
      <c r="C94" s="1">
        <f t="shared" ca="1" si="76"/>
        <v>12</v>
      </c>
      <c r="D94" s="1">
        <f ca="1">MIN($D$3,VLOOKUP(C94,OP!$S$30:$T$41,2))</f>
        <v>2</v>
      </c>
      <c r="E94" s="1">
        <f t="shared" ca="1" si="53"/>
        <v>62</v>
      </c>
      <c r="F94" s="11" t="str">
        <f t="shared" ca="1" si="54"/>
        <v/>
      </c>
      <c r="G94" s="8">
        <f t="shared" ca="1" si="81"/>
        <v>365</v>
      </c>
      <c r="H94" s="8">
        <f t="shared" ca="1" si="55"/>
        <v>31</v>
      </c>
      <c r="I94" s="8" t="str">
        <f t="shared" ca="1" si="49"/>
        <v>812</v>
      </c>
      <c r="J94" s="13">
        <f>IF(繳費報酬率資料!$A$1=1,VALUE(OP!$C$121),VLOOKUP(A94,MP,2,0))</f>
        <v>0.05</v>
      </c>
      <c r="K94" s="14">
        <f ca="1">IF(SUM($K$4:K93,IF(繳費報酬率資料!$A$1=1,$AU94+$AV94,$BB94+$BC94))&gt;OP!$L$58,0,IF(繳費報酬率資料!$A$1=1,$AU94+$AV94,$BB94+$BC94))</f>
        <v>0</v>
      </c>
      <c r="L94" s="2"/>
      <c r="M94" s="2"/>
      <c r="N94" s="2"/>
      <c r="O94" s="261">
        <f t="shared" ca="1" si="56"/>
        <v>0</v>
      </c>
      <c r="P94" s="261">
        <f t="shared" ca="1" si="77"/>
        <v>0</v>
      </c>
      <c r="Q94" s="3">
        <f ca="1">IF(A94&gt;MAX(OP!$R$17:$R$26),0,VLOOKUP(A94,fees,3,FALSE))</f>
        <v>0</v>
      </c>
      <c r="R94" s="200" t="str">
        <f t="shared" ca="1" si="57"/>
        <v/>
      </c>
      <c r="S94" s="9" t="str">
        <f ca="1">IF(COUNTIF(($T$4:T93),"F")&gt;=1,"",IF(OR(C95&lt;&gt;$C$3,E94=""),"",A94))</f>
        <v/>
      </c>
      <c r="T94" s="20" t="str">
        <f t="shared" ca="1" si="50"/>
        <v/>
      </c>
      <c r="U94" s="2">
        <f ca="1">IF(IF(OP!$C$83=1,$Z93,IF(OP!$C$83=2,$AA93,IF(OP!$C$83=3,$AB93,)))+$K94-$O94-$P94-$AS94&lt;OP!$C$142,0,$AS94)</f>
        <v>0</v>
      </c>
      <c r="V94" s="9"/>
      <c r="W94" s="19">
        <f ca="1">MAX(SUM($K$4:K94),0)</f>
        <v>2000000</v>
      </c>
      <c r="X94" s="19"/>
      <c r="Y94" s="19">
        <f t="shared" ca="1" si="78"/>
        <v>1920000</v>
      </c>
      <c r="Z94" s="2">
        <f ca="1">IF(MIN($Z$4:Z93)=0,0,MAX(0,($Z93+$K94-$O94-$P94)*IF(AND(F94="F",$D$3&lt;&gt;$G$3),((1+(-J94))^(H94/MIN(G94,365))),((1+(-J94))^(1/12)))-$U94))</f>
        <v>1301283.4373327612</v>
      </c>
      <c r="AA94" s="2">
        <f ca="1">IF(MIN($AA$4:AA93)=0,0,MAX(0,($AA93+$K94-$O94-$P94)*IF(AND(F94="F",$D$3&lt;&gt;$G$3),((1+$AA$1)^(H94/MIN(G94,365))),((1+$AA$1)^(1/12)))-$U94))</f>
        <v>1920000</v>
      </c>
      <c r="AB94" s="2">
        <f ca="1">IF(MIN($AB$4:AB93)=0,0,MAX(0,($AB93+$K94-$O94-$P94)*IF(AND(F94="F",$D$3&lt;&gt;$G$3),((1+(J94))^(H94/MIN(G94,365))),((1+(J94))^(1/12)))-$U94))</f>
        <v>2779628.4406416756</v>
      </c>
      <c r="AC94" s="5"/>
      <c r="AD94" s="5"/>
      <c r="AE94" s="5"/>
      <c r="AF94" s="282">
        <f t="shared" ca="1" si="58"/>
        <v>1301283</v>
      </c>
      <c r="AG94" s="282">
        <f t="shared" ca="1" si="59"/>
        <v>1920000</v>
      </c>
      <c r="AH94" s="282">
        <f t="shared" ca="1" si="60"/>
        <v>2779628</v>
      </c>
      <c r="AI94" s="23" t="str">
        <f t="shared" ca="1" si="79"/>
        <v>8-8</v>
      </c>
      <c r="AJ94" s="282">
        <f ca="1">IF(E94&gt;111,,IF(AND(OP!$C$99=1,T94="F"),Z94,IF(AND(OP!$C$99=2,COUNTIF($T$4:T94,"F")=1),OP!$C$97+IF(F94="F",OP!$C$98,0),"")))</f>
        <v>54527</v>
      </c>
      <c r="AK94" s="282">
        <f ca="1">IF(E94&gt;111,,IF(AND(OP!$D$99=1,T94="F"),AA94,IF(AND(OP!$D$99=2,COUNTIF($T$4:T94,"F")=1),OP!$D$97+IF(F94="F",OP!$D$98,0),"")))</f>
        <v>74177</v>
      </c>
      <c r="AL94" s="282">
        <f ca="1">IF(E94&gt;111,,IF(AND(OP!$E$99=1,T94="F"),AB94,IF(AND(OP!$E$99=2,COUNTIF($T$4:T94,"F")=1),OP!$E$97+IF(F94="F",OP!$E$98,0),"")))</f>
        <v>99404</v>
      </c>
      <c r="AM94" s="1">
        <f t="shared" ca="1" si="61"/>
        <v>8</v>
      </c>
      <c r="AN94" s="1" t="str">
        <f ca="1">IF(OR(VLOOKUP($A94,MP,5,0)="半年繳",VLOOKUP($A94,MP,5,0)="季繳",VLOOKUP($A94,MP,5,0)="月繳"),1,"")</f>
        <v/>
      </c>
      <c r="AO94" s="1">
        <f t="shared" ca="1" si="62"/>
        <v>0</v>
      </c>
      <c r="AP94" s="1" t="str">
        <f ca="1">IF(AND(A94&lt;=OP!$C$120,COUNTIF(PAY,C94)=1),1,"")</f>
        <v/>
      </c>
      <c r="AR94" s="301">
        <f ca="1">IF(繳費報酬率資料!$A$1=1,$AY94+$AZ94,$BF94+$BG94)</f>
        <v>0</v>
      </c>
      <c r="AS94" s="1">
        <f ca="1">IF(C94&lt;&gt;IF($C$3=1,12,$C$3-1),0,IF(繳費報酬率資料!$A$1&lt;&gt;1,VLOOKUP($A94,MP,8,0),IF(AND($A94&gt;=OP!$C$79,$A94&lt;=OP!$C$80),OP!$C$78,)))</f>
        <v>0</v>
      </c>
      <c r="AT94" s="298">
        <f t="shared" ca="1" si="63"/>
        <v>0</v>
      </c>
      <c r="AU94" s="298">
        <f ca="1">IF(AND(A94&lt;=OP!$C$120,COUNTIF(PAY,C94)=1),OP!$C$123,0)</f>
        <v>0</v>
      </c>
      <c r="AV94" s="298">
        <f ca="1">IF(AND(A94&gt;=OP!$C$132,A94&lt;=OP!$C$133,$C$3=C94),OP!$C$135,0)</f>
        <v>0</v>
      </c>
      <c r="AW94" s="180">
        <f t="shared" ca="1" si="64"/>
        <v>0.05</v>
      </c>
      <c r="AX94" s="180">
        <f t="shared" ca="1" si="65"/>
        <v>0.05</v>
      </c>
      <c r="AY94" s="286">
        <f t="shared" ca="1" si="66"/>
        <v>0</v>
      </c>
      <c r="AZ94" s="286">
        <f t="shared" ca="1" si="67"/>
        <v>0</v>
      </c>
      <c r="BA94" s="286">
        <f t="shared" ca="1" si="68"/>
        <v>0</v>
      </c>
      <c r="BB94" s="286">
        <f t="shared" ca="1" si="69"/>
        <v>0</v>
      </c>
      <c r="BC94" s="286">
        <f t="shared" ca="1" si="70"/>
        <v>0</v>
      </c>
      <c r="BD94" s="180">
        <f t="shared" ca="1" si="71"/>
        <v>0.05</v>
      </c>
      <c r="BE94" s="180">
        <f t="shared" ca="1" si="72"/>
        <v>0.05</v>
      </c>
      <c r="BF94" s="286">
        <f t="shared" ca="1" si="73"/>
        <v>0</v>
      </c>
      <c r="BG94" s="286">
        <f t="shared" ca="1" si="74"/>
        <v>0</v>
      </c>
    </row>
    <row r="95" spans="1:59">
      <c r="A95" s="1">
        <f t="shared" ca="1" si="52"/>
        <v>8</v>
      </c>
      <c r="B95" s="1">
        <f t="shared" ca="1" si="75"/>
        <v>114</v>
      </c>
      <c r="C95" s="1">
        <f t="shared" ca="1" si="76"/>
        <v>1</v>
      </c>
      <c r="D95" s="1">
        <f ca="1">MIN($D$3,VLOOKUP(C95,OP!$S$30:$T$41,2))</f>
        <v>2</v>
      </c>
      <c r="E95" s="1">
        <f t="shared" ca="1" si="53"/>
        <v>62</v>
      </c>
      <c r="F95" s="11" t="str">
        <f t="shared" ca="1" si="54"/>
        <v/>
      </c>
      <c r="G95" s="8">
        <f t="shared" ca="1" si="81"/>
        <v>365</v>
      </c>
      <c r="H95" s="8">
        <f t="shared" ca="1" si="55"/>
        <v>31</v>
      </c>
      <c r="I95" s="8" t="str">
        <f t="shared" ca="1" si="49"/>
        <v>81</v>
      </c>
      <c r="J95" s="13">
        <f>IF(繳費報酬率資料!$A$1=1,VALUE(OP!$C$121),VLOOKUP(A95,MP,2,0))</f>
        <v>0.05</v>
      </c>
      <c r="K95" s="14">
        <f ca="1">IF(SUM($K$4:K94,IF(繳費報酬率資料!$A$1=1,$AU95+$AV95,$BB95+$BC95))&gt;OP!$L$58,0,IF(繳費報酬率資料!$A$1=1,$AU95+$AV95,$BB95+$BC95))</f>
        <v>0</v>
      </c>
      <c r="L95" s="2"/>
      <c r="M95" s="2"/>
      <c r="N95" s="2"/>
      <c r="O95" s="261">
        <f t="shared" ca="1" si="56"/>
        <v>0</v>
      </c>
      <c r="P95" s="261">
        <f t="shared" ca="1" si="77"/>
        <v>0</v>
      </c>
      <c r="Q95" s="3">
        <f ca="1">IF(A95&gt;MAX(OP!$R$17:$R$26),0,VLOOKUP(A95,fees,3,FALSE))</f>
        <v>0</v>
      </c>
      <c r="R95" s="200" t="str">
        <f t="shared" ca="1" si="57"/>
        <v/>
      </c>
      <c r="S95" s="9" t="str">
        <f ca="1">IF(COUNTIF(($T$4:T94),"F")&gt;=1,"",IF(OR(C96&lt;&gt;$C$3,E95=""),"",A95))</f>
        <v/>
      </c>
      <c r="T95" s="20" t="str">
        <f t="shared" ca="1" si="50"/>
        <v/>
      </c>
      <c r="U95" s="2">
        <f ca="1">IF(IF(OP!$C$83=1,$Z94,IF(OP!$C$83=2,$AA94,IF(OP!$C$83=3,$AB94,)))+$K95-$O95-$P95-$AS95&lt;OP!$C$142,0,$AS95)</f>
        <v>0</v>
      </c>
      <c r="V95" s="9"/>
      <c r="W95" s="19">
        <f ca="1">MAX(SUM($K$4:K95),0)</f>
        <v>2000000</v>
      </c>
      <c r="X95" s="19"/>
      <c r="Y95" s="19">
        <f t="shared" ca="1" si="78"/>
        <v>1920000</v>
      </c>
      <c r="Z95" s="2">
        <f ca="1">IF(MIN($Z$4:Z94)=0,0,MAX(0,($Z94+$K95-$O95-$P95)*IF(AND(F95="F",$D$3&lt;&gt;$G$3),((1+(-J95))^(H95/MIN(G95,365))),((1+(-J95))^(1/12)))-$U95))</f>
        <v>1295733.0486525772</v>
      </c>
      <c r="AA95" s="2">
        <f ca="1">IF(MIN($AA$4:AA94)=0,0,MAX(0,($AA94+$K95-$O95-$P95)*IF(AND(F95="F",$D$3&lt;&gt;$G$3),((1+$AA$1)^(H95/MIN(G95,365))),((1+$AA$1)^(1/12)))-$U95))</f>
        <v>1920000</v>
      </c>
      <c r="AB95" s="2">
        <f ca="1">IF(MIN($AB$4:AB94)=0,0,MAX(0,($AB94+$K95-$O95-$P95)*IF(AND(F95="F",$D$3&lt;&gt;$G$3),((1+(J95))^(H95/MIN(G95,365))),((1+(J95))^(1/12)))-$U95))</f>
        <v>2790952.9909813991</v>
      </c>
      <c r="AC95" s="5"/>
      <c r="AD95" s="5"/>
      <c r="AE95" s="5"/>
      <c r="AF95" s="282">
        <f t="shared" ca="1" si="58"/>
        <v>1295733</v>
      </c>
      <c r="AG95" s="282">
        <f t="shared" ca="1" si="59"/>
        <v>1920000</v>
      </c>
      <c r="AH95" s="282">
        <f t="shared" ca="1" si="60"/>
        <v>2790953</v>
      </c>
      <c r="AI95" s="23" t="str">
        <f t="shared" ca="1" si="79"/>
        <v>8-9</v>
      </c>
      <c r="AJ95" s="282">
        <f ca="1">IF(E95&gt;111,,IF(AND(OP!$C$99=1,T95="F"),Z95,IF(AND(OP!$C$99=2,COUNTIF($T$4:T95,"F")=1),OP!$C$97+IF(F95="F",OP!$C$98,0),"")))</f>
        <v>54527</v>
      </c>
      <c r="AK95" s="282">
        <f ca="1">IF(E95&gt;111,,IF(AND(OP!$D$99=1,T95="F"),AA95,IF(AND(OP!$D$99=2,COUNTIF($T$4:T95,"F")=1),OP!$D$97+IF(F95="F",OP!$D$98,0),"")))</f>
        <v>74177</v>
      </c>
      <c r="AL95" s="282">
        <f ca="1">IF(E95&gt;111,,IF(AND(OP!$E$99=1,T95="F"),AB95,IF(AND(OP!$E$99=2,COUNTIF($T$4:T95,"F")=1),OP!$E$97+IF(F95="F",OP!$E$98,0),"")))</f>
        <v>99404</v>
      </c>
      <c r="AM95" s="1">
        <f t="shared" ca="1" si="61"/>
        <v>9</v>
      </c>
      <c r="AN95" s="1" t="str">
        <f ca="1">IF(OR(VLOOKUP($A95,MP,5,0)="月繳"),1,"")</f>
        <v/>
      </c>
      <c r="AO95" s="1">
        <f t="shared" ca="1" si="62"/>
        <v>0</v>
      </c>
      <c r="AP95" s="1" t="str">
        <f ca="1">IF(AND(A95&lt;=OP!$C$120,COUNTIF(PAY,C95)=1),1,"")</f>
        <v/>
      </c>
      <c r="AR95" s="301">
        <f ca="1">IF(繳費報酬率資料!$A$1=1,$AY95+$AZ95,$BF95+$BG95)</f>
        <v>0</v>
      </c>
      <c r="AS95" s="1">
        <f ca="1">IF(C95&lt;&gt;IF($C$3=1,12,$C$3-1),0,IF(繳費報酬率資料!$A$1&lt;&gt;1,VLOOKUP($A95,MP,8,0),IF(AND($A95&gt;=OP!$C$79,$A95&lt;=OP!$C$80),OP!$C$78,)))</f>
        <v>0</v>
      </c>
      <c r="AT95" s="298">
        <f t="shared" ca="1" si="63"/>
        <v>0</v>
      </c>
      <c r="AU95" s="298">
        <f ca="1">IF(AND(A95&lt;=OP!$C$120,COUNTIF(PAY,C95)=1),OP!$C$123,0)</f>
        <v>0</v>
      </c>
      <c r="AV95" s="298">
        <f ca="1">IF(AND(A95&gt;=OP!$C$132,A95&lt;=OP!$C$133,$C$3=C95),OP!$C$135,0)</f>
        <v>0</v>
      </c>
      <c r="AW95" s="180">
        <f t="shared" ca="1" si="64"/>
        <v>0.05</v>
      </c>
      <c r="AX95" s="180">
        <f t="shared" ca="1" si="65"/>
        <v>0.05</v>
      </c>
      <c r="AY95" s="286">
        <f t="shared" ca="1" si="66"/>
        <v>0</v>
      </c>
      <c r="AZ95" s="286">
        <f t="shared" ca="1" si="67"/>
        <v>0</v>
      </c>
      <c r="BA95" s="286">
        <f t="shared" ca="1" si="68"/>
        <v>0</v>
      </c>
      <c r="BB95" s="286">
        <f t="shared" ca="1" si="69"/>
        <v>0</v>
      </c>
      <c r="BC95" s="286">
        <f t="shared" ca="1" si="70"/>
        <v>0</v>
      </c>
      <c r="BD95" s="180">
        <f t="shared" ca="1" si="71"/>
        <v>0.05</v>
      </c>
      <c r="BE95" s="180">
        <f t="shared" ca="1" si="72"/>
        <v>0.05</v>
      </c>
      <c r="BF95" s="286">
        <f t="shared" ca="1" si="73"/>
        <v>0</v>
      </c>
      <c r="BG95" s="286">
        <f t="shared" ca="1" si="74"/>
        <v>0</v>
      </c>
    </row>
    <row r="96" spans="1:59">
      <c r="A96" s="1">
        <f t="shared" ca="1" si="52"/>
        <v>8</v>
      </c>
      <c r="B96" s="1">
        <f t="shared" ca="1" si="75"/>
        <v>114</v>
      </c>
      <c r="C96" s="1">
        <f t="shared" ca="1" si="76"/>
        <v>2</v>
      </c>
      <c r="D96" s="1">
        <f ca="1">MIN($D$3,VLOOKUP(C96,OP!$S$30:$T$41,2))</f>
        <v>2</v>
      </c>
      <c r="E96" s="1">
        <f t="shared" ca="1" si="53"/>
        <v>62</v>
      </c>
      <c r="F96" s="11" t="str">
        <f t="shared" ca="1" si="54"/>
        <v/>
      </c>
      <c r="G96" s="8">
        <f t="shared" ca="1" si="81"/>
        <v>365</v>
      </c>
      <c r="H96" s="8">
        <f t="shared" ca="1" si="55"/>
        <v>28</v>
      </c>
      <c r="I96" s="8" t="str">
        <f t="shared" ca="1" si="49"/>
        <v>82</v>
      </c>
      <c r="J96" s="13">
        <f>IF(繳費報酬率資料!$A$1=1,VALUE(OP!$C$121),VLOOKUP(A96,MP,2,0))</f>
        <v>0.05</v>
      </c>
      <c r="K96" s="14">
        <f ca="1">IF(SUM($K$4:K95,IF(繳費報酬率資料!$A$1=1,$AU96+$AV96,$BB96+$BC96))&gt;OP!$L$58,0,IF(繳費報酬率資料!$A$1=1,$AU96+$AV96,$BB96+$BC96))</f>
        <v>0</v>
      </c>
      <c r="L96" s="2"/>
      <c r="M96" s="2"/>
      <c r="N96" s="2"/>
      <c r="O96" s="261">
        <f t="shared" ca="1" si="56"/>
        <v>0</v>
      </c>
      <c r="P96" s="261">
        <f t="shared" ca="1" si="77"/>
        <v>0</v>
      </c>
      <c r="Q96" s="3">
        <f ca="1">IF(A96&gt;MAX(OP!$R$17:$R$26),0,VLOOKUP(A96,fees,3,FALSE))</f>
        <v>0</v>
      </c>
      <c r="R96" s="200" t="str">
        <f t="shared" ca="1" si="57"/>
        <v/>
      </c>
      <c r="S96" s="9" t="str">
        <f ca="1">IF(COUNTIF(($T$4:T95),"F")&gt;=1,"",IF(OR(C97&lt;&gt;$C$3,E96=""),"",A96))</f>
        <v/>
      </c>
      <c r="T96" s="20" t="str">
        <f t="shared" ca="1" si="50"/>
        <v/>
      </c>
      <c r="U96" s="2">
        <f ca="1">IF(IF(OP!$C$83=1,$Z95,IF(OP!$C$83=2,$AA95,IF(OP!$C$83=3,$AB95,)))+$K96-$O96-$P96-$AS96&lt;OP!$C$142,0,$AS96)</f>
        <v>0</v>
      </c>
      <c r="V96" s="9"/>
      <c r="W96" s="19">
        <f ca="1">MAX(SUM($K$4:K96),0)</f>
        <v>2000000</v>
      </c>
      <c r="X96" s="19"/>
      <c r="Y96" s="19">
        <f t="shared" ca="1" si="78"/>
        <v>1920000</v>
      </c>
      <c r="Z96" s="2">
        <f ca="1">IF(MIN($Z$4:Z95)=0,0,MAX(0,($Z95+$K96-$O96-$P96)*IF(AND(F96="F",$D$3&lt;&gt;$G$3),((1+(-J96))^(H96/MIN(G96,365))),((1+(-J96))^(1/12)))-$U96))</f>
        <v>1290206.3341494536</v>
      </c>
      <c r="AA96" s="2">
        <f ca="1">IF(MIN($AA$4:AA95)=0,0,MAX(0,($AA95+$K96-$O96-$P96)*IF(AND(F96="F",$D$3&lt;&gt;$G$3),((1+$AA$1)^(H96/MIN(G96,365))),((1+$AA$1)^(1/12)))-$U96))</f>
        <v>1920000</v>
      </c>
      <c r="AB96" s="2">
        <f ca="1">IF(MIN($AB$4:AB95)=0,0,MAX(0,($AB95+$K96-$O96-$P96)*IF(AND(F96="F",$D$3&lt;&gt;$G$3),((1+(J96))^(H96/MIN(G96,365))),((1+(J96))^(1/12)))-$U96))</f>
        <v>2802323.6789410007</v>
      </c>
      <c r="AC96" s="5"/>
      <c r="AD96" s="5"/>
      <c r="AE96" s="5"/>
      <c r="AF96" s="282">
        <f t="shared" ca="1" si="58"/>
        <v>1290206</v>
      </c>
      <c r="AG96" s="282">
        <f t="shared" ca="1" si="59"/>
        <v>1920000</v>
      </c>
      <c r="AH96" s="282">
        <f t="shared" ca="1" si="60"/>
        <v>2802324</v>
      </c>
      <c r="AI96" s="23" t="str">
        <f t="shared" ca="1" si="79"/>
        <v>8-10</v>
      </c>
      <c r="AJ96" s="282">
        <f ca="1">IF(E96&gt;111,,IF(AND(OP!$C$99=1,T96="F"),Z96,IF(AND(OP!$C$99=2,COUNTIF($T$4:T96,"F")=1),OP!$C$97+IF(F96="F",OP!$C$98,0),"")))</f>
        <v>54527</v>
      </c>
      <c r="AK96" s="282">
        <f ca="1">IF(E96&gt;111,,IF(AND(OP!$D$99=1,T96="F"),AA96,IF(AND(OP!$D$99=2,COUNTIF($T$4:T96,"F")=1),OP!$D$97+IF(F96="F",OP!$D$98,0),"")))</f>
        <v>74177</v>
      </c>
      <c r="AL96" s="282">
        <f ca="1">IF(E96&gt;111,,IF(AND(OP!$E$99=1,T96="F"),AB96,IF(AND(OP!$E$99=2,COUNTIF($T$4:T96,"F")=1),OP!$E$97+IF(F96="F",OP!$E$98,0),"")))</f>
        <v>99404</v>
      </c>
      <c r="AM96" s="1">
        <f t="shared" ca="1" si="61"/>
        <v>10</v>
      </c>
      <c r="AN96" s="1" t="str">
        <f ca="1">IF(OR(VLOOKUP($A96,MP,5,0)="月繳"),1,"")</f>
        <v/>
      </c>
      <c r="AO96" s="1">
        <f t="shared" ca="1" si="62"/>
        <v>0</v>
      </c>
      <c r="AP96" s="1" t="str">
        <f ca="1">IF(AND(A96&lt;=OP!$C$120,COUNTIF(PAY,C96)=1),1,"")</f>
        <v/>
      </c>
      <c r="AR96" s="301">
        <f ca="1">IF(繳費報酬率資料!$A$1=1,$AY96+$AZ96,$BF96+$BG96)</f>
        <v>0</v>
      </c>
      <c r="AS96" s="1">
        <f ca="1">IF(C96&lt;&gt;IF($C$3=1,12,$C$3-1),0,IF(繳費報酬率資料!$A$1&lt;&gt;1,VLOOKUP($A96,MP,8,0),IF(AND($A96&gt;=OP!$C$79,$A96&lt;=OP!$C$80),OP!$C$78,)))</f>
        <v>0</v>
      </c>
      <c r="AT96" s="298">
        <f t="shared" ca="1" si="63"/>
        <v>0</v>
      </c>
      <c r="AU96" s="298">
        <f ca="1">IF(AND(A96&lt;=OP!$C$120,COUNTIF(PAY,C96)=1),OP!$C$123,0)</f>
        <v>0</v>
      </c>
      <c r="AV96" s="298">
        <f ca="1">IF(AND(A96&gt;=OP!$C$132,A96&lt;=OP!$C$133,$C$3=C96),OP!$C$135,0)</f>
        <v>0</v>
      </c>
      <c r="AW96" s="180">
        <f t="shared" ca="1" si="64"/>
        <v>0.05</v>
      </c>
      <c r="AX96" s="180">
        <f t="shared" ca="1" si="65"/>
        <v>0.05</v>
      </c>
      <c r="AY96" s="286">
        <f t="shared" ca="1" si="66"/>
        <v>0</v>
      </c>
      <c r="AZ96" s="286">
        <f t="shared" ca="1" si="67"/>
        <v>0</v>
      </c>
      <c r="BA96" s="286">
        <f t="shared" ca="1" si="68"/>
        <v>0</v>
      </c>
      <c r="BB96" s="286">
        <f t="shared" ca="1" si="69"/>
        <v>0</v>
      </c>
      <c r="BC96" s="286">
        <f t="shared" ca="1" si="70"/>
        <v>0</v>
      </c>
      <c r="BD96" s="180">
        <f t="shared" ca="1" si="71"/>
        <v>0.05</v>
      </c>
      <c r="BE96" s="180">
        <f t="shared" ca="1" si="72"/>
        <v>0.05</v>
      </c>
      <c r="BF96" s="286">
        <f t="shared" ca="1" si="73"/>
        <v>0</v>
      </c>
      <c r="BG96" s="286">
        <f t="shared" ca="1" si="74"/>
        <v>0</v>
      </c>
    </row>
    <row r="97" spans="1:59">
      <c r="A97" s="1">
        <f t="shared" ca="1" si="52"/>
        <v>8</v>
      </c>
      <c r="B97" s="1">
        <f t="shared" ca="1" si="75"/>
        <v>114</v>
      </c>
      <c r="C97" s="1">
        <f t="shared" ca="1" si="76"/>
        <v>3</v>
      </c>
      <c r="D97" s="1">
        <f ca="1">MIN($D$3,VLOOKUP(C97,OP!$S$30:$T$41,2))</f>
        <v>2</v>
      </c>
      <c r="E97" s="1">
        <f t="shared" ca="1" si="53"/>
        <v>62</v>
      </c>
      <c r="F97" s="11" t="str">
        <f t="shared" ca="1" si="54"/>
        <v/>
      </c>
      <c r="G97" s="8">
        <f t="shared" ca="1" si="81"/>
        <v>365</v>
      </c>
      <c r="H97" s="8">
        <f t="shared" ca="1" si="55"/>
        <v>31</v>
      </c>
      <c r="I97" s="8" t="str">
        <f t="shared" ca="1" si="49"/>
        <v>83</v>
      </c>
      <c r="J97" s="13">
        <f>IF(繳費報酬率資料!$A$1=1,VALUE(OP!$C$121),VLOOKUP(A97,MP,2,0))</f>
        <v>0.05</v>
      </c>
      <c r="K97" s="14">
        <f ca="1">IF(SUM($K$4:K96,IF(繳費報酬率資料!$A$1=1,$AU97+$AV97,$BB97+$BC97))&gt;OP!$L$58,0,IF(繳費報酬率資料!$A$1=1,$AU97+$AV97,$BB97+$BC97))</f>
        <v>0</v>
      </c>
      <c r="L97" s="2"/>
      <c r="M97" s="2"/>
      <c r="N97" s="2"/>
      <c r="O97" s="261">
        <f t="shared" ca="1" si="56"/>
        <v>0</v>
      </c>
      <c r="P97" s="261">
        <f t="shared" ca="1" si="77"/>
        <v>0</v>
      </c>
      <c r="Q97" s="3">
        <f ca="1">IF(A97&gt;MAX(OP!$R$17:$R$26),0,VLOOKUP(A97,fees,3,FALSE))</f>
        <v>0</v>
      </c>
      <c r="R97" s="200" t="str">
        <f t="shared" ca="1" si="57"/>
        <v/>
      </c>
      <c r="S97" s="9" t="str">
        <f ca="1">IF(COUNTIF(($T$4:T96),"F")&gt;=1,"",IF(OR(C98&lt;&gt;$C$3,E97=""),"",A97))</f>
        <v/>
      </c>
      <c r="T97" s="20" t="str">
        <f t="shared" ca="1" si="50"/>
        <v/>
      </c>
      <c r="U97" s="2">
        <f ca="1">IF(IF(OP!$C$83=1,$Z96,IF(OP!$C$83=2,$AA96,IF(OP!$C$83=3,$AB96,)))+$K97-$O97-$P97-$AS97&lt;OP!$C$142,0,$AS97)</f>
        <v>0</v>
      </c>
      <c r="V97" s="9"/>
      <c r="W97" s="19">
        <f ca="1">MAX(SUM($K$4:K97),0)</f>
        <v>2000000</v>
      </c>
      <c r="X97" s="19"/>
      <c r="Y97" s="19">
        <f t="shared" ca="1" si="78"/>
        <v>1920000</v>
      </c>
      <c r="Z97" s="2">
        <f ca="1">IF(MIN($Z$4:Z96)=0,0,MAX(0,($Z96+$K97-$O97-$P97)*IF(AND(F97="F",$D$3&lt;&gt;$G$3),((1+(-J97))^(H97/MIN(G97,365))),((1+(-J97))^(1/12)))-$U97))</f>
        <v>1284703.1928454782</v>
      </c>
      <c r="AA97" s="2">
        <f ca="1">IF(MIN($AA$4:AA96)=0,0,MAX(0,($AA96+$K97-$O97-$P97)*IF(AND(F97="F",$D$3&lt;&gt;$G$3),((1+$AA$1)^(H97/MIN(G97,365))),((1+$AA$1)^(1/12)))-$U97))</f>
        <v>1920000</v>
      </c>
      <c r="AB97" s="2">
        <f ca="1">IF(MIN($AB$4:AB96)=0,0,MAX(0,($AB96+$K97-$O97-$P97)*IF(AND(F97="F",$D$3&lt;&gt;$G$3),((1+(J97))^(H97/MIN(G97,365))),((1+(J97))^(1/12)))-$U97))</f>
        <v>2813740.6924908552</v>
      </c>
      <c r="AC97" s="5"/>
      <c r="AD97" s="5"/>
      <c r="AE97" s="5"/>
      <c r="AF97" s="282">
        <f t="shared" ca="1" si="58"/>
        <v>1284703</v>
      </c>
      <c r="AG97" s="282">
        <f t="shared" ca="1" si="59"/>
        <v>1920000</v>
      </c>
      <c r="AH97" s="282">
        <f t="shared" ca="1" si="60"/>
        <v>2813741</v>
      </c>
      <c r="AI97" s="23" t="str">
        <f t="shared" ca="1" si="79"/>
        <v>8-11</v>
      </c>
      <c r="AJ97" s="282">
        <f ca="1">IF(E97&gt;111,,IF(AND(OP!$C$99=1,T97="F"),Z97,IF(AND(OP!$C$99=2,COUNTIF($T$4:T97,"F")=1),OP!$C$97+IF(F97="F",OP!$C$98,0),"")))</f>
        <v>54527</v>
      </c>
      <c r="AK97" s="282">
        <f ca="1">IF(E97&gt;111,,IF(AND(OP!$D$99=1,T97="F"),AA97,IF(AND(OP!$D$99=2,COUNTIF($T$4:T97,"F")=1),OP!$D$97+IF(F97="F",OP!$D$98,0),"")))</f>
        <v>74177</v>
      </c>
      <c r="AL97" s="282">
        <f ca="1">IF(E97&gt;111,,IF(AND(OP!$E$99=1,T97="F"),AB97,IF(AND(OP!$E$99=2,COUNTIF($T$4:T97,"F")=1),OP!$E$97+IF(F97="F",OP!$E$98,0),"")))</f>
        <v>99404</v>
      </c>
      <c r="AM97" s="1">
        <f t="shared" ca="1" si="61"/>
        <v>11</v>
      </c>
      <c r="AN97" s="1" t="str">
        <f ca="1">IF(OR(VLOOKUP($A97,MP,5,0)="季繳",VLOOKUP($A97,MP,5,0)="月繳"),1,"")</f>
        <v/>
      </c>
      <c r="AO97" s="1">
        <f t="shared" ca="1" si="62"/>
        <v>0</v>
      </c>
      <c r="AP97" s="1" t="str">
        <f ca="1">IF(AND(A97&lt;=OP!$C$120,COUNTIF(PAY,C97)=1),1,"")</f>
        <v/>
      </c>
      <c r="AR97" s="301">
        <f ca="1">IF(繳費報酬率資料!$A$1=1,$AY97+$AZ97,$BF97+$BG97)</f>
        <v>0</v>
      </c>
      <c r="AS97" s="1">
        <f ca="1">IF(C97&lt;&gt;IF($C$3=1,12,$C$3-1),0,IF(繳費報酬率資料!$A$1&lt;&gt;1,VLOOKUP($A97,MP,8,0),IF(AND($A97&gt;=OP!$C$79,$A97&lt;=OP!$C$80),OP!$C$78,)))</f>
        <v>0</v>
      </c>
      <c r="AT97" s="298">
        <f t="shared" ca="1" si="63"/>
        <v>0</v>
      </c>
      <c r="AU97" s="298">
        <f ca="1">IF(AND(A97&lt;=OP!$C$120,COUNTIF(PAY,C97)=1),OP!$C$123,0)</f>
        <v>0</v>
      </c>
      <c r="AV97" s="298">
        <f ca="1">IF(AND(A97&gt;=OP!$C$132,A97&lt;=OP!$C$133,$C$3=C97),OP!$C$135,0)</f>
        <v>0</v>
      </c>
      <c r="AW97" s="180">
        <f t="shared" ca="1" si="64"/>
        <v>0.05</v>
      </c>
      <c r="AX97" s="180">
        <f t="shared" ca="1" si="65"/>
        <v>0.05</v>
      </c>
      <c r="AY97" s="286">
        <f t="shared" ca="1" si="66"/>
        <v>0</v>
      </c>
      <c r="AZ97" s="286">
        <f t="shared" ca="1" si="67"/>
        <v>0</v>
      </c>
      <c r="BA97" s="286">
        <f t="shared" ca="1" si="68"/>
        <v>0</v>
      </c>
      <c r="BB97" s="286">
        <f t="shared" ca="1" si="69"/>
        <v>0</v>
      </c>
      <c r="BC97" s="286">
        <f t="shared" ca="1" si="70"/>
        <v>0</v>
      </c>
      <c r="BD97" s="180">
        <f t="shared" ca="1" si="71"/>
        <v>0.05</v>
      </c>
      <c r="BE97" s="180">
        <f t="shared" ca="1" si="72"/>
        <v>0.05</v>
      </c>
      <c r="BF97" s="286">
        <f t="shared" ca="1" si="73"/>
        <v>0</v>
      </c>
      <c r="BG97" s="286">
        <f t="shared" ca="1" si="74"/>
        <v>0</v>
      </c>
    </row>
    <row r="98" spans="1:59">
      <c r="A98" s="1">
        <f t="shared" ca="1" si="52"/>
        <v>8</v>
      </c>
      <c r="B98" s="1">
        <f t="shared" ca="1" si="75"/>
        <v>114</v>
      </c>
      <c r="C98" s="1">
        <f t="shared" ca="1" si="76"/>
        <v>4</v>
      </c>
      <c r="D98" s="1">
        <f ca="1">MIN($D$3,VLOOKUP(C98,OP!$S$30:$T$41,2))</f>
        <v>2</v>
      </c>
      <c r="E98" s="1">
        <f t="shared" ca="1" si="53"/>
        <v>62</v>
      </c>
      <c r="F98" s="11" t="str">
        <f t="shared" ca="1" si="54"/>
        <v/>
      </c>
      <c r="G98" s="8">
        <f t="shared" ca="1" si="81"/>
        <v>365</v>
      </c>
      <c r="H98" s="8">
        <f t="shared" ca="1" si="55"/>
        <v>30</v>
      </c>
      <c r="I98" s="8" t="str">
        <f t="shared" ca="1" si="49"/>
        <v>84</v>
      </c>
      <c r="J98" s="13">
        <f>IF(繳費報酬率資料!$A$1=1,VALUE(OP!$C$121),VLOOKUP(A98,MP,2,0))</f>
        <v>0.05</v>
      </c>
      <c r="K98" s="14">
        <f ca="1">IF(SUM($K$4:K97,IF(繳費報酬率資料!$A$1=1,$AU98+$AV98,$BB98+$BC98))&gt;OP!$L$58,0,IF(繳費報酬率資料!$A$1=1,$AU98+$AV98,$BB98+$BC98))</f>
        <v>0</v>
      </c>
      <c r="L98" s="2"/>
      <c r="M98" s="2"/>
      <c r="N98" s="2"/>
      <c r="O98" s="261">
        <f t="shared" ca="1" si="56"/>
        <v>0</v>
      </c>
      <c r="P98" s="261">
        <f t="shared" ca="1" si="77"/>
        <v>0</v>
      </c>
      <c r="Q98" s="3">
        <f ca="1">IF(A98&gt;MAX(OP!$R$17:$R$26),0,VLOOKUP(A98,fees,3,FALSE))</f>
        <v>0</v>
      </c>
      <c r="R98" s="200" t="str">
        <f t="shared" ca="1" si="57"/>
        <v/>
      </c>
      <c r="S98" s="9" t="str">
        <f ca="1">IF(COUNTIF(($T$4:T97),"F")&gt;=1,"",IF(OR(C99&lt;&gt;$C$3,E98=""),"",A98))</f>
        <v/>
      </c>
      <c r="T98" s="20" t="str">
        <f t="shared" ca="1" si="50"/>
        <v/>
      </c>
      <c r="U98" s="2">
        <f ca="1">IF(IF(OP!$C$83=1,$Z97,IF(OP!$C$83=2,$AA97,IF(OP!$C$83=3,$AB97,)))+$K98-$O98-$P98-$AS98&lt;OP!$C$142,0,$AS98)</f>
        <v>0</v>
      </c>
      <c r="V98" s="9"/>
      <c r="W98" s="19">
        <f ca="1">MAX(SUM($K$4:K98),0)</f>
        <v>2000000</v>
      </c>
      <c r="X98" s="19"/>
      <c r="Y98" s="19">
        <f t="shared" ca="1" si="78"/>
        <v>1920000</v>
      </c>
      <c r="Z98" s="2">
        <f ca="1">IF(MIN($Z$4:Z97)=0,0,MAX(0,($Z97+$K98-$O98-$P98)*IF(AND(F98="F",$D$3&lt;&gt;$G$3),((1+(-J98))^(H98/MIN(G98,365))),((1+(-J98))^(1/12)))-$U98))</f>
        <v>1279223.5241934422</v>
      </c>
      <c r="AA98" s="2">
        <f ca="1">IF(MIN($AA$4:AA97)=0,0,MAX(0,($AA97+$K98-$O98-$P98)*IF(AND(F98="F",$D$3&lt;&gt;$G$3),((1+$AA$1)^(H98/MIN(G98,365))),((1+$AA$1)^(1/12)))-$U98))</f>
        <v>1920000</v>
      </c>
      <c r="AB98" s="2">
        <f ca="1">IF(MIN($AB$4:AB97)=0,0,MAX(0,($AB97+$K98-$O98-$P98)*IF(AND(F98="F",$D$3&lt;&gt;$G$3),((1+(J98))^(H98/MIN(G98,365))),((1+(J98))^(1/12)))-$U98))</f>
        <v>2825204.2203671513</v>
      </c>
      <c r="AC98" s="5"/>
      <c r="AD98" s="5"/>
      <c r="AE98" s="5"/>
      <c r="AF98" s="282">
        <f t="shared" ca="1" si="58"/>
        <v>1279224</v>
      </c>
      <c r="AG98" s="282">
        <f t="shared" ca="1" si="59"/>
        <v>1920000</v>
      </c>
      <c r="AH98" s="282">
        <f t="shared" ca="1" si="60"/>
        <v>2825204</v>
      </c>
      <c r="AI98" s="23" t="str">
        <f t="shared" ca="1" si="79"/>
        <v>8-12</v>
      </c>
      <c r="AJ98" s="282">
        <f ca="1">IF(E98&gt;111,,IF(AND(OP!$C$99=1,T98="F"),Z98,IF(AND(OP!$C$99=2,COUNTIF($T$4:T98,"F")=1),OP!$C$97+IF(F98="F",OP!$C$98,0),"")))</f>
        <v>54527</v>
      </c>
      <c r="AK98" s="282">
        <f ca="1">IF(E98&gt;111,,IF(AND(OP!$D$99=1,T98="F"),AA98,IF(AND(OP!$D$99=2,COUNTIF($T$4:T98,"F")=1),OP!$D$97+IF(F98="F",OP!$D$98,0),"")))</f>
        <v>74177</v>
      </c>
      <c r="AL98" s="282">
        <f ca="1">IF(E98&gt;111,,IF(AND(OP!$E$99=1,T98="F"),AB98,IF(AND(OP!$E$99=2,COUNTIF($T$4:T98,"F")=1),OP!$E$97+IF(F98="F",OP!$E$98,0),"")))</f>
        <v>99404</v>
      </c>
      <c r="AM98" s="1">
        <f t="shared" ca="1" si="61"/>
        <v>12</v>
      </c>
      <c r="AN98" s="1" t="str">
        <f ca="1">IF(OR(VLOOKUP($A98,MP,5,0)="月繳"),1,"")</f>
        <v/>
      </c>
      <c r="AO98" s="1">
        <f t="shared" ca="1" si="62"/>
        <v>0</v>
      </c>
      <c r="AP98" s="1" t="str">
        <f ca="1">IF(AND(A98&lt;=OP!$C$120,COUNTIF(PAY,C98)=1),1,"")</f>
        <v/>
      </c>
      <c r="AR98" s="301">
        <f ca="1">IF(繳費報酬率資料!$A$1=1,$AY98+$AZ98,$BF98+$BG98)</f>
        <v>0</v>
      </c>
      <c r="AS98" s="1">
        <f ca="1">IF(C98&lt;&gt;IF($C$3=1,12,$C$3-1),0,IF(繳費報酬率資料!$A$1&lt;&gt;1,VLOOKUP($A98,MP,8,0),IF(AND($A98&gt;=OP!$C$79,$A98&lt;=OP!$C$80),OP!$C$78,)))</f>
        <v>0</v>
      </c>
      <c r="AT98" s="298">
        <f t="shared" ca="1" si="63"/>
        <v>0</v>
      </c>
      <c r="AU98" s="298">
        <f ca="1">IF(AND(A98&lt;=OP!$C$120,COUNTIF(PAY,C98)=1),OP!$C$123,0)</f>
        <v>0</v>
      </c>
      <c r="AV98" s="298">
        <f ca="1">IF(AND(A98&gt;=OP!$C$132,A98&lt;=OP!$C$133,$C$3=C98),OP!$C$135,0)</f>
        <v>0</v>
      </c>
      <c r="AW98" s="180">
        <f t="shared" ca="1" si="64"/>
        <v>0.05</v>
      </c>
      <c r="AX98" s="180">
        <f t="shared" ca="1" si="65"/>
        <v>0.05</v>
      </c>
      <c r="AY98" s="286">
        <f t="shared" ca="1" si="66"/>
        <v>0</v>
      </c>
      <c r="AZ98" s="286">
        <f t="shared" ca="1" si="67"/>
        <v>0</v>
      </c>
      <c r="BA98" s="286">
        <f t="shared" ca="1" si="68"/>
        <v>0</v>
      </c>
      <c r="BB98" s="286">
        <f t="shared" ca="1" si="69"/>
        <v>0</v>
      </c>
      <c r="BC98" s="286">
        <f t="shared" ca="1" si="70"/>
        <v>0</v>
      </c>
      <c r="BD98" s="180">
        <f t="shared" ca="1" si="71"/>
        <v>0.05</v>
      </c>
      <c r="BE98" s="180">
        <f t="shared" ca="1" si="72"/>
        <v>0.05</v>
      </c>
      <c r="BF98" s="286">
        <f t="shared" ca="1" si="73"/>
        <v>0</v>
      </c>
      <c r="BG98" s="286">
        <f t="shared" ca="1" si="74"/>
        <v>0</v>
      </c>
    </row>
    <row r="99" spans="1:59">
      <c r="A99" s="1">
        <f t="shared" ca="1" si="52"/>
        <v>8</v>
      </c>
      <c r="B99" s="1">
        <f t="shared" ca="1" si="75"/>
        <v>114</v>
      </c>
      <c r="C99" s="1">
        <f t="shared" ca="1" si="76"/>
        <v>5</v>
      </c>
      <c r="D99" s="1">
        <f ca="1">MIN($D$3,VLOOKUP(C99,OP!$S$30:$T$41,2))</f>
        <v>2</v>
      </c>
      <c r="E99" s="1">
        <f t="shared" ca="1" si="53"/>
        <v>62</v>
      </c>
      <c r="F99" s="11" t="str">
        <f t="shared" ca="1" si="54"/>
        <v/>
      </c>
      <c r="G99" s="8">
        <f t="shared" ca="1" si="81"/>
        <v>365</v>
      </c>
      <c r="H99" s="8">
        <f t="shared" ca="1" si="55"/>
        <v>31</v>
      </c>
      <c r="I99" s="8" t="str">
        <f t="shared" ca="1" si="49"/>
        <v>85</v>
      </c>
      <c r="J99" s="13">
        <f>IF(繳費報酬率資料!$A$1=1,VALUE(OP!$C$121),VLOOKUP(A99,MP,2,0))</f>
        <v>0.05</v>
      </c>
      <c r="K99" s="14">
        <f ca="1">IF(SUM($K$4:K98,IF(繳費報酬率資料!$A$1=1,$AU99+$AV99,$BB99+$BC99))&gt;OP!$L$58,0,IF(繳費報酬率資料!$A$1=1,$AU99+$AV99,$BB99+$BC99))</f>
        <v>0</v>
      </c>
      <c r="L99" s="2">
        <f ca="1">ROUND(IF(OP!$C$78&lt;(IF(OR($T99="F",$E99&gt;=111),0,Z98+$K99-$O99+IF($C$1=1,OP!$C$78,IF($C100=$C$3,SUM(AC88:AC99,0)))))*5%,0,(OP!$C$78-((IF(OR($T99="F",$E99&gt;=111),0,Z98+$K99-$O99+IF($C$1=1,AC99,IF($C100=$C$3,SUM(AC88:AC99,0)))))*5%))*$Q99),0)</f>
        <v>0</v>
      </c>
      <c r="M99" s="2">
        <f ca="1">ROUND(IF(OP!$C$78&lt;(IF(OR($T99="F",$E99&gt;=111),0,AA98+$K99-$O99+IF($C$1=1,AD99,IF($C100=$C$3,SUM(AD88:AD99,0)))))*5%,0,(OP!$C$78-((IF(OR($T99="F",$E99&gt;=111),0,AA98+$K99-$O99+IF($C$1=1,AD99,IF($C100=$C$3,SUM(AD88:AD99,0)))))*5%))*$Q99),0)</f>
        <v>0</v>
      </c>
      <c r="N99" s="2">
        <f ca="1">ROUND(IF(OP!$C$78&lt;(IF(OR($T99="F",$E99&gt;=111),0,AB98+$K99-$O99+IF($C$1=1,AE99,IF($C100=$C$3,SUM(AE88:AE99,0)))))*5%,0,(OP!$C$78-((IF(OR($T99="F",$E99&gt;=111),0,AB98+$K99-$O99+IF($C$1=1,AE99,IF($C100=$C$3,SUM(AE88:AE99,0)))))*5%))*$Q99),0)</f>
        <v>0</v>
      </c>
      <c r="O99" s="261">
        <f t="shared" ca="1" si="56"/>
        <v>0</v>
      </c>
      <c r="P99" s="261">
        <f t="shared" ca="1" si="77"/>
        <v>0</v>
      </c>
      <c r="Q99" s="3">
        <f ca="1">IF(A99&gt;MAX(OP!$R$17:$R$26),0,VLOOKUP(A99,fees,3,FALSE))</f>
        <v>0</v>
      </c>
      <c r="R99" s="200">
        <f t="shared" ca="1" si="57"/>
        <v>8</v>
      </c>
      <c r="S99" s="9" t="str">
        <f ca="1">IF(COUNTIF(($T$4:T98),"F")&gt;=1,"",IF(OR(C100&lt;&gt;$C$3,E99=""),"",A99))</f>
        <v/>
      </c>
      <c r="T99" s="20" t="str">
        <f t="shared" ca="1" si="50"/>
        <v/>
      </c>
      <c r="U99" s="2">
        <f ca="1">IF(IF(OP!$C$83=1,$Z98,IF(OP!$C$83=2,$AA98,IF(OP!$C$83=3,$AB98,)))+$K99-$O99-$P99-$AS99&lt;OP!$C$142,0,$AS99)</f>
        <v>0</v>
      </c>
      <c r="V99" s="19">
        <f ca="1">SUM(K88:K99)</f>
        <v>0</v>
      </c>
      <c r="W99" s="19">
        <f ca="1">MAX(SUM($K$4:K99),0)</f>
        <v>2000000</v>
      </c>
      <c r="X99" s="19">
        <f ca="1">SUM(O88:P99)</f>
        <v>0</v>
      </c>
      <c r="Y99" s="19">
        <f t="shared" ca="1" si="78"/>
        <v>1920000</v>
      </c>
      <c r="Z99" s="2">
        <f ca="1">IF(MIN($Z$4:Z98)=0,0,MAX(0,($Z98+$K99-$O99-$P99)*IF(AND(F99="F",$D$3&lt;&gt;$G$3),((1+(-J99))^(H99/MIN(G99,365))),((1+(-J99))^(1/12)))-$U99))</f>
        <v>1273767.2280750026</v>
      </c>
      <c r="AA99" s="2">
        <f ca="1">IF(MIN($AA$4:AA98)=0,0,MAX(0,($AA98+$K99-$O99-$P99)*IF(AND(F99="F",$D$3&lt;&gt;$G$3),((1+$AA$1)^(H99/MIN(G99,365))),((1+$AA$1)^(1/12)))-$U99))</f>
        <v>1920000</v>
      </c>
      <c r="AB99" s="2">
        <f ca="1">IF(MIN($AB$4:AB98)=0,0,MAX(0,($AB98+$K99-$O99-$P99)*IF(AND(F99="F",$D$3&lt;&gt;$G$3),((1+(J99))^(H99/MIN(G99,365))),((1+(J99))^(1/12)))-$U99))</f>
        <v>2836714.452075013</v>
      </c>
      <c r="AC99" s="5"/>
      <c r="AD99" s="5"/>
      <c r="AE99" s="5"/>
      <c r="AF99" s="282">
        <f t="shared" ca="1" si="58"/>
        <v>1273767</v>
      </c>
      <c r="AG99" s="282">
        <f t="shared" ca="1" si="59"/>
        <v>1920000</v>
      </c>
      <c r="AH99" s="282">
        <f t="shared" ca="1" si="60"/>
        <v>2836714</v>
      </c>
      <c r="AI99" s="23" t="str">
        <f t="shared" ca="1" si="79"/>
        <v>9-1</v>
      </c>
      <c r="AJ99" s="282">
        <f ca="1">IF(E99&gt;111,,IF(AND(OP!$C$99=1,T99="F"),Z99,IF(AND(OP!$C$99=2,COUNTIF($T$4:T99,"F")=1),OP!$C$97+IF(F99="F",OP!$C$98,0),"")))</f>
        <v>54527</v>
      </c>
      <c r="AK99" s="282">
        <f ca="1">IF(E99&gt;111,,IF(AND(OP!$D$99=1,T99="F"),AA99,IF(AND(OP!$D$99=2,COUNTIF($T$4:T99,"F")=1),OP!$D$97+IF(F99="F",OP!$D$98,0),"")))</f>
        <v>74177</v>
      </c>
      <c r="AL99" s="282">
        <f ca="1">IF(E99&gt;111,,IF(AND(OP!$E$99=1,T99="F"),AB99,IF(AND(OP!$E$99=2,COUNTIF($T$4:T99,"F")=1),OP!$E$97+IF(F99="F",OP!$E$98,0),"")))</f>
        <v>99404</v>
      </c>
      <c r="AM99" s="1">
        <f t="shared" ca="1" si="61"/>
        <v>1</v>
      </c>
      <c r="AN99" s="1" t="str">
        <f ca="1">IF(OR(VLOOKUP($A99,MP,5,0)="月繳"),1,"")</f>
        <v/>
      </c>
      <c r="AO99" s="1">
        <f t="shared" ca="1" si="62"/>
        <v>0</v>
      </c>
      <c r="AP99" s="1" t="str">
        <f ca="1">IF(AND(A99&lt;=OP!$C$120,COUNTIF(PAY,C99)=1),1,"")</f>
        <v/>
      </c>
      <c r="AR99" s="301">
        <f ca="1">IF(繳費報酬率資料!$A$1=1,$AY99+$AZ99,$BF99+$BG99)</f>
        <v>0</v>
      </c>
      <c r="AS99" s="1">
        <f ca="1">IF(C99&lt;&gt;IF($C$3=1,12,$C$3-1),0,IF(繳費報酬率資料!$A$1&lt;&gt;1,VLOOKUP($A99,MP,8,0),IF(AND($A99&gt;=OP!$C$79,$A99&lt;=OP!$C$80),OP!$C$78,)))</f>
        <v>0</v>
      </c>
      <c r="AT99" s="298">
        <f t="shared" ca="1" si="63"/>
        <v>0</v>
      </c>
      <c r="AU99" s="298">
        <f ca="1">IF(AND(A99&lt;=OP!$C$120,COUNTIF(PAY,C99)=1),OP!$C$123,0)</f>
        <v>0</v>
      </c>
      <c r="AV99" s="298">
        <f ca="1">IF(AND(A99&gt;=OP!$C$132,A99&lt;=OP!$C$133,$C$3=C99),OP!$C$135,0)</f>
        <v>0</v>
      </c>
      <c r="AW99" s="180">
        <f t="shared" ca="1" si="64"/>
        <v>0.05</v>
      </c>
      <c r="AX99" s="180">
        <f t="shared" ca="1" si="65"/>
        <v>0.05</v>
      </c>
      <c r="AY99" s="286">
        <f t="shared" ca="1" si="66"/>
        <v>0</v>
      </c>
      <c r="AZ99" s="286">
        <f t="shared" ca="1" si="67"/>
        <v>0</v>
      </c>
      <c r="BA99" s="286">
        <f t="shared" ca="1" si="68"/>
        <v>0</v>
      </c>
      <c r="BB99" s="286">
        <f t="shared" ca="1" si="69"/>
        <v>0</v>
      </c>
      <c r="BC99" s="286">
        <f t="shared" ca="1" si="70"/>
        <v>0</v>
      </c>
      <c r="BD99" s="180">
        <f t="shared" ca="1" si="71"/>
        <v>0.05</v>
      </c>
      <c r="BE99" s="180">
        <f t="shared" ca="1" si="72"/>
        <v>0.05</v>
      </c>
      <c r="BF99" s="286">
        <f t="shared" ca="1" si="73"/>
        <v>0</v>
      </c>
      <c r="BG99" s="286">
        <f t="shared" ca="1" si="74"/>
        <v>0</v>
      </c>
    </row>
    <row r="100" spans="1:59">
      <c r="A100" s="1">
        <f t="shared" ca="1" si="52"/>
        <v>9</v>
      </c>
      <c r="B100" s="1">
        <f t="shared" ca="1" si="75"/>
        <v>114</v>
      </c>
      <c r="C100" s="1">
        <f t="shared" ca="1" si="76"/>
        <v>6</v>
      </c>
      <c r="D100" s="1">
        <f ca="1">MIN($D$3,VLOOKUP(C100,OP!$S$30:$T$41,2))</f>
        <v>2</v>
      </c>
      <c r="E100" s="1">
        <f t="shared" ca="1" si="53"/>
        <v>63</v>
      </c>
      <c r="F100" s="11" t="str">
        <f t="shared" ca="1" si="54"/>
        <v/>
      </c>
      <c r="G100" s="6">
        <f ca="1">DATEDIF(DATE(B100+1911,C100,D100),DATE(B112+1911,C112,D112),"d")</f>
        <v>365</v>
      </c>
      <c r="H100" s="8">
        <f t="shared" ca="1" si="55"/>
        <v>30</v>
      </c>
      <c r="I100" s="8" t="str">
        <f t="shared" ca="1" si="49"/>
        <v>96</v>
      </c>
      <c r="J100" s="13">
        <f>IF(繳費報酬率資料!$A$1=1,VALUE(OP!$C$121),VLOOKUP(A100,MP,2,0))</f>
        <v>0.05</v>
      </c>
      <c r="K100" s="14">
        <f ca="1">IF(SUM($K$4:K99,IF(繳費報酬率資料!$A$1=1,$AU100+$AV100,$BB100+$BC100))&gt;OP!$L$58,0,IF(繳費報酬率資料!$A$1=1,$AU100+$AV100,$BB100+$BC100))</f>
        <v>0</v>
      </c>
      <c r="L100" s="2"/>
      <c r="M100" s="2"/>
      <c r="N100" s="2"/>
      <c r="O100" s="261">
        <f t="shared" ca="1" si="56"/>
        <v>0</v>
      </c>
      <c r="P100" s="261">
        <f t="shared" ca="1" si="77"/>
        <v>0</v>
      </c>
      <c r="Q100" s="3">
        <f ca="1">IF(A100&gt;MAX(OP!$R$17:$R$26),0,VLOOKUP(A100,fees,3,FALSE))</f>
        <v>0</v>
      </c>
      <c r="R100" s="200" t="str">
        <f t="shared" ca="1" si="57"/>
        <v/>
      </c>
      <c r="S100" s="9" t="str">
        <f ca="1">IF(COUNTIF(($T$4:T99),"F")&gt;=1,"",IF(OR(C101&lt;&gt;$C$3,E100=""),"",A100))</f>
        <v/>
      </c>
      <c r="T100" s="20" t="str">
        <f t="shared" ca="1" si="50"/>
        <v/>
      </c>
      <c r="U100" s="2">
        <f ca="1">IF(IF(OP!$C$83=1,$Z99,IF(OP!$C$83=2,$AA99,IF(OP!$C$83=3,$AB99,)))+$K100-$O100-$P100-$AS100&lt;OP!$C$142,0,$AS100)</f>
        <v>0</v>
      </c>
      <c r="V100" s="9"/>
      <c r="W100" s="19">
        <f ca="1">MAX(SUM($K$4:K100),0)</f>
        <v>2000000</v>
      </c>
      <c r="X100" s="19"/>
      <c r="Y100" s="19">
        <f t="shared" ca="1" si="78"/>
        <v>1920000</v>
      </c>
      <c r="Z100" s="2">
        <f ca="1">IF(MIN($Z$4:Z99)=0,0,MAX(0,($Z99+$K100-$O100-$P100)*IF(AND(F100="F",$D$3&lt;&gt;$G$3),((1+(-J100))^(H100/MIN(G100,365))),((1+(-J100))^(1/12)))-$U100))</f>
        <v>1268334.2047988528</v>
      </c>
      <c r="AA100" s="2">
        <f ca="1">IF(MIN($AA$4:AA99)=0,0,MAX(0,($AA99+$K100-$O100-$P100)*IF(AND(F100="F",$D$3&lt;&gt;$G$3),((1+$AA$1)^(H100/MIN(G100,365))),((1+$AA$1)^(1/12)))-$U100))</f>
        <v>1920000</v>
      </c>
      <c r="AB100" s="2">
        <f ca="1">IF(MIN($AB$4:AB99)=0,0,MAX(0,($AB99+$K100-$O100-$P100)*IF(AND(F100="F",$D$3&lt;&gt;$G$3),((1+(J100))^(H100/MIN(G100,365))),((1+(J100))^(1/12)))-$U100))</f>
        <v>2848271.5778916306</v>
      </c>
      <c r="AC100" s="21"/>
      <c r="AD100" s="21"/>
      <c r="AE100" s="21"/>
      <c r="AF100" s="282">
        <f t="shared" ca="1" si="58"/>
        <v>1268334</v>
      </c>
      <c r="AG100" s="282">
        <f t="shared" ca="1" si="59"/>
        <v>1920000</v>
      </c>
      <c r="AH100" s="282">
        <f t="shared" ca="1" si="60"/>
        <v>2848272</v>
      </c>
      <c r="AI100" s="23" t="str">
        <f t="shared" ca="1" si="79"/>
        <v>9-2</v>
      </c>
      <c r="AJ100" s="281">
        <f ca="1">IF(E100&gt;111,,IF(AND(OP!$C$99=1,T100="F"),Z100,IF(AND(OP!$C$99=2,COUNTIF($T$4:T100,"F")=1),OP!$C$97+IF(F100="F",OP!$C$98,0),"")))</f>
        <v>54527</v>
      </c>
      <c r="AK100" s="281">
        <f ca="1">IF(E100&gt;111,,IF(AND(OP!$D$99=1,T100="F"),AA100,IF(AND(OP!$D$99=2,COUNTIF($T$4:T100,"F")=1),OP!$D$97+IF(F100="F",OP!$D$98,0),"")))</f>
        <v>74177</v>
      </c>
      <c r="AL100" s="281">
        <f ca="1">IF(E100&gt;111,,IF(AND(OP!$E$99=1,T100="F"),AB100,IF(AND(OP!$E$99=2,COUNTIF($T$4:T100,"F")=1),OP!$E$97+IF(F100="F",OP!$E$98,0),"")))</f>
        <v>99404</v>
      </c>
      <c r="AM100" s="1">
        <f t="shared" ca="1" si="61"/>
        <v>2</v>
      </c>
      <c r="AN100" s="1">
        <f ca="1">IF(OR(VLOOKUP($A100,MP,5,0)="年繳",VLOOKUP($A100,MP,5,0)="半年繳",VLOOKUP($A100,MP,5,0)="季繳",VLOOKUP($A100,MP,5,0)="月繳"),1,"")</f>
        <v>1</v>
      </c>
      <c r="AO100" s="1">
        <f t="shared" ca="1" si="62"/>
        <v>0</v>
      </c>
      <c r="AP100" s="1" t="str">
        <f ca="1">IF(AND(A100&lt;=OP!$C$120,COUNTIF(PAY,C100)=1),1,"")</f>
        <v/>
      </c>
      <c r="AR100" s="301">
        <f ca="1">IF(繳費報酬率資料!$A$1=1,$AY100+$AZ100,$BF100+$BG100)</f>
        <v>0</v>
      </c>
      <c r="AS100" s="1">
        <f ca="1">IF(C100&lt;&gt;IF($C$3=1,12,$C$3-1),0,IF(繳費報酬率資料!$A$1&lt;&gt;1,VLOOKUP($A100,MP,8,0),IF(AND($A100&gt;=OP!$C$79,$A100&lt;=OP!$C$80),OP!$C$78,)))</f>
        <v>0</v>
      </c>
      <c r="AT100" s="298">
        <f t="shared" ca="1" si="63"/>
        <v>0</v>
      </c>
      <c r="AU100" s="298">
        <f ca="1">IF(AND(A100&lt;=OP!$C$120,COUNTIF(PAY,C100)=1),OP!$C$123,0)</f>
        <v>0</v>
      </c>
      <c r="AV100" s="298">
        <f ca="1">IF(AND(A100&gt;=OP!$C$132,A100&lt;=OP!$C$133,$C$3=C100),OP!$C$135,0)</f>
        <v>0</v>
      </c>
      <c r="AW100" s="180">
        <f t="shared" ca="1" si="64"/>
        <v>0.05</v>
      </c>
      <c r="AX100" s="180">
        <f t="shared" ca="1" si="65"/>
        <v>0.05</v>
      </c>
      <c r="AY100" s="286">
        <f t="shared" ca="1" si="66"/>
        <v>0</v>
      </c>
      <c r="AZ100" s="286">
        <f t="shared" ca="1" si="67"/>
        <v>0</v>
      </c>
      <c r="BA100" s="286">
        <f t="shared" ca="1" si="68"/>
        <v>0</v>
      </c>
      <c r="BB100" s="286">
        <f t="shared" ca="1" si="69"/>
        <v>0</v>
      </c>
      <c r="BC100" s="286">
        <f t="shared" ca="1" si="70"/>
        <v>0</v>
      </c>
      <c r="BD100" s="180">
        <f t="shared" ca="1" si="71"/>
        <v>0.05</v>
      </c>
      <c r="BE100" s="180">
        <f t="shared" ca="1" si="72"/>
        <v>0.05</v>
      </c>
      <c r="BF100" s="286">
        <f t="shared" ca="1" si="73"/>
        <v>0</v>
      </c>
      <c r="BG100" s="286">
        <f t="shared" ca="1" si="74"/>
        <v>0</v>
      </c>
    </row>
    <row r="101" spans="1:59">
      <c r="A101" s="1">
        <f t="shared" ca="1" si="52"/>
        <v>9</v>
      </c>
      <c r="B101" s="1">
        <f t="shared" ca="1" si="75"/>
        <v>114</v>
      </c>
      <c r="C101" s="1">
        <f t="shared" ca="1" si="76"/>
        <v>7</v>
      </c>
      <c r="D101" s="1">
        <f ca="1">MIN($D$3,VLOOKUP(C101,OP!$S$30:$T$41,2))</f>
        <v>2</v>
      </c>
      <c r="E101" s="1">
        <f t="shared" ca="1" si="53"/>
        <v>63</v>
      </c>
      <c r="F101" s="11" t="str">
        <f t="shared" ca="1" si="54"/>
        <v/>
      </c>
      <c r="G101" s="8">
        <f t="shared" ref="G101:G111" ca="1" si="82">G100</f>
        <v>365</v>
      </c>
      <c r="H101" s="8">
        <f t="shared" ca="1" si="55"/>
        <v>31</v>
      </c>
      <c r="I101" s="8" t="str">
        <f t="shared" ca="1" si="49"/>
        <v>97</v>
      </c>
      <c r="J101" s="13">
        <f>IF(繳費報酬率資料!$A$1=1,VALUE(OP!$C$121),VLOOKUP(A101,MP,2,0))</f>
        <v>0.05</v>
      </c>
      <c r="K101" s="14">
        <f ca="1">IF(SUM($K$4:K100,IF(繳費報酬率資料!$A$1=1,$AU101+$AV101,$BB101+$BC101))&gt;OP!$L$58,0,IF(繳費報酬率資料!$A$1=1,$AU101+$AV101,$BB101+$BC101))</f>
        <v>0</v>
      </c>
      <c r="L101" s="2"/>
      <c r="M101" s="2"/>
      <c r="N101" s="2"/>
      <c r="O101" s="261">
        <f t="shared" ca="1" si="56"/>
        <v>0</v>
      </c>
      <c r="P101" s="261">
        <f t="shared" ca="1" si="77"/>
        <v>0</v>
      </c>
      <c r="Q101" s="3">
        <f ca="1">IF(A101&gt;MAX(OP!$R$17:$R$26),0,VLOOKUP(A101,fees,3,FALSE))</f>
        <v>0</v>
      </c>
      <c r="R101" s="200" t="str">
        <f t="shared" ca="1" si="57"/>
        <v/>
      </c>
      <c r="S101" s="9" t="str">
        <f ca="1">IF(COUNTIF(($T$4:T100),"F")&gt;=1,"",IF(OR(C102&lt;&gt;$C$3,E101=""),"",A101))</f>
        <v/>
      </c>
      <c r="T101" s="20" t="str">
        <f t="shared" ca="1" si="50"/>
        <v/>
      </c>
      <c r="U101" s="2">
        <f ca="1">IF(IF(OP!$C$83=1,$Z100,IF(OP!$C$83=2,$AA100,IF(OP!$C$83=3,$AB100,)))+$K101-$O101-$P101-$AS101&lt;OP!$C$142,0,$AS101)</f>
        <v>0</v>
      </c>
      <c r="V101" s="9"/>
      <c r="W101" s="19">
        <f ca="1">MAX(SUM($K$4:K101),0)</f>
        <v>2000000</v>
      </c>
      <c r="X101" s="19"/>
      <c r="Y101" s="19">
        <f t="shared" ca="1" si="78"/>
        <v>1920000</v>
      </c>
      <c r="Z101" s="2">
        <f ca="1">IF(MIN($Z$4:Z100)=0,0,MAX(0,($Z100+$K101-$O101-$P101)*IF(AND(F101="F",$D$3&lt;&gt;$G$3),((1+(-J101))^(H101/MIN(G101,365))),((1+(-J101))^(1/12)))-$U101))</f>
        <v>1262924.3550989018</v>
      </c>
      <c r="AA101" s="2">
        <f ca="1">IF(MIN($AA$4:AA100)=0,0,MAX(0,($AA100+$K101-$O101-$P101)*IF(AND(F101="F",$D$3&lt;&gt;$G$3),((1+$AA$1)^(H101/MIN(G101,365))),((1+$AA$1)^(1/12)))-$U101))</f>
        <v>1920000</v>
      </c>
      <c r="AB101" s="2">
        <f ca="1">IF(MIN($AB$4:AB100)=0,0,MAX(0,($AB100+$K101-$O101-$P101)*IF(AND(F101="F",$D$3&lt;&gt;$G$3),((1+(J101))^(H101/MIN(G101,365))),((1+(J101))^(1/12)))-$U101))</f>
        <v>2859875.7888694084</v>
      </c>
      <c r="AC101" s="5"/>
      <c r="AD101" s="5"/>
      <c r="AE101" s="5"/>
      <c r="AF101" s="282">
        <f t="shared" ca="1" si="58"/>
        <v>1262924</v>
      </c>
      <c r="AG101" s="282">
        <f t="shared" ca="1" si="59"/>
        <v>1920000</v>
      </c>
      <c r="AH101" s="282">
        <f t="shared" ca="1" si="60"/>
        <v>2859876</v>
      </c>
      <c r="AI101" s="23" t="str">
        <f t="shared" ca="1" si="79"/>
        <v>9-3</v>
      </c>
      <c r="AJ101" s="282">
        <f ca="1">IF(E101&gt;111,,IF(AND(OP!$C$99=1,T101="F"),Z101,IF(AND(OP!$C$99=2,COUNTIF($T$4:T101,"F")=1),OP!$C$97+IF(F101="F",OP!$C$98,0),"")))</f>
        <v>54527</v>
      </c>
      <c r="AK101" s="282">
        <f ca="1">IF(E101&gt;111,,IF(AND(OP!$D$99=1,T101="F"),AA101,IF(AND(OP!$D$99=2,COUNTIF($T$4:T101,"F")=1),OP!$D$97+IF(F101="F",OP!$D$98,0),"")))</f>
        <v>74177</v>
      </c>
      <c r="AL101" s="282">
        <f ca="1">IF(E101&gt;111,,IF(AND(OP!$E$99=1,T101="F"),AB101,IF(AND(OP!$E$99=2,COUNTIF($T$4:T101,"F")=1),OP!$E$97+IF(F101="F",OP!$E$98,0),"")))</f>
        <v>99404</v>
      </c>
      <c r="AM101" s="1">
        <f t="shared" ca="1" si="61"/>
        <v>3</v>
      </c>
      <c r="AN101" s="1" t="str">
        <f ca="1">IF(OR(VLOOKUP($A101,MP,5,0)="月繳"),1,"")</f>
        <v/>
      </c>
      <c r="AO101" s="1">
        <f t="shared" ca="1" si="62"/>
        <v>0</v>
      </c>
      <c r="AP101" s="1" t="str">
        <f ca="1">IF(AND(A101&lt;=OP!$C$120,COUNTIF(PAY,C101)=1),1,"")</f>
        <v/>
      </c>
      <c r="AR101" s="301">
        <f ca="1">IF(繳費報酬率資料!$A$1=1,$AY101+$AZ101,$BF101+$BG101)</f>
        <v>0</v>
      </c>
      <c r="AS101" s="1">
        <f ca="1">IF(C101&lt;&gt;IF($C$3=1,12,$C$3-1),0,IF(繳費報酬率資料!$A$1&lt;&gt;1,VLOOKUP($A101,MP,8,0),IF(AND($A101&gt;=OP!$C$79,$A101&lt;=OP!$C$80),OP!$C$78,)))</f>
        <v>0</v>
      </c>
      <c r="AT101" s="298">
        <f t="shared" ca="1" si="63"/>
        <v>0</v>
      </c>
      <c r="AU101" s="298">
        <f ca="1">IF(AND(A101&lt;=OP!$C$120,COUNTIF(PAY,C101)=1),OP!$C$123,0)</f>
        <v>0</v>
      </c>
      <c r="AV101" s="298">
        <f ca="1">IF(AND(A101&gt;=OP!$C$132,A101&lt;=OP!$C$133,$C$3=C101),OP!$C$135,0)</f>
        <v>0</v>
      </c>
      <c r="AW101" s="180">
        <f t="shared" ca="1" si="64"/>
        <v>0.05</v>
      </c>
      <c r="AX101" s="180">
        <f t="shared" ca="1" si="65"/>
        <v>0.05</v>
      </c>
      <c r="AY101" s="286">
        <f t="shared" ca="1" si="66"/>
        <v>0</v>
      </c>
      <c r="AZ101" s="286">
        <f t="shared" ca="1" si="67"/>
        <v>0</v>
      </c>
      <c r="BA101" s="286">
        <f t="shared" ca="1" si="68"/>
        <v>0</v>
      </c>
      <c r="BB101" s="286">
        <f t="shared" ca="1" si="69"/>
        <v>0</v>
      </c>
      <c r="BC101" s="286">
        <f t="shared" ca="1" si="70"/>
        <v>0</v>
      </c>
      <c r="BD101" s="180">
        <f t="shared" ca="1" si="71"/>
        <v>0.05</v>
      </c>
      <c r="BE101" s="180">
        <f t="shared" ca="1" si="72"/>
        <v>0.05</v>
      </c>
      <c r="BF101" s="286">
        <f t="shared" ca="1" si="73"/>
        <v>0</v>
      </c>
      <c r="BG101" s="286">
        <f t="shared" ca="1" si="74"/>
        <v>0</v>
      </c>
    </row>
    <row r="102" spans="1:59">
      <c r="A102" s="1">
        <f t="shared" ca="1" si="52"/>
        <v>9</v>
      </c>
      <c r="B102" s="1">
        <f t="shared" ca="1" si="75"/>
        <v>114</v>
      </c>
      <c r="C102" s="1">
        <f t="shared" ca="1" si="76"/>
        <v>8</v>
      </c>
      <c r="D102" s="1">
        <f ca="1">MIN($D$3,VLOOKUP(C102,OP!$S$30:$T$41,2))</f>
        <v>2</v>
      </c>
      <c r="E102" s="1">
        <f t="shared" ca="1" si="53"/>
        <v>63</v>
      </c>
      <c r="F102" s="11" t="str">
        <f t="shared" ca="1" si="54"/>
        <v/>
      </c>
      <c r="G102" s="8">
        <f t="shared" ca="1" si="82"/>
        <v>365</v>
      </c>
      <c r="H102" s="8">
        <f t="shared" ca="1" si="55"/>
        <v>31</v>
      </c>
      <c r="I102" s="8" t="str">
        <f t="shared" ca="1" si="49"/>
        <v>98</v>
      </c>
      <c r="J102" s="13">
        <f>IF(繳費報酬率資料!$A$1=1,VALUE(OP!$C$121),VLOOKUP(A102,MP,2,0))</f>
        <v>0.05</v>
      </c>
      <c r="K102" s="14">
        <f ca="1">IF(SUM($K$4:K101,IF(繳費報酬率資料!$A$1=1,$AU102+$AV102,$BB102+$BC102))&gt;OP!$L$58,0,IF(繳費報酬率資料!$A$1=1,$AU102+$AV102,$BB102+$BC102))</f>
        <v>0</v>
      </c>
      <c r="L102" s="2"/>
      <c r="M102" s="2"/>
      <c r="N102" s="2"/>
      <c r="O102" s="261">
        <f t="shared" ca="1" si="56"/>
        <v>0</v>
      </c>
      <c r="P102" s="261">
        <f t="shared" ca="1" si="77"/>
        <v>0</v>
      </c>
      <c r="Q102" s="3">
        <f ca="1">IF(A102&gt;MAX(OP!$R$17:$R$26),0,VLOOKUP(A102,fees,3,FALSE))</f>
        <v>0</v>
      </c>
      <c r="R102" s="200" t="str">
        <f t="shared" ca="1" si="57"/>
        <v/>
      </c>
      <c r="S102" s="9" t="str">
        <f ca="1">IF(COUNTIF(($T$4:T101),"F")&gt;=1,"",IF(OR(C103&lt;&gt;$C$3,E102=""),"",A102))</f>
        <v/>
      </c>
      <c r="T102" s="20" t="str">
        <f t="shared" ca="1" si="50"/>
        <v/>
      </c>
      <c r="U102" s="2">
        <f ca="1">IF(IF(OP!$C$83=1,$Z101,IF(OP!$C$83=2,$AA101,IF(OP!$C$83=3,$AB101,)))+$K102-$O102-$P102-$AS102&lt;OP!$C$142,0,$AS102)</f>
        <v>0</v>
      </c>
      <c r="V102" s="9"/>
      <c r="W102" s="19">
        <f ca="1">MAX(SUM($K$4:K102),0)</f>
        <v>2000000</v>
      </c>
      <c r="X102" s="19"/>
      <c r="Y102" s="19">
        <f t="shared" ca="1" si="78"/>
        <v>1920000</v>
      </c>
      <c r="Z102" s="2">
        <f ca="1">IF(MIN($Z$4:Z101)=0,0,MAX(0,($Z101+$K102-$O102-$P102)*IF(AND(F102="F",$D$3&lt;&gt;$G$3),((1+(-J102))^(H102/MIN(G102,365))),((1+(-J102))^(1/12)))-$U102))</f>
        <v>1257537.5801324598</v>
      </c>
      <c r="AA102" s="2">
        <f ca="1">IF(MIN($AA$4:AA101)=0,0,MAX(0,($AA101+$K102-$O102-$P102)*IF(AND(F102="F",$D$3&lt;&gt;$G$3),((1+$AA$1)^(H102/MIN(G102,365))),((1+$AA$1)^(1/12)))-$U102))</f>
        <v>1920000</v>
      </c>
      <c r="AB102" s="2">
        <f ca="1">IF(MIN($AB$4:AB101)=0,0,MAX(0,($AB101+$K102-$O102-$P102)*IF(AND(F102="F",$D$3&lt;&gt;$G$3),((1+(J102))^(H102/MIN(G102,365))),((1+(J102))^(1/12)))-$U102))</f>
        <v>2871527.2768391212</v>
      </c>
      <c r="AC102" s="5"/>
      <c r="AD102" s="5"/>
      <c r="AE102" s="5"/>
      <c r="AF102" s="282">
        <f t="shared" ca="1" si="58"/>
        <v>1257538</v>
      </c>
      <c r="AG102" s="282">
        <f t="shared" ca="1" si="59"/>
        <v>1920000</v>
      </c>
      <c r="AH102" s="282">
        <f t="shared" ca="1" si="60"/>
        <v>2871527</v>
      </c>
      <c r="AI102" s="23" t="str">
        <f t="shared" ca="1" si="79"/>
        <v>9-4</v>
      </c>
      <c r="AJ102" s="282">
        <f ca="1">IF(E102&gt;111,,IF(AND(OP!$C$99=1,T102="F"),Z102,IF(AND(OP!$C$99=2,COUNTIF($T$4:T102,"F")=1),OP!$C$97+IF(F102="F",OP!$C$98,0),"")))</f>
        <v>54527</v>
      </c>
      <c r="AK102" s="282">
        <f ca="1">IF(E102&gt;111,,IF(AND(OP!$D$99=1,T102="F"),AA102,IF(AND(OP!$D$99=2,COUNTIF($T$4:T102,"F")=1),OP!$D$97+IF(F102="F",OP!$D$98,0),"")))</f>
        <v>74177</v>
      </c>
      <c r="AL102" s="282">
        <f ca="1">IF(E102&gt;111,,IF(AND(OP!$E$99=1,T102="F"),AB102,IF(AND(OP!$E$99=2,COUNTIF($T$4:T102,"F")=1),OP!$E$97+IF(F102="F",OP!$E$98,0),"")))</f>
        <v>99404</v>
      </c>
      <c r="AM102" s="1">
        <f t="shared" ca="1" si="61"/>
        <v>4</v>
      </c>
      <c r="AN102" s="1" t="str">
        <f ca="1">IF(OR(VLOOKUP($A102,MP,5,0)="月繳"),1,"")</f>
        <v/>
      </c>
      <c r="AO102" s="1">
        <f t="shared" ca="1" si="62"/>
        <v>0</v>
      </c>
      <c r="AP102" s="1" t="str">
        <f ca="1">IF(AND(A102&lt;=OP!$C$120,COUNTIF(PAY,C102)=1),1,"")</f>
        <v/>
      </c>
      <c r="AR102" s="301">
        <f ca="1">IF(繳費報酬率資料!$A$1=1,$AY102+$AZ102,$BF102+$BG102)</f>
        <v>0</v>
      </c>
      <c r="AS102" s="1">
        <f ca="1">IF(C102&lt;&gt;IF($C$3=1,12,$C$3-1),0,IF(繳費報酬率資料!$A$1&lt;&gt;1,VLOOKUP($A102,MP,8,0),IF(AND($A102&gt;=OP!$C$79,$A102&lt;=OP!$C$80),OP!$C$78,)))</f>
        <v>0</v>
      </c>
      <c r="AT102" s="298">
        <f t="shared" ca="1" si="63"/>
        <v>0</v>
      </c>
      <c r="AU102" s="298">
        <f ca="1">IF(AND(A102&lt;=OP!$C$120,COUNTIF(PAY,C102)=1),OP!$C$123,0)</f>
        <v>0</v>
      </c>
      <c r="AV102" s="298">
        <f ca="1">IF(AND(A102&gt;=OP!$C$132,A102&lt;=OP!$C$133,$C$3=C102),OP!$C$135,0)</f>
        <v>0</v>
      </c>
      <c r="AW102" s="180">
        <f t="shared" ca="1" si="64"/>
        <v>0.05</v>
      </c>
      <c r="AX102" s="180">
        <f t="shared" ca="1" si="65"/>
        <v>0.05</v>
      </c>
      <c r="AY102" s="286">
        <f t="shared" ca="1" si="66"/>
        <v>0</v>
      </c>
      <c r="AZ102" s="286">
        <f t="shared" ca="1" si="67"/>
        <v>0</v>
      </c>
      <c r="BA102" s="286">
        <f t="shared" ca="1" si="68"/>
        <v>0</v>
      </c>
      <c r="BB102" s="286">
        <f t="shared" ca="1" si="69"/>
        <v>0</v>
      </c>
      <c r="BC102" s="286">
        <f t="shared" ca="1" si="70"/>
        <v>0</v>
      </c>
      <c r="BD102" s="180">
        <f t="shared" ca="1" si="71"/>
        <v>0.05</v>
      </c>
      <c r="BE102" s="180">
        <f t="shared" ca="1" si="72"/>
        <v>0.05</v>
      </c>
      <c r="BF102" s="286">
        <f t="shared" ca="1" si="73"/>
        <v>0</v>
      </c>
      <c r="BG102" s="286">
        <f t="shared" ca="1" si="74"/>
        <v>0</v>
      </c>
    </row>
    <row r="103" spans="1:59">
      <c r="A103" s="1">
        <f t="shared" ca="1" si="52"/>
        <v>9</v>
      </c>
      <c r="B103" s="1">
        <f t="shared" ca="1" si="75"/>
        <v>114</v>
      </c>
      <c r="C103" s="1">
        <f t="shared" ca="1" si="76"/>
        <v>9</v>
      </c>
      <c r="D103" s="1">
        <f ca="1">MIN($D$3,VLOOKUP(C103,OP!$S$30:$T$41,2))</f>
        <v>2</v>
      </c>
      <c r="E103" s="1">
        <f t="shared" ca="1" si="53"/>
        <v>63</v>
      </c>
      <c r="F103" s="11" t="str">
        <f t="shared" ca="1" si="54"/>
        <v/>
      </c>
      <c r="G103" s="8">
        <f t="shared" ca="1" si="82"/>
        <v>365</v>
      </c>
      <c r="H103" s="8">
        <f t="shared" ca="1" si="55"/>
        <v>30</v>
      </c>
      <c r="I103" s="8" t="str">
        <f t="shared" ca="1" si="49"/>
        <v>99</v>
      </c>
      <c r="J103" s="13">
        <f>IF(繳費報酬率資料!$A$1=1,VALUE(OP!$C$121),VLOOKUP(A103,MP,2,0))</f>
        <v>0.05</v>
      </c>
      <c r="K103" s="14">
        <f ca="1">IF(SUM($K$4:K102,IF(繳費報酬率資料!$A$1=1,$AU103+$AV103,$BB103+$BC103))&gt;OP!$L$58,0,IF(繳費報酬率資料!$A$1=1,$AU103+$AV103,$BB103+$BC103))</f>
        <v>0</v>
      </c>
      <c r="L103" s="2"/>
      <c r="M103" s="2"/>
      <c r="N103" s="2"/>
      <c r="O103" s="261">
        <f t="shared" ca="1" si="56"/>
        <v>0</v>
      </c>
      <c r="P103" s="261">
        <f t="shared" ca="1" si="77"/>
        <v>0</v>
      </c>
      <c r="Q103" s="3">
        <f ca="1">IF(A103&gt;MAX(OP!$R$17:$R$26),0,VLOOKUP(A103,fees,3,FALSE))</f>
        <v>0</v>
      </c>
      <c r="R103" s="200" t="str">
        <f t="shared" ca="1" si="57"/>
        <v/>
      </c>
      <c r="S103" s="9" t="str">
        <f ca="1">IF(COUNTIF(($T$4:T102),"F")&gt;=1,"",IF(OR(C104&lt;&gt;$C$3,E103=""),"",A103))</f>
        <v/>
      </c>
      <c r="T103" s="20" t="str">
        <f t="shared" ca="1" si="50"/>
        <v/>
      </c>
      <c r="U103" s="2">
        <f ca="1">IF(IF(OP!$C$83=1,$Z102,IF(OP!$C$83=2,$AA102,IF(OP!$C$83=3,$AB102,)))+$K103-$O103-$P103-$AS103&lt;OP!$C$142,0,$AS103)</f>
        <v>0</v>
      </c>
      <c r="V103" s="9"/>
      <c r="W103" s="19">
        <f ca="1">MAX(SUM($K$4:K103),0)</f>
        <v>2000000</v>
      </c>
      <c r="X103" s="19"/>
      <c r="Y103" s="19">
        <f t="shared" ca="1" si="78"/>
        <v>1920000</v>
      </c>
      <c r="Z103" s="2">
        <f ca="1">IF(MIN($Z$4:Z102)=0,0,MAX(0,($Z102+$K103-$O103-$P103)*IF(AND(F103="F",$D$3&lt;&gt;$G$3),((1+(-J103))^(H103/MIN(G103,365))),((1+(-J103))^(1/12)))-$U103))</f>
        <v>1252173.7814784327</v>
      </c>
      <c r="AA103" s="2">
        <f ca="1">IF(MIN($AA$4:AA102)=0,0,MAX(0,($AA102+$K103-$O103-$P103)*IF(AND(F103="F",$D$3&lt;&gt;$G$3),((1+$AA$1)^(H103/MIN(G103,365))),((1+$AA$1)^(1/12)))-$U103))</f>
        <v>1920000</v>
      </c>
      <c r="AB103" s="2">
        <f ca="1">IF(MIN($AB$4:AB102)=0,0,MAX(0,($AB102+$K103-$O103-$P103)*IF(AND(F103="F",$D$3&lt;&gt;$G$3),((1+(J103))^(H103/MIN(G103,365))),((1+(J103))^(1/12)))-$U103))</f>
        <v>2883226.2344130864</v>
      </c>
      <c r="AC103" s="5"/>
      <c r="AD103" s="5"/>
      <c r="AE103" s="5"/>
      <c r="AF103" s="282">
        <f t="shared" ca="1" si="58"/>
        <v>1252174</v>
      </c>
      <c r="AG103" s="282">
        <f t="shared" ca="1" si="59"/>
        <v>1920000</v>
      </c>
      <c r="AH103" s="282">
        <f t="shared" ca="1" si="60"/>
        <v>2883226</v>
      </c>
      <c r="AI103" s="23" t="str">
        <f t="shared" ca="1" si="79"/>
        <v>9-5</v>
      </c>
      <c r="AJ103" s="282">
        <f ca="1">IF(E103&gt;111,,IF(AND(OP!$C$99=1,T103="F"),Z103,IF(AND(OP!$C$99=2,COUNTIF($T$4:T103,"F")=1),OP!$C$97+IF(F103="F",OP!$C$98,0),"")))</f>
        <v>54527</v>
      </c>
      <c r="AK103" s="282">
        <f ca="1">IF(E103&gt;111,,IF(AND(OP!$D$99=1,T103="F"),AA103,IF(AND(OP!$D$99=2,COUNTIF($T$4:T103,"F")=1),OP!$D$97+IF(F103="F",OP!$D$98,0),"")))</f>
        <v>74177</v>
      </c>
      <c r="AL103" s="282">
        <f ca="1">IF(E103&gt;111,,IF(AND(OP!$E$99=1,T103="F"),AB103,IF(AND(OP!$E$99=2,COUNTIF($T$4:T103,"F")=1),OP!$E$97+IF(F103="F",OP!$E$98,0),"")))</f>
        <v>99404</v>
      </c>
      <c r="AM103" s="1">
        <f t="shared" ca="1" si="61"/>
        <v>5</v>
      </c>
      <c r="AN103" s="1" t="str">
        <f ca="1">IF(OR(VLOOKUP($A103,MP,5,0)="季繳",VLOOKUP($A103,MP,5,0)="月繳"),1,"")</f>
        <v/>
      </c>
      <c r="AO103" s="1">
        <f t="shared" ca="1" si="62"/>
        <v>0</v>
      </c>
      <c r="AP103" s="1" t="str">
        <f ca="1">IF(AND(A103&lt;=OP!$C$120,COUNTIF(PAY,C103)=1),1,"")</f>
        <v/>
      </c>
      <c r="AR103" s="301">
        <f ca="1">IF(繳費報酬率資料!$A$1=1,$AY103+$AZ103,$BF103+$BG103)</f>
        <v>0</v>
      </c>
      <c r="AS103" s="1">
        <f ca="1">IF(C103&lt;&gt;IF($C$3=1,12,$C$3-1),0,IF(繳費報酬率資料!$A$1&lt;&gt;1,VLOOKUP($A103,MP,8,0),IF(AND($A103&gt;=OP!$C$79,$A103&lt;=OP!$C$80),OP!$C$78,)))</f>
        <v>0</v>
      </c>
      <c r="AT103" s="298">
        <f t="shared" ca="1" si="63"/>
        <v>0</v>
      </c>
      <c r="AU103" s="298">
        <f ca="1">IF(AND(A103&lt;=OP!$C$120,COUNTIF(PAY,C103)=1),OP!$C$123,0)</f>
        <v>0</v>
      </c>
      <c r="AV103" s="298">
        <f ca="1">IF(AND(A103&gt;=OP!$C$132,A103&lt;=OP!$C$133,$C$3=C103),OP!$C$135,0)</f>
        <v>0</v>
      </c>
      <c r="AW103" s="180">
        <f t="shared" ca="1" si="64"/>
        <v>0.05</v>
      </c>
      <c r="AX103" s="180">
        <f t="shared" ca="1" si="65"/>
        <v>0.05</v>
      </c>
      <c r="AY103" s="286">
        <f t="shared" ca="1" si="66"/>
        <v>0</v>
      </c>
      <c r="AZ103" s="286">
        <f t="shared" ca="1" si="67"/>
        <v>0</v>
      </c>
      <c r="BA103" s="286">
        <f t="shared" ca="1" si="68"/>
        <v>0</v>
      </c>
      <c r="BB103" s="286">
        <f t="shared" ca="1" si="69"/>
        <v>0</v>
      </c>
      <c r="BC103" s="286">
        <f t="shared" ca="1" si="70"/>
        <v>0</v>
      </c>
      <c r="BD103" s="180">
        <f t="shared" ca="1" si="71"/>
        <v>0.05</v>
      </c>
      <c r="BE103" s="180">
        <f t="shared" ca="1" si="72"/>
        <v>0.05</v>
      </c>
      <c r="BF103" s="286">
        <f t="shared" ca="1" si="73"/>
        <v>0</v>
      </c>
      <c r="BG103" s="286">
        <f t="shared" ca="1" si="74"/>
        <v>0</v>
      </c>
    </row>
    <row r="104" spans="1:59">
      <c r="A104" s="1">
        <f t="shared" ca="1" si="52"/>
        <v>9</v>
      </c>
      <c r="B104" s="1">
        <f t="shared" ca="1" si="75"/>
        <v>114</v>
      </c>
      <c r="C104" s="1">
        <f t="shared" ca="1" si="76"/>
        <v>10</v>
      </c>
      <c r="D104" s="1">
        <f ca="1">MIN($D$3,VLOOKUP(C104,OP!$S$30:$T$41,2))</f>
        <v>2</v>
      </c>
      <c r="E104" s="1">
        <f t="shared" ca="1" si="53"/>
        <v>63</v>
      </c>
      <c r="F104" s="11" t="str">
        <f t="shared" ca="1" si="54"/>
        <v/>
      </c>
      <c r="G104" s="8">
        <f t="shared" ca="1" si="82"/>
        <v>365</v>
      </c>
      <c r="H104" s="8">
        <f t="shared" ca="1" si="55"/>
        <v>31</v>
      </c>
      <c r="I104" s="8" t="str">
        <f t="shared" ca="1" si="49"/>
        <v>910</v>
      </c>
      <c r="J104" s="13">
        <f>IF(繳費報酬率資料!$A$1=1,VALUE(OP!$C$121),VLOOKUP(A104,MP,2,0))</f>
        <v>0.05</v>
      </c>
      <c r="K104" s="14">
        <f ca="1">IF(SUM($K$4:K103,IF(繳費報酬率資料!$A$1=1,$AU104+$AV104,$BB104+$BC104))&gt;OP!$L$58,0,IF(繳費報酬率資料!$A$1=1,$AU104+$AV104,$BB104+$BC104))</f>
        <v>0</v>
      </c>
      <c r="L104" s="2"/>
      <c r="M104" s="2"/>
      <c r="N104" s="2"/>
      <c r="O104" s="261">
        <f t="shared" ca="1" si="56"/>
        <v>0</v>
      </c>
      <c r="P104" s="261">
        <f t="shared" ca="1" si="77"/>
        <v>0</v>
      </c>
      <c r="Q104" s="3">
        <f ca="1">IF(A104&gt;MAX(OP!$R$17:$R$26),0,VLOOKUP(A104,fees,3,FALSE))</f>
        <v>0</v>
      </c>
      <c r="R104" s="200" t="str">
        <f t="shared" ca="1" si="57"/>
        <v/>
      </c>
      <c r="S104" s="9" t="str">
        <f ca="1">IF(COUNTIF(($T$4:T103),"F")&gt;=1,"",IF(OR(C105&lt;&gt;$C$3,E104=""),"",A104))</f>
        <v/>
      </c>
      <c r="T104" s="20" t="str">
        <f t="shared" ca="1" si="50"/>
        <v/>
      </c>
      <c r="U104" s="2">
        <f ca="1">IF(IF(OP!$C$83=1,$Z103,IF(OP!$C$83=2,$AA103,IF(OP!$C$83=3,$AB103,)))+$K104-$O104-$P104-$AS104&lt;OP!$C$142,0,$AS104)</f>
        <v>0</v>
      </c>
      <c r="V104" s="9"/>
      <c r="W104" s="19">
        <f ca="1">MAX(SUM($K$4:K104),0)</f>
        <v>2000000</v>
      </c>
      <c r="X104" s="19"/>
      <c r="Y104" s="19">
        <f t="shared" ca="1" si="78"/>
        <v>1920000</v>
      </c>
      <c r="Z104" s="2">
        <f ca="1">IF(MIN($Z$4:Z103)=0,0,MAX(0,($Z103+$K104-$O104-$P104)*IF(AND(F104="F",$D$3&lt;&gt;$G$3),((1+(-J104))^(H104/MIN(G104,365))),((1+(-J104))^(1/12)))-$U104))</f>
        <v>1246832.8611355235</v>
      </c>
      <c r="AA104" s="2">
        <f ca="1">IF(MIN($AA$4:AA103)=0,0,MAX(0,($AA103+$K104-$O104-$P104)*IF(AND(F104="F",$D$3&lt;&gt;$G$3),((1+$AA$1)^(H104/MIN(G104,365))),((1+$AA$1)^(1/12)))-$U104))</f>
        <v>1920000</v>
      </c>
      <c r="AB104" s="2">
        <f ca="1">IF(MIN($AB$4:AB103)=0,0,MAX(0,($AB103+$K104-$O104-$P104)*IF(AND(F104="F",$D$3&lt;&gt;$G$3),((1+(J104))^(H104/MIN(G104,365))),((1+(J104))^(1/12)))-$U104))</f>
        <v>2894972.8549883477</v>
      </c>
      <c r="AC104" s="5"/>
      <c r="AD104" s="5"/>
      <c r="AE104" s="5"/>
      <c r="AF104" s="282">
        <f t="shared" ca="1" si="58"/>
        <v>1246833</v>
      </c>
      <c r="AG104" s="282">
        <f t="shared" ca="1" si="59"/>
        <v>1920000</v>
      </c>
      <c r="AH104" s="282">
        <f t="shared" ca="1" si="60"/>
        <v>2894973</v>
      </c>
      <c r="AI104" s="23" t="str">
        <f t="shared" ca="1" si="79"/>
        <v>9-6</v>
      </c>
      <c r="AJ104" s="282">
        <f ca="1">IF(E104&gt;111,,IF(AND(OP!$C$99=1,T104="F"),Z104,IF(AND(OP!$C$99=2,COUNTIF($T$4:T104,"F")=1),OP!$C$97+IF(F104="F",OP!$C$98,0),"")))</f>
        <v>54527</v>
      </c>
      <c r="AK104" s="282">
        <f ca="1">IF(E104&gt;111,,IF(AND(OP!$D$99=1,T104="F"),AA104,IF(AND(OP!$D$99=2,COUNTIF($T$4:T104,"F")=1),OP!$D$97+IF(F104="F",OP!$D$98,0),"")))</f>
        <v>74177</v>
      </c>
      <c r="AL104" s="282">
        <f ca="1">IF(E104&gt;111,,IF(AND(OP!$E$99=1,T104="F"),AB104,IF(AND(OP!$E$99=2,COUNTIF($T$4:T104,"F")=1),OP!$E$97+IF(F104="F",OP!$E$98,0),"")))</f>
        <v>99404</v>
      </c>
      <c r="AM104" s="1">
        <f t="shared" ca="1" si="61"/>
        <v>6</v>
      </c>
      <c r="AN104" s="1" t="str">
        <f ca="1">IF(OR(VLOOKUP($A104,MP,5,0)="月繳"),1,"")</f>
        <v/>
      </c>
      <c r="AO104" s="1">
        <f t="shared" ca="1" si="62"/>
        <v>0</v>
      </c>
      <c r="AP104" s="1" t="str">
        <f ca="1">IF(AND(A104&lt;=OP!$C$120,COUNTIF(PAY,C104)=1),1,"")</f>
        <v/>
      </c>
      <c r="AR104" s="301">
        <f ca="1">IF(繳費報酬率資料!$A$1=1,$AY104+$AZ104,$BF104+$BG104)</f>
        <v>0</v>
      </c>
      <c r="AS104" s="1">
        <f ca="1">IF(C104&lt;&gt;IF($C$3=1,12,$C$3-1),0,IF(繳費報酬率資料!$A$1&lt;&gt;1,VLOOKUP($A104,MP,8,0),IF(AND($A104&gt;=OP!$C$79,$A104&lt;=OP!$C$80),OP!$C$78,)))</f>
        <v>0</v>
      </c>
      <c r="AT104" s="298">
        <f t="shared" ca="1" si="63"/>
        <v>0</v>
      </c>
      <c r="AU104" s="298">
        <f ca="1">IF(AND(A104&lt;=OP!$C$120,COUNTIF(PAY,C104)=1),OP!$C$123,0)</f>
        <v>0</v>
      </c>
      <c r="AV104" s="298">
        <f ca="1">IF(AND(A104&gt;=OP!$C$132,A104&lt;=OP!$C$133,$C$3=C104),OP!$C$135,0)</f>
        <v>0</v>
      </c>
      <c r="AW104" s="180">
        <f t="shared" ca="1" si="64"/>
        <v>0.05</v>
      </c>
      <c r="AX104" s="180">
        <f t="shared" ca="1" si="65"/>
        <v>0.05</v>
      </c>
      <c r="AY104" s="286">
        <f t="shared" ca="1" si="66"/>
        <v>0</v>
      </c>
      <c r="AZ104" s="286">
        <f t="shared" ca="1" si="67"/>
        <v>0</v>
      </c>
      <c r="BA104" s="286">
        <f t="shared" ca="1" si="68"/>
        <v>0</v>
      </c>
      <c r="BB104" s="286">
        <f t="shared" ca="1" si="69"/>
        <v>0</v>
      </c>
      <c r="BC104" s="286">
        <f t="shared" ca="1" si="70"/>
        <v>0</v>
      </c>
      <c r="BD104" s="180">
        <f t="shared" ca="1" si="71"/>
        <v>0.05</v>
      </c>
      <c r="BE104" s="180">
        <f t="shared" ca="1" si="72"/>
        <v>0.05</v>
      </c>
      <c r="BF104" s="286">
        <f t="shared" ca="1" si="73"/>
        <v>0</v>
      </c>
      <c r="BG104" s="286">
        <f t="shared" ca="1" si="74"/>
        <v>0</v>
      </c>
    </row>
    <row r="105" spans="1:59">
      <c r="A105" s="1">
        <f t="shared" ca="1" si="52"/>
        <v>9</v>
      </c>
      <c r="B105" s="1">
        <f t="shared" ca="1" si="75"/>
        <v>114</v>
      </c>
      <c r="C105" s="1">
        <f t="shared" ca="1" si="76"/>
        <v>11</v>
      </c>
      <c r="D105" s="1">
        <f ca="1">MIN($D$3,VLOOKUP(C105,OP!$S$30:$T$41,2))</f>
        <v>2</v>
      </c>
      <c r="E105" s="1">
        <f t="shared" ca="1" si="53"/>
        <v>63</v>
      </c>
      <c r="F105" s="11" t="str">
        <f t="shared" ca="1" si="54"/>
        <v/>
      </c>
      <c r="G105" s="8">
        <f t="shared" ca="1" si="82"/>
        <v>365</v>
      </c>
      <c r="H105" s="8">
        <f t="shared" ca="1" si="55"/>
        <v>30</v>
      </c>
      <c r="I105" s="8" t="str">
        <f t="shared" ca="1" si="49"/>
        <v>911</v>
      </c>
      <c r="J105" s="13">
        <f>IF(繳費報酬率資料!$A$1=1,VALUE(OP!$C$121),VLOOKUP(A105,MP,2,0))</f>
        <v>0.05</v>
      </c>
      <c r="K105" s="14">
        <f ca="1">IF(SUM($K$4:K104,IF(繳費報酬率資料!$A$1=1,$AU105+$AV105,$BB105+$BC105))&gt;OP!$L$58,0,IF(繳費報酬率資料!$A$1=1,$AU105+$AV105,$BB105+$BC105))</f>
        <v>0</v>
      </c>
      <c r="L105" s="2"/>
      <c r="M105" s="2"/>
      <c r="N105" s="2"/>
      <c r="O105" s="261">
        <f t="shared" ca="1" si="56"/>
        <v>0</v>
      </c>
      <c r="P105" s="261">
        <f t="shared" ca="1" si="77"/>
        <v>0</v>
      </c>
      <c r="Q105" s="3">
        <f ca="1">IF(A105&gt;MAX(OP!$R$17:$R$26),0,VLOOKUP(A105,fees,3,FALSE))</f>
        <v>0</v>
      </c>
      <c r="R105" s="200" t="str">
        <f t="shared" ca="1" si="57"/>
        <v/>
      </c>
      <c r="S105" s="9" t="str">
        <f ca="1">IF(COUNTIF(($T$4:T104),"F")&gt;=1,"",IF(OR(C106&lt;&gt;$C$3,E105=""),"",A105))</f>
        <v/>
      </c>
      <c r="T105" s="20" t="str">
        <f t="shared" ca="1" si="50"/>
        <v/>
      </c>
      <c r="U105" s="2">
        <f ca="1">IF(IF(OP!$C$83=1,$Z104,IF(OP!$C$83=2,$AA104,IF(OP!$C$83=3,$AB104,)))+$K105-$O105-$P105-$AS105&lt;OP!$C$142,0,$AS105)</f>
        <v>0</v>
      </c>
      <c r="V105" s="9"/>
      <c r="W105" s="19">
        <f ca="1">MAX(SUM($K$4:K105),0)</f>
        <v>2000000</v>
      </c>
      <c r="X105" s="19"/>
      <c r="Y105" s="19">
        <f t="shared" ca="1" si="78"/>
        <v>1920000</v>
      </c>
      <c r="Z105" s="2">
        <f ca="1">IF(MIN($Z$4:Z104)=0,0,MAX(0,($Z104+$K105-$O105-$P105)*IF(AND(F105="F",$D$3&lt;&gt;$G$3),((1+(-J105))^(H105/MIN(G105,365))),((1+(-J105))^(1/12)))-$U105))</f>
        <v>1241514.7215204425</v>
      </c>
      <c r="AA105" s="2">
        <f ca="1">IF(MIN($AA$4:AA104)=0,0,MAX(0,($AA104+$K105-$O105-$P105)*IF(AND(F105="F",$D$3&lt;&gt;$G$3),((1+$AA$1)^(H105/MIN(G105,365))),((1+$AA$1)^(1/12)))-$U105))</f>
        <v>1920000</v>
      </c>
      <c r="AB105" s="2">
        <f ca="1">IF(MIN($AB$4:AB104)=0,0,MAX(0,($AB104+$K105-$O105-$P105)*IF(AND(F105="F",$D$3&lt;&gt;$G$3),((1+(J105))^(H105/MIN(G105,365))),((1+(J105))^(1/12)))-$U105))</f>
        <v>2906767.332749872</v>
      </c>
      <c r="AC105" s="5"/>
      <c r="AD105" s="5"/>
      <c r="AE105" s="5"/>
      <c r="AF105" s="282">
        <f t="shared" ca="1" si="58"/>
        <v>1241515</v>
      </c>
      <c r="AG105" s="282">
        <f t="shared" ca="1" si="59"/>
        <v>1920000</v>
      </c>
      <c r="AH105" s="282">
        <f t="shared" ca="1" si="60"/>
        <v>2906767</v>
      </c>
      <c r="AI105" s="23" t="str">
        <f t="shared" ca="1" si="79"/>
        <v>9-7</v>
      </c>
      <c r="AJ105" s="282">
        <f ca="1">IF(E105&gt;111,,IF(AND(OP!$C$99=1,T105="F"),Z105,IF(AND(OP!$C$99=2,COUNTIF($T$4:T105,"F")=1),OP!$C$97+IF(F105="F",OP!$C$98,0),"")))</f>
        <v>54527</v>
      </c>
      <c r="AK105" s="282">
        <f ca="1">IF(E105&gt;111,,IF(AND(OP!$D$99=1,T105="F"),AA105,IF(AND(OP!$D$99=2,COUNTIF($T$4:T105,"F")=1),OP!$D$97+IF(F105="F",OP!$D$98,0),"")))</f>
        <v>74177</v>
      </c>
      <c r="AL105" s="282">
        <f ca="1">IF(E105&gt;111,,IF(AND(OP!$E$99=1,T105="F"),AB105,IF(AND(OP!$E$99=2,COUNTIF($T$4:T105,"F")=1),OP!$E$97+IF(F105="F",OP!$E$98,0),"")))</f>
        <v>99404</v>
      </c>
      <c r="AM105" s="1">
        <f t="shared" ca="1" si="61"/>
        <v>7</v>
      </c>
      <c r="AN105" s="1" t="str">
        <f ca="1">IF(OR(VLOOKUP($A105,MP,5,0)="月繳"),1,"")</f>
        <v/>
      </c>
      <c r="AO105" s="1">
        <f t="shared" ca="1" si="62"/>
        <v>0</v>
      </c>
      <c r="AP105" s="1" t="str">
        <f ca="1">IF(AND(A105&lt;=OP!$C$120,COUNTIF(PAY,C105)=1),1,"")</f>
        <v/>
      </c>
      <c r="AR105" s="301">
        <f ca="1">IF(繳費報酬率資料!$A$1=1,$AY105+$AZ105,$BF105+$BG105)</f>
        <v>0</v>
      </c>
      <c r="AS105" s="1">
        <f ca="1">IF(C105&lt;&gt;IF($C$3=1,12,$C$3-1),0,IF(繳費報酬率資料!$A$1&lt;&gt;1,VLOOKUP($A105,MP,8,0),IF(AND($A105&gt;=OP!$C$79,$A105&lt;=OP!$C$80),OP!$C$78,)))</f>
        <v>0</v>
      </c>
      <c r="AT105" s="298">
        <f t="shared" ca="1" si="63"/>
        <v>0</v>
      </c>
      <c r="AU105" s="298">
        <f ca="1">IF(AND(A105&lt;=OP!$C$120,COUNTIF(PAY,C105)=1),OP!$C$123,0)</f>
        <v>0</v>
      </c>
      <c r="AV105" s="298">
        <f ca="1">IF(AND(A105&gt;=OP!$C$132,A105&lt;=OP!$C$133,$C$3=C105),OP!$C$135,0)</f>
        <v>0</v>
      </c>
      <c r="AW105" s="180">
        <f t="shared" ca="1" si="64"/>
        <v>0.05</v>
      </c>
      <c r="AX105" s="180">
        <f t="shared" ca="1" si="65"/>
        <v>0.05</v>
      </c>
      <c r="AY105" s="286">
        <f t="shared" ca="1" si="66"/>
        <v>0</v>
      </c>
      <c r="AZ105" s="286">
        <f t="shared" ca="1" si="67"/>
        <v>0</v>
      </c>
      <c r="BA105" s="286">
        <f t="shared" ca="1" si="68"/>
        <v>0</v>
      </c>
      <c r="BB105" s="286">
        <f t="shared" ca="1" si="69"/>
        <v>0</v>
      </c>
      <c r="BC105" s="286">
        <f t="shared" ca="1" si="70"/>
        <v>0</v>
      </c>
      <c r="BD105" s="180">
        <f t="shared" ca="1" si="71"/>
        <v>0.05</v>
      </c>
      <c r="BE105" s="180">
        <f t="shared" ca="1" si="72"/>
        <v>0.05</v>
      </c>
      <c r="BF105" s="286">
        <f t="shared" ca="1" si="73"/>
        <v>0</v>
      </c>
      <c r="BG105" s="286">
        <f t="shared" ca="1" si="74"/>
        <v>0</v>
      </c>
    </row>
    <row r="106" spans="1:59">
      <c r="A106" s="1">
        <f t="shared" ca="1" si="52"/>
        <v>9</v>
      </c>
      <c r="B106" s="1">
        <f t="shared" ca="1" si="75"/>
        <v>114</v>
      </c>
      <c r="C106" s="1">
        <f t="shared" ca="1" si="76"/>
        <v>12</v>
      </c>
      <c r="D106" s="1">
        <f ca="1">MIN($D$3,VLOOKUP(C106,OP!$S$30:$T$41,2))</f>
        <v>2</v>
      </c>
      <c r="E106" s="1">
        <f t="shared" ca="1" si="53"/>
        <v>63</v>
      </c>
      <c r="F106" s="11" t="str">
        <f t="shared" ca="1" si="54"/>
        <v/>
      </c>
      <c r="G106" s="8">
        <f t="shared" ca="1" si="82"/>
        <v>365</v>
      </c>
      <c r="H106" s="8">
        <f t="shared" ca="1" si="55"/>
        <v>31</v>
      </c>
      <c r="I106" s="8" t="str">
        <f t="shared" ca="1" si="49"/>
        <v>912</v>
      </c>
      <c r="J106" s="13">
        <f>IF(繳費報酬率資料!$A$1=1,VALUE(OP!$C$121),VLOOKUP(A106,MP,2,0))</f>
        <v>0.05</v>
      </c>
      <c r="K106" s="14">
        <f ca="1">IF(SUM($K$4:K105,IF(繳費報酬率資料!$A$1=1,$AU106+$AV106,$BB106+$BC106))&gt;OP!$L$58,0,IF(繳費報酬率資料!$A$1=1,$AU106+$AV106,$BB106+$BC106))</f>
        <v>0</v>
      </c>
      <c r="L106" s="2"/>
      <c r="M106" s="2"/>
      <c r="N106" s="2"/>
      <c r="O106" s="261">
        <f t="shared" ca="1" si="56"/>
        <v>0</v>
      </c>
      <c r="P106" s="261">
        <f t="shared" ca="1" si="77"/>
        <v>0</v>
      </c>
      <c r="Q106" s="3">
        <f ca="1">IF(A106&gt;MAX(OP!$R$17:$R$26),0,VLOOKUP(A106,fees,3,FALSE))</f>
        <v>0</v>
      </c>
      <c r="R106" s="200" t="str">
        <f t="shared" ca="1" si="57"/>
        <v/>
      </c>
      <c r="S106" s="9" t="str">
        <f ca="1">IF(COUNTIF(($T$4:T105),"F")&gt;=1,"",IF(OR(C107&lt;&gt;$C$3,E106=""),"",A106))</f>
        <v/>
      </c>
      <c r="T106" s="20" t="str">
        <f t="shared" ca="1" si="50"/>
        <v/>
      </c>
      <c r="U106" s="2">
        <f ca="1">IF(IF(OP!$C$83=1,$Z105,IF(OP!$C$83=2,$AA105,IF(OP!$C$83=3,$AB105,)))+$K106-$O106-$P106-$AS106&lt;OP!$C$142,0,$AS106)</f>
        <v>0</v>
      </c>
      <c r="V106" s="9"/>
      <c r="W106" s="19">
        <f ca="1">MAX(SUM($K$4:K106),0)</f>
        <v>2000000</v>
      </c>
      <c r="X106" s="19"/>
      <c r="Y106" s="19">
        <f t="shared" ca="1" si="78"/>
        <v>1920000</v>
      </c>
      <c r="Z106" s="2">
        <f ca="1">IF(MIN($Z$4:Z105)=0,0,MAX(0,($Z105+$K106-$O106-$P106)*IF(AND(F106="F",$D$3&lt;&gt;$G$3),((1+(-J106))^(H106/MIN(G106,365))),((1+(-J106))^(1/12)))-$U106))</f>
        <v>1236219.2654661234</v>
      </c>
      <c r="AA106" s="2">
        <f ca="1">IF(MIN($AA$4:AA105)=0,0,MAX(0,($AA105+$K106-$O106-$P106)*IF(AND(F106="F",$D$3&lt;&gt;$G$3),((1+$AA$1)^(H106/MIN(G106,365))),((1+$AA$1)^(1/12)))-$U106))</f>
        <v>1920000</v>
      </c>
      <c r="AB106" s="2">
        <f ca="1">IF(MIN($AB$4:AB105)=0,0,MAX(0,($AB105+$K106-$O106-$P106)*IF(AND(F106="F",$D$3&lt;&gt;$G$3),((1+(J106))^(H106/MIN(G106,365))),((1+(J106))^(1/12)))-$U106))</f>
        <v>2918609.8626737604</v>
      </c>
      <c r="AC106" s="5"/>
      <c r="AD106" s="5"/>
      <c r="AE106" s="5"/>
      <c r="AF106" s="282">
        <f t="shared" ca="1" si="58"/>
        <v>1236219</v>
      </c>
      <c r="AG106" s="282">
        <f t="shared" ca="1" si="59"/>
        <v>1920000</v>
      </c>
      <c r="AH106" s="282">
        <f t="shared" ca="1" si="60"/>
        <v>2918610</v>
      </c>
      <c r="AI106" s="23" t="str">
        <f t="shared" ca="1" si="79"/>
        <v>9-8</v>
      </c>
      <c r="AJ106" s="282">
        <f ca="1">IF(E106&gt;111,,IF(AND(OP!$C$99=1,T106="F"),Z106,IF(AND(OP!$C$99=2,COUNTIF($T$4:T106,"F")=1),OP!$C$97+IF(F106="F",OP!$C$98,0),"")))</f>
        <v>54527</v>
      </c>
      <c r="AK106" s="282">
        <f ca="1">IF(E106&gt;111,,IF(AND(OP!$D$99=1,T106="F"),AA106,IF(AND(OP!$D$99=2,COUNTIF($T$4:T106,"F")=1),OP!$D$97+IF(F106="F",OP!$D$98,0),"")))</f>
        <v>74177</v>
      </c>
      <c r="AL106" s="282">
        <f ca="1">IF(E106&gt;111,,IF(AND(OP!$E$99=1,T106="F"),AB106,IF(AND(OP!$E$99=2,COUNTIF($T$4:T106,"F")=1),OP!$E$97+IF(F106="F",OP!$E$98,0),"")))</f>
        <v>99404</v>
      </c>
      <c r="AM106" s="1">
        <f t="shared" ca="1" si="61"/>
        <v>8</v>
      </c>
      <c r="AN106" s="1" t="str">
        <f ca="1">IF(OR(VLOOKUP($A106,MP,5,0)="半年繳",VLOOKUP($A106,MP,5,0)="季繳",VLOOKUP($A106,MP,5,0)="月繳"),1,"")</f>
        <v/>
      </c>
      <c r="AO106" s="1">
        <f t="shared" ca="1" si="62"/>
        <v>0</v>
      </c>
      <c r="AP106" s="1" t="str">
        <f ca="1">IF(AND(A106&lt;=OP!$C$120,COUNTIF(PAY,C106)=1),1,"")</f>
        <v/>
      </c>
      <c r="AR106" s="301">
        <f ca="1">IF(繳費報酬率資料!$A$1=1,$AY106+$AZ106,$BF106+$BG106)</f>
        <v>0</v>
      </c>
      <c r="AS106" s="1">
        <f ca="1">IF(C106&lt;&gt;IF($C$3=1,12,$C$3-1),0,IF(繳費報酬率資料!$A$1&lt;&gt;1,VLOOKUP($A106,MP,8,0),IF(AND($A106&gt;=OP!$C$79,$A106&lt;=OP!$C$80),OP!$C$78,)))</f>
        <v>0</v>
      </c>
      <c r="AT106" s="298">
        <f t="shared" ca="1" si="63"/>
        <v>0</v>
      </c>
      <c r="AU106" s="298">
        <f ca="1">IF(AND(A106&lt;=OP!$C$120,COUNTIF(PAY,C106)=1),OP!$C$123,0)</f>
        <v>0</v>
      </c>
      <c r="AV106" s="298">
        <f ca="1">IF(AND(A106&gt;=OP!$C$132,A106&lt;=OP!$C$133,$C$3=C106),OP!$C$135,0)</f>
        <v>0</v>
      </c>
      <c r="AW106" s="180">
        <f t="shared" ca="1" si="64"/>
        <v>0.05</v>
      </c>
      <c r="AX106" s="180">
        <f t="shared" ca="1" si="65"/>
        <v>0.05</v>
      </c>
      <c r="AY106" s="286">
        <f t="shared" ca="1" si="66"/>
        <v>0</v>
      </c>
      <c r="AZ106" s="286">
        <f t="shared" ca="1" si="67"/>
        <v>0</v>
      </c>
      <c r="BA106" s="286">
        <f t="shared" ca="1" si="68"/>
        <v>0</v>
      </c>
      <c r="BB106" s="286">
        <f t="shared" ca="1" si="69"/>
        <v>0</v>
      </c>
      <c r="BC106" s="286">
        <f t="shared" ca="1" si="70"/>
        <v>0</v>
      </c>
      <c r="BD106" s="180">
        <f t="shared" ca="1" si="71"/>
        <v>0.05</v>
      </c>
      <c r="BE106" s="180">
        <f t="shared" ca="1" si="72"/>
        <v>0.05</v>
      </c>
      <c r="BF106" s="286">
        <f t="shared" ca="1" si="73"/>
        <v>0</v>
      </c>
      <c r="BG106" s="286">
        <f t="shared" ca="1" si="74"/>
        <v>0</v>
      </c>
    </row>
    <row r="107" spans="1:59">
      <c r="A107" s="1">
        <f t="shared" ca="1" si="52"/>
        <v>9</v>
      </c>
      <c r="B107" s="1">
        <f t="shared" ca="1" si="75"/>
        <v>115</v>
      </c>
      <c r="C107" s="1">
        <f t="shared" ca="1" si="76"/>
        <v>1</v>
      </c>
      <c r="D107" s="1">
        <f ca="1">MIN($D$3,VLOOKUP(C107,OP!$S$30:$T$41,2))</f>
        <v>2</v>
      </c>
      <c r="E107" s="1">
        <f t="shared" ca="1" si="53"/>
        <v>63</v>
      </c>
      <c r="F107" s="11" t="str">
        <f t="shared" ca="1" si="54"/>
        <v/>
      </c>
      <c r="G107" s="8">
        <f t="shared" ca="1" si="82"/>
        <v>365</v>
      </c>
      <c r="H107" s="8">
        <f t="shared" ca="1" si="55"/>
        <v>31</v>
      </c>
      <c r="I107" s="8" t="str">
        <f t="shared" ca="1" si="49"/>
        <v>91</v>
      </c>
      <c r="J107" s="13">
        <f>IF(繳費報酬率資料!$A$1=1,VALUE(OP!$C$121),VLOOKUP(A107,MP,2,0))</f>
        <v>0.05</v>
      </c>
      <c r="K107" s="14">
        <f ca="1">IF(SUM($K$4:K106,IF(繳費報酬率資料!$A$1=1,$AU107+$AV107,$BB107+$BC107))&gt;OP!$L$58,0,IF(繳費報酬率資料!$A$1=1,$AU107+$AV107,$BB107+$BC107))</f>
        <v>0</v>
      </c>
      <c r="L107" s="2"/>
      <c r="M107" s="2"/>
      <c r="N107" s="2"/>
      <c r="O107" s="261">
        <f t="shared" ca="1" si="56"/>
        <v>0</v>
      </c>
      <c r="P107" s="261">
        <f t="shared" ca="1" si="77"/>
        <v>0</v>
      </c>
      <c r="Q107" s="3">
        <f ca="1">IF(A107&gt;MAX(OP!$R$17:$R$26),0,VLOOKUP(A107,fees,3,FALSE))</f>
        <v>0</v>
      </c>
      <c r="R107" s="200" t="str">
        <f t="shared" ca="1" si="57"/>
        <v/>
      </c>
      <c r="S107" s="9" t="str">
        <f ca="1">IF(COUNTIF(($T$4:T106),"F")&gt;=1,"",IF(OR(C108&lt;&gt;$C$3,E107=""),"",A107))</f>
        <v/>
      </c>
      <c r="T107" s="20" t="str">
        <f t="shared" ca="1" si="50"/>
        <v/>
      </c>
      <c r="U107" s="2">
        <f ca="1">IF(IF(OP!$C$83=1,$Z106,IF(OP!$C$83=2,$AA106,IF(OP!$C$83=3,$AB106,)))+$K107-$O107-$P107-$AS107&lt;OP!$C$142,0,$AS107)</f>
        <v>0</v>
      </c>
      <c r="V107" s="9"/>
      <c r="W107" s="19">
        <f ca="1">MAX(SUM($K$4:K107),0)</f>
        <v>2000000</v>
      </c>
      <c r="X107" s="19"/>
      <c r="Y107" s="19">
        <f t="shared" ca="1" si="78"/>
        <v>1920000</v>
      </c>
      <c r="Z107" s="2">
        <f ca="1">IF(MIN($Z$4:Z106)=0,0,MAX(0,($Z106+$K107-$O107-$P107)*IF(AND(F107="F",$D$3&lt;&gt;$G$3),((1+(-J107))^(H107/MIN(G107,365))),((1+(-J107))^(1/12)))-$U107))</f>
        <v>1230946.3962199485</v>
      </c>
      <c r="AA107" s="2">
        <f ca="1">IF(MIN($AA$4:AA106)=0,0,MAX(0,($AA106+$K107-$O107-$P107)*IF(AND(F107="F",$D$3&lt;&gt;$G$3),((1+$AA$1)^(H107/MIN(G107,365))),((1+$AA$1)^(1/12)))-$U107))</f>
        <v>1920000</v>
      </c>
      <c r="AB107" s="2">
        <f ca="1">IF(MIN($AB$4:AB106)=0,0,MAX(0,($AB106+$K107-$O107-$P107)*IF(AND(F107="F",$D$3&lt;&gt;$G$3),((1+(J107))^(H107/MIN(G107,365))),((1+(J107))^(1/12)))-$U107))</f>
        <v>2930500.6405304703</v>
      </c>
      <c r="AC107" s="5"/>
      <c r="AD107" s="5"/>
      <c r="AE107" s="5"/>
      <c r="AF107" s="282">
        <f t="shared" ca="1" si="58"/>
        <v>1230946</v>
      </c>
      <c r="AG107" s="282">
        <f t="shared" ca="1" si="59"/>
        <v>1920000</v>
      </c>
      <c r="AH107" s="282">
        <f t="shared" ca="1" si="60"/>
        <v>2930501</v>
      </c>
      <c r="AI107" s="23" t="str">
        <f t="shared" ca="1" si="79"/>
        <v>9-9</v>
      </c>
      <c r="AJ107" s="282">
        <f ca="1">IF(E107&gt;111,,IF(AND(OP!$C$99=1,T107="F"),Z107,IF(AND(OP!$C$99=2,COUNTIF($T$4:T107,"F")=1),OP!$C$97+IF(F107="F",OP!$C$98,0),"")))</f>
        <v>54527</v>
      </c>
      <c r="AK107" s="282">
        <f ca="1">IF(E107&gt;111,,IF(AND(OP!$D$99=1,T107="F"),AA107,IF(AND(OP!$D$99=2,COUNTIF($T$4:T107,"F")=1),OP!$D$97+IF(F107="F",OP!$D$98,0),"")))</f>
        <v>74177</v>
      </c>
      <c r="AL107" s="282">
        <f ca="1">IF(E107&gt;111,,IF(AND(OP!$E$99=1,T107="F"),AB107,IF(AND(OP!$E$99=2,COUNTIF($T$4:T107,"F")=1),OP!$E$97+IF(F107="F",OP!$E$98,0),"")))</f>
        <v>99404</v>
      </c>
      <c r="AM107" s="1">
        <f t="shared" ca="1" si="61"/>
        <v>9</v>
      </c>
      <c r="AN107" s="1" t="str">
        <f ca="1">IF(OR(VLOOKUP($A107,MP,5,0)="月繳"),1,"")</f>
        <v/>
      </c>
      <c r="AO107" s="1">
        <f t="shared" ca="1" si="62"/>
        <v>0</v>
      </c>
      <c r="AP107" s="1" t="str">
        <f ca="1">IF(AND(A107&lt;=OP!$C$120,COUNTIF(PAY,C107)=1),1,"")</f>
        <v/>
      </c>
      <c r="AR107" s="301">
        <f ca="1">IF(繳費報酬率資料!$A$1=1,$AY107+$AZ107,$BF107+$BG107)</f>
        <v>0</v>
      </c>
      <c r="AS107" s="1">
        <f ca="1">IF(C107&lt;&gt;IF($C$3=1,12,$C$3-1),0,IF(繳費報酬率資料!$A$1&lt;&gt;1,VLOOKUP($A107,MP,8,0),IF(AND($A107&gt;=OP!$C$79,$A107&lt;=OP!$C$80),OP!$C$78,)))</f>
        <v>0</v>
      </c>
      <c r="AT107" s="298">
        <f t="shared" ca="1" si="63"/>
        <v>0</v>
      </c>
      <c r="AU107" s="298">
        <f ca="1">IF(AND(A107&lt;=OP!$C$120,COUNTIF(PAY,C107)=1),OP!$C$123,0)</f>
        <v>0</v>
      </c>
      <c r="AV107" s="298">
        <f ca="1">IF(AND(A107&gt;=OP!$C$132,A107&lt;=OP!$C$133,$C$3=C107),OP!$C$135,0)</f>
        <v>0</v>
      </c>
      <c r="AW107" s="180">
        <f t="shared" ca="1" si="64"/>
        <v>0.05</v>
      </c>
      <c r="AX107" s="180">
        <f t="shared" ca="1" si="65"/>
        <v>0.05</v>
      </c>
      <c r="AY107" s="286">
        <f t="shared" ca="1" si="66"/>
        <v>0</v>
      </c>
      <c r="AZ107" s="286">
        <f t="shared" ca="1" si="67"/>
        <v>0</v>
      </c>
      <c r="BA107" s="286">
        <f t="shared" ca="1" si="68"/>
        <v>0</v>
      </c>
      <c r="BB107" s="286">
        <f t="shared" ca="1" si="69"/>
        <v>0</v>
      </c>
      <c r="BC107" s="286">
        <f t="shared" ca="1" si="70"/>
        <v>0</v>
      </c>
      <c r="BD107" s="180">
        <f t="shared" ca="1" si="71"/>
        <v>0.05</v>
      </c>
      <c r="BE107" s="180">
        <f t="shared" ca="1" si="72"/>
        <v>0.05</v>
      </c>
      <c r="BF107" s="286">
        <f t="shared" ca="1" si="73"/>
        <v>0</v>
      </c>
      <c r="BG107" s="286">
        <f t="shared" ca="1" si="74"/>
        <v>0</v>
      </c>
    </row>
    <row r="108" spans="1:59">
      <c r="A108" s="1">
        <f t="shared" ca="1" si="52"/>
        <v>9</v>
      </c>
      <c r="B108" s="1">
        <f t="shared" ca="1" si="75"/>
        <v>115</v>
      </c>
      <c r="C108" s="1">
        <f t="shared" ca="1" si="76"/>
        <v>2</v>
      </c>
      <c r="D108" s="1">
        <f ca="1">MIN($D$3,VLOOKUP(C108,OP!$S$30:$T$41,2))</f>
        <v>2</v>
      </c>
      <c r="E108" s="1">
        <f t="shared" ca="1" si="53"/>
        <v>63</v>
      </c>
      <c r="F108" s="11" t="str">
        <f t="shared" ca="1" si="54"/>
        <v/>
      </c>
      <c r="G108" s="8">
        <f t="shared" ca="1" si="82"/>
        <v>365</v>
      </c>
      <c r="H108" s="8">
        <f t="shared" ca="1" si="55"/>
        <v>28</v>
      </c>
      <c r="I108" s="8" t="str">
        <f t="shared" ca="1" si="49"/>
        <v>92</v>
      </c>
      <c r="J108" s="13">
        <f>IF(繳費報酬率資料!$A$1=1,VALUE(OP!$C$121),VLOOKUP(A108,MP,2,0))</f>
        <v>0.05</v>
      </c>
      <c r="K108" s="14">
        <f ca="1">IF(SUM($K$4:K107,IF(繳費報酬率資料!$A$1=1,$AU108+$AV108,$BB108+$BC108))&gt;OP!$L$58,0,IF(繳費報酬率資料!$A$1=1,$AU108+$AV108,$BB108+$BC108))</f>
        <v>0</v>
      </c>
      <c r="L108" s="2"/>
      <c r="M108" s="2"/>
      <c r="N108" s="2"/>
      <c r="O108" s="261">
        <f t="shared" ca="1" si="56"/>
        <v>0</v>
      </c>
      <c r="P108" s="261">
        <f t="shared" ca="1" si="77"/>
        <v>0</v>
      </c>
      <c r="Q108" s="3">
        <f ca="1">IF(A108&gt;MAX(OP!$R$17:$R$26),0,VLOOKUP(A108,fees,3,FALSE))</f>
        <v>0</v>
      </c>
      <c r="R108" s="200" t="str">
        <f t="shared" ca="1" si="57"/>
        <v/>
      </c>
      <c r="S108" s="9" t="str">
        <f ca="1">IF(COUNTIF(($T$4:T107),"F")&gt;=1,"",IF(OR(C109&lt;&gt;$C$3,E108=""),"",A108))</f>
        <v/>
      </c>
      <c r="T108" s="20" t="str">
        <f t="shared" ca="1" si="50"/>
        <v/>
      </c>
      <c r="U108" s="2">
        <f ca="1">IF(IF(OP!$C$83=1,$Z107,IF(OP!$C$83=2,$AA107,IF(OP!$C$83=3,$AB107,)))+$K108-$O108-$P108-$AS108&lt;OP!$C$142,0,$AS108)</f>
        <v>0</v>
      </c>
      <c r="V108" s="9"/>
      <c r="W108" s="19">
        <f ca="1">MAX(SUM($K$4:K108),0)</f>
        <v>2000000</v>
      </c>
      <c r="X108" s="19"/>
      <c r="Y108" s="19">
        <f t="shared" ca="1" si="78"/>
        <v>1920000</v>
      </c>
      <c r="Z108" s="2">
        <f ca="1">IF(MIN($Z$4:Z107)=0,0,MAX(0,($Z107+$K108-$O108-$P108)*IF(AND(F108="F",$D$3&lt;&gt;$G$3),((1+(-J108))^(H108/MIN(G108,365))),((1+(-J108))^(1/12)))-$U108))</f>
        <v>1225696.017441981</v>
      </c>
      <c r="AA108" s="2">
        <f ca="1">IF(MIN($AA$4:AA107)=0,0,MAX(0,($AA107+$K108-$O108-$P108)*IF(AND(F108="F",$D$3&lt;&gt;$G$3),((1+$AA$1)^(H108/MIN(G108,365))),((1+$AA$1)^(1/12)))-$U108))</f>
        <v>1920000</v>
      </c>
      <c r="AB108" s="2">
        <f ca="1">IF(MIN($AB$4:AB107)=0,0,MAX(0,($AB107+$K108-$O108-$P108)*IF(AND(F108="F",$D$3&lt;&gt;$G$3),((1+(J108))^(H108/MIN(G108,365))),((1+(J108))^(1/12)))-$U108))</f>
        <v>2942439.8628880521</v>
      </c>
      <c r="AC108" s="5"/>
      <c r="AD108" s="5"/>
      <c r="AE108" s="5"/>
      <c r="AF108" s="282">
        <f t="shared" ca="1" si="58"/>
        <v>1225696</v>
      </c>
      <c r="AG108" s="282">
        <f t="shared" ca="1" si="59"/>
        <v>1920000</v>
      </c>
      <c r="AH108" s="282">
        <f t="shared" ca="1" si="60"/>
        <v>2942440</v>
      </c>
      <c r="AI108" s="23" t="str">
        <f t="shared" ca="1" si="79"/>
        <v>9-10</v>
      </c>
      <c r="AJ108" s="282">
        <f ca="1">IF(E108&gt;111,,IF(AND(OP!$C$99=1,T108="F"),Z108,IF(AND(OP!$C$99=2,COUNTIF($T$4:T108,"F")=1),OP!$C$97+IF(F108="F",OP!$C$98,0),"")))</f>
        <v>54527</v>
      </c>
      <c r="AK108" s="282">
        <f ca="1">IF(E108&gt;111,,IF(AND(OP!$D$99=1,T108="F"),AA108,IF(AND(OP!$D$99=2,COUNTIF($T$4:T108,"F")=1),OP!$D$97+IF(F108="F",OP!$D$98,0),"")))</f>
        <v>74177</v>
      </c>
      <c r="AL108" s="282">
        <f ca="1">IF(E108&gt;111,,IF(AND(OP!$E$99=1,T108="F"),AB108,IF(AND(OP!$E$99=2,COUNTIF($T$4:T108,"F")=1),OP!$E$97+IF(F108="F",OP!$E$98,0),"")))</f>
        <v>99404</v>
      </c>
      <c r="AM108" s="1">
        <f t="shared" ca="1" si="61"/>
        <v>10</v>
      </c>
      <c r="AN108" s="1" t="str">
        <f ca="1">IF(OR(VLOOKUP($A108,MP,5,0)="月繳"),1,"")</f>
        <v/>
      </c>
      <c r="AO108" s="1">
        <f t="shared" ca="1" si="62"/>
        <v>0</v>
      </c>
      <c r="AP108" s="1" t="str">
        <f ca="1">IF(AND(A108&lt;=OP!$C$120,COUNTIF(PAY,C108)=1),1,"")</f>
        <v/>
      </c>
      <c r="AR108" s="301">
        <f ca="1">IF(繳費報酬率資料!$A$1=1,$AY108+$AZ108,$BF108+$BG108)</f>
        <v>0</v>
      </c>
      <c r="AS108" s="1">
        <f ca="1">IF(C108&lt;&gt;IF($C$3=1,12,$C$3-1),0,IF(繳費報酬率資料!$A$1&lt;&gt;1,VLOOKUP($A108,MP,8,0),IF(AND($A108&gt;=OP!$C$79,$A108&lt;=OP!$C$80),OP!$C$78,)))</f>
        <v>0</v>
      </c>
      <c r="AT108" s="298">
        <f t="shared" ca="1" si="63"/>
        <v>0</v>
      </c>
      <c r="AU108" s="298">
        <f ca="1">IF(AND(A108&lt;=OP!$C$120,COUNTIF(PAY,C108)=1),OP!$C$123,0)</f>
        <v>0</v>
      </c>
      <c r="AV108" s="298">
        <f ca="1">IF(AND(A108&gt;=OP!$C$132,A108&lt;=OP!$C$133,$C$3=C108),OP!$C$135,0)</f>
        <v>0</v>
      </c>
      <c r="AW108" s="180">
        <f t="shared" ca="1" si="64"/>
        <v>0.05</v>
      </c>
      <c r="AX108" s="180">
        <f t="shared" ca="1" si="65"/>
        <v>0.05</v>
      </c>
      <c r="AY108" s="286">
        <f t="shared" ca="1" si="66"/>
        <v>0</v>
      </c>
      <c r="AZ108" s="286">
        <f t="shared" ca="1" si="67"/>
        <v>0</v>
      </c>
      <c r="BA108" s="286">
        <f t="shared" ca="1" si="68"/>
        <v>0</v>
      </c>
      <c r="BB108" s="286">
        <f t="shared" ca="1" si="69"/>
        <v>0</v>
      </c>
      <c r="BC108" s="286">
        <f t="shared" ca="1" si="70"/>
        <v>0</v>
      </c>
      <c r="BD108" s="180">
        <f t="shared" ca="1" si="71"/>
        <v>0.05</v>
      </c>
      <c r="BE108" s="180">
        <f t="shared" ca="1" si="72"/>
        <v>0.05</v>
      </c>
      <c r="BF108" s="286">
        <f t="shared" ca="1" si="73"/>
        <v>0</v>
      </c>
      <c r="BG108" s="286">
        <f t="shared" ca="1" si="74"/>
        <v>0</v>
      </c>
    </row>
    <row r="109" spans="1:59">
      <c r="A109" s="1">
        <f t="shared" ca="1" si="52"/>
        <v>9</v>
      </c>
      <c r="B109" s="1">
        <f t="shared" ca="1" si="75"/>
        <v>115</v>
      </c>
      <c r="C109" s="1">
        <f t="shared" ca="1" si="76"/>
        <v>3</v>
      </c>
      <c r="D109" s="1">
        <f ca="1">MIN($D$3,VLOOKUP(C109,OP!$S$30:$T$41,2))</f>
        <v>2</v>
      </c>
      <c r="E109" s="1">
        <f t="shared" ca="1" si="53"/>
        <v>63</v>
      </c>
      <c r="F109" s="11" t="str">
        <f t="shared" ca="1" si="54"/>
        <v/>
      </c>
      <c r="G109" s="8">
        <f t="shared" ca="1" si="82"/>
        <v>365</v>
      </c>
      <c r="H109" s="8">
        <f t="shared" ca="1" si="55"/>
        <v>31</v>
      </c>
      <c r="I109" s="8" t="str">
        <f t="shared" ca="1" si="49"/>
        <v>93</v>
      </c>
      <c r="J109" s="13">
        <f>IF(繳費報酬率資料!$A$1=1,VALUE(OP!$C$121),VLOOKUP(A109,MP,2,0))</f>
        <v>0.05</v>
      </c>
      <c r="K109" s="14">
        <f ca="1">IF(SUM($K$4:K108,IF(繳費報酬率資料!$A$1=1,$AU109+$AV109,$BB109+$BC109))&gt;OP!$L$58,0,IF(繳費報酬率資料!$A$1=1,$AU109+$AV109,$BB109+$BC109))</f>
        <v>0</v>
      </c>
      <c r="L109" s="2"/>
      <c r="M109" s="2"/>
      <c r="N109" s="2"/>
      <c r="O109" s="261">
        <f t="shared" ca="1" si="56"/>
        <v>0</v>
      </c>
      <c r="P109" s="261">
        <f t="shared" ca="1" si="77"/>
        <v>0</v>
      </c>
      <c r="Q109" s="3">
        <f ca="1">IF(A109&gt;MAX(OP!$R$17:$R$26),0,VLOOKUP(A109,fees,3,FALSE))</f>
        <v>0</v>
      </c>
      <c r="R109" s="200" t="str">
        <f t="shared" ca="1" si="57"/>
        <v/>
      </c>
      <c r="S109" s="9" t="str">
        <f ca="1">IF(COUNTIF(($T$4:T108),"F")&gt;=1,"",IF(OR(C110&lt;&gt;$C$3,E109=""),"",A109))</f>
        <v/>
      </c>
      <c r="T109" s="20" t="str">
        <f t="shared" ca="1" si="50"/>
        <v/>
      </c>
      <c r="U109" s="2">
        <f ca="1">IF(IF(OP!$C$83=1,$Z108,IF(OP!$C$83=2,$AA108,IF(OP!$C$83=3,$AB108,)))+$K109-$O109-$P109-$AS109&lt;OP!$C$142,0,$AS109)</f>
        <v>0</v>
      </c>
      <c r="V109" s="9"/>
      <c r="W109" s="19">
        <f ca="1">MAX(SUM($K$4:K109),0)</f>
        <v>2000000</v>
      </c>
      <c r="X109" s="19"/>
      <c r="Y109" s="19">
        <f t="shared" ca="1" si="78"/>
        <v>1920000</v>
      </c>
      <c r="Z109" s="2">
        <f ca="1">IF(MIN($Z$4:Z108)=0,0,MAX(0,($Z108+$K109-$O109-$P109)*IF(AND(F109="F",$D$3&lt;&gt;$G$3),((1+(-J109))^(H109/MIN(G109,365))),((1+(-J109))^(1/12)))-$U109))</f>
        <v>1220468.0332032044</v>
      </c>
      <c r="AA109" s="2">
        <f ca="1">IF(MIN($AA$4:AA108)=0,0,MAX(0,($AA108+$K109-$O109-$P109)*IF(AND(F109="F",$D$3&lt;&gt;$G$3),((1+$AA$1)^(H109/MIN(G109,365))),((1+$AA$1)^(1/12)))-$U109))</f>
        <v>1920000</v>
      </c>
      <c r="AB109" s="2">
        <f ca="1">IF(MIN($AB$4:AB108)=0,0,MAX(0,($AB108+$K109-$O109-$P109)*IF(AND(F109="F",$D$3&lt;&gt;$G$3),((1+(J109))^(H109/MIN(G109,365))),((1+(J109))^(1/12)))-$U109))</f>
        <v>2954427.7271153992</v>
      </c>
      <c r="AC109" s="5"/>
      <c r="AD109" s="5"/>
      <c r="AE109" s="5"/>
      <c r="AF109" s="282">
        <f t="shared" ca="1" si="58"/>
        <v>1220468</v>
      </c>
      <c r="AG109" s="282">
        <f t="shared" ca="1" si="59"/>
        <v>1920000</v>
      </c>
      <c r="AH109" s="282">
        <f t="shared" ca="1" si="60"/>
        <v>2954428</v>
      </c>
      <c r="AI109" s="23" t="str">
        <f t="shared" ca="1" si="79"/>
        <v>9-11</v>
      </c>
      <c r="AJ109" s="282">
        <f ca="1">IF(E109&gt;111,,IF(AND(OP!$C$99=1,T109="F"),Z109,IF(AND(OP!$C$99=2,COUNTIF($T$4:T109,"F")=1),OP!$C$97+IF(F109="F",OP!$C$98,0),"")))</f>
        <v>54527</v>
      </c>
      <c r="AK109" s="282">
        <f ca="1">IF(E109&gt;111,,IF(AND(OP!$D$99=1,T109="F"),AA109,IF(AND(OP!$D$99=2,COUNTIF($T$4:T109,"F")=1),OP!$D$97+IF(F109="F",OP!$D$98,0),"")))</f>
        <v>74177</v>
      </c>
      <c r="AL109" s="282">
        <f ca="1">IF(E109&gt;111,,IF(AND(OP!$E$99=1,T109="F"),AB109,IF(AND(OP!$E$99=2,COUNTIF($T$4:T109,"F")=1),OP!$E$97+IF(F109="F",OP!$E$98,0),"")))</f>
        <v>99404</v>
      </c>
      <c r="AM109" s="1">
        <f t="shared" ca="1" si="61"/>
        <v>11</v>
      </c>
      <c r="AN109" s="1" t="str">
        <f ca="1">IF(OR(VLOOKUP($A109,MP,5,0)="季繳",VLOOKUP($A109,MP,5,0)="月繳"),1,"")</f>
        <v/>
      </c>
      <c r="AO109" s="1">
        <f t="shared" ca="1" si="62"/>
        <v>0</v>
      </c>
      <c r="AP109" s="1" t="str">
        <f ca="1">IF(AND(A109&lt;=OP!$C$120,COUNTIF(PAY,C109)=1),1,"")</f>
        <v/>
      </c>
      <c r="AR109" s="301">
        <f ca="1">IF(繳費報酬率資料!$A$1=1,$AY109+$AZ109,$BF109+$BG109)</f>
        <v>0</v>
      </c>
      <c r="AS109" s="1">
        <f ca="1">IF(C109&lt;&gt;IF($C$3=1,12,$C$3-1),0,IF(繳費報酬率資料!$A$1&lt;&gt;1,VLOOKUP($A109,MP,8,0),IF(AND($A109&gt;=OP!$C$79,$A109&lt;=OP!$C$80),OP!$C$78,)))</f>
        <v>0</v>
      </c>
      <c r="AT109" s="298">
        <f t="shared" ca="1" si="63"/>
        <v>0</v>
      </c>
      <c r="AU109" s="298">
        <f ca="1">IF(AND(A109&lt;=OP!$C$120,COUNTIF(PAY,C109)=1),OP!$C$123,0)</f>
        <v>0</v>
      </c>
      <c r="AV109" s="298">
        <f ca="1">IF(AND(A109&gt;=OP!$C$132,A109&lt;=OP!$C$133,$C$3=C109),OP!$C$135,0)</f>
        <v>0</v>
      </c>
      <c r="AW109" s="180">
        <f t="shared" ca="1" si="64"/>
        <v>0.05</v>
      </c>
      <c r="AX109" s="180">
        <f t="shared" ca="1" si="65"/>
        <v>0.05</v>
      </c>
      <c r="AY109" s="286">
        <f t="shared" ca="1" si="66"/>
        <v>0</v>
      </c>
      <c r="AZ109" s="286">
        <f t="shared" ca="1" si="67"/>
        <v>0</v>
      </c>
      <c r="BA109" s="286">
        <f t="shared" ca="1" si="68"/>
        <v>0</v>
      </c>
      <c r="BB109" s="286">
        <f t="shared" ca="1" si="69"/>
        <v>0</v>
      </c>
      <c r="BC109" s="286">
        <f t="shared" ca="1" si="70"/>
        <v>0</v>
      </c>
      <c r="BD109" s="180">
        <f t="shared" ca="1" si="71"/>
        <v>0.05</v>
      </c>
      <c r="BE109" s="180">
        <f t="shared" ca="1" si="72"/>
        <v>0.05</v>
      </c>
      <c r="BF109" s="286">
        <f t="shared" ca="1" si="73"/>
        <v>0</v>
      </c>
      <c r="BG109" s="286">
        <f t="shared" ca="1" si="74"/>
        <v>0</v>
      </c>
    </row>
    <row r="110" spans="1:59">
      <c r="A110" s="1">
        <f t="shared" ca="1" si="52"/>
        <v>9</v>
      </c>
      <c r="B110" s="1">
        <f t="shared" ca="1" si="75"/>
        <v>115</v>
      </c>
      <c r="C110" s="1">
        <f t="shared" ca="1" si="76"/>
        <v>4</v>
      </c>
      <c r="D110" s="1">
        <f ca="1">MIN($D$3,VLOOKUP(C110,OP!$S$30:$T$41,2))</f>
        <v>2</v>
      </c>
      <c r="E110" s="1">
        <f t="shared" ca="1" si="53"/>
        <v>63</v>
      </c>
      <c r="F110" s="11" t="str">
        <f t="shared" ca="1" si="54"/>
        <v/>
      </c>
      <c r="G110" s="8">
        <f t="shared" ca="1" si="82"/>
        <v>365</v>
      </c>
      <c r="H110" s="8">
        <f t="shared" ca="1" si="55"/>
        <v>30</v>
      </c>
      <c r="I110" s="8" t="str">
        <f t="shared" ca="1" si="49"/>
        <v>94</v>
      </c>
      <c r="J110" s="13">
        <f>IF(繳費報酬率資料!$A$1=1,VALUE(OP!$C$121),VLOOKUP(A110,MP,2,0))</f>
        <v>0.05</v>
      </c>
      <c r="K110" s="14">
        <f ca="1">IF(SUM($K$4:K109,IF(繳費報酬率資料!$A$1=1,$AU110+$AV110,$BB110+$BC110))&gt;OP!$L$58,0,IF(繳費報酬率資料!$A$1=1,$AU110+$AV110,$BB110+$BC110))</f>
        <v>0</v>
      </c>
      <c r="L110" s="2"/>
      <c r="M110" s="2"/>
      <c r="N110" s="2"/>
      <c r="O110" s="261">
        <f t="shared" ca="1" si="56"/>
        <v>0</v>
      </c>
      <c r="P110" s="261">
        <f t="shared" ca="1" si="77"/>
        <v>0</v>
      </c>
      <c r="Q110" s="3">
        <f ca="1">IF(A110&gt;MAX(OP!$R$17:$R$26),0,VLOOKUP(A110,fees,3,FALSE))</f>
        <v>0</v>
      </c>
      <c r="R110" s="200" t="str">
        <f t="shared" ca="1" si="57"/>
        <v/>
      </c>
      <c r="S110" s="9" t="str">
        <f ca="1">IF(COUNTIF(($T$4:T109),"F")&gt;=1,"",IF(OR(C111&lt;&gt;$C$3,E110=""),"",A110))</f>
        <v/>
      </c>
      <c r="T110" s="20" t="str">
        <f t="shared" ca="1" si="50"/>
        <v/>
      </c>
      <c r="U110" s="2">
        <f ca="1">IF(IF(OP!$C$83=1,$Z109,IF(OP!$C$83=2,$AA109,IF(OP!$C$83=3,$AB109,)))+$K110-$O110-$P110-$AS110&lt;OP!$C$142,0,$AS110)</f>
        <v>0</v>
      </c>
      <c r="V110" s="9"/>
      <c r="W110" s="19">
        <f ca="1">MAX(SUM($K$4:K110),0)</f>
        <v>2000000</v>
      </c>
      <c r="X110" s="19"/>
      <c r="Y110" s="19">
        <f t="shared" ca="1" si="78"/>
        <v>1920000</v>
      </c>
      <c r="Z110" s="2">
        <f ca="1">IF(MIN($Z$4:Z109)=0,0,MAX(0,($Z109+$K110-$O110-$P110)*IF(AND(F110="F",$D$3&lt;&gt;$G$3),((1+(-J110))^(H110/MIN(G110,365))),((1+(-J110))^(1/12)))-$U110))</f>
        <v>1215262.3479837703</v>
      </c>
      <c r="AA110" s="2">
        <f ca="1">IF(MIN($AA$4:AA109)=0,0,MAX(0,($AA109+$K110-$O110-$P110)*IF(AND(F110="F",$D$3&lt;&gt;$G$3),((1+$AA$1)^(H110/MIN(G110,365))),((1+$AA$1)^(1/12)))-$U110))</f>
        <v>1920000</v>
      </c>
      <c r="AB110" s="2">
        <f ca="1">IF(MIN($AB$4:AB109)=0,0,MAX(0,($AB109+$K110-$O110-$P110)*IF(AND(F110="F",$D$3&lt;&gt;$G$3),((1+(J110))^(H110/MIN(G110,365))),((1+(J110))^(1/12)))-$U110))</f>
        <v>2966464.4313855101</v>
      </c>
      <c r="AC110" s="5"/>
      <c r="AD110" s="5"/>
      <c r="AE110" s="5"/>
      <c r="AF110" s="282">
        <f t="shared" ca="1" si="58"/>
        <v>1215262</v>
      </c>
      <c r="AG110" s="282">
        <f t="shared" ca="1" si="59"/>
        <v>1920000</v>
      </c>
      <c r="AH110" s="282">
        <f t="shared" ca="1" si="60"/>
        <v>2966464</v>
      </c>
      <c r="AI110" s="23" t="str">
        <f t="shared" ca="1" si="79"/>
        <v>9-12</v>
      </c>
      <c r="AJ110" s="282">
        <f ca="1">IF(E110&gt;111,,IF(AND(OP!$C$99=1,T110="F"),Z110,IF(AND(OP!$C$99=2,COUNTIF($T$4:T110,"F")=1),OP!$C$97+IF(F110="F",OP!$C$98,0),"")))</f>
        <v>54527</v>
      </c>
      <c r="AK110" s="282">
        <f ca="1">IF(E110&gt;111,,IF(AND(OP!$D$99=1,T110="F"),AA110,IF(AND(OP!$D$99=2,COUNTIF($T$4:T110,"F")=1),OP!$D$97+IF(F110="F",OP!$D$98,0),"")))</f>
        <v>74177</v>
      </c>
      <c r="AL110" s="282">
        <f ca="1">IF(E110&gt;111,,IF(AND(OP!$E$99=1,T110="F"),AB110,IF(AND(OP!$E$99=2,COUNTIF($T$4:T110,"F")=1),OP!$E$97+IF(F110="F",OP!$E$98,0),"")))</f>
        <v>99404</v>
      </c>
      <c r="AM110" s="1">
        <f t="shared" ca="1" si="61"/>
        <v>12</v>
      </c>
      <c r="AN110" s="1" t="str">
        <f ca="1">IF(OR(VLOOKUP($A110,MP,5,0)="月繳"),1,"")</f>
        <v/>
      </c>
      <c r="AO110" s="1">
        <f t="shared" ca="1" si="62"/>
        <v>0</v>
      </c>
      <c r="AP110" s="1" t="str">
        <f ca="1">IF(AND(A110&lt;=OP!$C$120,COUNTIF(PAY,C110)=1),1,"")</f>
        <v/>
      </c>
      <c r="AR110" s="301">
        <f ca="1">IF(繳費報酬率資料!$A$1=1,$AY110+$AZ110,$BF110+$BG110)</f>
        <v>0</v>
      </c>
      <c r="AS110" s="1">
        <f ca="1">IF(C110&lt;&gt;IF($C$3=1,12,$C$3-1),0,IF(繳費報酬率資料!$A$1&lt;&gt;1,VLOOKUP($A110,MP,8,0),IF(AND($A110&gt;=OP!$C$79,$A110&lt;=OP!$C$80),OP!$C$78,)))</f>
        <v>0</v>
      </c>
      <c r="AT110" s="298">
        <f t="shared" ca="1" si="63"/>
        <v>0</v>
      </c>
      <c r="AU110" s="298">
        <f ca="1">IF(AND(A110&lt;=OP!$C$120,COUNTIF(PAY,C110)=1),OP!$C$123,0)</f>
        <v>0</v>
      </c>
      <c r="AV110" s="298">
        <f ca="1">IF(AND(A110&gt;=OP!$C$132,A110&lt;=OP!$C$133,$C$3=C110),OP!$C$135,0)</f>
        <v>0</v>
      </c>
      <c r="AW110" s="180">
        <f t="shared" ca="1" si="64"/>
        <v>0.05</v>
      </c>
      <c r="AX110" s="180">
        <f t="shared" ca="1" si="65"/>
        <v>0.05</v>
      </c>
      <c r="AY110" s="286">
        <f t="shared" ca="1" si="66"/>
        <v>0</v>
      </c>
      <c r="AZ110" s="286">
        <f t="shared" ca="1" si="67"/>
        <v>0</v>
      </c>
      <c r="BA110" s="286">
        <f t="shared" ca="1" si="68"/>
        <v>0</v>
      </c>
      <c r="BB110" s="286">
        <f t="shared" ca="1" si="69"/>
        <v>0</v>
      </c>
      <c r="BC110" s="286">
        <f t="shared" ca="1" si="70"/>
        <v>0</v>
      </c>
      <c r="BD110" s="180">
        <f t="shared" ca="1" si="71"/>
        <v>0.05</v>
      </c>
      <c r="BE110" s="180">
        <f t="shared" ca="1" si="72"/>
        <v>0.05</v>
      </c>
      <c r="BF110" s="286">
        <f t="shared" ca="1" si="73"/>
        <v>0</v>
      </c>
      <c r="BG110" s="286">
        <f t="shared" ca="1" si="74"/>
        <v>0</v>
      </c>
    </row>
    <row r="111" spans="1:59">
      <c r="A111" s="1">
        <f t="shared" ca="1" si="52"/>
        <v>9</v>
      </c>
      <c r="B111" s="1">
        <f t="shared" ca="1" si="75"/>
        <v>115</v>
      </c>
      <c r="C111" s="1">
        <f t="shared" ca="1" si="76"/>
        <v>5</v>
      </c>
      <c r="D111" s="1">
        <f ca="1">MIN($D$3,VLOOKUP(C111,OP!$S$30:$T$41,2))</f>
        <v>2</v>
      </c>
      <c r="E111" s="1">
        <f t="shared" ca="1" si="53"/>
        <v>63</v>
      </c>
      <c r="F111" s="11" t="str">
        <f t="shared" ca="1" si="54"/>
        <v/>
      </c>
      <c r="G111" s="8">
        <f t="shared" ca="1" si="82"/>
        <v>365</v>
      </c>
      <c r="H111" s="8">
        <f t="shared" ca="1" si="55"/>
        <v>31</v>
      </c>
      <c r="I111" s="8" t="str">
        <f t="shared" ca="1" si="49"/>
        <v>95</v>
      </c>
      <c r="J111" s="13">
        <f>IF(繳費報酬率資料!$A$1=1,VALUE(OP!$C$121),VLOOKUP(A111,MP,2,0))</f>
        <v>0.05</v>
      </c>
      <c r="K111" s="14">
        <f ca="1">IF(SUM($K$4:K110,IF(繳費報酬率資料!$A$1=1,$AU111+$AV111,$BB111+$BC111))&gt;OP!$L$58,0,IF(繳費報酬率資料!$A$1=1,$AU111+$AV111,$BB111+$BC111))</f>
        <v>0</v>
      </c>
      <c r="L111" s="2">
        <f ca="1">ROUND(IF(OP!$C$78&lt;(IF(OR($T111="F",$E111&gt;=111),0,Z110+$K111-$O111+IF($C$1=1,OP!$C$78,IF($C112=$C$3,SUM(AC100:AC111,0)))))*5%,0,(OP!$C$78-((IF(OR($T111="F",$E111&gt;=111),0,Z110+$K111-$O111+IF($C$1=1,AC111,IF($C112=$C$3,SUM(AC100:AC111,0)))))*5%))*$Q111),0)</f>
        <v>0</v>
      </c>
      <c r="M111" s="2">
        <f ca="1">ROUND(IF(OP!$C$78&lt;(IF(OR($T111="F",$E111&gt;=111),0,AA110+$K111-$O111+IF($C$1=1,AD111,IF($C112=$C$3,SUM(AD100:AD111,0)))))*5%,0,(OP!$C$78-((IF(OR($T111="F",$E111&gt;=111),0,AA110+$K111-$O111+IF($C$1=1,AD111,IF($C112=$C$3,SUM(AD100:AD111,0)))))*5%))*$Q111),0)</f>
        <v>0</v>
      </c>
      <c r="N111" s="2">
        <f ca="1">ROUND(IF(OP!$C$78&lt;(IF(OR($T111="F",$E111&gt;=111),0,AB110+$K111-$O111+IF($C$1=1,AE111,IF($C112=$C$3,SUM(AE100:AE111,0)))))*5%,0,(OP!$C$78-((IF(OR($T111="F",$E111&gt;=111),0,AB110+$K111-$O111+IF($C$1=1,AE111,IF($C112=$C$3,SUM(AE100:AE111,0)))))*5%))*$Q111),0)</f>
        <v>0</v>
      </c>
      <c r="O111" s="261">
        <f t="shared" ca="1" si="56"/>
        <v>0</v>
      </c>
      <c r="P111" s="261">
        <f t="shared" ca="1" si="77"/>
        <v>0</v>
      </c>
      <c r="Q111" s="3">
        <f ca="1">IF(A111&gt;MAX(OP!$R$17:$R$26),0,VLOOKUP(A111,fees,3,FALSE))</f>
        <v>0</v>
      </c>
      <c r="R111" s="200">
        <f t="shared" ca="1" si="57"/>
        <v>9</v>
      </c>
      <c r="S111" s="9" t="str">
        <f ca="1">IF(COUNTIF(($T$4:T110),"F")&gt;=1,"",IF(OR(C112&lt;&gt;$C$3,E111=""),"",A111))</f>
        <v/>
      </c>
      <c r="T111" s="20" t="str">
        <f t="shared" ca="1" si="50"/>
        <v/>
      </c>
      <c r="U111" s="2">
        <f ca="1">IF(IF(OP!$C$83=1,$Z110,IF(OP!$C$83=2,$AA110,IF(OP!$C$83=3,$AB110,)))+$K111-$O111-$P111-$AS111&lt;OP!$C$142,0,$AS111)</f>
        <v>0</v>
      </c>
      <c r="V111" s="19">
        <f ca="1">SUM(K100:K111)</f>
        <v>0</v>
      </c>
      <c r="W111" s="19">
        <f ca="1">MAX(SUM($K$4:K111),0)</f>
        <v>2000000</v>
      </c>
      <c r="X111" s="19">
        <f ca="1">SUM(O100:P111)</f>
        <v>0</v>
      </c>
      <c r="Y111" s="19">
        <f t="shared" ca="1" si="78"/>
        <v>1920000</v>
      </c>
      <c r="Z111" s="2">
        <f ca="1">IF(MIN($Z$4:Z110)=0,0,MAX(0,($Z110+$K111-$O111-$P111)*IF(AND(F111="F",$D$3&lt;&gt;$G$3),((1+(-J111))^(H111/MIN(G111,365))),((1+(-J111))^(1/12)))-$U111))</f>
        <v>1210078.8666712528</v>
      </c>
      <c r="AA111" s="2">
        <f ca="1">IF(MIN($AA$4:AA110)=0,0,MAX(0,($AA110+$K111-$O111-$P111)*IF(AND(F111="F",$D$3&lt;&gt;$G$3),((1+$AA$1)^(H111/MIN(G111,365))),((1+$AA$1)^(1/12)))-$U111))</f>
        <v>1920000</v>
      </c>
      <c r="AB111" s="2">
        <f ca="1">IF(MIN($AB$4:AB110)=0,0,MAX(0,($AB110+$K111-$O111-$P111)*IF(AND(F111="F",$D$3&lt;&gt;$G$3),((1+(J111))^(H111/MIN(G111,365))),((1+(J111))^(1/12)))-$U111))</f>
        <v>2978550.1746787648</v>
      </c>
      <c r="AC111" s="5"/>
      <c r="AD111" s="5"/>
      <c r="AE111" s="5"/>
      <c r="AF111" s="282">
        <f t="shared" ca="1" si="58"/>
        <v>1210079</v>
      </c>
      <c r="AG111" s="282">
        <f t="shared" ca="1" si="59"/>
        <v>1920000</v>
      </c>
      <c r="AH111" s="282">
        <f t="shared" ca="1" si="60"/>
        <v>2978550</v>
      </c>
      <c r="AI111" s="23" t="str">
        <f t="shared" ca="1" si="79"/>
        <v>10-1</v>
      </c>
      <c r="AJ111" s="282">
        <f ca="1">IF(E111&gt;111,,IF(AND(OP!$C$99=1,T111="F"),Z111,IF(AND(OP!$C$99=2,COUNTIF($T$4:T111,"F")=1),OP!$C$97+IF(F111="F",OP!$C$98,0),"")))</f>
        <v>54527</v>
      </c>
      <c r="AK111" s="282">
        <f ca="1">IF(E111&gt;111,,IF(AND(OP!$D$99=1,T111="F"),AA111,IF(AND(OP!$D$99=2,COUNTIF($T$4:T111,"F")=1),OP!$D$97+IF(F111="F",OP!$D$98,0),"")))</f>
        <v>74177</v>
      </c>
      <c r="AL111" s="282">
        <f ca="1">IF(E111&gt;111,,IF(AND(OP!$E$99=1,T111="F"),AB111,IF(AND(OP!$E$99=2,COUNTIF($T$4:T111,"F")=1),OP!$E$97+IF(F111="F",OP!$E$98,0),"")))</f>
        <v>99404</v>
      </c>
      <c r="AM111" s="1">
        <f t="shared" ca="1" si="61"/>
        <v>1</v>
      </c>
      <c r="AN111" s="1" t="str">
        <f ca="1">IF(OR(VLOOKUP($A111,MP,5,0)="月繳"),1,"")</f>
        <v/>
      </c>
      <c r="AO111" s="1">
        <f t="shared" ca="1" si="62"/>
        <v>0</v>
      </c>
      <c r="AP111" s="1" t="str">
        <f ca="1">IF(AND(A111&lt;=OP!$C$120,COUNTIF(PAY,C111)=1),1,"")</f>
        <v/>
      </c>
      <c r="AR111" s="301">
        <f ca="1">IF(繳費報酬率資料!$A$1=1,$AY111+$AZ111,$BF111+$BG111)</f>
        <v>0</v>
      </c>
      <c r="AS111" s="1">
        <f ca="1">IF(C111&lt;&gt;IF($C$3=1,12,$C$3-1),0,IF(繳費報酬率資料!$A$1&lt;&gt;1,VLOOKUP($A111,MP,8,0),IF(AND($A111&gt;=OP!$C$79,$A111&lt;=OP!$C$80),OP!$C$78,)))</f>
        <v>0</v>
      </c>
      <c r="AT111" s="298">
        <f t="shared" ca="1" si="63"/>
        <v>0</v>
      </c>
      <c r="AU111" s="298">
        <f ca="1">IF(AND(A111&lt;=OP!$C$120,COUNTIF(PAY,C111)=1),OP!$C$123,0)</f>
        <v>0</v>
      </c>
      <c r="AV111" s="298">
        <f ca="1">IF(AND(A111&gt;=OP!$C$132,A111&lt;=OP!$C$133,$C$3=C111),OP!$C$135,0)</f>
        <v>0</v>
      </c>
      <c r="AW111" s="180">
        <f t="shared" ca="1" si="64"/>
        <v>0.05</v>
      </c>
      <c r="AX111" s="180">
        <f t="shared" ca="1" si="65"/>
        <v>0.05</v>
      </c>
      <c r="AY111" s="286">
        <f t="shared" ca="1" si="66"/>
        <v>0</v>
      </c>
      <c r="AZ111" s="286">
        <f t="shared" ca="1" si="67"/>
        <v>0</v>
      </c>
      <c r="BA111" s="286">
        <f t="shared" ca="1" si="68"/>
        <v>0</v>
      </c>
      <c r="BB111" s="286">
        <f t="shared" ca="1" si="69"/>
        <v>0</v>
      </c>
      <c r="BC111" s="286">
        <f t="shared" ca="1" si="70"/>
        <v>0</v>
      </c>
      <c r="BD111" s="180">
        <f t="shared" ca="1" si="71"/>
        <v>0.05</v>
      </c>
      <c r="BE111" s="180">
        <f t="shared" ca="1" si="72"/>
        <v>0.05</v>
      </c>
      <c r="BF111" s="286">
        <f t="shared" ca="1" si="73"/>
        <v>0</v>
      </c>
      <c r="BG111" s="286">
        <f t="shared" ca="1" si="74"/>
        <v>0</v>
      </c>
    </row>
    <row r="112" spans="1:59">
      <c r="A112" s="1">
        <f t="shared" ca="1" si="52"/>
        <v>10</v>
      </c>
      <c r="B112" s="1">
        <f t="shared" ca="1" si="75"/>
        <v>115</v>
      </c>
      <c r="C112" s="1">
        <f t="shared" ca="1" si="76"/>
        <v>6</v>
      </c>
      <c r="D112" s="1">
        <f ca="1">MIN($D$3,VLOOKUP(C112,OP!$S$30:$T$41,2))</f>
        <v>2</v>
      </c>
      <c r="E112" s="1">
        <f t="shared" ca="1" si="53"/>
        <v>64</v>
      </c>
      <c r="F112" s="11" t="str">
        <f t="shared" ca="1" si="54"/>
        <v/>
      </c>
      <c r="G112" s="6">
        <f ca="1">DATEDIF(DATE(B112+1911,C112,D112),DATE(B124+1911,C124,D124),"d")</f>
        <v>365</v>
      </c>
      <c r="H112" s="8">
        <f t="shared" ca="1" si="55"/>
        <v>30</v>
      </c>
      <c r="I112" s="8" t="str">
        <f t="shared" ca="1" si="49"/>
        <v>106</v>
      </c>
      <c r="J112" s="13">
        <f>IF(繳費報酬率資料!$A$1=1,VALUE(OP!$C$121),VLOOKUP(A112,MP,2,0))</f>
        <v>0.05</v>
      </c>
      <c r="K112" s="14">
        <f ca="1">IF(SUM($K$4:K111,IF(繳費報酬率資料!$A$1=1,$AU112+$AV112,$BB112+$BC112))&gt;OP!$L$58,0,IF(繳費報酬率資料!$A$1=1,$AU112+$AV112,$BB112+$BC112))</f>
        <v>0</v>
      </c>
      <c r="L112" s="2"/>
      <c r="M112" s="2"/>
      <c r="N112" s="2"/>
      <c r="O112" s="261">
        <f t="shared" ca="1" si="56"/>
        <v>0</v>
      </c>
      <c r="P112" s="261">
        <f t="shared" ca="1" si="77"/>
        <v>0</v>
      </c>
      <c r="Q112" s="3">
        <f ca="1">IF(A112&gt;MAX(OP!$R$17:$R$26),0,VLOOKUP(A112,fees,3,FALSE))</f>
        <v>0</v>
      </c>
      <c r="R112" s="200" t="str">
        <f t="shared" ca="1" si="57"/>
        <v/>
      </c>
      <c r="S112" s="9" t="str">
        <f ca="1">IF(COUNTIF(($T$4:T111),"F")&gt;=1,"",IF(OR(C113&lt;&gt;$C$3,E112=""),"",A112))</f>
        <v/>
      </c>
      <c r="T112" s="20" t="str">
        <f t="shared" ca="1" si="50"/>
        <v/>
      </c>
      <c r="U112" s="2">
        <f ca="1">IF(IF(OP!$C$83=1,$Z111,IF(OP!$C$83=2,$AA111,IF(OP!$C$83=3,$AB111,)))+$K112-$O112-$P112-$AS112&lt;OP!$C$142,0,$AS112)</f>
        <v>0</v>
      </c>
      <c r="V112" s="9"/>
      <c r="W112" s="19">
        <f ca="1">MAX(SUM($K$4:K112),0)</f>
        <v>2000000</v>
      </c>
      <c r="X112" s="19"/>
      <c r="Y112" s="19">
        <f t="shared" ca="1" si="78"/>
        <v>1920000</v>
      </c>
      <c r="Z112" s="2">
        <f ca="1">IF(MIN($Z$4:Z111)=0,0,MAX(0,($Z111+$K112-$O112-$P112)*IF(AND(F112="F",$D$3&lt;&gt;$G$3),((1+(-J112))^(H112/MIN(G112,365))),((1+(-J112))^(1/12)))-$U112))</f>
        <v>1204917.4945589106</v>
      </c>
      <c r="AA112" s="2">
        <f ca="1">IF(MIN($AA$4:AA111)=0,0,MAX(0,($AA111+$K112-$O112-$P112)*IF(AND(F112="F",$D$3&lt;&gt;$G$3),((1+$AA$1)^(H112/MIN(G112,365))),((1+$AA$1)^(1/12)))-$U112))</f>
        <v>1920000</v>
      </c>
      <c r="AB112" s="2">
        <f ca="1">IF(MIN($AB$4:AB111)=0,0,MAX(0,($AB111+$K112-$O112-$P112)*IF(AND(F112="F",$D$3&lt;&gt;$G$3),((1+(J112))^(H112/MIN(G112,365))),((1+(J112))^(1/12)))-$U112))</f>
        <v>2990685.1567862136</v>
      </c>
      <c r="AC112" s="21"/>
      <c r="AD112" s="21"/>
      <c r="AE112" s="21"/>
      <c r="AF112" s="282">
        <f t="shared" ca="1" si="58"/>
        <v>1204917</v>
      </c>
      <c r="AG112" s="282">
        <f t="shared" ca="1" si="59"/>
        <v>1920000</v>
      </c>
      <c r="AH112" s="282">
        <f t="shared" ca="1" si="60"/>
        <v>2990685</v>
      </c>
      <c r="AI112" s="23" t="str">
        <f t="shared" ca="1" si="79"/>
        <v>10-2</v>
      </c>
      <c r="AJ112" s="281">
        <f ca="1">IF(E112&gt;111,,IF(AND(OP!$C$99=1,T112="F"),Z112,IF(AND(OP!$C$99=2,COUNTIF($T$4:T112,"F")=1),OP!$C$97+IF(F112="F",OP!$C$98,0),"")))</f>
        <v>54527</v>
      </c>
      <c r="AK112" s="281">
        <f ca="1">IF(E112&gt;111,,IF(AND(OP!$D$99=1,T112="F"),AA112,IF(AND(OP!$D$99=2,COUNTIF($T$4:T112,"F")=1),OP!$D$97+IF(F112="F",OP!$D$98,0),"")))</f>
        <v>74177</v>
      </c>
      <c r="AL112" s="281">
        <f ca="1">IF(E112&gt;111,,IF(AND(OP!$E$99=1,T112="F"),AB112,IF(AND(OP!$E$99=2,COUNTIF($T$4:T112,"F")=1),OP!$E$97+IF(F112="F",OP!$E$98,0),"")))</f>
        <v>99404</v>
      </c>
      <c r="AM112" s="1">
        <f t="shared" ca="1" si="61"/>
        <v>2</v>
      </c>
      <c r="AN112" s="1">
        <f ca="1">IF(OR(VLOOKUP($A112,MP,5,0)="年繳",VLOOKUP($A112,MP,5,0)="半年繳",VLOOKUP($A112,MP,5,0)="季繳",VLOOKUP($A112,MP,5,0)="月繳"),1,"")</f>
        <v>1</v>
      </c>
      <c r="AO112" s="1">
        <f t="shared" ca="1" si="62"/>
        <v>0</v>
      </c>
      <c r="AP112" s="1" t="str">
        <f ca="1">IF(AND(A112&lt;=OP!$C$120,COUNTIF(PAY,C112)=1),1,"")</f>
        <v/>
      </c>
      <c r="AR112" s="301">
        <f ca="1">IF(繳費報酬率資料!$A$1=1,$AY112+$AZ112,$BF112+$BG112)</f>
        <v>0</v>
      </c>
      <c r="AS112" s="1">
        <f ca="1">IF(C112&lt;&gt;IF($C$3=1,12,$C$3-1),0,IF(繳費報酬率資料!$A$1&lt;&gt;1,VLOOKUP($A112,MP,8,0),IF(AND($A112&gt;=OP!$C$79,$A112&lt;=OP!$C$80),OP!$C$78,)))</f>
        <v>0</v>
      </c>
      <c r="AT112" s="298">
        <f t="shared" ca="1" si="63"/>
        <v>0</v>
      </c>
      <c r="AU112" s="298">
        <f ca="1">IF(AND(A112&lt;=OP!$C$120,COUNTIF(PAY,C112)=1),OP!$C$123,0)</f>
        <v>0</v>
      </c>
      <c r="AV112" s="298">
        <f ca="1">IF(AND(A112&gt;=OP!$C$132,A112&lt;=OP!$C$133,$C$3=C112),OP!$C$135,0)</f>
        <v>0</v>
      </c>
      <c r="AW112" s="180">
        <f t="shared" ca="1" si="64"/>
        <v>0.05</v>
      </c>
      <c r="AX112" s="180">
        <f t="shared" ca="1" si="65"/>
        <v>0.05</v>
      </c>
      <c r="AY112" s="286">
        <f t="shared" ca="1" si="66"/>
        <v>0</v>
      </c>
      <c r="AZ112" s="286">
        <f t="shared" ca="1" si="67"/>
        <v>0</v>
      </c>
      <c r="BA112" s="286">
        <f t="shared" ca="1" si="68"/>
        <v>0</v>
      </c>
      <c r="BB112" s="286">
        <f t="shared" ca="1" si="69"/>
        <v>0</v>
      </c>
      <c r="BC112" s="286">
        <f t="shared" ca="1" si="70"/>
        <v>0</v>
      </c>
      <c r="BD112" s="180">
        <f t="shared" ca="1" si="71"/>
        <v>0.05</v>
      </c>
      <c r="BE112" s="180">
        <f t="shared" ca="1" si="72"/>
        <v>0.05</v>
      </c>
      <c r="BF112" s="286">
        <f t="shared" ca="1" si="73"/>
        <v>0</v>
      </c>
      <c r="BG112" s="286">
        <f t="shared" ca="1" si="74"/>
        <v>0</v>
      </c>
    </row>
    <row r="113" spans="1:59">
      <c r="A113" s="1">
        <f t="shared" ca="1" si="52"/>
        <v>10</v>
      </c>
      <c r="B113" s="1">
        <f t="shared" ca="1" si="75"/>
        <v>115</v>
      </c>
      <c r="C113" s="1">
        <f t="shared" ca="1" si="76"/>
        <v>7</v>
      </c>
      <c r="D113" s="1">
        <f ca="1">MIN($D$3,VLOOKUP(C113,OP!$S$30:$T$41,2))</f>
        <v>2</v>
      </c>
      <c r="E113" s="1">
        <f t="shared" ca="1" si="53"/>
        <v>64</v>
      </c>
      <c r="F113" s="11" t="str">
        <f t="shared" ca="1" si="54"/>
        <v/>
      </c>
      <c r="G113" s="8">
        <f t="shared" ref="G113:G123" ca="1" si="83">G112</f>
        <v>365</v>
      </c>
      <c r="H113" s="8">
        <f t="shared" ca="1" si="55"/>
        <v>31</v>
      </c>
      <c r="I113" s="8" t="str">
        <f t="shared" ca="1" si="49"/>
        <v>107</v>
      </c>
      <c r="J113" s="13">
        <f>IF(繳費報酬率資料!$A$1=1,VALUE(OP!$C$121),VLOOKUP(A113,MP,2,0))</f>
        <v>0.05</v>
      </c>
      <c r="K113" s="14">
        <f ca="1">IF(SUM($K$4:K112,IF(繳費報酬率資料!$A$1=1,$AU113+$AV113,$BB113+$BC113))&gt;OP!$L$58,0,IF(繳費報酬率資料!$A$1=1,$AU113+$AV113,$BB113+$BC113))</f>
        <v>0</v>
      </c>
      <c r="L113" s="2"/>
      <c r="M113" s="2"/>
      <c r="N113" s="2"/>
      <c r="O113" s="261">
        <f t="shared" ca="1" si="56"/>
        <v>0</v>
      </c>
      <c r="P113" s="261">
        <f t="shared" ca="1" si="77"/>
        <v>0</v>
      </c>
      <c r="Q113" s="3">
        <f ca="1">IF(A113&gt;MAX(OP!$R$17:$R$26),0,VLOOKUP(A113,fees,3,FALSE))</f>
        <v>0</v>
      </c>
      <c r="R113" s="200" t="str">
        <f t="shared" ca="1" si="57"/>
        <v/>
      </c>
      <c r="S113" s="9" t="str">
        <f ca="1">IF(COUNTIF(($T$4:T112),"F")&gt;=1,"",IF(OR(C114&lt;&gt;$C$3,E113=""),"",A113))</f>
        <v/>
      </c>
      <c r="T113" s="20" t="str">
        <f t="shared" ca="1" si="50"/>
        <v/>
      </c>
      <c r="U113" s="2">
        <f ca="1">IF(IF(OP!$C$83=1,$Z112,IF(OP!$C$83=2,$AA112,IF(OP!$C$83=3,$AB112,)))+$K113-$O113-$P113-$AS113&lt;OP!$C$142,0,$AS113)</f>
        <v>0</v>
      </c>
      <c r="V113" s="9"/>
      <c r="W113" s="19">
        <f ca="1">MAX(SUM($K$4:K113),0)</f>
        <v>2000000</v>
      </c>
      <c r="X113" s="19"/>
      <c r="Y113" s="19">
        <f t="shared" ca="1" si="78"/>
        <v>1920000</v>
      </c>
      <c r="Z113" s="2">
        <f ca="1">IF(MIN($Z$4:Z112)=0,0,MAX(0,($Z112+$K113-$O113-$P113)*IF(AND(F113="F",$D$3&lt;&gt;$G$3),((1+(-J113))^(H113/MIN(G113,365))),((1+(-J113))^(1/12)))-$U113))</f>
        <v>1199778.1373439571</v>
      </c>
      <c r="AA113" s="2">
        <f ca="1">IF(MIN($AA$4:AA112)=0,0,MAX(0,($AA112+$K113-$O113-$P113)*IF(AND(F113="F",$D$3&lt;&gt;$G$3),((1+$AA$1)^(H113/MIN(G113,365))),((1+$AA$1)^(1/12)))-$U113))</f>
        <v>1920000</v>
      </c>
      <c r="AB113" s="2">
        <f ca="1">IF(MIN($AB$4:AB112)=0,0,MAX(0,($AB112+$K113-$O113-$P113)*IF(AND(F113="F",$D$3&lt;&gt;$G$3),((1+(J113))^(H113/MIN(G113,365))),((1+(J113))^(1/12)))-$U113))</f>
        <v>3002869.5783128804</v>
      </c>
      <c r="AC113" s="5"/>
      <c r="AD113" s="5"/>
      <c r="AE113" s="5"/>
      <c r="AF113" s="282">
        <f t="shared" ca="1" si="58"/>
        <v>1199778</v>
      </c>
      <c r="AG113" s="282">
        <f t="shared" ca="1" si="59"/>
        <v>1920000</v>
      </c>
      <c r="AH113" s="282">
        <f t="shared" ca="1" si="60"/>
        <v>3002870</v>
      </c>
      <c r="AI113" s="23" t="str">
        <f t="shared" ca="1" si="79"/>
        <v>10-3</v>
      </c>
      <c r="AJ113" s="282">
        <f ca="1">IF(E113&gt;111,,IF(AND(OP!$C$99=1,T113="F"),Z113,IF(AND(OP!$C$99=2,COUNTIF($T$4:T113,"F")=1),OP!$C$97+IF(F113="F",OP!$C$98,0),"")))</f>
        <v>54527</v>
      </c>
      <c r="AK113" s="282">
        <f ca="1">IF(E113&gt;111,,IF(AND(OP!$D$99=1,T113="F"),AA113,IF(AND(OP!$D$99=2,COUNTIF($T$4:T113,"F")=1),OP!$D$97+IF(F113="F",OP!$D$98,0),"")))</f>
        <v>74177</v>
      </c>
      <c r="AL113" s="282">
        <f ca="1">IF(E113&gt;111,,IF(AND(OP!$E$99=1,T113="F"),AB113,IF(AND(OP!$E$99=2,COUNTIF($T$4:T113,"F")=1),OP!$E$97+IF(F113="F",OP!$E$98,0),"")))</f>
        <v>99404</v>
      </c>
      <c r="AM113" s="1">
        <f t="shared" ca="1" si="61"/>
        <v>3</v>
      </c>
      <c r="AN113" s="1" t="str">
        <f ca="1">IF(OR(VLOOKUP($A113,MP,5,0)="月繳"),1,"")</f>
        <v/>
      </c>
      <c r="AO113" s="1">
        <f t="shared" ca="1" si="62"/>
        <v>0</v>
      </c>
      <c r="AP113" s="1" t="str">
        <f ca="1">IF(AND(A113&lt;=OP!$C$120,COUNTIF(PAY,C113)=1),1,"")</f>
        <v/>
      </c>
      <c r="AR113" s="301">
        <f ca="1">IF(繳費報酬率資料!$A$1=1,$AY113+$AZ113,$BF113+$BG113)</f>
        <v>0</v>
      </c>
      <c r="AS113" s="1">
        <f ca="1">IF(C113&lt;&gt;IF($C$3=1,12,$C$3-1),0,IF(繳費報酬率資料!$A$1&lt;&gt;1,VLOOKUP($A113,MP,8,0),IF(AND($A113&gt;=OP!$C$79,$A113&lt;=OP!$C$80),OP!$C$78,)))</f>
        <v>0</v>
      </c>
      <c r="AT113" s="298">
        <f t="shared" ca="1" si="63"/>
        <v>0</v>
      </c>
      <c r="AU113" s="298">
        <f ca="1">IF(AND(A113&lt;=OP!$C$120,COUNTIF(PAY,C113)=1),OP!$C$123,0)</f>
        <v>0</v>
      </c>
      <c r="AV113" s="298">
        <f ca="1">IF(AND(A113&gt;=OP!$C$132,A113&lt;=OP!$C$133,$C$3=C113),OP!$C$135,0)</f>
        <v>0</v>
      </c>
      <c r="AW113" s="180">
        <f t="shared" ca="1" si="64"/>
        <v>0.05</v>
      </c>
      <c r="AX113" s="180">
        <f t="shared" ca="1" si="65"/>
        <v>0.05</v>
      </c>
      <c r="AY113" s="286">
        <f t="shared" ca="1" si="66"/>
        <v>0</v>
      </c>
      <c r="AZ113" s="286">
        <f t="shared" ca="1" si="67"/>
        <v>0</v>
      </c>
      <c r="BA113" s="286">
        <f t="shared" ca="1" si="68"/>
        <v>0</v>
      </c>
      <c r="BB113" s="286">
        <f t="shared" ca="1" si="69"/>
        <v>0</v>
      </c>
      <c r="BC113" s="286">
        <f t="shared" ca="1" si="70"/>
        <v>0</v>
      </c>
      <c r="BD113" s="180">
        <f t="shared" ca="1" si="71"/>
        <v>0.05</v>
      </c>
      <c r="BE113" s="180">
        <f t="shared" ca="1" si="72"/>
        <v>0.05</v>
      </c>
      <c r="BF113" s="286">
        <f t="shared" ca="1" si="73"/>
        <v>0</v>
      </c>
      <c r="BG113" s="286">
        <f t="shared" ca="1" si="74"/>
        <v>0</v>
      </c>
    </row>
    <row r="114" spans="1:59">
      <c r="A114" s="1">
        <f t="shared" ca="1" si="52"/>
        <v>10</v>
      </c>
      <c r="B114" s="1">
        <f t="shared" ca="1" si="75"/>
        <v>115</v>
      </c>
      <c r="C114" s="1">
        <f t="shared" ca="1" si="76"/>
        <v>8</v>
      </c>
      <c r="D114" s="1">
        <f ca="1">MIN($D$3,VLOOKUP(C114,OP!$S$30:$T$41,2))</f>
        <v>2</v>
      </c>
      <c r="E114" s="1">
        <f t="shared" ca="1" si="53"/>
        <v>64</v>
      </c>
      <c r="F114" s="11" t="str">
        <f t="shared" ca="1" si="54"/>
        <v/>
      </c>
      <c r="G114" s="8">
        <f t="shared" ca="1" si="83"/>
        <v>365</v>
      </c>
      <c r="H114" s="8">
        <f t="shared" ca="1" si="55"/>
        <v>31</v>
      </c>
      <c r="I114" s="8" t="str">
        <f t="shared" ca="1" si="49"/>
        <v>108</v>
      </c>
      <c r="J114" s="13">
        <f>IF(繳費報酬率資料!$A$1=1,VALUE(OP!$C$121),VLOOKUP(A114,MP,2,0))</f>
        <v>0.05</v>
      </c>
      <c r="K114" s="14">
        <f ca="1">IF(SUM($K$4:K113,IF(繳費報酬率資料!$A$1=1,$AU114+$AV114,$BB114+$BC114))&gt;OP!$L$58,0,IF(繳費報酬率資料!$A$1=1,$AU114+$AV114,$BB114+$BC114))</f>
        <v>0</v>
      </c>
      <c r="L114" s="2"/>
      <c r="M114" s="2"/>
      <c r="N114" s="2"/>
      <c r="O114" s="261">
        <f t="shared" ca="1" si="56"/>
        <v>0</v>
      </c>
      <c r="P114" s="261">
        <f t="shared" ca="1" si="77"/>
        <v>0</v>
      </c>
      <c r="Q114" s="3">
        <f ca="1">IF(A114&gt;MAX(OP!$R$17:$R$26),0,VLOOKUP(A114,fees,3,FALSE))</f>
        <v>0</v>
      </c>
      <c r="R114" s="200" t="str">
        <f t="shared" ca="1" si="57"/>
        <v/>
      </c>
      <c r="S114" s="9" t="str">
        <f ca="1">IF(COUNTIF(($T$4:T113),"F")&gt;=1,"",IF(OR(C115&lt;&gt;$C$3,E114=""),"",A114))</f>
        <v/>
      </c>
      <c r="T114" s="20" t="str">
        <f t="shared" ca="1" si="50"/>
        <v/>
      </c>
      <c r="U114" s="2">
        <f ca="1">IF(IF(OP!$C$83=1,$Z113,IF(OP!$C$83=2,$AA113,IF(OP!$C$83=3,$AB113,)))+$K114-$O114-$P114-$AS114&lt;OP!$C$142,0,$AS114)</f>
        <v>0</v>
      </c>
      <c r="V114" s="9"/>
      <c r="W114" s="19">
        <f ca="1">MAX(SUM($K$4:K114),0)</f>
        <v>2000000</v>
      </c>
      <c r="X114" s="19"/>
      <c r="Y114" s="19">
        <f t="shared" ca="1" si="78"/>
        <v>1920000</v>
      </c>
      <c r="Z114" s="2">
        <f ca="1">IF(MIN($Z$4:Z113)=0,0,MAX(0,($Z113+$K114-$O114-$P114)*IF(AND(F114="F",$D$3&lt;&gt;$G$3),((1+(-J114))^(H114/MIN(G114,365))),((1+(-J114))^(1/12)))-$U114))</f>
        <v>1194660.7011258372</v>
      </c>
      <c r="AA114" s="2">
        <f ca="1">IF(MIN($AA$4:AA113)=0,0,MAX(0,($AA113+$K114-$O114-$P114)*IF(AND(F114="F",$D$3&lt;&gt;$G$3),((1+$AA$1)^(H114/MIN(G114,365))),((1+$AA$1)^(1/12)))-$U114))</f>
        <v>1920000</v>
      </c>
      <c r="AB114" s="2">
        <f ca="1">IF(MIN($AB$4:AB113)=0,0,MAX(0,($AB113+$K114-$O114-$P114)*IF(AND(F114="F",$D$3&lt;&gt;$G$3),((1+(J114))^(H114/MIN(G114,365))),((1+(J114))^(1/12)))-$U114))</f>
        <v>3015103.6406810791</v>
      </c>
      <c r="AC114" s="5"/>
      <c r="AD114" s="5"/>
      <c r="AE114" s="5"/>
      <c r="AF114" s="282">
        <f t="shared" ca="1" si="58"/>
        <v>1194661</v>
      </c>
      <c r="AG114" s="282">
        <f t="shared" ca="1" si="59"/>
        <v>1920000</v>
      </c>
      <c r="AH114" s="282">
        <f t="shared" ca="1" si="60"/>
        <v>3015104</v>
      </c>
      <c r="AI114" s="23" t="str">
        <f t="shared" ca="1" si="79"/>
        <v>10-4</v>
      </c>
      <c r="AJ114" s="282">
        <f ca="1">IF(E114&gt;111,,IF(AND(OP!$C$99=1,T114="F"),Z114,IF(AND(OP!$C$99=2,COUNTIF($T$4:T114,"F")=1),OP!$C$97+IF(F114="F",OP!$C$98,0),"")))</f>
        <v>54527</v>
      </c>
      <c r="AK114" s="282">
        <f ca="1">IF(E114&gt;111,,IF(AND(OP!$D$99=1,T114="F"),AA114,IF(AND(OP!$D$99=2,COUNTIF($T$4:T114,"F")=1),OP!$D$97+IF(F114="F",OP!$D$98,0),"")))</f>
        <v>74177</v>
      </c>
      <c r="AL114" s="282">
        <f ca="1">IF(E114&gt;111,,IF(AND(OP!$E$99=1,T114="F"),AB114,IF(AND(OP!$E$99=2,COUNTIF($T$4:T114,"F")=1),OP!$E$97+IF(F114="F",OP!$E$98,0),"")))</f>
        <v>99404</v>
      </c>
      <c r="AM114" s="1">
        <f t="shared" ca="1" si="61"/>
        <v>4</v>
      </c>
      <c r="AN114" s="1" t="str">
        <f ca="1">IF(OR(VLOOKUP($A114,MP,5,0)="月繳"),1,"")</f>
        <v/>
      </c>
      <c r="AO114" s="1">
        <f t="shared" ca="1" si="62"/>
        <v>0</v>
      </c>
      <c r="AP114" s="1" t="str">
        <f ca="1">IF(AND(A114&lt;=OP!$C$120,COUNTIF(PAY,C114)=1),1,"")</f>
        <v/>
      </c>
      <c r="AR114" s="301">
        <f ca="1">IF(繳費報酬率資料!$A$1=1,$AY114+$AZ114,$BF114+$BG114)</f>
        <v>0</v>
      </c>
      <c r="AS114" s="1">
        <f ca="1">IF(C114&lt;&gt;IF($C$3=1,12,$C$3-1),0,IF(繳費報酬率資料!$A$1&lt;&gt;1,VLOOKUP($A114,MP,8,0),IF(AND($A114&gt;=OP!$C$79,$A114&lt;=OP!$C$80),OP!$C$78,)))</f>
        <v>0</v>
      </c>
      <c r="AT114" s="298">
        <f t="shared" ca="1" si="63"/>
        <v>0</v>
      </c>
      <c r="AU114" s="298">
        <f ca="1">IF(AND(A114&lt;=OP!$C$120,COUNTIF(PAY,C114)=1),OP!$C$123,0)</f>
        <v>0</v>
      </c>
      <c r="AV114" s="298">
        <f ca="1">IF(AND(A114&gt;=OP!$C$132,A114&lt;=OP!$C$133,$C$3=C114),OP!$C$135,0)</f>
        <v>0</v>
      </c>
      <c r="AW114" s="180">
        <f t="shared" ca="1" si="64"/>
        <v>0.05</v>
      </c>
      <c r="AX114" s="180">
        <f t="shared" ca="1" si="65"/>
        <v>0.05</v>
      </c>
      <c r="AY114" s="286">
        <f t="shared" ca="1" si="66"/>
        <v>0</v>
      </c>
      <c r="AZ114" s="286">
        <f t="shared" ca="1" si="67"/>
        <v>0</v>
      </c>
      <c r="BA114" s="286">
        <f t="shared" ca="1" si="68"/>
        <v>0</v>
      </c>
      <c r="BB114" s="286">
        <f t="shared" ca="1" si="69"/>
        <v>0</v>
      </c>
      <c r="BC114" s="286">
        <f t="shared" ca="1" si="70"/>
        <v>0</v>
      </c>
      <c r="BD114" s="180">
        <f t="shared" ca="1" si="71"/>
        <v>0.05</v>
      </c>
      <c r="BE114" s="180">
        <f t="shared" ca="1" si="72"/>
        <v>0.05</v>
      </c>
      <c r="BF114" s="286">
        <f t="shared" ca="1" si="73"/>
        <v>0</v>
      </c>
      <c r="BG114" s="286">
        <f t="shared" ca="1" si="74"/>
        <v>0</v>
      </c>
    </row>
    <row r="115" spans="1:59">
      <c r="A115" s="1">
        <f t="shared" ca="1" si="52"/>
        <v>10</v>
      </c>
      <c r="B115" s="1">
        <f t="shared" ca="1" si="75"/>
        <v>115</v>
      </c>
      <c r="C115" s="1">
        <f t="shared" ca="1" si="76"/>
        <v>9</v>
      </c>
      <c r="D115" s="1">
        <f ca="1">MIN($D$3,VLOOKUP(C115,OP!$S$30:$T$41,2))</f>
        <v>2</v>
      </c>
      <c r="E115" s="1">
        <f t="shared" ca="1" si="53"/>
        <v>64</v>
      </c>
      <c r="F115" s="11" t="str">
        <f t="shared" ca="1" si="54"/>
        <v/>
      </c>
      <c r="G115" s="8">
        <f t="shared" ca="1" si="83"/>
        <v>365</v>
      </c>
      <c r="H115" s="8">
        <f t="shared" ca="1" si="55"/>
        <v>30</v>
      </c>
      <c r="I115" s="8" t="str">
        <f t="shared" ca="1" si="49"/>
        <v>109</v>
      </c>
      <c r="J115" s="13">
        <f>IF(繳費報酬率資料!$A$1=1,VALUE(OP!$C$121),VLOOKUP(A115,MP,2,0))</f>
        <v>0.05</v>
      </c>
      <c r="K115" s="14">
        <f ca="1">IF(SUM($K$4:K114,IF(繳費報酬率資料!$A$1=1,$AU115+$AV115,$BB115+$BC115))&gt;OP!$L$58,0,IF(繳費報酬率資料!$A$1=1,$AU115+$AV115,$BB115+$BC115))</f>
        <v>0</v>
      </c>
      <c r="L115" s="2"/>
      <c r="M115" s="2"/>
      <c r="N115" s="2"/>
      <c r="O115" s="261">
        <f t="shared" ca="1" si="56"/>
        <v>0</v>
      </c>
      <c r="P115" s="261">
        <f t="shared" ca="1" si="77"/>
        <v>0</v>
      </c>
      <c r="Q115" s="3">
        <f ca="1">IF(A115&gt;MAX(OP!$R$17:$R$26),0,VLOOKUP(A115,fees,3,FALSE))</f>
        <v>0</v>
      </c>
      <c r="R115" s="200" t="str">
        <f t="shared" ca="1" si="57"/>
        <v/>
      </c>
      <c r="S115" s="9" t="str">
        <f ca="1">IF(COUNTIF(($T$4:T114),"F")&gt;=1,"",IF(OR(C116&lt;&gt;$C$3,E115=""),"",A115))</f>
        <v/>
      </c>
      <c r="T115" s="20" t="str">
        <f t="shared" ca="1" si="50"/>
        <v/>
      </c>
      <c r="U115" s="2">
        <f ca="1">IF(IF(OP!$C$83=1,$Z114,IF(OP!$C$83=2,$AA114,IF(OP!$C$83=3,$AB114,)))+$K115-$O115-$P115-$AS115&lt;OP!$C$142,0,$AS115)</f>
        <v>0</v>
      </c>
      <c r="V115" s="9"/>
      <c r="W115" s="19">
        <f ca="1">MAX(SUM($K$4:K115),0)</f>
        <v>2000000</v>
      </c>
      <c r="X115" s="19"/>
      <c r="Y115" s="19">
        <f t="shared" ca="1" si="78"/>
        <v>1920000</v>
      </c>
      <c r="Z115" s="2">
        <f ca="1">IF(MIN($Z$4:Z114)=0,0,MAX(0,($Z114+$K115-$O115-$P115)*IF(AND(F115="F",$D$3&lt;&gt;$G$3),((1+(-J115))^(H115/MIN(G115,365))),((1+(-J115))^(1/12)))-$U115))</f>
        <v>1189565.0924045113</v>
      </c>
      <c r="AA115" s="2">
        <f ca="1">IF(MIN($AA$4:AA114)=0,0,MAX(0,($AA114+$K115-$O115-$P115)*IF(AND(F115="F",$D$3&lt;&gt;$G$3),((1+$AA$1)^(H115/MIN(G115,365))),((1+$AA$1)^(1/12)))-$U115))</f>
        <v>1920000</v>
      </c>
      <c r="AB115" s="2">
        <f ca="1">IF(MIN($AB$4:AB114)=0,0,MAX(0,($AB114+$K115-$O115-$P115)*IF(AND(F115="F",$D$3&lt;&gt;$G$3),((1+(J115))^(H115/MIN(G115,365))),((1+(J115))^(1/12)))-$U115))</f>
        <v>3027387.5461337427</v>
      </c>
      <c r="AC115" s="5"/>
      <c r="AD115" s="5"/>
      <c r="AE115" s="5"/>
      <c r="AF115" s="282">
        <f t="shared" ca="1" si="58"/>
        <v>1189565</v>
      </c>
      <c r="AG115" s="282">
        <f t="shared" ca="1" si="59"/>
        <v>1920000</v>
      </c>
      <c r="AH115" s="282">
        <f t="shared" ca="1" si="60"/>
        <v>3027388</v>
      </c>
      <c r="AI115" s="23" t="str">
        <f t="shared" ca="1" si="79"/>
        <v>10-5</v>
      </c>
      <c r="AJ115" s="282">
        <f ca="1">IF(E115&gt;111,,IF(AND(OP!$C$99=1,T115="F"),Z115,IF(AND(OP!$C$99=2,COUNTIF($T$4:T115,"F")=1),OP!$C$97+IF(F115="F",OP!$C$98,0),"")))</f>
        <v>54527</v>
      </c>
      <c r="AK115" s="282">
        <f ca="1">IF(E115&gt;111,,IF(AND(OP!$D$99=1,T115="F"),AA115,IF(AND(OP!$D$99=2,COUNTIF($T$4:T115,"F")=1),OP!$D$97+IF(F115="F",OP!$D$98,0),"")))</f>
        <v>74177</v>
      </c>
      <c r="AL115" s="282">
        <f ca="1">IF(E115&gt;111,,IF(AND(OP!$E$99=1,T115="F"),AB115,IF(AND(OP!$E$99=2,COUNTIF($T$4:T115,"F")=1),OP!$E$97+IF(F115="F",OP!$E$98,0),"")))</f>
        <v>99404</v>
      </c>
      <c r="AM115" s="1">
        <f t="shared" ca="1" si="61"/>
        <v>5</v>
      </c>
      <c r="AN115" s="1" t="str">
        <f ca="1">IF(OR(VLOOKUP($A115,MP,5,0)="季繳",VLOOKUP($A115,MP,5,0)="月繳"),1,"")</f>
        <v/>
      </c>
      <c r="AO115" s="1">
        <f t="shared" ca="1" si="62"/>
        <v>0</v>
      </c>
      <c r="AP115" s="1" t="str">
        <f ca="1">IF(AND(A115&lt;=OP!$C$120,COUNTIF(PAY,C115)=1),1,"")</f>
        <v/>
      </c>
      <c r="AR115" s="301">
        <f ca="1">IF(繳費報酬率資料!$A$1=1,$AY115+$AZ115,$BF115+$BG115)</f>
        <v>0</v>
      </c>
      <c r="AS115" s="1">
        <f ca="1">IF(C115&lt;&gt;IF($C$3=1,12,$C$3-1),0,IF(繳費報酬率資料!$A$1&lt;&gt;1,VLOOKUP($A115,MP,8,0),IF(AND($A115&gt;=OP!$C$79,$A115&lt;=OP!$C$80),OP!$C$78,)))</f>
        <v>0</v>
      </c>
      <c r="AT115" s="298">
        <f t="shared" ca="1" si="63"/>
        <v>0</v>
      </c>
      <c r="AU115" s="298">
        <f ca="1">IF(AND(A115&lt;=OP!$C$120,COUNTIF(PAY,C115)=1),OP!$C$123,0)</f>
        <v>0</v>
      </c>
      <c r="AV115" s="298">
        <f ca="1">IF(AND(A115&gt;=OP!$C$132,A115&lt;=OP!$C$133,$C$3=C115),OP!$C$135,0)</f>
        <v>0</v>
      </c>
      <c r="AW115" s="180">
        <f t="shared" ca="1" si="64"/>
        <v>0.05</v>
      </c>
      <c r="AX115" s="180">
        <f t="shared" ca="1" si="65"/>
        <v>0.05</v>
      </c>
      <c r="AY115" s="286">
        <f t="shared" ca="1" si="66"/>
        <v>0</v>
      </c>
      <c r="AZ115" s="286">
        <f t="shared" ca="1" si="67"/>
        <v>0</v>
      </c>
      <c r="BA115" s="286">
        <f t="shared" ca="1" si="68"/>
        <v>0</v>
      </c>
      <c r="BB115" s="286">
        <f t="shared" ca="1" si="69"/>
        <v>0</v>
      </c>
      <c r="BC115" s="286">
        <f t="shared" ca="1" si="70"/>
        <v>0</v>
      </c>
      <c r="BD115" s="180">
        <f t="shared" ca="1" si="71"/>
        <v>0.05</v>
      </c>
      <c r="BE115" s="180">
        <f t="shared" ca="1" si="72"/>
        <v>0.05</v>
      </c>
      <c r="BF115" s="286">
        <f t="shared" ca="1" si="73"/>
        <v>0</v>
      </c>
      <c r="BG115" s="286">
        <f t="shared" ca="1" si="74"/>
        <v>0</v>
      </c>
    </row>
    <row r="116" spans="1:59">
      <c r="A116" s="1">
        <f t="shared" ca="1" si="52"/>
        <v>10</v>
      </c>
      <c r="B116" s="1">
        <f t="shared" ca="1" si="75"/>
        <v>115</v>
      </c>
      <c r="C116" s="1">
        <f t="shared" ca="1" si="76"/>
        <v>10</v>
      </c>
      <c r="D116" s="1">
        <f ca="1">MIN($D$3,VLOOKUP(C116,OP!$S$30:$T$41,2))</f>
        <v>2</v>
      </c>
      <c r="E116" s="1">
        <f t="shared" ca="1" si="53"/>
        <v>64</v>
      </c>
      <c r="F116" s="11" t="str">
        <f t="shared" ca="1" si="54"/>
        <v/>
      </c>
      <c r="G116" s="8">
        <f t="shared" ca="1" si="83"/>
        <v>365</v>
      </c>
      <c r="H116" s="8">
        <f t="shared" ca="1" si="55"/>
        <v>31</v>
      </c>
      <c r="I116" s="8" t="str">
        <f t="shared" ca="1" si="49"/>
        <v>1010</v>
      </c>
      <c r="J116" s="13">
        <f>IF(繳費報酬率資料!$A$1=1,VALUE(OP!$C$121),VLOOKUP(A116,MP,2,0))</f>
        <v>0.05</v>
      </c>
      <c r="K116" s="14">
        <f ca="1">IF(SUM($K$4:K115,IF(繳費報酬率資料!$A$1=1,$AU116+$AV116,$BB116+$BC116))&gt;OP!$L$58,0,IF(繳費報酬率資料!$A$1=1,$AU116+$AV116,$BB116+$BC116))</f>
        <v>0</v>
      </c>
      <c r="L116" s="2"/>
      <c r="M116" s="2"/>
      <c r="N116" s="2"/>
      <c r="O116" s="261">
        <f t="shared" ca="1" si="56"/>
        <v>0</v>
      </c>
      <c r="P116" s="261">
        <f t="shared" ca="1" si="77"/>
        <v>0</v>
      </c>
      <c r="Q116" s="3">
        <f ca="1">IF(A116&gt;MAX(OP!$R$17:$R$26),0,VLOOKUP(A116,fees,3,FALSE))</f>
        <v>0</v>
      </c>
      <c r="R116" s="200" t="str">
        <f t="shared" ca="1" si="57"/>
        <v/>
      </c>
      <c r="S116" s="9" t="str">
        <f ca="1">IF(COUNTIF(($T$4:T115),"F")&gt;=1,"",IF(OR(C117&lt;&gt;$C$3,E116=""),"",A116))</f>
        <v/>
      </c>
      <c r="T116" s="20" t="str">
        <f t="shared" ca="1" si="50"/>
        <v/>
      </c>
      <c r="U116" s="2">
        <f ca="1">IF(IF(OP!$C$83=1,$Z115,IF(OP!$C$83=2,$AA115,IF(OP!$C$83=3,$AB115,)))+$K116-$O116-$P116-$AS116&lt;OP!$C$142,0,$AS116)</f>
        <v>0</v>
      </c>
      <c r="V116" s="9"/>
      <c r="W116" s="19">
        <f ca="1">MAX(SUM($K$4:K116),0)</f>
        <v>2000000</v>
      </c>
      <c r="X116" s="19"/>
      <c r="Y116" s="19">
        <f t="shared" ca="1" si="78"/>
        <v>1920000</v>
      </c>
      <c r="Z116" s="2">
        <f ca="1">IF(MIN($Z$4:Z115)=0,0,MAX(0,($Z115+$K116-$O116-$P116)*IF(AND(F116="F",$D$3&lt;&gt;$G$3),((1+(-J116))^(H116/MIN(G116,365))),((1+(-J116))^(1/12)))-$U116))</f>
        <v>1184491.2180787476</v>
      </c>
      <c r="AA116" s="2">
        <f ca="1">IF(MIN($AA$4:AA115)=0,0,MAX(0,($AA115+$K116-$O116-$P116)*IF(AND(F116="F",$D$3&lt;&gt;$G$3),((1+$AA$1)^(H116/MIN(G116,365))),((1+$AA$1)^(1/12)))-$U116))</f>
        <v>1920000</v>
      </c>
      <c r="AB116" s="2">
        <f ca="1">IF(MIN($AB$4:AB115)=0,0,MAX(0,($AB115+$K116-$O116-$P116)*IF(AND(F116="F",$D$3&lt;&gt;$G$3),((1+(J116))^(H116/MIN(G116,365))),((1+(J116))^(1/12)))-$U116))</f>
        <v>3039721.4977377672</v>
      </c>
      <c r="AC116" s="5"/>
      <c r="AD116" s="5"/>
      <c r="AE116" s="5"/>
      <c r="AF116" s="282">
        <f t="shared" ca="1" si="58"/>
        <v>1184491</v>
      </c>
      <c r="AG116" s="282">
        <f t="shared" ca="1" si="59"/>
        <v>1920000</v>
      </c>
      <c r="AH116" s="282">
        <f t="shared" ca="1" si="60"/>
        <v>3039721</v>
      </c>
      <c r="AI116" s="23" t="str">
        <f t="shared" ca="1" si="79"/>
        <v>10-6</v>
      </c>
      <c r="AJ116" s="282">
        <f ca="1">IF(E116&gt;111,,IF(AND(OP!$C$99=1,T116="F"),Z116,IF(AND(OP!$C$99=2,COUNTIF($T$4:T116,"F")=1),OP!$C$97+IF(F116="F",OP!$C$98,0),"")))</f>
        <v>54527</v>
      </c>
      <c r="AK116" s="282">
        <f ca="1">IF(E116&gt;111,,IF(AND(OP!$D$99=1,T116="F"),AA116,IF(AND(OP!$D$99=2,COUNTIF($T$4:T116,"F")=1),OP!$D$97+IF(F116="F",OP!$D$98,0),"")))</f>
        <v>74177</v>
      </c>
      <c r="AL116" s="282">
        <f ca="1">IF(E116&gt;111,,IF(AND(OP!$E$99=1,T116="F"),AB116,IF(AND(OP!$E$99=2,COUNTIF($T$4:T116,"F")=1),OP!$E$97+IF(F116="F",OP!$E$98,0),"")))</f>
        <v>99404</v>
      </c>
      <c r="AM116" s="1">
        <f t="shared" ca="1" si="61"/>
        <v>6</v>
      </c>
      <c r="AN116" s="1" t="str">
        <f ca="1">IF(OR(VLOOKUP($A116,MP,5,0)="月繳"),1,"")</f>
        <v/>
      </c>
      <c r="AO116" s="1">
        <f t="shared" ca="1" si="62"/>
        <v>0</v>
      </c>
      <c r="AP116" s="1" t="str">
        <f ca="1">IF(AND(A116&lt;=OP!$C$120,COUNTIF(PAY,C116)=1),1,"")</f>
        <v/>
      </c>
      <c r="AR116" s="301">
        <f ca="1">IF(繳費報酬率資料!$A$1=1,$AY116+$AZ116,$BF116+$BG116)</f>
        <v>0</v>
      </c>
      <c r="AS116" s="1">
        <f ca="1">IF(C116&lt;&gt;IF($C$3=1,12,$C$3-1),0,IF(繳費報酬率資料!$A$1&lt;&gt;1,VLOOKUP($A116,MP,8,0),IF(AND($A116&gt;=OP!$C$79,$A116&lt;=OP!$C$80),OP!$C$78,)))</f>
        <v>0</v>
      </c>
      <c r="AT116" s="298">
        <f t="shared" ca="1" si="63"/>
        <v>0</v>
      </c>
      <c r="AU116" s="298">
        <f ca="1">IF(AND(A116&lt;=OP!$C$120,COUNTIF(PAY,C116)=1),OP!$C$123,0)</f>
        <v>0</v>
      </c>
      <c r="AV116" s="298">
        <f ca="1">IF(AND(A116&gt;=OP!$C$132,A116&lt;=OP!$C$133,$C$3=C116),OP!$C$135,0)</f>
        <v>0</v>
      </c>
      <c r="AW116" s="180">
        <f t="shared" ca="1" si="64"/>
        <v>0.05</v>
      </c>
      <c r="AX116" s="180">
        <f t="shared" ca="1" si="65"/>
        <v>0.05</v>
      </c>
      <c r="AY116" s="286">
        <f t="shared" ca="1" si="66"/>
        <v>0</v>
      </c>
      <c r="AZ116" s="286">
        <f t="shared" ca="1" si="67"/>
        <v>0</v>
      </c>
      <c r="BA116" s="286">
        <f t="shared" ca="1" si="68"/>
        <v>0</v>
      </c>
      <c r="BB116" s="286">
        <f t="shared" ca="1" si="69"/>
        <v>0</v>
      </c>
      <c r="BC116" s="286">
        <f t="shared" ca="1" si="70"/>
        <v>0</v>
      </c>
      <c r="BD116" s="180">
        <f t="shared" ca="1" si="71"/>
        <v>0.05</v>
      </c>
      <c r="BE116" s="180">
        <f t="shared" ca="1" si="72"/>
        <v>0.05</v>
      </c>
      <c r="BF116" s="286">
        <f t="shared" ca="1" si="73"/>
        <v>0</v>
      </c>
      <c r="BG116" s="286">
        <f t="shared" ca="1" si="74"/>
        <v>0</v>
      </c>
    </row>
    <row r="117" spans="1:59">
      <c r="A117" s="1">
        <f t="shared" ca="1" si="52"/>
        <v>10</v>
      </c>
      <c r="B117" s="1">
        <f t="shared" ca="1" si="75"/>
        <v>115</v>
      </c>
      <c r="C117" s="1">
        <f t="shared" ca="1" si="76"/>
        <v>11</v>
      </c>
      <c r="D117" s="1">
        <f ca="1">MIN($D$3,VLOOKUP(C117,OP!$S$30:$T$41,2))</f>
        <v>2</v>
      </c>
      <c r="E117" s="1">
        <f t="shared" ca="1" si="53"/>
        <v>64</v>
      </c>
      <c r="F117" s="11" t="str">
        <f t="shared" ca="1" si="54"/>
        <v/>
      </c>
      <c r="G117" s="8">
        <f t="shared" ca="1" si="83"/>
        <v>365</v>
      </c>
      <c r="H117" s="8">
        <f t="shared" ca="1" si="55"/>
        <v>30</v>
      </c>
      <c r="I117" s="8" t="str">
        <f t="shared" ca="1" si="49"/>
        <v>1011</v>
      </c>
      <c r="J117" s="13">
        <f>IF(繳費報酬率資料!$A$1=1,VALUE(OP!$C$121),VLOOKUP(A117,MP,2,0))</f>
        <v>0.05</v>
      </c>
      <c r="K117" s="14">
        <f ca="1">IF(SUM($K$4:K116,IF(繳費報酬率資料!$A$1=1,$AU117+$AV117,$BB117+$BC117))&gt;OP!$L$58,0,IF(繳費報酬率資料!$A$1=1,$AU117+$AV117,$BB117+$BC117))</f>
        <v>0</v>
      </c>
      <c r="L117" s="2"/>
      <c r="M117" s="2"/>
      <c r="N117" s="2"/>
      <c r="O117" s="261">
        <f t="shared" ca="1" si="56"/>
        <v>0</v>
      </c>
      <c r="P117" s="261">
        <f t="shared" ca="1" si="77"/>
        <v>0</v>
      </c>
      <c r="Q117" s="3">
        <f ca="1">IF(A117&gt;MAX(OP!$R$17:$R$26),0,VLOOKUP(A117,fees,3,FALSE))</f>
        <v>0</v>
      </c>
      <c r="R117" s="200" t="str">
        <f t="shared" ca="1" si="57"/>
        <v/>
      </c>
      <c r="S117" s="9" t="str">
        <f ca="1">IF(COUNTIF(($T$4:T116),"F")&gt;=1,"",IF(OR(C118&lt;&gt;$C$3,E117=""),"",A117))</f>
        <v/>
      </c>
      <c r="T117" s="20" t="str">
        <f t="shared" ca="1" si="50"/>
        <v/>
      </c>
      <c r="U117" s="2">
        <f ca="1">IF(IF(OP!$C$83=1,$Z116,IF(OP!$C$83=2,$AA116,IF(OP!$C$83=3,$AB116,)))+$K117-$O117-$P117-$AS117&lt;OP!$C$142,0,$AS117)</f>
        <v>0</v>
      </c>
      <c r="V117" s="9"/>
      <c r="W117" s="19">
        <f ca="1">MAX(SUM($K$4:K117),0)</f>
        <v>2000000</v>
      </c>
      <c r="X117" s="19"/>
      <c r="Y117" s="19">
        <f t="shared" ca="1" si="78"/>
        <v>1920000</v>
      </c>
      <c r="Z117" s="2">
        <f ca="1">IF(MIN($Z$4:Z116)=0,0,MAX(0,($Z116+$K117-$O117-$P117)*IF(AND(F117="F",$D$3&lt;&gt;$G$3),((1+(-J117))^(H117/MIN(G117,365))),((1+(-J117))^(1/12)))-$U117))</f>
        <v>1179438.9854444207</v>
      </c>
      <c r="AA117" s="2">
        <f ca="1">IF(MIN($AA$4:AA116)=0,0,MAX(0,($AA116+$K117-$O117-$P117)*IF(AND(F117="F",$D$3&lt;&gt;$G$3),((1+$AA$1)^(H117/MIN(G117,365))),((1+$AA$1)^(1/12)))-$U117))</f>
        <v>1920000</v>
      </c>
      <c r="AB117" s="2">
        <f ca="1">IF(MIN($AB$4:AB116)=0,0,MAX(0,($AB116+$K117-$O117-$P117)*IF(AND(F117="F",$D$3&lt;&gt;$G$3),((1+(J117))^(H117/MIN(G117,365))),((1+(J117))^(1/12)))-$U117))</f>
        <v>3052105.6993873678</v>
      </c>
      <c r="AC117" s="5"/>
      <c r="AD117" s="5"/>
      <c r="AE117" s="5"/>
      <c r="AF117" s="282">
        <f t="shared" ca="1" si="58"/>
        <v>1179439</v>
      </c>
      <c r="AG117" s="282">
        <f t="shared" ca="1" si="59"/>
        <v>1920000</v>
      </c>
      <c r="AH117" s="282">
        <f t="shared" ca="1" si="60"/>
        <v>3052106</v>
      </c>
      <c r="AI117" s="23" t="str">
        <f t="shared" ca="1" si="79"/>
        <v>10-7</v>
      </c>
      <c r="AJ117" s="282">
        <f ca="1">IF(E117&gt;111,,IF(AND(OP!$C$99=1,T117="F"),Z117,IF(AND(OP!$C$99=2,COUNTIF($T$4:T117,"F")=1),OP!$C$97+IF(F117="F",OP!$C$98,0),"")))</f>
        <v>54527</v>
      </c>
      <c r="AK117" s="282">
        <f ca="1">IF(E117&gt;111,,IF(AND(OP!$D$99=1,T117="F"),AA117,IF(AND(OP!$D$99=2,COUNTIF($T$4:T117,"F")=1),OP!$D$97+IF(F117="F",OP!$D$98,0),"")))</f>
        <v>74177</v>
      </c>
      <c r="AL117" s="282">
        <f ca="1">IF(E117&gt;111,,IF(AND(OP!$E$99=1,T117="F"),AB117,IF(AND(OP!$E$99=2,COUNTIF($T$4:T117,"F")=1),OP!$E$97+IF(F117="F",OP!$E$98,0),"")))</f>
        <v>99404</v>
      </c>
      <c r="AM117" s="1">
        <f t="shared" ca="1" si="61"/>
        <v>7</v>
      </c>
      <c r="AN117" s="1" t="str">
        <f ca="1">IF(OR(VLOOKUP($A117,MP,5,0)="月繳"),1,"")</f>
        <v/>
      </c>
      <c r="AO117" s="1">
        <f t="shared" ca="1" si="62"/>
        <v>0</v>
      </c>
      <c r="AP117" s="1" t="str">
        <f ca="1">IF(AND(A117&lt;=OP!$C$120,COUNTIF(PAY,C117)=1),1,"")</f>
        <v/>
      </c>
      <c r="AR117" s="301">
        <f ca="1">IF(繳費報酬率資料!$A$1=1,$AY117+$AZ117,$BF117+$BG117)</f>
        <v>0</v>
      </c>
      <c r="AS117" s="1">
        <f ca="1">IF(C117&lt;&gt;IF($C$3=1,12,$C$3-1),0,IF(繳費報酬率資料!$A$1&lt;&gt;1,VLOOKUP($A117,MP,8,0),IF(AND($A117&gt;=OP!$C$79,$A117&lt;=OP!$C$80),OP!$C$78,)))</f>
        <v>0</v>
      </c>
      <c r="AT117" s="298">
        <f t="shared" ca="1" si="63"/>
        <v>0</v>
      </c>
      <c r="AU117" s="298">
        <f ca="1">IF(AND(A117&lt;=OP!$C$120,COUNTIF(PAY,C117)=1),OP!$C$123,0)</f>
        <v>0</v>
      </c>
      <c r="AV117" s="298">
        <f ca="1">IF(AND(A117&gt;=OP!$C$132,A117&lt;=OP!$C$133,$C$3=C117),OP!$C$135,0)</f>
        <v>0</v>
      </c>
      <c r="AW117" s="180">
        <f t="shared" ca="1" si="64"/>
        <v>0.05</v>
      </c>
      <c r="AX117" s="180">
        <f t="shared" ca="1" si="65"/>
        <v>0.05</v>
      </c>
      <c r="AY117" s="286">
        <f t="shared" ca="1" si="66"/>
        <v>0</v>
      </c>
      <c r="AZ117" s="286">
        <f t="shared" ca="1" si="67"/>
        <v>0</v>
      </c>
      <c r="BA117" s="286">
        <f t="shared" ca="1" si="68"/>
        <v>0</v>
      </c>
      <c r="BB117" s="286">
        <f t="shared" ca="1" si="69"/>
        <v>0</v>
      </c>
      <c r="BC117" s="286">
        <f t="shared" ca="1" si="70"/>
        <v>0</v>
      </c>
      <c r="BD117" s="180">
        <f t="shared" ca="1" si="71"/>
        <v>0.05</v>
      </c>
      <c r="BE117" s="180">
        <f t="shared" ca="1" si="72"/>
        <v>0.05</v>
      </c>
      <c r="BF117" s="286">
        <f t="shared" ca="1" si="73"/>
        <v>0</v>
      </c>
      <c r="BG117" s="286">
        <f t="shared" ca="1" si="74"/>
        <v>0</v>
      </c>
    </row>
    <row r="118" spans="1:59">
      <c r="A118" s="1">
        <f t="shared" ca="1" si="52"/>
        <v>10</v>
      </c>
      <c r="B118" s="1">
        <f t="shared" ca="1" si="75"/>
        <v>115</v>
      </c>
      <c r="C118" s="1">
        <f t="shared" ca="1" si="76"/>
        <v>12</v>
      </c>
      <c r="D118" s="1">
        <f ca="1">MIN($D$3,VLOOKUP(C118,OP!$S$30:$T$41,2))</f>
        <v>2</v>
      </c>
      <c r="E118" s="1">
        <f t="shared" ca="1" si="53"/>
        <v>64</v>
      </c>
      <c r="F118" s="11" t="str">
        <f t="shared" ca="1" si="54"/>
        <v/>
      </c>
      <c r="G118" s="8">
        <f t="shared" ca="1" si="83"/>
        <v>365</v>
      </c>
      <c r="H118" s="8">
        <f t="shared" ca="1" si="55"/>
        <v>31</v>
      </c>
      <c r="I118" s="8" t="str">
        <f t="shared" ca="1" si="49"/>
        <v>1012</v>
      </c>
      <c r="J118" s="13">
        <f>IF(繳費報酬率資料!$A$1=1,VALUE(OP!$C$121),VLOOKUP(A118,MP,2,0))</f>
        <v>0.05</v>
      </c>
      <c r="K118" s="14">
        <f ca="1">IF(SUM($K$4:K117,IF(繳費報酬率資料!$A$1=1,$AU118+$AV118,$BB118+$BC118))&gt;OP!$L$58,0,IF(繳費報酬率資料!$A$1=1,$AU118+$AV118,$BB118+$BC118))</f>
        <v>0</v>
      </c>
      <c r="L118" s="2"/>
      <c r="M118" s="2"/>
      <c r="N118" s="2"/>
      <c r="O118" s="261">
        <f t="shared" ca="1" si="56"/>
        <v>0</v>
      </c>
      <c r="P118" s="261">
        <f t="shared" ca="1" si="77"/>
        <v>0</v>
      </c>
      <c r="Q118" s="3">
        <f ca="1">IF(A118&gt;MAX(OP!$R$17:$R$26),0,VLOOKUP(A118,fees,3,FALSE))</f>
        <v>0</v>
      </c>
      <c r="R118" s="200" t="str">
        <f t="shared" ca="1" si="57"/>
        <v/>
      </c>
      <c r="S118" s="9" t="str">
        <f ca="1">IF(COUNTIF(($T$4:T117),"F")&gt;=1,"",IF(OR(C119&lt;&gt;$C$3,E118=""),"",A118))</f>
        <v/>
      </c>
      <c r="T118" s="20" t="str">
        <f t="shared" ca="1" si="50"/>
        <v/>
      </c>
      <c r="U118" s="2">
        <f ca="1">IF(IF(OP!$C$83=1,$Z117,IF(OP!$C$83=2,$AA117,IF(OP!$C$83=3,$AB117,)))+$K118-$O118-$P118-$AS118&lt;OP!$C$142,0,$AS118)</f>
        <v>0</v>
      </c>
      <c r="V118" s="9"/>
      <c r="W118" s="19">
        <f ca="1">MAX(SUM($K$4:K118),0)</f>
        <v>2000000</v>
      </c>
      <c r="X118" s="19"/>
      <c r="Y118" s="19">
        <f t="shared" ca="1" si="78"/>
        <v>1920000</v>
      </c>
      <c r="Z118" s="2">
        <f ca="1">IF(MIN($Z$4:Z117)=0,0,MAX(0,($Z117+$K118-$O118-$P118)*IF(AND(F118="F",$D$3&lt;&gt;$G$3),((1+(-J118))^(H118/MIN(G118,365))),((1+(-J118))^(1/12)))-$U118))</f>
        <v>1174408.3021928174</v>
      </c>
      <c r="AA118" s="2">
        <f ca="1">IF(MIN($AA$4:AA117)=0,0,MAX(0,($AA117+$K118-$O118-$P118)*IF(AND(F118="F",$D$3&lt;&gt;$G$3),((1+$AA$1)^(H118/MIN(G118,365))),((1+$AA$1)^(1/12)))-$U118))</f>
        <v>1920000</v>
      </c>
      <c r="AB118" s="2">
        <f ca="1">IF(MIN($AB$4:AB117)=0,0,MAX(0,($AB117+$K118-$O118-$P118)*IF(AND(F118="F",$D$3&lt;&gt;$G$3),((1+(J118))^(H118/MIN(G118,365))),((1+(J118))^(1/12)))-$U118))</f>
        <v>3064540.3558074506</v>
      </c>
      <c r="AC118" s="5"/>
      <c r="AD118" s="5"/>
      <c r="AE118" s="5"/>
      <c r="AF118" s="282">
        <f t="shared" ca="1" si="58"/>
        <v>1174408</v>
      </c>
      <c r="AG118" s="282">
        <f t="shared" ca="1" si="59"/>
        <v>1920000</v>
      </c>
      <c r="AH118" s="282">
        <f t="shared" ca="1" si="60"/>
        <v>3064540</v>
      </c>
      <c r="AI118" s="23" t="str">
        <f t="shared" ca="1" si="79"/>
        <v>10-8</v>
      </c>
      <c r="AJ118" s="282">
        <f ca="1">IF(E118&gt;111,,IF(AND(OP!$C$99=1,T118="F"),Z118,IF(AND(OP!$C$99=2,COUNTIF($T$4:T118,"F")=1),OP!$C$97+IF(F118="F",OP!$C$98,0),"")))</f>
        <v>54527</v>
      </c>
      <c r="AK118" s="282">
        <f ca="1">IF(E118&gt;111,,IF(AND(OP!$D$99=1,T118="F"),AA118,IF(AND(OP!$D$99=2,COUNTIF($T$4:T118,"F")=1),OP!$D$97+IF(F118="F",OP!$D$98,0),"")))</f>
        <v>74177</v>
      </c>
      <c r="AL118" s="282">
        <f ca="1">IF(E118&gt;111,,IF(AND(OP!$E$99=1,T118="F"),AB118,IF(AND(OP!$E$99=2,COUNTIF($T$4:T118,"F")=1),OP!$E$97+IF(F118="F",OP!$E$98,0),"")))</f>
        <v>99404</v>
      </c>
      <c r="AM118" s="1">
        <f t="shared" ca="1" si="61"/>
        <v>8</v>
      </c>
      <c r="AN118" s="1" t="str">
        <f ca="1">IF(OR(VLOOKUP($A118,MP,5,0)="半年繳",VLOOKUP($A118,MP,5,0)="季繳",VLOOKUP($A118,MP,5,0)="月繳"),1,"")</f>
        <v/>
      </c>
      <c r="AO118" s="1">
        <f t="shared" ca="1" si="62"/>
        <v>0</v>
      </c>
      <c r="AP118" s="1" t="str">
        <f ca="1">IF(AND(A118&lt;=OP!$C$120,COUNTIF(PAY,C118)=1),1,"")</f>
        <v/>
      </c>
      <c r="AR118" s="301">
        <f ca="1">IF(繳費報酬率資料!$A$1=1,$AY118+$AZ118,$BF118+$BG118)</f>
        <v>0</v>
      </c>
      <c r="AS118" s="1">
        <f ca="1">IF(C118&lt;&gt;IF($C$3=1,12,$C$3-1),0,IF(繳費報酬率資料!$A$1&lt;&gt;1,VLOOKUP($A118,MP,8,0),IF(AND($A118&gt;=OP!$C$79,$A118&lt;=OP!$C$80),OP!$C$78,)))</f>
        <v>0</v>
      </c>
      <c r="AT118" s="298">
        <f t="shared" ca="1" si="63"/>
        <v>0</v>
      </c>
      <c r="AU118" s="298">
        <f ca="1">IF(AND(A118&lt;=OP!$C$120,COUNTIF(PAY,C118)=1),OP!$C$123,0)</f>
        <v>0</v>
      </c>
      <c r="AV118" s="298">
        <f ca="1">IF(AND(A118&gt;=OP!$C$132,A118&lt;=OP!$C$133,$C$3=C118),OP!$C$135,0)</f>
        <v>0</v>
      </c>
      <c r="AW118" s="180">
        <f t="shared" ca="1" si="64"/>
        <v>0.05</v>
      </c>
      <c r="AX118" s="180">
        <f t="shared" ca="1" si="65"/>
        <v>0.05</v>
      </c>
      <c r="AY118" s="286">
        <f t="shared" ca="1" si="66"/>
        <v>0</v>
      </c>
      <c r="AZ118" s="286">
        <f t="shared" ca="1" si="67"/>
        <v>0</v>
      </c>
      <c r="BA118" s="286">
        <f t="shared" ca="1" si="68"/>
        <v>0</v>
      </c>
      <c r="BB118" s="286">
        <f t="shared" ca="1" si="69"/>
        <v>0</v>
      </c>
      <c r="BC118" s="286">
        <f t="shared" ca="1" si="70"/>
        <v>0</v>
      </c>
      <c r="BD118" s="180">
        <f t="shared" ca="1" si="71"/>
        <v>0.05</v>
      </c>
      <c r="BE118" s="180">
        <f t="shared" ca="1" si="72"/>
        <v>0.05</v>
      </c>
      <c r="BF118" s="286">
        <f t="shared" ca="1" si="73"/>
        <v>0</v>
      </c>
      <c r="BG118" s="286">
        <f t="shared" ca="1" si="74"/>
        <v>0</v>
      </c>
    </row>
    <row r="119" spans="1:59">
      <c r="A119" s="1">
        <f t="shared" ca="1" si="52"/>
        <v>10</v>
      </c>
      <c r="B119" s="1">
        <f t="shared" ca="1" si="75"/>
        <v>116</v>
      </c>
      <c r="C119" s="1">
        <f t="shared" ca="1" si="76"/>
        <v>1</v>
      </c>
      <c r="D119" s="1">
        <f ca="1">MIN($D$3,VLOOKUP(C119,OP!$S$30:$T$41,2))</f>
        <v>2</v>
      </c>
      <c r="E119" s="1">
        <f t="shared" ca="1" si="53"/>
        <v>64</v>
      </c>
      <c r="F119" s="11" t="str">
        <f t="shared" ca="1" si="54"/>
        <v/>
      </c>
      <c r="G119" s="8">
        <f t="shared" ca="1" si="83"/>
        <v>365</v>
      </c>
      <c r="H119" s="8">
        <f t="shared" ca="1" si="55"/>
        <v>31</v>
      </c>
      <c r="I119" s="8" t="str">
        <f t="shared" ca="1" si="49"/>
        <v>101</v>
      </c>
      <c r="J119" s="13">
        <f>IF(繳費報酬率資料!$A$1=1,VALUE(OP!$C$121),VLOOKUP(A119,MP,2,0))</f>
        <v>0.05</v>
      </c>
      <c r="K119" s="14">
        <f ca="1">IF(SUM($K$4:K118,IF(繳費報酬率資料!$A$1=1,$AU119+$AV119,$BB119+$BC119))&gt;OP!$L$58,0,IF(繳費報酬率資料!$A$1=1,$AU119+$AV119,$BB119+$BC119))</f>
        <v>0</v>
      </c>
      <c r="L119" s="2"/>
      <c r="M119" s="2"/>
      <c r="N119" s="2"/>
      <c r="O119" s="261">
        <f t="shared" ca="1" si="56"/>
        <v>0</v>
      </c>
      <c r="P119" s="261">
        <f t="shared" ca="1" si="77"/>
        <v>0</v>
      </c>
      <c r="Q119" s="3">
        <f ca="1">IF(A119&gt;MAX(OP!$R$17:$R$26),0,VLOOKUP(A119,fees,3,FALSE))</f>
        <v>0</v>
      </c>
      <c r="R119" s="200" t="str">
        <f t="shared" ca="1" si="57"/>
        <v/>
      </c>
      <c r="S119" s="9" t="str">
        <f ca="1">IF(COUNTIF(($T$4:T118),"F")&gt;=1,"",IF(OR(C120&lt;&gt;$C$3,E119=""),"",A119))</f>
        <v/>
      </c>
      <c r="T119" s="20" t="str">
        <f t="shared" ca="1" si="50"/>
        <v/>
      </c>
      <c r="U119" s="2">
        <f ca="1">IF(IF(OP!$C$83=1,$Z118,IF(OP!$C$83=2,$AA118,IF(OP!$C$83=3,$AB118,)))+$K119-$O119-$P119-$AS119&lt;OP!$C$142,0,$AS119)</f>
        <v>0</v>
      </c>
      <c r="V119" s="9"/>
      <c r="W119" s="19">
        <f ca="1">MAX(SUM($K$4:K119),0)</f>
        <v>2000000</v>
      </c>
      <c r="X119" s="19"/>
      <c r="Y119" s="19">
        <f t="shared" ca="1" si="78"/>
        <v>1920000</v>
      </c>
      <c r="Z119" s="2">
        <f ca="1">IF(MIN($Z$4:Z118)=0,0,MAX(0,($Z118+$K119-$O119-$P119)*IF(AND(F119="F",$D$3&lt;&gt;$G$3),((1+(-J119))^(H119/MIN(G119,365))),((1+(-J119))^(1/12)))-$U119))</f>
        <v>1169399.0764089513</v>
      </c>
      <c r="AA119" s="2">
        <f ca="1">IF(MIN($AA$4:AA118)=0,0,MAX(0,($AA118+$K119-$O119-$P119)*IF(AND(F119="F",$D$3&lt;&gt;$G$3),((1+$AA$1)^(H119/MIN(G119,365))),((1+$AA$1)^(1/12)))-$U119))</f>
        <v>1920000</v>
      </c>
      <c r="AB119" s="2">
        <f ca="1">IF(MIN($AB$4:AB118)=0,0,MAX(0,($AB118+$K119-$O119-$P119)*IF(AND(F119="F",$D$3&lt;&gt;$G$3),((1+(J119))^(H119/MIN(G119,365))),((1+(J119))^(1/12)))-$U119))</f>
        <v>3077025.6725569959</v>
      </c>
      <c r="AC119" s="5"/>
      <c r="AD119" s="5"/>
      <c r="AE119" s="5"/>
      <c r="AF119" s="282">
        <f t="shared" ca="1" si="58"/>
        <v>1169399</v>
      </c>
      <c r="AG119" s="282">
        <f t="shared" ca="1" si="59"/>
        <v>1920000</v>
      </c>
      <c r="AH119" s="282">
        <f t="shared" ca="1" si="60"/>
        <v>3077026</v>
      </c>
      <c r="AI119" s="23" t="str">
        <f t="shared" ca="1" si="79"/>
        <v>10-9</v>
      </c>
      <c r="AJ119" s="282">
        <f ca="1">IF(E119&gt;111,,IF(AND(OP!$C$99=1,T119="F"),Z119,IF(AND(OP!$C$99=2,COUNTIF($T$4:T119,"F")=1),OP!$C$97+IF(F119="F",OP!$C$98,0),"")))</f>
        <v>54527</v>
      </c>
      <c r="AK119" s="282">
        <f ca="1">IF(E119&gt;111,,IF(AND(OP!$D$99=1,T119="F"),AA119,IF(AND(OP!$D$99=2,COUNTIF($T$4:T119,"F")=1),OP!$D$97+IF(F119="F",OP!$D$98,0),"")))</f>
        <v>74177</v>
      </c>
      <c r="AL119" s="282">
        <f ca="1">IF(E119&gt;111,,IF(AND(OP!$E$99=1,T119="F"),AB119,IF(AND(OP!$E$99=2,COUNTIF($T$4:T119,"F")=1),OP!$E$97+IF(F119="F",OP!$E$98,0),"")))</f>
        <v>99404</v>
      </c>
      <c r="AM119" s="1">
        <f t="shared" ca="1" si="61"/>
        <v>9</v>
      </c>
      <c r="AN119" s="1" t="str">
        <f ca="1">IF(OR(VLOOKUP($A119,MP,5,0)="月繳"),1,"")</f>
        <v/>
      </c>
      <c r="AO119" s="1">
        <f t="shared" ca="1" si="62"/>
        <v>0</v>
      </c>
      <c r="AP119" s="1" t="str">
        <f ca="1">IF(AND(A119&lt;=OP!$C$120,COUNTIF(PAY,C119)=1),1,"")</f>
        <v/>
      </c>
      <c r="AR119" s="301">
        <f ca="1">IF(繳費報酬率資料!$A$1=1,$AY119+$AZ119,$BF119+$BG119)</f>
        <v>0</v>
      </c>
      <c r="AS119" s="1">
        <f ca="1">IF(C119&lt;&gt;IF($C$3=1,12,$C$3-1),0,IF(繳費報酬率資料!$A$1&lt;&gt;1,VLOOKUP($A119,MP,8,0),IF(AND($A119&gt;=OP!$C$79,$A119&lt;=OP!$C$80),OP!$C$78,)))</f>
        <v>0</v>
      </c>
      <c r="AT119" s="298">
        <f t="shared" ca="1" si="63"/>
        <v>0</v>
      </c>
      <c r="AU119" s="298">
        <f ca="1">IF(AND(A119&lt;=OP!$C$120,COUNTIF(PAY,C119)=1),OP!$C$123,0)</f>
        <v>0</v>
      </c>
      <c r="AV119" s="298">
        <f ca="1">IF(AND(A119&gt;=OP!$C$132,A119&lt;=OP!$C$133,$C$3=C119),OP!$C$135,0)</f>
        <v>0</v>
      </c>
      <c r="AW119" s="180">
        <f t="shared" ca="1" si="64"/>
        <v>0.05</v>
      </c>
      <c r="AX119" s="180">
        <f t="shared" ca="1" si="65"/>
        <v>0.05</v>
      </c>
      <c r="AY119" s="286">
        <f t="shared" ca="1" si="66"/>
        <v>0</v>
      </c>
      <c r="AZ119" s="286">
        <f t="shared" ca="1" si="67"/>
        <v>0</v>
      </c>
      <c r="BA119" s="286">
        <f t="shared" ca="1" si="68"/>
        <v>0</v>
      </c>
      <c r="BB119" s="286">
        <f t="shared" ca="1" si="69"/>
        <v>0</v>
      </c>
      <c r="BC119" s="286">
        <f t="shared" ca="1" si="70"/>
        <v>0</v>
      </c>
      <c r="BD119" s="180">
        <f t="shared" ca="1" si="71"/>
        <v>0.05</v>
      </c>
      <c r="BE119" s="180">
        <f t="shared" ca="1" si="72"/>
        <v>0.05</v>
      </c>
      <c r="BF119" s="286">
        <f t="shared" ca="1" si="73"/>
        <v>0</v>
      </c>
      <c r="BG119" s="286">
        <f t="shared" ca="1" si="74"/>
        <v>0</v>
      </c>
    </row>
    <row r="120" spans="1:59">
      <c r="A120" s="1">
        <f t="shared" ca="1" si="52"/>
        <v>10</v>
      </c>
      <c r="B120" s="1">
        <f t="shared" ca="1" si="75"/>
        <v>116</v>
      </c>
      <c r="C120" s="1">
        <f t="shared" ca="1" si="76"/>
        <v>2</v>
      </c>
      <c r="D120" s="1">
        <f ca="1">MIN($D$3,VLOOKUP(C120,OP!$S$30:$T$41,2))</f>
        <v>2</v>
      </c>
      <c r="E120" s="1">
        <f t="shared" ca="1" si="53"/>
        <v>64</v>
      </c>
      <c r="F120" s="11" t="str">
        <f t="shared" ca="1" si="54"/>
        <v/>
      </c>
      <c r="G120" s="8">
        <f t="shared" ca="1" si="83"/>
        <v>365</v>
      </c>
      <c r="H120" s="8">
        <f t="shared" ca="1" si="55"/>
        <v>28</v>
      </c>
      <c r="I120" s="8" t="str">
        <f t="shared" ca="1" si="49"/>
        <v>102</v>
      </c>
      <c r="J120" s="13">
        <f>IF(繳費報酬率資料!$A$1=1,VALUE(OP!$C$121),VLOOKUP(A120,MP,2,0))</f>
        <v>0.05</v>
      </c>
      <c r="K120" s="14">
        <f ca="1">IF(SUM($K$4:K119,IF(繳費報酬率資料!$A$1=1,$AU120+$AV120,$BB120+$BC120))&gt;OP!$L$58,0,IF(繳費報酬率資料!$A$1=1,$AU120+$AV120,$BB120+$BC120))</f>
        <v>0</v>
      </c>
      <c r="L120" s="2"/>
      <c r="M120" s="2"/>
      <c r="N120" s="2"/>
      <c r="O120" s="261">
        <f t="shared" ca="1" si="56"/>
        <v>0</v>
      </c>
      <c r="P120" s="261">
        <f t="shared" ca="1" si="77"/>
        <v>0</v>
      </c>
      <c r="Q120" s="3">
        <f ca="1">IF(A120&gt;MAX(OP!$R$17:$R$26),0,VLOOKUP(A120,fees,3,FALSE))</f>
        <v>0</v>
      </c>
      <c r="R120" s="200" t="str">
        <f t="shared" ca="1" si="57"/>
        <v/>
      </c>
      <c r="S120" s="9" t="str">
        <f ca="1">IF(COUNTIF(($T$4:T119),"F")&gt;=1,"",IF(OR(C121&lt;&gt;$C$3,E120=""),"",A120))</f>
        <v/>
      </c>
      <c r="T120" s="20" t="str">
        <f t="shared" ca="1" si="50"/>
        <v/>
      </c>
      <c r="U120" s="2">
        <f ca="1">IF(IF(OP!$C$83=1,$Z119,IF(OP!$C$83=2,$AA119,IF(OP!$C$83=3,$AB119,)))+$K120-$O120-$P120-$AS120&lt;OP!$C$142,0,$AS120)</f>
        <v>0</v>
      </c>
      <c r="V120" s="9"/>
      <c r="W120" s="19">
        <f ca="1">MAX(SUM($K$4:K120),0)</f>
        <v>2000000</v>
      </c>
      <c r="X120" s="19"/>
      <c r="Y120" s="19">
        <f t="shared" ca="1" si="78"/>
        <v>1920000</v>
      </c>
      <c r="Z120" s="2">
        <f ca="1">IF(MIN($Z$4:Z119)=0,0,MAX(0,($Z119+$K120-$O120-$P120)*IF(AND(F120="F",$D$3&lt;&gt;$G$3),((1+(-J120))^(H120/MIN(G120,365))),((1+(-J120))^(1/12)))-$U120))</f>
        <v>1164411.2165698821</v>
      </c>
      <c r="AA120" s="2">
        <f ca="1">IF(MIN($AA$4:AA119)=0,0,MAX(0,($AA119+$K120-$O120-$P120)*IF(AND(F120="F",$D$3&lt;&gt;$G$3),((1+$AA$1)^(H120/MIN(G120,365))),((1+$AA$1)^(1/12)))-$U120))</f>
        <v>1920000</v>
      </c>
      <c r="AB120" s="2">
        <f ca="1">IF(MIN($AB$4:AB119)=0,0,MAX(0,($AB119+$K120-$O120-$P120)*IF(AND(F120="F",$D$3&lt;&gt;$G$3),((1+(J120))^(H120/MIN(G120,365))),((1+(J120))^(1/12)))-$U120))</f>
        <v>3089561.8560324567</v>
      </c>
      <c r="AC120" s="5"/>
      <c r="AD120" s="5"/>
      <c r="AE120" s="5"/>
      <c r="AF120" s="282">
        <f t="shared" ca="1" si="58"/>
        <v>1164411</v>
      </c>
      <c r="AG120" s="282">
        <f t="shared" ca="1" si="59"/>
        <v>1920000</v>
      </c>
      <c r="AH120" s="282">
        <f t="shared" ca="1" si="60"/>
        <v>3089562</v>
      </c>
      <c r="AI120" s="23" t="str">
        <f t="shared" ca="1" si="79"/>
        <v>10-10</v>
      </c>
      <c r="AJ120" s="282">
        <f ca="1">IF(E120&gt;111,,IF(AND(OP!$C$99=1,T120="F"),Z120,IF(AND(OP!$C$99=2,COUNTIF($T$4:T120,"F")=1),OP!$C$97+IF(F120="F",OP!$C$98,0),"")))</f>
        <v>54527</v>
      </c>
      <c r="AK120" s="282">
        <f ca="1">IF(E120&gt;111,,IF(AND(OP!$D$99=1,T120="F"),AA120,IF(AND(OP!$D$99=2,COUNTIF($T$4:T120,"F")=1),OP!$D$97+IF(F120="F",OP!$D$98,0),"")))</f>
        <v>74177</v>
      </c>
      <c r="AL120" s="282">
        <f ca="1">IF(E120&gt;111,,IF(AND(OP!$E$99=1,T120="F"),AB120,IF(AND(OP!$E$99=2,COUNTIF($T$4:T120,"F")=1),OP!$E$97+IF(F120="F",OP!$E$98,0),"")))</f>
        <v>99404</v>
      </c>
      <c r="AM120" s="1">
        <f t="shared" ca="1" si="61"/>
        <v>10</v>
      </c>
      <c r="AN120" s="1" t="str">
        <f ca="1">IF(OR(VLOOKUP($A120,MP,5,0)="月繳"),1,"")</f>
        <v/>
      </c>
      <c r="AO120" s="1">
        <f t="shared" ca="1" si="62"/>
        <v>0</v>
      </c>
      <c r="AP120" s="1" t="str">
        <f ca="1">IF(AND(A120&lt;=OP!$C$120,COUNTIF(PAY,C120)=1),1,"")</f>
        <v/>
      </c>
      <c r="AR120" s="301">
        <f ca="1">IF(繳費報酬率資料!$A$1=1,$AY120+$AZ120,$BF120+$BG120)</f>
        <v>0</v>
      </c>
      <c r="AS120" s="1">
        <f ca="1">IF(C120&lt;&gt;IF($C$3=1,12,$C$3-1),0,IF(繳費報酬率資料!$A$1&lt;&gt;1,VLOOKUP($A120,MP,8,0),IF(AND($A120&gt;=OP!$C$79,$A120&lt;=OP!$C$80),OP!$C$78,)))</f>
        <v>0</v>
      </c>
      <c r="AT120" s="298">
        <f t="shared" ca="1" si="63"/>
        <v>0</v>
      </c>
      <c r="AU120" s="298">
        <f ca="1">IF(AND(A120&lt;=OP!$C$120,COUNTIF(PAY,C120)=1),OP!$C$123,0)</f>
        <v>0</v>
      </c>
      <c r="AV120" s="298">
        <f ca="1">IF(AND(A120&gt;=OP!$C$132,A120&lt;=OP!$C$133,$C$3=C120),OP!$C$135,0)</f>
        <v>0</v>
      </c>
      <c r="AW120" s="180">
        <f t="shared" ca="1" si="64"/>
        <v>0.05</v>
      </c>
      <c r="AX120" s="180">
        <f t="shared" ca="1" si="65"/>
        <v>0.05</v>
      </c>
      <c r="AY120" s="286">
        <f t="shared" ca="1" si="66"/>
        <v>0</v>
      </c>
      <c r="AZ120" s="286">
        <f t="shared" ca="1" si="67"/>
        <v>0</v>
      </c>
      <c r="BA120" s="286">
        <f t="shared" ca="1" si="68"/>
        <v>0</v>
      </c>
      <c r="BB120" s="286">
        <f t="shared" ca="1" si="69"/>
        <v>0</v>
      </c>
      <c r="BC120" s="286">
        <f t="shared" ca="1" si="70"/>
        <v>0</v>
      </c>
      <c r="BD120" s="180">
        <f t="shared" ca="1" si="71"/>
        <v>0.05</v>
      </c>
      <c r="BE120" s="180">
        <f t="shared" ca="1" si="72"/>
        <v>0.05</v>
      </c>
      <c r="BF120" s="286">
        <f t="shared" ca="1" si="73"/>
        <v>0</v>
      </c>
      <c r="BG120" s="286">
        <f t="shared" ca="1" si="74"/>
        <v>0</v>
      </c>
    </row>
    <row r="121" spans="1:59">
      <c r="A121" s="1">
        <f t="shared" ca="1" si="52"/>
        <v>10</v>
      </c>
      <c r="B121" s="1">
        <f t="shared" ca="1" si="75"/>
        <v>116</v>
      </c>
      <c r="C121" s="1">
        <f t="shared" ca="1" si="76"/>
        <v>3</v>
      </c>
      <c r="D121" s="1">
        <f ca="1">MIN($D$3,VLOOKUP(C121,OP!$S$30:$T$41,2))</f>
        <v>2</v>
      </c>
      <c r="E121" s="1">
        <f t="shared" ca="1" si="53"/>
        <v>64</v>
      </c>
      <c r="F121" s="11" t="str">
        <f t="shared" ca="1" si="54"/>
        <v/>
      </c>
      <c r="G121" s="8">
        <f t="shared" ca="1" si="83"/>
        <v>365</v>
      </c>
      <c r="H121" s="8">
        <f t="shared" ca="1" si="55"/>
        <v>31</v>
      </c>
      <c r="I121" s="8" t="str">
        <f t="shared" ca="1" si="49"/>
        <v>103</v>
      </c>
      <c r="J121" s="13">
        <f>IF(繳費報酬率資料!$A$1=1,VALUE(OP!$C$121),VLOOKUP(A121,MP,2,0))</f>
        <v>0.05</v>
      </c>
      <c r="K121" s="14">
        <f ca="1">IF(SUM($K$4:K120,IF(繳費報酬率資料!$A$1=1,$AU121+$AV121,$BB121+$BC121))&gt;OP!$L$58,0,IF(繳費報酬率資料!$A$1=1,$AU121+$AV121,$BB121+$BC121))</f>
        <v>0</v>
      </c>
      <c r="L121" s="2"/>
      <c r="M121" s="2"/>
      <c r="N121" s="2"/>
      <c r="O121" s="261">
        <f t="shared" ca="1" si="56"/>
        <v>0</v>
      </c>
      <c r="P121" s="261">
        <f t="shared" ca="1" si="77"/>
        <v>0</v>
      </c>
      <c r="Q121" s="3">
        <f ca="1">IF(A121&gt;MAX(OP!$R$17:$R$26),0,VLOOKUP(A121,fees,3,FALSE))</f>
        <v>0</v>
      </c>
      <c r="R121" s="200" t="str">
        <f t="shared" ca="1" si="57"/>
        <v/>
      </c>
      <c r="S121" s="9" t="str">
        <f ca="1">IF(COUNTIF(($T$4:T120),"F")&gt;=1,"",IF(OR(C122&lt;&gt;$C$3,E121=""),"",A121))</f>
        <v/>
      </c>
      <c r="T121" s="20" t="str">
        <f t="shared" ca="1" si="50"/>
        <v/>
      </c>
      <c r="U121" s="2">
        <f ca="1">IF(IF(OP!$C$83=1,$Z120,IF(OP!$C$83=2,$AA120,IF(OP!$C$83=3,$AB120,)))+$K121-$O121-$P121-$AS121&lt;OP!$C$142,0,$AS121)</f>
        <v>0</v>
      </c>
      <c r="V121" s="9"/>
      <c r="W121" s="19">
        <f ca="1">MAX(SUM($K$4:K121),0)</f>
        <v>2000000</v>
      </c>
      <c r="X121" s="19"/>
      <c r="Y121" s="19">
        <f t="shared" ca="1" si="78"/>
        <v>1920000</v>
      </c>
      <c r="Z121" s="2">
        <f ca="1">IF(MIN($Z$4:Z120)=0,0,MAX(0,($Z120+$K121-$O121-$P121)*IF(AND(F121="F",$D$3&lt;&gt;$G$3),((1+(-J121))^(H121/MIN(G121,365))),((1+(-J121))^(1/12)))-$U121))</f>
        <v>1159444.6315430445</v>
      </c>
      <c r="AA121" s="2">
        <f ca="1">IF(MIN($AA$4:AA120)=0,0,MAX(0,($AA120+$K121-$O121-$P121)*IF(AND(F121="F",$D$3&lt;&gt;$G$3),((1+$AA$1)^(H121/MIN(G121,365))),((1+$AA$1)^(1/12)))-$U121))</f>
        <v>1920000</v>
      </c>
      <c r="AB121" s="2">
        <f ca="1">IF(MIN($AB$4:AB120)=0,0,MAX(0,($AB120+$K121-$O121-$P121)*IF(AND(F121="F",$D$3&lt;&gt;$G$3),((1+(J121))^(H121/MIN(G121,365))),((1+(J121))^(1/12)))-$U121))</f>
        <v>3102149.1134711714</v>
      </c>
      <c r="AC121" s="5"/>
      <c r="AD121" s="5"/>
      <c r="AE121" s="5"/>
      <c r="AF121" s="282">
        <f t="shared" ca="1" si="58"/>
        <v>1159445</v>
      </c>
      <c r="AG121" s="282">
        <f t="shared" ca="1" si="59"/>
        <v>1920000</v>
      </c>
      <c r="AH121" s="282">
        <f t="shared" ca="1" si="60"/>
        <v>3102149</v>
      </c>
      <c r="AI121" s="23" t="str">
        <f t="shared" ca="1" si="79"/>
        <v>10-11</v>
      </c>
      <c r="AJ121" s="282">
        <f ca="1">IF(E121&gt;111,,IF(AND(OP!$C$99=1,T121="F"),Z121,IF(AND(OP!$C$99=2,COUNTIF($T$4:T121,"F")=1),OP!$C$97+IF(F121="F",OP!$C$98,0),"")))</f>
        <v>54527</v>
      </c>
      <c r="AK121" s="282">
        <f ca="1">IF(E121&gt;111,,IF(AND(OP!$D$99=1,T121="F"),AA121,IF(AND(OP!$D$99=2,COUNTIF($T$4:T121,"F")=1),OP!$D$97+IF(F121="F",OP!$D$98,0),"")))</f>
        <v>74177</v>
      </c>
      <c r="AL121" s="282">
        <f ca="1">IF(E121&gt;111,,IF(AND(OP!$E$99=1,T121="F"),AB121,IF(AND(OP!$E$99=2,COUNTIF($T$4:T121,"F")=1),OP!$E$97+IF(F121="F",OP!$E$98,0),"")))</f>
        <v>99404</v>
      </c>
      <c r="AM121" s="1">
        <f t="shared" ca="1" si="61"/>
        <v>11</v>
      </c>
      <c r="AN121" s="1" t="str">
        <f ca="1">IF(OR(VLOOKUP($A121,MP,5,0)="季繳",VLOOKUP($A121,MP,5,0)="月繳"),1,"")</f>
        <v/>
      </c>
      <c r="AO121" s="1">
        <f t="shared" ca="1" si="62"/>
        <v>0</v>
      </c>
      <c r="AP121" s="1" t="str">
        <f ca="1">IF(AND(A121&lt;=OP!$C$120,COUNTIF(PAY,C121)=1),1,"")</f>
        <v/>
      </c>
      <c r="AR121" s="301">
        <f ca="1">IF(繳費報酬率資料!$A$1=1,$AY121+$AZ121,$BF121+$BG121)</f>
        <v>0</v>
      </c>
      <c r="AS121" s="1">
        <f ca="1">IF(C121&lt;&gt;IF($C$3=1,12,$C$3-1),0,IF(繳費報酬率資料!$A$1&lt;&gt;1,VLOOKUP($A121,MP,8,0),IF(AND($A121&gt;=OP!$C$79,$A121&lt;=OP!$C$80),OP!$C$78,)))</f>
        <v>0</v>
      </c>
      <c r="AT121" s="298">
        <f t="shared" ca="1" si="63"/>
        <v>0</v>
      </c>
      <c r="AU121" s="298">
        <f ca="1">IF(AND(A121&lt;=OP!$C$120,COUNTIF(PAY,C121)=1),OP!$C$123,0)</f>
        <v>0</v>
      </c>
      <c r="AV121" s="298">
        <f ca="1">IF(AND(A121&gt;=OP!$C$132,A121&lt;=OP!$C$133,$C$3=C121),OP!$C$135,0)</f>
        <v>0</v>
      </c>
      <c r="AW121" s="180">
        <f t="shared" ca="1" si="64"/>
        <v>0.05</v>
      </c>
      <c r="AX121" s="180">
        <f t="shared" ca="1" si="65"/>
        <v>0.05</v>
      </c>
      <c r="AY121" s="286">
        <f t="shared" ca="1" si="66"/>
        <v>0</v>
      </c>
      <c r="AZ121" s="286">
        <f t="shared" ca="1" si="67"/>
        <v>0</v>
      </c>
      <c r="BA121" s="286">
        <f t="shared" ca="1" si="68"/>
        <v>0</v>
      </c>
      <c r="BB121" s="286">
        <f t="shared" ca="1" si="69"/>
        <v>0</v>
      </c>
      <c r="BC121" s="286">
        <f t="shared" ca="1" si="70"/>
        <v>0</v>
      </c>
      <c r="BD121" s="180">
        <f t="shared" ca="1" si="71"/>
        <v>0.05</v>
      </c>
      <c r="BE121" s="180">
        <f t="shared" ca="1" si="72"/>
        <v>0.05</v>
      </c>
      <c r="BF121" s="286">
        <f t="shared" ca="1" si="73"/>
        <v>0</v>
      </c>
      <c r="BG121" s="286">
        <f t="shared" ca="1" si="74"/>
        <v>0</v>
      </c>
    </row>
    <row r="122" spans="1:59">
      <c r="A122" s="1">
        <f t="shared" ca="1" si="52"/>
        <v>10</v>
      </c>
      <c r="B122" s="1">
        <f t="shared" ca="1" si="75"/>
        <v>116</v>
      </c>
      <c r="C122" s="1">
        <f t="shared" ca="1" si="76"/>
        <v>4</v>
      </c>
      <c r="D122" s="1">
        <f ca="1">MIN($D$3,VLOOKUP(C122,OP!$S$30:$T$41,2))</f>
        <v>2</v>
      </c>
      <c r="E122" s="1">
        <f t="shared" ca="1" si="53"/>
        <v>64</v>
      </c>
      <c r="F122" s="11" t="str">
        <f t="shared" ca="1" si="54"/>
        <v/>
      </c>
      <c r="G122" s="8">
        <f t="shared" ca="1" si="83"/>
        <v>365</v>
      </c>
      <c r="H122" s="8">
        <f t="shared" ca="1" si="55"/>
        <v>30</v>
      </c>
      <c r="I122" s="8" t="str">
        <f t="shared" ca="1" si="49"/>
        <v>104</v>
      </c>
      <c r="J122" s="13">
        <f>IF(繳費報酬率資料!$A$1=1,VALUE(OP!$C$121),VLOOKUP(A122,MP,2,0))</f>
        <v>0.05</v>
      </c>
      <c r="K122" s="14">
        <f ca="1">IF(SUM($K$4:K121,IF(繳費報酬率資料!$A$1=1,$AU122+$AV122,$BB122+$BC122))&gt;OP!$L$58,0,IF(繳費報酬率資料!$A$1=1,$AU122+$AV122,$BB122+$BC122))</f>
        <v>0</v>
      </c>
      <c r="L122" s="2"/>
      <c r="M122" s="2"/>
      <c r="N122" s="2"/>
      <c r="O122" s="261">
        <f t="shared" ca="1" si="56"/>
        <v>0</v>
      </c>
      <c r="P122" s="261">
        <f t="shared" ca="1" si="77"/>
        <v>0</v>
      </c>
      <c r="Q122" s="3">
        <f ca="1">IF(A122&gt;MAX(OP!$R$17:$R$26),0,VLOOKUP(A122,fees,3,FALSE))</f>
        <v>0</v>
      </c>
      <c r="R122" s="200" t="str">
        <f t="shared" ca="1" si="57"/>
        <v/>
      </c>
      <c r="S122" s="9" t="str">
        <f ca="1">IF(COUNTIF(($T$4:T121),"F")&gt;=1,"",IF(OR(C123&lt;&gt;$C$3,E122=""),"",A122))</f>
        <v/>
      </c>
      <c r="T122" s="20" t="str">
        <f t="shared" ca="1" si="50"/>
        <v/>
      </c>
      <c r="U122" s="2">
        <f ca="1">IF(IF(OP!$C$83=1,$Z121,IF(OP!$C$83=2,$AA121,IF(OP!$C$83=3,$AB121,)))+$K122-$O122-$P122-$AS122&lt;OP!$C$142,0,$AS122)</f>
        <v>0</v>
      </c>
      <c r="V122" s="9"/>
      <c r="W122" s="19">
        <f ca="1">MAX(SUM($K$4:K122),0)</f>
        <v>2000000</v>
      </c>
      <c r="X122" s="19"/>
      <c r="Y122" s="19">
        <f t="shared" ca="1" si="78"/>
        <v>1920000</v>
      </c>
      <c r="Z122" s="2">
        <f ca="1">IF(MIN($Z$4:Z121)=0,0,MAX(0,($Z121+$K122-$O122-$P122)*IF(AND(F122="F",$D$3&lt;&gt;$G$3),((1+(-J122))^(H122/MIN(G122,365))),((1+(-J122))^(1/12)))-$U122))</f>
        <v>1154499.2305845821</v>
      </c>
      <c r="AA122" s="2">
        <f ca="1">IF(MIN($AA$4:AA121)=0,0,MAX(0,($AA121+$K122-$O122-$P122)*IF(AND(F122="F",$D$3&lt;&gt;$G$3),((1+$AA$1)^(H122/MIN(G122,365))),((1+$AA$1)^(1/12)))-$U122))</f>
        <v>1920000</v>
      </c>
      <c r="AB122" s="2">
        <f ca="1">IF(MIN($AB$4:AB121)=0,0,MAX(0,($AB121+$K122-$O122-$P122)*IF(AND(F122="F",$D$3&lt;&gt;$G$3),((1+(J122))^(H122/MIN(G122,365))),((1+(J122))^(1/12)))-$U122))</f>
        <v>3114787.6529547879</v>
      </c>
      <c r="AC122" s="5"/>
      <c r="AD122" s="5"/>
      <c r="AE122" s="5"/>
      <c r="AF122" s="282">
        <f t="shared" ca="1" si="58"/>
        <v>1154499</v>
      </c>
      <c r="AG122" s="282">
        <f t="shared" ca="1" si="59"/>
        <v>1920000</v>
      </c>
      <c r="AH122" s="282">
        <f t="shared" ca="1" si="60"/>
        <v>3114788</v>
      </c>
      <c r="AI122" s="23" t="str">
        <f t="shared" ca="1" si="79"/>
        <v>10-12</v>
      </c>
      <c r="AJ122" s="282">
        <f ca="1">IF(E122&gt;111,,IF(AND(OP!$C$99=1,T122="F"),Z122,IF(AND(OP!$C$99=2,COUNTIF($T$4:T122,"F")=1),OP!$C$97+IF(F122="F",OP!$C$98,0),"")))</f>
        <v>54527</v>
      </c>
      <c r="AK122" s="282">
        <f ca="1">IF(E122&gt;111,,IF(AND(OP!$D$99=1,T122="F"),AA122,IF(AND(OP!$D$99=2,COUNTIF($T$4:T122,"F")=1),OP!$D$97+IF(F122="F",OP!$D$98,0),"")))</f>
        <v>74177</v>
      </c>
      <c r="AL122" s="282">
        <f ca="1">IF(E122&gt;111,,IF(AND(OP!$E$99=1,T122="F"),AB122,IF(AND(OP!$E$99=2,COUNTIF($T$4:T122,"F")=1),OP!$E$97+IF(F122="F",OP!$E$98,0),"")))</f>
        <v>99404</v>
      </c>
      <c r="AM122" s="1">
        <f t="shared" ca="1" si="61"/>
        <v>12</v>
      </c>
      <c r="AN122" s="1" t="str">
        <f ca="1">IF(OR(VLOOKUP($A122,MP,5,0)="月繳"),1,"")</f>
        <v/>
      </c>
      <c r="AO122" s="1">
        <f t="shared" ca="1" si="62"/>
        <v>0</v>
      </c>
      <c r="AP122" s="1" t="str">
        <f ca="1">IF(AND(A122&lt;=OP!$C$120,COUNTIF(PAY,C122)=1),1,"")</f>
        <v/>
      </c>
      <c r="AR122" s="301">
        <f ca="1">IF(繳費報酬率資料!$A$1=1,$AY122+$AZ122,$BF122+$BG122)</f>
        <v>0</v>
      </c>
      <c r="AS122" s="1">
        <f ca="1">IF(C122&lt;&gt;IF($C$3=1,12,$C$3-1),0,IF(繳費報酬率資料!$A$1&lt;&gt;1,VLOOKUP($A122,MP,8,0),IF(AND($A122&gt;=OP!$C$79,$A122&lt;=OP!$C$80),OP!$C$78,)))</f>
        <v>0</v>
      </c>
      <c r="AT122" s="298">
        <f t="shared" ca="1" si="63"/>
        <v>0</v>
      </c>
      <c r="AU122" s="298">
        <f ca="1">IF(AND(A122&lt;=OP!$C$120,COUNTIF(PAY,C122)=1),OP!$C$123,0)</f>
        <v>0</v>
      </c>
      <c r="AV122" s="298">
        <f ca="1">IF(AND(A122&gt;=OP!$C$132,A122&lt;=OP!$C$133,$C$3=C122),OP!$C$135,0)</f>
        <v>0</v>
      </c>
      <c r="AW122" s="180">
        <f t="shared" ca="1" si="64"/>
        <v>0.05</v>
      </c>
      <c r="AX122" s="180">
        <f t="shared" ca="1" si="65"/>
        <v>0.05</v>
      </c>
      <c r="AY122" s="286">
        <f t="shared" ca="1" si="66"/>
        <v>0</v>
      </c>
      <c r="AZ122" s="286">
        <f t="shared" ca="1" si="67"/>
        <v>0</v>
      </c>
      <c r="BA122" s="286">
        <f t="shared" ca="1" si="68"/>
        <v>0</v>
      </c>
      <c r="BB122" s="286">
        <f t="shared" ca="1" si="69"/>
        <v>0</v>
      </c>
      <c r="BC122" s="286">
        <f t="shared" ca="1" si="70"/>
        <v>0</v>
      </c>
      <c r="BD122" s="180">
        <f t="shared" ca="1" si="71"/>
        <v>0.05</v>
      </c>
      <c r="BE122" s="180">
        <f t="shared" ca="1" si="72"/>
        <v>0.05</v>
      </c>
      <c r="BF122" s="286">
        <f t="shared" ca="1" si="73"/>
        <v>0</v>
      </c>
      <c r="BG122" s="286">
        <f t="shared" ca="1" si="74"/>
        <v>0</v>
      </c>
    </row>
    <row r="123" spans="1:59">
      <c r="A123" s="1">
        <f t="shared" ca="1" si="52"/>
        <v>10</v>
      </c>
      <c r="B123" s="1">
        <f t="shared" ca="1" si="75"/>
        <v>116</v>
      </c>
      <c r="C123" s="1">
        <f t="shared" ca="1" si="76"/>
        <v>5</v>
      </c>
      <c r="D123" s="1">
        <f ca="1">MIN($D$3,VLOOKUP(C123,OP!$S$30:$T$41,2))</f>
        <v>2</v>
      </c>
      <c r="E123" s="1">
        <f t="shared" ca="1" si="53"/>
        <v>64</v>
      </c>
      <c r="F123" s="11" t="str">
        <f t="shared" ca="1" si="54"/>
        <v/>
      </c>
      <c r="G123" s="8">
        <f t="shared" ca="1" si="83"/>
        <v>365</v>
      </c>
      <c r="H123" s="8">
        <f t="shared" ca="1" si="55"/>
        <v>31</v>
      </c>
      <c r="I123" s="8" t="str">
        <f t="shared" ca="1" si="49"/>
        <v>105</v>
      </c>
      <c r="J123" s="13">
        <f>IF(繳費報酬率資料!$A$1=1,VALUE(OP!$C$121),VLOOKUP(A123,MP,2,0))</f>
        <v>0.05</v>
      </c>
      <c r="K123" s="14">
        <f ca="1">IF(SUM($K$4:K122,IF(繳費報酬率資料!$A$1=1,$AU123+$AV123,$BB123+$BC123))&gt;OP!$L$58,0,IF(繳費報酬率資料!$A$1=1,$AU123+$AV123,$BB123+$BC123))</f>
        <v>0</v>
      </c>
      <c r="L123" s="2">
        <f ca="1">ROUND(IF(OP!$C$78&lt;(IF(OR($T123="F",$E123&gt;=111),0,Z122+$K123-$O123+IF($C$1=1,OP!$C$78,IF($C124=$C$3,SUM(AC112:AC123,0)))))*5%,0,(OP!$C$78-((IF(OR($T123="F",$E123&gt;=111),0,Z122+$K123-$O123+IF($C$1=1,AC123,IF($C124=$C$3,SUM(AC112:AC123,0)))))*5%))*$Q123),0)</f>
        <v>0</v>
      </c>
      <c r="M123" s="2">
        <f ca="1">ROUND(IF(OP!$C$78&lt;(IF(OR($T123="F",$E123&gt;=111),0,AA122+$K123-$O123+IF($C$1=1,AD123,IF($C124=$C$3,SUM(AD112:AD123,0)))))*5%,0,(OP!$C$78-((IF(OR($T123="F",$E123&gt;=111),0,AA122+$K123-$O123+IF($C$1=1,AD123,IF($C124=$C$3,SUM(AD112:AD123,0)))))*5%))*$Q123),0)</f>
        <v>0</v>
      </c>
      <c r="N123" s="2">
        <f ca="1">ROUND(IF(OP!$C$78&lt;(IF(OR($T123="F",$E123&gt;=111),0,AB122+$K123-$O123+IF($C$1=1,AE123,IF($C124=$C$3,SUM(AE112:AE123,0)))))*5%,0,(OP!$C$78-((IF(OR($T123="F",$E123&gt;=111),0,AB122+$K123-$O123+IF($C$1=1,AE123,IF($C124=$C$3,SUM(AE112:AE123,0)))))*5%))*$Q123),0)</f>
        <v>0</v>
      </c>
      <c r="O123" s="261">
        <f t="shared" ca="1" si="56"/>
        <v>0</v>
      </c>
      <c r="P123" s="261">
        <f t="shared" ca="1" si="77"/>
        <v>0</v>
      </c>
      <c r="Q123" s="3">
        <f ca="1">IF(A123&gt;MAX(OP!$R$17:$R$26),0,VLOOKUP(A123,fees,3,FALSE))</f>
        <v>0</v>
      </c>
      <c r="R123" s="200">
        <f t="shared" ca="1" si="57"/>
        <v>10</v>
      </c>
      <c r="S123" s="9" t="str">
        <f ca="1">IF(COUNTIF(($T$4:T122),"F")&gt;=1,"",IF(OR(C124&lt;&gt;$C$3,E123=""),"",A123))</f>
        <v/>
      </c>
      <c r="T123" s="20" t="str">
        <f t="shared" ca="1" si="50"/>
        <v/>
      </c>
      <c r="U123" s="2">
        <f ca="1">IF(IF(OP!$C$83=1,$Z122,IF(OP!$C$83=2,$AA122,IF(OP!$C$83=3,$AB122,)))+$K123-$O123-$P123-$AS123&lt;OP!$C$142,0,$AS123)</f>
        <v>0</v>
      </c>
      <c r="V123" s="19">
        <f ca="1">SUM(K112:K123)</f>
        <v>0</v>
      </c>
      <c r="W123" s="19">
        <f ca="1">MAX(SUM($K$4:K123),0)</f>
        <v>2000000</v>
      </c>
      <c r="X123" s="19">
        <f ca="1">SUM(O112:P123)</f>
        <v>0</v>
      </c>
      <c r="Y123" s="19">
        <f t="shared" ca="1" si="78"/>
        <v>1920000</v>
      </c>
      <c r="Z123" s="2">
        <f ca="1">IF(MIN($Z$4:Z122)=0,0,MAX(0,($Z122+$K123-$O123-$P123)*IF(AND(F123="F",$D$3&lt;&gt;$G$3),((1+(-J123))^(H123/MIN(G123,365))),((1+(-J123))^(1/12)))-$U123))</f>
        <v>1149574.9233376903</v>
      </c>
      <c r="AA123" s="2">
        <f ca="1">IF(MIN($AA$4:AA122)=0,0,MAX(0,($AA122+$K123-$O123-$P123)*IF(AND(F123="F",$D$3&lt;&gt;$G$3),((1+$AA$1)^(H123/MIN(G123,365))),((1+$AA$1)^(1/12)))-$U123))</f>
        <v>1920000</v>
      </c>
      <c r="AB123" s="2">
        <f ca="1">IF(MIN($AB$4:AB122)=0,0,MAX(0,($AB122+$K123-$O123-$P123)*IF(AND(F123="F",$D$3&lt;&gt;$G$3),((1+(J123))^(H123/MIN(G123,365))),((1+(J123))^(1/12)))-$U123))</f>
        <v>3127477.6834127051</v>
      </c>
      <c r="AC123" s="5"/>
      <c r="AD123" s="5"/>
      <c r="AE123" s="5"/>
      <c r="AF123" s="282">
        <f t="shared" ca="1" si="58"/>
        <v>1149575</v>
      </c>
      <c r="AG123" s="282">
        <f t="shared" ca="1" si="59"/>
        <v>1920000</v>
      </c>
      <c r="AH123" s="282">
        <f t="shared" ca="1" si="60"/>
        <v>3127478</v>
      </c>
      <c r="AI123" s="23" t="str">
        <f t="shared" ca="1" si="79"/>
        <v>11-1</v>
      </c>
      <c r="AJ123" s="282">
        <f ca="1">IF(E123&gt;111,,IF(AND(OP!$C$99=1,T123="F"),Z123,IF(AND(OP!$C$99=2,COUNTIF($T$4:T123,"F")=1),OP!$C$97+IF(F123="F",OP!$C$98,0),"")))</f>
        <v>54527</v>
      </c>
      <c r="AK123" s="282">
        <f ca="1">IF(E123&gt;111,,IF(AND(OP!$D$99=1,T123="F"),AA123,IF(AND(OP!$D$99=2,COUNTIF($T$4:T123,"F")=1),OP!$D$97+IF(F123="F",OP!$D$98,0),"")))</f>
        <v>74177</v>
      </c>
      <c r="AL123" s="282">
        <f ca="1">IF(E123&gt;111,,IF(AND(OP!$E$99=1,T123="F"),AB123,IF(AND(OP!$E$99=2,COUNTIF($T$4:T123,"F")=1),OP!$E$97+IF(F123="F",OP!$E$98,0),"")))</f>
        <v>99404</v>
      </c>
      <c r="AM123" s="1">
        <f t="shared" ca="1" si="61"/>
        <v>1</v>
      </c>
      <c r="AN123" s="1" t="str">
        <f ca="1">IF(OR(VLOOKUP($A123,MP,5,0)="月繳"),1,"")</f>
        <v/>
      </c>
      <c r="AO123" s="1">
        <f t="shared" ca="1" si="62"/>
        <v>0</v>
      </c>
      <c r="AP123" s="1" t="str">
        <f ca="1">IF(AND(A123&lt;=OP!$C$120,COUNTIF(PAY,C123)=1),1,"")</f>
        <v/>
      </c>
      <c r="AR123" s="301">
        <f ca="1">IF(繳費報酬率資料!$A$1=1,$AY123+$AZ123,$BF123+$BG123)</f>
        <v>0</v>
      </c>
      <c r="AS123" s="1">
        <f ca="1">IF(C123&lt;&gt;IF($C$3=1,12,$C$3-1),0,IF(繳費報酬率資料!$A$1&lt;&gt;1,VLOOKUP($A123,MP,8,0),IF(AND($A123&gt;=OP!$C$79,$A123&lt;=OP!$C$80),OP!$C$78,)))</f>
        <v>0</v>
      </c>
      <c r="AT123" s="298">
        <f t="shared" ca="1" si="63"/>
        <v>0</v>
      </c>
      <c r="AU123" s="298">
        <f ca="1">IF(AND(A123&lt;=OP!$C$120,COUNTIF(PAY,C123)=1),OP!$C$123,0)</f>
        <v>0</v>
      </c>
      <c r="AV123" s="298">
        <f ca="1">IF(AND(A123&gt;=OP!$C$132,A123&lt;=OP!$C$133,$C$3=C123),OP!$C$135,0)</f>
        <v>0</v>
      </c>
      <c r="AW123" s="180">
        <f t="shared" ca="1" si="64"/>
        <v>0.05</v>
      </c>
      <c r="AX123" s="180">
        <f t="shared" ca="1" si="65"/>
        <v>0.05</v>
      </c>
      <c r="AY123" s="286">
        <f t="shared" ca="1" si="66"/>
        <v>0</v>
      </c>
      <c r="AZ123" s="286">
        <f t="shared" ca="1" si="67"/>
        <v>0</v>
      </c>
      <c r="BA123" s="286">
        <f t="shared" ca="1" si="68"/>
        <v>0</v>
      </c>
      <c r="BB123" s="286">
        <f t="shared" ca="1" si="69"/>
        <v>0</v>
      </c>
      <c r="BC123" s="286">
        <f t="shared" ca="1" si="70"/>
        <v>0</v>
      </c>
      <c r="BD123" s="180">
        <f t="shared" ca="1" si="71"/>
        <v>0.05</v>
      </c>
      <c r="BE123" s="180">
        <f t="shared" ca="1" si="72"/>
        <v>0.05</v>
      </c>
      <c r="BF123" s="286">
        <f t="shared" ca="1" si="73"/>
        <v>0</v>
      </c>
      <c r="BG123" s="286">
        <f t="shared" ca="1" si="74"/>
        <v>0</v>
      </c>
    </row>
    <row r="124" spans="1:59">
      <c r="A124" s="1">
        <f t="shared" ca="1" si="52"/>
        <v>11</v>
      </c>
      <c r="B124" s="1">
        <f t="shared" ref="B124:B135" ca="1" si="84">IF(C124=1,B123+1,B123)</f>
        <v>116</v>
      </c>
      <c r="C124" s="1">
        <f t="shared" ref="C124:C135" ca="1" si="85">IF(C123=12,1,C123+1)</f>
        <v>6</v>
      </c>
      <c r="D124" s="1">
        <f ca="1">MIN($D$3,VLOOKUP(C124,OP!$S$30:$T$41,2))</f>
        <v>2</v>
      </c>
      <c r="E124" s="1">
        <f t="shared" ref="E124:E135" ca="1" si="86">IF($K$1+A124-1&gt;$D$1,"",$K$1+A124-1)</f>
        <v>65</v>
      </c>
      <c r="F124" s="11" t="str">
        <f t="shared" ca="1" si="54"/>
        <v/>
      </c>
      <c r="G124" s="6">
        <f ca="1">DATEDIF(DATE(B124+1911,C124,D124),DATE(B136+1911,C136,D136),"d")</f>
        <v>366</v>
      </c>
      <c r="H124" s="8">
        <f t="shared" ca="1" si="55"/>
        <v>30</v>
      </c>
      <c r="I124" s="8" t="str">
        <f t="shared" ca="1" si="49"/>
        <v>116</v>
      </c>
      <c r="J124" s="13">
        <f>IF(繳費報酬率資料!$A$1=1,VALUE(OP!$C$121),VLOOKUP(A124,MP,2,0))</f>
        <v>0.05</v>
      </c>
      <c r="K124" s="14">
        <f ca="1">IF(SUM($K$4:K123,IF(繳費報酬率資料!$A$1=1,$AU124+$AV124,$BB124+$BC124))&gt;OP!$L$58,0,IF(繳費報酬率資料!$A$1=1,$AU124+$AV124,$BB124+$BC124))</f>
        <v>0</v>
      </c>
      <c r="L124" s="2"/>
      <c r="M124" s="2"/>
      <c r="N124" s="2"/>
      <c r="O124" s="261">
        <f t="shared" ca="1" si="56"/>
        <v>0</v>
      </c>
      <c r="P124" s="261">
        <f t="shared" ca="1" si="77"/>
        <v>0</v>
      </c>
      <c r="Q124" s="3">
        <f ca="1">IF(A124&gt;MAX(OP!$R$17:$R$26),0,VLOOKUP(A124,fees,3,FALSE))</f>
        <v>0</v>
      </c>
      <c r="R124" s="200" t="str">
        <f t="shared" ca="1" si="57"/>
        <v/>
      </c>
      <c r="S124" s="9" t="str">
        <f ca="1">IF(COUNTIF(($T$4:T123),"F")&gt;=1,"",IF(OR(C125&lt;&gt;$C$3,E124=""),"",A124))</f>
        <v/>
      </c>
      <c r="T124" s="20" t="str">
        <f t="shared" ref="T124:T135" ca="1" si="87">IF(F124&lt;&gt;"","F","")</f>
        <v/>
      </c>
      <c r="U124" s="2">
        <f ca="1">IF(IF(OP!$C$83=1,$Z123,IF(OP!$C$83=2,$AA123,IF(OP!$C$83=3,$AB123,)))+$K124-$O124-$P124-$AS124&lt;OP!$C$142,0,$AS124)</f>
        <v>0</v>
      </c>
      <c r="V124" s="9"/>
      <c r="W124" s="19">
        <f ca="1">MAX(SUM($K$4:K124),0)</f>
        <v>2000000</v>
      </c>
      <c r="X124" s="19"/>
      <c r="Y124" s="19">
        <f t="shared" ca="1" si="78"/>
        <v>1920000</v>
      </c>
      <c r="Z124" s="2">
        <f ca="1">IF(MIN($Z$4:Z123)=0,0,MAX(0,($Z123+$K124-$O124-$P124)*IF(AND(F124="F",$D$3&lt;&gt;$G$3),((1+(-J124))^(H124/MIN(G124,365))),((1+(-J124))^(1/12)))-$U124))</f>
        <v>1144671.6198309653</v>
      </c>
      <c r="AA124" s="2">
        <f ca="1">IF(MIN($AA$4:AA123)=0,0,MAX(0,($AA123+$K124-$O124-$P124)*IF(AND(F124="F",$D$3&lt;&gt;$G$3),((1+$AA$1)^(H124/MIN(G124,365))),((1+$AA$1)^(1/12)))-$U124))</f>
        <v>1920000</v>
      </c>
      <c r="AB124" s="2">
        <f ca="1">IF(MIN($AB$4:AB123)=0,0,MAX(0,($AB123+$K124-$O124-$P124)*IF(AND(F124="F",$D$3&lt;&gt;$G$3),((1+(J124))^(H124/MIN(G124,365))),((1+(J124))^(1/12)))-$U124))</f>
        <v>3140219.4146255264</v>
      </c>
      <c r="AC124" s="21"/>
      <c r="AD124" s="21"/>
      <c r="AE124" s="21"/>
      <c r="AF124" s="282">
        <f t="shared" ca="1" si="58"/>
        <v>1144672</v>
      </c>
      <c r="AG124" s="282">
        <f t="shared" ca="1" si="59"/>
        <v>1920000</v>
      </c>
      <c r="AH124" s="282">
        <f t="shared" ca="1" si="60"/>
        <v>3140219</v>
      </c>
      <c r="AI124" s="23" t="str">
        <f t="shared" ca="1" si="79"/>
        <v>11-2</v>
      </c>
      <c r="AJ124" s="281">
        <f ca="1">IF(E124&gt;111,,IF(AND(OP!$C$99=1,T124="F"),Z124,IF(AND(OP!$C$99=2,COUNTIF($T$4:T124,"F")=1),OP!$C$97+IF(F124="F",OP!$C$98,0),"")))</f>
        <v>54527</v>
      </c>
      <c r="AK124" s="281">
        <f ca="1">IF(E124&gt;111,,IF(AND(OP!$D$99=1,T124="F"),AA124,IF(AND(OP!$D$99=2,COUNTIF($T$4:T124,"F")=1),OP!$D$97+IF(F124="F",OP!$D$98,0),"")))</f>
        <v>74177</v>
      </c>
      <c r="AL124" s="281">
        <f ca="1">IF(E124&gt;111,,IF(AND(OP!$E$99=1,T124="F"),AB124,IF(AND(OP!$E$99=2,COUNTIF($T$4:T124,"F")=1),OP!$E$97+IF(F124="F",OP!$E$98,0),"")))</f>
        <v>99404</v>
      </c>
      <c r="AM124" s="1">
        <f t="shared" ref="AM124:AM187" ca="1" si="88">IF(AND(AK124&lt;&gt;"",AM123=""),1,IF(AND(AK124&lt;&gt;"",AM123&gt;0),IF(AM123=12,1,AM123+1),""))</f>
        <v>2</v>
      </c>
      <c r="AN124" s="1">
        <f ca="1">IF(OR(VLOOKUP($A124,MP,5,0)="年繳",VLOOKUP($A124,MP,5,0)="半年繳",VLOOKUP($A124,MP,5,0)="季繳",VLOOKUP($A124,MP,5,0)="月繳"),1,"")</f>
        <v>1</v>
      </c>
      <c r="AO124" s="1">
        <f t="shared" ca="1" si="62"/>
        <v>0</v>
      </c>
      <c r="AP124" s="1" t="str">
        <f ca="1">IF(AND(A124&lt;=OP!$C$120,COUNTIF(PAY,C124)=1),1,"")</f>
        <v/>
      </c>
      <c r="AR124" s="301">
        <f ca="1">IF(繳費報酬率資料!$A$1=1,$AY124+$AZ124,$BF124+$BG124)</f>
        <v>0</v>
      </c>
      <c r="AS124" s="1">
        <f ca="1">IF(C124&lt;&gt;IF($C$3=1,12,$C$3-1),0,IF(繳費報酬率資料!$A$1&lt;&gt;1,VLOOKUP($A124,MP,8,0),IF(AND($A124&gt;=OP!$C$79,$A124&lt;=OP!$C$80),OP!$C$78,)))</f>
        <v>0</v>
      </c>
      <c r="AT124" s="298">
        <f t="shared" ca="1" si="63"/>
        <v>0</v>
      </c>
      <c r="AU124" s="298">
        <f ca="1">IF(AND(A124&lt;=OP!$C$120,COUNTIF(PAY,C124)=1),OP!$C$123,0)</f>
        <v>0</v>
      </c>
      <c r="AV124" s="298">
        <f ca="1">IF(AND(A124&gt;=OP!$C$132,A124&lt;=OP!$C$133,$C$3=C124),OP!$C$135,0)</f>
        <v>0</v>
      </c>
      <c r="AW124" s="180">
        <f t="shared" ca="1" si="64"/>
        <v>0.05</v>
      </c>
      <c r="AX124" s="180">
        <f t="shared" ca="1" si="65"/>
        <v>0.05</v>
      </c>
      <c r="AY124" s="286">
        <f t="shared" ca="1" si="66"/>
        <v>0</v>
      </c>
      <c r="AZ124" s="286">
        <f t="shared" ca="1" si="67"/>
        <v>0</v>
      </c>
      <c r="BA124" s="286">
        <f t="shared" ca="1" si="68"/>
        <v>0</v>
      </c>
      <c r="BB124" s="286">
        <f t="shared" ca="1" si="69"/>
        <v>0</v>
      </c>
      <c r="BC124" s="286">
        <f t="shared" ca="1" si="70"/>
        <v>0</v>
      </c>
      <c r="BD124" s="180">
        <f t="shared" ca="1" si="71"/>
        <v>0.05</v>
      </c>
      <c r="BE124" s="180">
        <f t="shared" ca="1" si="72"/>
        <v>0.05</v>
      </c>
      <c r="BF124" s="286">
        <f t="shared" ca="1" si="73"/>
        <v>0</v>
      </c>
      <c r="BG124" s="286">
        <f t="shared" ca="1" si="74"/>
        <v>0</v>
      </c>
    </row>
    <row r="125" spans="1:59">
      <c r="A125" s="1">
        <f t="shared" ca="1" si="52"/>
        <v>11</v>
      </c>
      <c r="B125" s="1">
        <f t="shared" ca="1" si="84"/>
        <v>116</v>
      </c>
      <c r="C125" s="1">
        <f t="shared" ca="1" si="85"/>
        <v>7</v>
      </c>
      <c r="D125" s="1">
        <f ca="1">MIN($D$3,VLOOKUP(C125,OP!$S$30:$T$41,2))</f>
        <v>2</v>
      </c>
      <c r="E125" s="1">
        <f t="shared" ca="1" si="86"/>
        <v>65</v>
      </c>
      <c r="F125" s="11" t="str">
        <f t="shared" ca="1" si="54"/>
        <v/>
      </c>
      <c r="G125" s="8">
        <f t="shared" ref="G125:G135" ca="1" si="89">G124</f>
        <v>366</v>
      </c>
      <c r="H125" s="8">
        <f t="shared" ca="1" si="55"/>
        <v>31</v>
      </c>
      <c r="I125" s="8" t="str">
        <f t="shared" ca="1" si="49"/>
        <v>117</v>
      </c>
      <c r="J125" s="13">
        <f>IF(繳費報酬率資料!$A$1=1,VALUE(OP!$C$121),VLOOKUP(A125,MP,2,0))</f>
        <v>0.05</v>
      </c>
      <c r="K125" s="14">
        <f ca="1">IF(SUM($K$4:K124,IF(繳費報酬率資料!$A$1=1,$AU125+$AV125,$BB125+$BC125))&gt;OP!$L$58,0,IF(繳費報酬率資料!$A$1=1,$AU125+$AV125,$BB125+$BC125))</f>
        <v>0</v>
      </c>
      <c r="L125" s="2"/>
      <c r="M125" s="2"/>
      <c r="N125" s="2"/>
      <c r="O125" s="261">
        <f t="shared" ca="1" si="56"/>
        <v>0</v>
      </c>
      <c r="P125" s="261">
        <f t="shared" ca="1" si="77"/>
        <v>0</v>
      </c>
      <c r="Q125" s="3">
        <f ca="1">IF(A125&gt;MAX(OP!$R$17:$R$26),0,VLOOKUP(A125,fees,3,FALSE))</f>
        <v>0</v>
      </c>
      <c r="R125" s="200" t="str">
        <f t="shared" ca="1" si="57"/>
        <v/>
      </c>
      <c r="S125" s="9" t="str">
        <f ca="1">IF(COUNTIF(($T$4:T124),"F")&gt;=1,"",IF(OR(C126&lt;&gt;$C$3,E125=""),"",A125))</f>
        <v/>
      </c>
      <c r="T125" s="20" t="str">
        <f t="shared" ca="1" si="87"/>
        <v/>
      </c>
      <c r="U125" s="2">
        <f ca="1">IF(IF(OP!$C$83=1,$Z124,IF(OP!$C$83=2,$AA124,IF(OP!$C$83=3,$AB124,)))+$K125-$O125-$P125-$AS125&lt;OP!$C$142,0,$AS125)</f>
        <v>0</v>
      </c>
      <c r="V125" s="9"/>
      <c r="W125" s="19">
        <f ca="1">MAX(SUM($K$4:K125),0)</f>
        <v>2000000</v>
      </c>
      <c r="X125" s="19"/>
      <c r="Y125" s="19">
        <f t="shared" ca="1" si="78"/>
        <v>1920000</v>
      </c>
      <c r="Z125" s="2">
        <f ca="1">IF(MIN($Z$4:Z124)=0,0,MAX(0,($Z124+$K125-$O125-$P125)*IF(AND(F125="F",$D$3&lt;&gt;$G$3),((1+(-J125))^(H125/MIN(G125,365))),((1+(-J125))^(1/12)))-$U125))</f>
        <v>1139789.2304767596</v>
      </c>
      <c r="AA125" s="2">
        <f ca="1">IF(MIN($AA$4:AA124)=0,0,MAX(0,($AA124+$K125-$O125-$P125)*IF(AND(F125="F",$D$3&lt;&gt;$G$3),((1+$AA$1)^(H125/MIN(G125,365))),((1+$AA$1)^(1/12)))-$U125))</f>
        <v>1920000</v>
      </c>
      <c r="AB125" s="2">
        <f ca="1">IF(MIN($AB$4:AB124)=0,0,MAX(0,($AB124+$K125-$O125-$P125)*IF(AND(F125="F",$D$3&lt;&gt;$G$3),((1+(J125))^(H125/MIN(G125,365))),((1+(J125))^(1/12)))-$U125))</f>
        <v>3153013.0572285266</v>
      </c>
      <c r="AC125" s="5"/>
      <c r="AD125" s="5"/>
      <c r="AE125" s="5"/>
      <c r="AF125" s="282">
        <f t="shared" ca="1" si="58"/>
        <v>1139789</v>
      </c>
      <c r="AG125" s="282">
        <f t="shared" ca="1" si="59"/>
        <v>1920000</v>
      </c>
      <c r="AH125" s="282">
        <f t="shared" ca="1" si="60"/>
        <v>3153013</v>
      </c>
      <c r="AI125" s="23" t="str">
        <f t="shared" ca="1" si="79"/>
        <v>11-3</v>
      </c>
      <c r="AJ125" s="282">
        <f ca="1">IF(E125&gt;111,,IF(AND(OP!$C$99=1,T125="F"),Z125,IF(AND(OP!$C$99=2,COUNTIF($T$4:T125,"F")=1),OP!$C$97+IF(F125="F",OP!$C$98,0),"")))</f>
        <v>54527</v>
      </c>
      <c r="AK125" s="282">
        <f ca="1">IF(E125&gt;111,,IF(AND(OP!$D$99=1,T125="F"),AA125,IF(AND(OP!$D$99=2,COUNTIF($T$4:T125,"F")=1),OP!$D$97+IF(F125="F",OP!$D$98,0),"")))</f>
        <v>74177</v>
      </c>
      <c r="AL125" s="282">
        <f ca="1">IF(E125&gt;111,,IF(AND(OP!$E$99=1,T125="F"),AB125,IF(AND(OP!$E$99=2,COUNTIF($T$4:T125,"F")=1),OP!$E$97+IF(F125="F",OP!$E$98,0),"")))</f>
        <v>99404</v>
      </c>
      <c r="AM125" s="1">
        <f t="shared" ca="1" si="88"/>
        <v>3</v>
      </c>
      <c r="AN125" s="1" t="str">
        <f ca="1">IF(OR(VLOOKUP($A125,MP,5,0)="月繳"),1,"")</f>
        <v/>
      </c>
      <c r="AO125" s="1">
        <f t="shared" ca="1" si="62"/>
        <v>0</v>
      </c>
      <c r="AP125" s="1" t="str">
        <f ca="1">IF(AND(A125&lt;=OP!$C$120,COUNTIF(PAY,C125)=1),1,"")</f>
        <v/>
      </c>
      <c r="AR125" s="301">
        <f ca="1">IF(繳費報酬率資料!$A$1=1,$AY125+$AZ125,$BF125+$BG125)</f>
        <v>0</v>
      </c>
      <c r="AS125" s="1">
        <f ca="1">IF(C125&lt;&gt;IF($C$3=1,12,$C$3-1),0,IF(繳費報酬率資料!$A$1&lt;&gt;1,VLOOKUP($A125,MP,8,0),IF(AND($A125&gt;=OP!$C$79,$A125&lt;=OP!$C$80),OP!$C$78,)))</f>
        <v>0</v>
      </c>
      <c r="AT125" s="298">
        <f t="shared" ca="1" si="63"/>
        <v>0</v>
      </c>
      <c r="AU125" s="298">
        <f ca="1">IF(AND(A125&lt;=OP!$C$120,COUNTIF(PAY,C125)=1),OP!$C$123,0)</f>
        <v>0</v>
      </c>
      <c r="AV125" s="298">
        <f ca="1">IF(AND(A125&gt;=OP!$C$132,A125&lt;=OP!$C$133,$C$3=C125),OP!$C$135,0)</f>
        <v>0</v>
      </c>
      <c r="AW125" s="180">
        <f t="shared" ca="1" si="64"/>
        <v>0.05</v>
      </c>
      <c r="AX125" s="180">
        <f t="shared" ca="1" si="65"/>
        <v>0.05</v>
      </c>
      <c r="AY125" s="286">
        <f t="shared" ca="1" si="66"/>
        <v>0</v>
      </c>
      <c r="AZ125" s="286">
        <f t="shared" ca="1" si="67"/>
        <v>0</v>
      </c>
      <c r="BA125" s="286">
        <f t="shared" ca="1" si="68"/>
        <v>0</v>
      </c>
      <c r="BB125" s="286">
        <f t="shared" ca="1" si="69"/>
        <v>0</v>
      </c>
      <c r="BC125" s="286">
        <f t="shared" ca="1" si="70"/>
        <v>0</v>
      </c>
      <c r="BD125" s="180">
        <f t="shared" ca="1" si="71"/>
        <v>0.05</v>
      </c>
      <c r="BE125" s="180">
        <f t="shared" ca="1" si="72"/>
        <v>0.05</v>
      </c>
      <c r="BF125" s="286">
        <f t="shared" ca="1" si="73"/>
        <v>0</v>
      </c>
      <c r="BG125" s="286">
        <f t="shared" ca="1" si="74"/>
        <v>0</v>
      </c>
    </row>
    <row r="126" spans="1:59">
      <c r="A126" s="1">
        <f t="shared" ca="1" si="52"/>
        <v>11</v>
      </c>
      <c r="B126" s="1">
        <f t="shared" ca="1" si="84"/>
        <v>116</v>
      </c>
      <c r="C126" s="1">
        <f t="shared" ca="1" si="85"/>
        <v>8</v>
      </c>
      <c r="D126" s="1">
        <f ca="1">MIN($D$3,VLOOKUP(C126,OP!$S$30:$T$41,2))</f>
        <v>2</v>
      </c>
      <c r="E126" s="1">
        <f t="shared" ca="1" si="86"/>
        <v>65</v>
      </c>
      <c r="F126" s="11" t="str">
        <f t="shared" ca="1" si="54"/>
        <v/>
      </c>
      <c r="G126" s="8">
        <f t="shared" ca="1" si="89"/>
        <v>366</v>
      </c>
      <c r="H126" s="8">
        <f ca="1">DATEDIF(DATE(B126+1911,C126,D126),IF(F126="F",DATE($E$3+1911,$F$3,$G$3),DATE(B127+1911,C127,D127)),"d")</f>
        <v>31</v>
      </c>
      <c r="I126" s="8" t="str">
        <f t="shared" ca="1" si="49"/>
        <v>118</v>
      </c>
      <c r="J126" s="13">
        <f>IF(繳費報酬率資料!$A$1=1,VALUE(OP!$C$121),VLOOKUP(A126,MP,2,0))</f>
        <v>0.05</v>
      </c>
      <c r="K126" s="14">
        <f ca="1">IF(SUM($K$4:K125,IF(繳費報酬率資料!$A$1=1,$AU126+$AV126,$BB126+$BC126))&gt;OP!$L$58,0,IF(繳費報酬率資料!$A$1=1,$AU126+$AV126,$BB126+$BC126))</f>
        <v>0</v>
      </c>
      <c r="L126" s="2"/>
      <c r="M126" s="2"/>
      <c r="N126" s="2"/>
      <c r="O126" s="261">
        <f t="shared" ca="1" si="56"/>
        <v>0</v>
      </c>
      <c r="P126" s="261">
        <f t="shared" ca="1" si="77"/>
        <v>0</v>
      </c>
      <c r="Q126" s="3">
        <f ca="1">IF(A126&gt;MAX(OP!$R$17:$R$26),0,VLOOKUP(A126,fees,3,FALSE))</f>
        <v>0</v>
      </c>
      <c r="R126" s="200" t="str">
        <f t="shared" ca="1" si="57"/>
        <v/>
      </c>
      <c r="S126" s="9" t="str">
        <f ca="1">IF(COUNTIF(($T$4:T125),"F")&gt;=1,"",IF(OR(C127&lt;&gt;$C$3,E126=""),"",A126))</f>
        <v/>
      </c>
      <c r="T126" s="20" t="str">
        <f t="shared" ca="1" si="87"/>
        <v/>
      </c>
      <c r="U126" s="2">
        <f ca="1">IF(IF(OP!$C$83=1,$Z125,IF(OP!$C$83=2,$AA125,IF(OP!$C$83=3,$AB125,)))+$K126-$O126-$P126-$AS126&lt;OP!$C$142,0,$AS126)</f>
        <v>0</v>
      </c>
      <c r="V126" s="9"/>
      <c r="W126" s="19">
        <f ca="1">MAX(SUM($K$4:K126),0)</f>
        <v>2000000</v>
      </c>
      <c r="X126" s="19"/>
      <c r="Y126" s="19">
        <f t="shared" ca="1" si="78"/>
        <v>1920000</v>
      </c>
      <c r="Z126" s="2">
        <f ca="1">IF(MIN($Z$4:Z125)=0,0,MAX(0,($Z125+$K126-$O126-$P126)*IF(AND(F126="F",$D$3&lt;&gt;$G$3),((1+(-J126))^(H126/MIN(G126,365))),((1+(-J126))^(1/12)))-$U126))</f>
        <v>1134927.6660695458</v>
      </c>
      <c r="AA126" s="2">
        <f ca="1">IF(MIN($AA$4:AA125)=0,0,MAX(0,($AA125+$K126-$O126-$P126)*IF(AND(F126="F",$D$3&lt;&gt;$G$3),((1+$AA$1)^(H126/MIN(G126,365))),((1+$AA$1)^(1/12)))-$U126))</f>
        <v>1920000</v>
      </c>
      <c r="AB126" s="2">
        <f ca="1">IF(MIN($AB$4:AB125)=0,0,MAX(0,($AB125+$K126-$O126-$P126)*IF(AND(F126="F",$D$3&lt;&gt;$G$3),((1+(J126))^(H126/MIN(G126,365))),((1+(J126))^(1/12)))-$U126))</f>
        <v>3165858.8227151353</v>
      </c>
      <c r="AC126" s="5"/>
      <c r="AD126" s="5"/>
      <c r="AE126" s="5"/>
      <c r="AF126" s="282">
        <f t="shared" ca="1" si="58"/>
        <v>1134928</v>
      </c>
      <c r="AG126" s="282">
        <f t="shared" ca="1" si="59"/>
        <v>1920000</v>
      </c>
      <c r="AH126" s="282">
        <f t="shared" ca="1" si="60"/>
        <v>3165859</v>
      </c>
      <c r="AI126" s="23" t="str">
        <f t="shared" ca="1" si="79"/>
        <v>11-4</v>
      </c>
      <c r="AJ126" s="282">
        <f ca="1">IF(E126&gt;111,,IF(AND(OP!$C$99=1,T126="F"),Z126,IF(AND(OP!$C$99=2,COUNTIF($T$4:T126,"F")=1),OP!$C$97+IF(F126="F",OP!$C$98,0),"")))</f>
        <v>54527</v>
      </c>
      <c r="AK126" s="282">
        <f ca="1">IF(E126&gt;111,,IF(AND(OP!$D$99=1,T126="F"),AA126,IF(AND(OP!$D$99=2,COUNTIF($T$4:T126,"F")=1),OP!$D$97+IF(F126="F",OP!$D$98,0),"")))</f>
        <v>74177</v>
      </c>
      <c r="AL126" s="282">
        <f ca="1">IF(E126&gt;111,,IF(AND(OP!$E$99=1,T126="F"),AB126,IF(AND(OP!$E$99=2,COUNTIF($T$4:T126,"F")=1),OP!$E$97+IF(F126="F",OP!$E$98,0),"")))</f>
        <v>99404</v>
      </c>
      <c r="AM126" s="1">
        <f t="shared" ca="1" si="88"/>
        <v>4</v>
      </c>
      <c r="AN126" s="1" t="str">
        <f ca="1">IF(OR(VLOOKUP($A126,MP,5,0)="月繳"),1,"")</f>
        <v/>
      </c>
      <c r="AO126" s="1">
        <f t="shared" ca="1" si="62"/>
        <v>0</v>
      </c>
      <c r="AP126" s="1" t="str">
        <f ca="1">IF(AND(A126&lt;=OP!$C$120,COUNTIF(PAY,C126)=1),1,"")</f>
        <v/>
      </c>
      <c r="AR126" s="301">
        <f ca="1">IF(繳費報酬率資料!$A$1=1,$AY126+$AZ126,$BF126+$BG126)</f>
        <v>0</v>
      </c>
      <c r="AS126" s="1">
        <f ca="1">IF(C126&lt;&gt;IF($C$3=1,12,$C$3-1),0,IF(繳費報酬率資料!$A$1&lt;&gt;1,VLOOKUP($A126,MP,8,0),IF(AND($A126&gt;=OP!$C$79,$A126&lt;=OP!$C$80),OP!$C$78,)))</f>
        <v>0</v>
      </c>
      <c r="AT126" s="298">
        <f t="shared" ca="1" si="63"/>
        <v>0</v>
      </c>
      <c r="AU126" s="298">
        <f ca="1">IF(AND(A126&lt;=OP!$C$120,COUNTIF(PAY,C126)=1),OP!$C$123,0)</f>
        <v>0</v>
      </c>
      <c r="AV126" s="298">
        <f ca="1">IF(AND(A126&gt;=OP!$C$132,A126&lt;=OP!$C$133,$C$3=C126),OP!$C$135,0)</f>
        <v>0</v>
      </c>
      <c r="AW126" s="180">
        <f t="shared" ca="1" si="64"/>
        <v>0.05</v>
      </c>
      <c r="AX126" s="180">
        <f t="shared" ca="1" si="65"/>
        <v>0.05</v>
      </c>
      <c r="AY126" s="286">
        <f t="shared" ca="1" si="66"/>
        <v>0</v>
      </c>
      <c r="AZ126" s="286">
        <f t="shared" ca="1" si="67"/>
        <v>0</v>
      </c>
      <c r="BA126" s="286">
        <f t="shared" ca="1" si="68"/>
        <v>0</v>
      </c>
      <c r="BB126" s="286">
        <f t="shared" ca="1" si="69"/>
        <v>0</v>
      </c>
      <c r="BC126" s="286">
        <f t="shared" ca="1" si="70"/>
        <v>0</v>
      </c>
      <c r="BD126" s="180">
        <f t="shared" ca="1" si="71"/>
        <v>0.05</v>
      </c>
      <c r="BE126" s="180">
        <f t="shared" ca="1" si="72"/>
        <v>0.05</v>
      </c>
      <c r="BF126" s="286">
        <f t="shared" ca="1" si="73"/>
        <v>0</v>
      </c>
      <c r="BG126" s="286">
        <f t="shared" ca="1" si="74"/>
        <v>0</v>
      </c>
    </row>
    <row r="127" spans="1:59">
      <c r="A127" s="1">
        <f t="shared" ca="1" si="52"/>
        <v>11</v>
      </c>
      <c r="B127" s="1">
        <f t="shared" ca="1" si="84"/>
        <v>116</v>
      </c>
      <c r="C127" s="1">
        <f t="shared" ca="1" si="85"/>
        <v>9</v>
      </c>
      <c r="D127" s="1">
        <f ca="1">MIN($D$3,VLOOKUP(C127,OP!$S$30:$T$41,2))</f>
        <v>2</v>
      </c>
      <c r="E127" s="1">
        <f t="shared" ca="1" si="86"/>
        <v>65</v>
      </c>
      <c r="F127" s="11" t="str">
        <f t="shared" ca="1" si="54"/>
        <v/>
      </c>
      <c r="G127" s="8">
        <f t="shared" ca="1" si="89"/>
        <v>366</v>
      </c>
      <c r="H127" s="8">
        <f t="shared" ca="1" si="55"/>
        <v>30</v>
      </c>
      <c r="I127" s="8" t="str">
        <f t="shared" ca="1" si="49"/>
        <v>119</v>
      </c>
      <c r="J127" s="13">
        <f>IF(繳費報酬率資料!$A$1=1,VALUE(OP!$C$121),VLOOKUP(A127,MP,2,0))</f>
        <v>0.05</v>
      </c>
      <c r="K127" s="14">
        <f ca="1">IF(SUM($K$4:K126,IF(繳費報酬率資料!$A$1=1,$AU127+$AV127,$BB127+$BC127))&gt;OP!$L$58,0,IF(繳費報酬率資料!$A$1=1,$AU127+$AV127,$BB127+$BC127))</f>
        <v>0</v>
      </c>
      <c r="L127" s="2"/>
      <c r="M127" s="2"/>
      <c r="N127" s="2"/>
      <c r="O127" s="261">
        <f t="shared" ca="1" si="56"/>
        <v>0</v>
      </c>
      <c r="P127" s="261">
        <f t="shared" ca="1" si="77"/>
        <v>0</v>
      </c>
      <c r="Q127" s="3">
        <f ca="1">IF(A127&gt;MAX(OP!$R$17:$R$26),0,VLOOKUP(A127,fees,3,FALSE))</f>
        <v>0</v>
      </c>
      <c r="R127" s="200" t="str">
        <f t="shared" ca="1" si="57"/>
        <v/>
      </c>
      <c r="S127" s="9" t="str">
        <f ca="1">IF(COUNTIF(($T$4:T126),"F")&gt;=1,"",IF(OR(C128&lt;&gt;$C$3,E127=""),"",A127))</f>
        <v/>
      </c>
      <c r="T127" s="20" t="str">
        <f t="shared" ca="1" si="87"/>
        <v/>
      </c>
      <c r="U127" s="2">
        <f ca="1">IF(IF(OP!$C$83=1,$Z126,IF(OP!$C$83=2,$AA126,IF(OP!$C$83=3,$AB126,)))+$K127-$O127-$P127-$AS127&lt;OP!$C$142,0,$AS127)</f>
        <v>0</v>
      </c>
      <c r="V127" s="9"/>
      <c r="W127" s="19">
        <f ca="1">MAX(SUM($K$4:K127),0)</f>
        <v>2000000</v>
      </c>
      <c r="X127" s="19"/>
      <c r="Y127" s="19">
        <f t="shared" ca="1" si="78"/>
        <v>1920000</v>
      </c>
      <c r="Z127" s="2">
        <f ca="1">IF(MIN($Z$4:Z126)=0,0,MAX(0,($Z126+$K127-$O127-$P127)*IF(AND(F127="F",$D$3&lt;&gt;$G$3),((1+(-J127))^(H127/MIN(G127,365))),((1+(-J127))^(1/12)))-$U127))</f>
        <v>1130086.8377842864</v>
      </c>
      <c r="AA127" s="2">
        <f ca="1">IF(MIN($AA$4:AA126)=0,0,MAX(0,($AA126+$K127-$O127-$P127)*IF(AND(F127="F",$D$3&lt;&gt;$G$3),((1+$AA$1)^(H127/MIN(G127,365))),((1+$AA$1)^(1/12)))-$U127))</f>
        <v>1920000</v>
      </c>
      <c r="AB127" s="2">
        <f ca="1">IF(MIN($AB$4:AB126)=0,0,MAX(0,($AB126+$K127-$O127-$P127)*IF(AND(F127="F",$D$3&lt;&gt;$G$3),((1+(J127))^(H127/MIN(G127,365))),((1+(J127))^(1/12)))-$U127))</f>
        <v>3178756.9234404322</v>
      </c>
      <c r="AC127" s="5"/>
      <c r="AD127" s="5"/>
      <c r="AE127" s="5"/>
      <c r="AF127" s="282">
        <f t="shared" ca="1" si="58"/>
        <v>1130087</v>
      </c>
      <c r="AG127" s="282">
        <f t="shared" ca="1" si="59"/>
        <v>1920000</v>
      </c>
      <c r="AH127" s="282">
        <f t="shared" ca="1" si="60"/>
        <v>3178757</v>
      </c>
      <c r="AI127" s="23" t="str">
        <f t="shared" ca="1" si="79"/>
        <v>11-5</v>
      </c>
      <c r="AJ127" s="282">
        <f ca="1">IF(E127&gt;111,,IF(AND(OP!$C$99=1,T127="F"),Z127,IF(AND(OP!$C$99=2,COUNTIF($T$4:T127,"F")=1),OP!$C$97+IF(F127="F",OP!$C$98,0),"")))</f>
        <v>54527</v>
      </c>
      <c r="AK127" s="282">
        <f ca="1">IF(E127&gt;111,,IF(AND(OP!$D$99=1,T127="F"),AA127,IF(AND(OP!$D$99=2,COUNTIF($T$4:T127,"F")=1),OP!$D$97+IF(F127="F",OP!$D$98,0),"")))</f>
        <v>74177</v>
      </c>
      <c r="AL127" s="282">
        <f ca="1">IF(E127&gt;111,,IF(AND(OP!$E$99=1,T127="F"),AB127,IF(AND(OP!$E$99=2,COUNTIF($T$4:T127,"F")=1),OP!$E$97+IF(F127="F",OP!$E$98,0),"")))</f>
        <v>99404</v>
      </c>
      <c r="AM127" s="1">
        <f t="shared" ca="1" si="88"/>
        <v>5</v>
      </c>
      <c r="AN127" s="1" t="str">
        <f ca="1">IF(OR(VLOOKUP($A127,MP,5,0)="季繳",VLOOKUP($A127,MP,5,0)="月繳"),1,"")</f>
        <v/>
      </c>
      <c r="AO127" s="1">
        <f t="shared" ca="1" si="62"/>
        <v>0</v>
      </c>
      <c r="AP127" s="1" t="str">
        <f ca="1">IF(AND(A127&lt;=OP!$C$120,COUNTIF(PAY,C127)=1),1,"")</f>
        <v/>
      </c>
      <c r="AR127" s="301">
        <f ca="1">IF(繳費報酬率資料!$A$1=1,$AY127+$AZ127,$BF127+$BG127)</f>
        <v>0</v>
      </c>
      <c r="AS127" s="1">
        <f ca="1">IF(C127&lt;&gt;IF($C$3=1,12,$C$3-1),0,IF(繳費報酬率資料!$A$1&lt;&gt;1,VLOOKUP($A127,MP,8,0),IF(AND($A127&gt;=OP!$C$79,$A127&lt;=OP!$C$80),OP!$C$78,)))</f>
        <v>0</v>
      </c>
      <c r="AT127" s="298">
        <f t="shared" ca="1" si="63"/>
        <v>0</v>
      </c>
      <c r="AU127" s="298">
        <f ca="1">IF(AND(A127&lt;=OP!$C$120,COUNTIF(PAY,C127)=1),OP!$C$123,0)</f>
        <v>0</v>
      </c>
      <c r="AV127" s="298">
        <f ca="1">IF(AND(A127&gt;=OP!$C$132,A127&lt;=OP!$C$133,$C$3=C127),OP!$C$135,0)</f>
        <v>0</v>
      </c>
      <c r="AW127" s="180">
        <f t="shared" ca="1" si="64"/>
        <v>0.05</v>
      </c>
      <c r="AX127" s="180">
        <f t="shared" ca="1" si="65"/>
        <v>0.05</v>
      </c>
      <c r="AY127" s="286">
        <f t="shared" ca="1" si="66"/>
        <v>0</v>
      </c>
      <c r="AZ127" s="286">
        <f t="shared" ca="1" si="67"/>
        <v>0</v>
      </c>
      <c r="BA127" s="286">
        <f t="shared" ca="1" si="68"/>
        <v>0</v>
      </c>
      <c r="BB127" s="286">
        <f t="shared" ca="1" si="69"/>
        <v>0</v>
      </c>
      <c r="BC127" s="286">
        <f t="shared" ca="1" si="70"/>
        <v>0</v>
      </c>
      <c r="BD127" s="180">
        <f t="shared" ca="1" si="71"/>
        <v>0.05</v>
      </c>
      <c r="BE127" s="180">
        <f t="shared" ca="1" si="72"/>
        <v>0.05</v>
      </c>
      <c r="BF127" s="286">
        <f t="shared" ca="1" si="73"/>
        <v>0</v>
      </c>
      <c r="BG127" s="286">
        <f t="shared" ca="1" si="74"/>
        <v>0</v>
      </c>
    </row>
    <row r="128" spans="1:59">
      <c r="A128" s="1">
        <f t="shared" ca="1" si="52"/>
        <v>11</v>
      </c>
      <c r="B128" s="1">
        <f t="shared" ca="1" si="84"/>
        <v>116</v>
      </c>
      <c r="C128" s="1">
        <f t="shared" ca="1" si="85"/>
        <v>10</v>
      </c>
      <c r="D128" s="1">
        <f ca="1">MIN($D$3,VLOOKUP(C128,OP!$S$30:$T$41,2))</f>
        <v>2</v>
      </c>
      <c r="E128" s="1">
        <f t="shared" ca="1" si="86"/>
        <v>65</v>
      </c>
      <c r="F128" s="11" t="str">
        <f t="shared" ca="1" si="54"/>
        <v/>
      </c>
      <c r="G128" s="8">
        <f t="shared" ca="1" si="89"/>
        <v>366</v>
      </c>
      <c r="H128" s="8">
        <f t="shared" ca="1" si="55"/>
        <v>31</v>
      </c>
      <c r="I128" s="8" t="str">
        <f t="shared" ca="1" si="49"/>
        <v>1110</v>
      </c>
      <c r="J128" s="13">
        <f>IF(繳費報酬率資料!$A$1=1,VALUE(OP!$C$121),VLOOKUP(A128,MP,2,0))</f>
        <v>0.05</v>
      </c>
      <c r="K128" s="14">
        <f ca="1">IF(SUM($K$4:K127,IF(繳費報酬率資料!$A$1=1,$AU128+$AV128,$BB128+$BC128))&gt;OP!$L$58,0,IF(繳費報酬率資料!$A$1=1,$AU128+$AV128,$BB128+$BC128))</f>
        <v>0</v>
      </c>
      <c r="L128" s="2"/>
      <c r="M128" s="2"/>
      <c r="N128" s="2"/>
      <c r="O128" s="261">
        <f t="shared" ca="1" si="56"/>
        <v>0</v>
      </c>
      <c r="P128" s="261">
        <f t="shared" ca="1" si="77"/>
        <v>0</v>
      </c>
      <c r="Q128" s="3">
        <f ca="1">IF(A128&gt;MAX(OP!$R$17:$R$26),0,VLOOKUP(A128,fees,3,FALSE))</f>
        <v>0</v>
      </c>
      <c r="R128" s="200" t="str">
        <f t="shared" ca="1" si="57"/>
        <v/>
      </c>
      <c r="S128" s="9" t="str">
        <f ca="1">IF(COUNTIF(($T$4:T127),"F")&gt;=1,"",IF(OR(C129&lt;&gt;$C$3,E128=""),"",A128))</f>
        <v/>
      </c>
      <c r="T128" s="20" t="str">
        <f t="shared" ca="1" si="87"/>
        <v/>
      </c>
      <c r="U128" s="2">
        <f ca="1">IF(IF(OP!$C$83=1,$Z127,IF(OP!$C$83=2,$AA127,IF(OP!$C$83=3,$AB127,)))+$K128-$O128-$P128-$AS128&lt;OP!$C$142,0,$AS128)</f>
        <v>0</v>
      </c>
      <c r="V128" s="9"/>
      <c r="W128" s="19">
        <f ca="1">MAX(SUM($K$4:K128),0)</f>
        <v>2000000</v>
      </c>
      <c r="X128" s="19"/>
      <c r="Y128" s="19">
        <f t="shared" ca="1" si="78"/>
        <v>1920000</v>
      </c>
      <c r="Z128" s="2">
        <f ca="1">IF(MIN($Z$4:Z127)=0,0,MAX(0,($Z127+$K128-$O128-$P128)*IF(AND(F128="F",$D$3&lt;&gt;$G$3),((1+(-J128))^(H128/MIN(G128,365))),((1+(-J128))^(1/12)))-$U128))</f>
        <v>1125266.657174811</v>
      </c>
      <c r="AA128" s="2">
        <f ca="1">IF(MIN($AA$4:AA127)=0,0,MAX(0,($AA127+$K128-$O128-$P128)*IF(AND(F128="F",$D$3&lt;&gt;$G$3),((1+$AA$1)^(H128/MIN(G128,365))),((1+$AA$1)^(1/12)))-$U128))</f>
        <v>1920000</v>
      </c>
      <c r="AB128" s="2">
        <f ca="1">IF(MIN($AB$4:AB127)=0,0,MAX(0,($AB127+$K128-$O128-$P128)*IF(AND(F128="F",$D$3&lt;&gt;$G$3),((1+(J128))^(H128/MIN(G128,365))),((1+(J128))^(1/12)))-$U128))</f>
        <v>3191707.5726246578</v>
      </c>
      <c r="AC128" s="5"/>
      <c r="AD128" s="5"/>
      <c r="AE128" s="5"/>
      <c r="AF128" s="282">
        <f t="shared" ca="1" si="58"/>
        <v>1125267</v>
      </c>
      <c r="AG128" s="282">
        <f t="shared" ca="1" si="59"/>
        <v>1920000</v>
      </c>
      <c r="AH128" s="282">
        <f t="shared" ca="1" si="60"/>
        <v>3191708</v>
      </c>
      <c r="AI128" s="23" t="str">
        <f t="shared" ca="1" si="79"/>
        <v>11-6</v>
      </c>
      <c r="AJ128" s="282">
        <f ca="1">IF(E128&gt;111,,IF(AND(OP!$C$99=1,T128="F"),Z128,IF(AND(OP!$C$99=2,COUNTIF($T$4:T128,"F")=1),OP!$C$97+IF(F128="F",OP!$C$98,0),"")))</f>
        <v>54527</v>
      </c>
      <c r="AK128" s="282">
        <f ca="1">IF(E128&gt;111,,IF(AND(OP!$D$99=1,T128="F"),AA128,IF(AND(OP!$D$99=2,COUNTIF($T$4:T128,"F")=1),OP!$D$97+IF(F128="F",OP!$D$98,0),"")))</f>
        <v>74177</v>
      </c>
      <c r="AL128" s="282">
        <f ca="1">IF(E128&gt;111,,IF(AND(OP!$E$99=1,T128="F"),AB128,IF(AND(OP!$E$99=2,COUNTIF($T$4:T128,"F")=1),OP!$E$97+IF(F128="F",OP!$E$98,0),"")))</f>
        <v>99404</v>
      </c>
      <c r="AM128" s="1">
        <f t="shared" ca="1" si="88"/>
        <v>6</v>
      </c>
      <c r="AN128" s="1" t="str">
        <f ca="1">IF(OR(VLOOKUP($A128,MP,5,0)="月繳"),1,"")</f>
        <v/>
      </c>
      <c r="AO128" s="1">
        <f t="shared" ca="1" si="62"/>
        <v>0</v>
      </c>
      <c r="AP128" s="1" t="str">
        <f ca="1">IF(AND(A128&lt;=OP!$C$120,COUNTIF(PAY,C128)=1),1,"")</f>
        <v/>
      </c>
      <c r="AR128" s="301">
        <f ca="1">IF(繳費報酬率資料!$A$1=1,$AY128+$AZ128,$BF128+$BG128)</f>
        <v>0</v>
      </c>
      <c r="AS128" s="1">
        <f ca="1">IF(C128&lt;&gt;IF($C$3=1,12,$C$3-1),0,IF(繳費報酬率資料!$A$1&lt;&gt;1,VLOOKUP($A128,MP,8,0),IF(AND($A128&gt;=OP!$C$79,$A128&lt;=OP!$C$80),OP!$C$78,)))</f>
        <v>0</v>
      </c>
      <c r="AT128" s="298">
        <f t="shared" ca="1" si="63"/>
        <v>0</v>
      </c>
      <c r="AU128" s="298">
        <f ca="1">IF(AND(A128&lt;=OP!$C$120,COUNTIF(PAY,C128)=1),OP!$C$123,0)</f>
        <v>0</v>
      </c>
      <c r="AV128" s="298">
        <f ca="1">IF(AND(A128&gt;=OP!$C$132,A128&lt;=OP!$C$133,$C$3=C128),OP!$C$135,0)</f>
        <v>0</v>
      </c>
      <c r="AW128" s="180">
        <f t="shared" ca="1" si="64"/>
        <v>0.05</v>
      </c>
      <c r="AX128" s="180">
        <f t="shared" ca="1" si="65"/>
        <v>0.05</v>
      </c>
      <c r="AY128" s="286">
        <f t="shared" ca="1" si="66"/>
        <v>0</v>
      </c>
      <c r="AZ128" s="286">
        <f t="shared" ca="1" si="67"/>
        <v>0</v>
      </c>
      <c r="BA128" s="286">
        <f t="shared" ca="1" si="68"/>
        <v>0</v>
      </c>
      <c r="BB128" s="286">
        <f t="shared" ca="1" si="69"/>
        <v>0</v>
      </c>
      <c r="BC128" s="286">
        <f t="shared" ca="1" si="70"/>
        <v>0</v>
      </c>
      <c r="BD128" s="180">
        <f t="shared" ca="1" si="71"/>
        <v>0.05</v>
      </c>
      <c r="BE128" s="180">
        <f t="shared" ca="1" si="72"/>
        <v>0.05</v>
      </c>
      <c r="BF128" s="286">
        <f t="shared" ca="1" si="73"/>
        <v>0</v>
      </c>
      <c r="BG128" s="286">
        <f t="shared" ca="1" si="74"/>
        <v>0</v>
      </c>
    </row>
    <row r="129" spans="1:59">
      <c r="A129" s="1">
        <f t="shared" ca="1" si="52"/>
        <v>11</v>
      </c>
      <c r="B129" s="1">
        <f t="shared" ca="1" si="84"/>
        <v>116</v>
      </c>
      <c r="C129" s="1">
        <f t="shared" ca="1" si="85"/>
        <v>11</v>
      </c>
      <c r="D129" s="1">
        <f ca="1">MIN($D$3,VLOOKUP(C129,OP!$S$30:$T$41,2))</f>
        <v>2</v>
      </c>
      <c r="E129" s="1">
        <f t="shared" ca="1" si="86"/>
        <v>65</v>
      </c>
      <c r="F129" s="11" t="str">
        <f t="shared" ca="1" si="54"/>
        <v/>
      </c>
      <c r="G129" s="8">
        <f t="shared" ca="1" si="89"/>
        <v>366</v>
      </c>
      <c r="H129" s="8">
        <f t="shared" ca="1" si="55"/>
        <v>30</v>
      </c>
      <c r="I129" s="8" t="str">
        <f t="shared" ca="1" si="49"/>
        <v>1111</v>
      </c>
      <c r="J129" s="13">
        <f>IF(繳費報酬率資料!$A$1=1,VALUE(OP!$C$121),VLOOKUP(A129,MP,2,0))</f>
        <v>0.05</v>
      </c>
      <c r="K129" s="14">
        <f ca="1">IF(SUM($K$4:K128,IF(繳費報酬率資料!$A$1=1,$AU129+$AV129,$BB129+$BC129))&gt;OP!$L$58,0,IF(繳費報酬率資料!$A$1=1,$AU129+$AV129,$BB129+$BC129))</f>
        <v>0</v>
      </c>
      <c r="L129" s="2"/>
      <c r="M129" s="2"/>
      <c r="N129" s="2"/>
      <c r="O129" s="261">
        <f t="shared" ca="1" si="56"/>
        <v>0</v>
      </c>
      <c r="P129" s="261">
        <f t="shared" ca="1" si="77"/>
        <v>0</v>
      </c>
      <c r="Q129" s="3">
        <f ca="1">IF(A129&gt;MAX(OP!$R$17:$R$26),0,VLOOKUP(A129,fees,3,FALSE))</f>
        <v>0</v>
      </c>
      <c r="R129" s="200" t="str">
        <f t="shared" ca="1" si="57"/>
        <v/>
      </c>
      <c r="S129" s="9" t="str">
        <f ca="1">IF(COUNTIF(($T$4:T128),"F")&gt;=1,"",IF(OR(C130&lt;&gt;$C$3,E129=""),"",A129))</f>
        <v/>
      </c>
      <c r="T129" s="20" t="str">
        <f t="shared" ca="1" si="87"/>
        <v/>
      </c>
      <c r="U129" s="2">
        <f ca="1">IF(IF(OP!$C$83=1,$Z128,IF(OP!$C$83=2,$AA128,IF(OP!$C$83=3,$AB128,)))+$K129-$O129-$P129-$AS129&lt;OP!$C$142,0,$AS129)</f>
        <v>0</v>
      </c>
      <c r="V129" s="9"/>
      <c r="W129" s="19">
        <f ca="1">MAX(SUM($K$4:K129),0)</f>
        <v>2000000</v>
      </c>
      <c r="X129" s="19"/>
      <c r="Y129" s="19">
        <f t="shared" ca="1" si="78"/>
        <v>1920000</v>
      </c>
      <c r="Z129" s="2">
        <f ca="1">IF(MIN($Z$4:Z128)=0,0,MAX(0,($Z128+$K129-$O129-$P129)*IF(AND(F129="F",$D$3&lt;&gt;$G$3),((1+(-J129))^(H129/MIN(G129,365))),((1+(-J129))^(1/12)))-$U129))</f>
        <v>1120467.0361722005</v>
      </c>
      <c r="AA129" s="2">
        <f ca="1">IF(MIN($AA$4:AA128)=0,0,MAX(0,($AA128+$K129-$O129-$P129)*IF(AND(F129="F",$D$3&lt;&gt;$G$3),((1+$AA$1)^(H129/MIN(G129,365))),((1+$AA$1)^(1/12)))-$U129))</f>
        <v>1920000</v>
      </c>
      <c r="AB129" s="2">
        <f ca="1">IF(MIN($AB$4:AB128)=0,0,MAX(0,($AB128+$K129-$O129-$P129)*IF(AND(F129="F",$D$3&lt;&gt;$G$3),((1+(J129))^(H129/MIN(G129,365))),((1+(J129))^(1/12)))-$U129))</f>
        <v>3204710.9843567386</v>
      </c>
      <c r="AC129" s="5"/>
      <c r="AD129" s="5"/>
      <c r="AE129" s="5"/>
      <c r="AF129" s="282">
        <f t="shared" ca="1" si="58"/>
        <v>1120467</v>
      </c>
      <c r="AG129" s="282">
        <f t="shared" ca="1" si="59"/>
        <v>1920000</v>
      </c>
      <c r="AH129" s="282">
        <f t="shared" ca="1" si="60"/>
        <v>3204711</v>
      </c>
      <c r="AI129" s="23" t="str">
        <f t="shared" ca="1" si="79"/>
        <v>11-7</v>
      </c>
      <c r="AJ129" s="282">
        <f ca="1">IF(E129&gt;111,,IF(AND(OP!$C$99=1,T129="F"),Z129,IF(AND(OP!$C$99=2,COUNTIF($T$4:T129,"F")=1),OP!$C$97+IF(F129="F",OP!$C$98,0),"")))</f>
        <v>54527</v>
      </c>
      <c r="AK129" s="282">
        <f ca="1">IF(E129&gt;111,,IF(AND(OP!$D$99=1,T129="F"),AA129,IF(AND(OP!$D$99=2,COUNTIF($T$4:T129,"F")=1),OP!$D$97+IF(F129="F",OP!$D$98,0),"")))</f>
        <v>74177</v>
      </c>
      <c r="AL129" s="282">
        <f ca="1">IF(E129&gt;111,,IF(AND(OP!$E$99=1,T129="F"),AB129,IF(AND(OP!$E$99=2,COUNTIF($T$4:T129,"F")=1),OP!$E$97+IF(F129="F",OP!$E$98,0),"")))</f>
        <v>99404</v>
      </c>
      <c r="AM129" s="1">
        <f t="shared" ca="1" si="88"/>
        <v>7</v>
      </c>
      <c r="AN129" s="1" t="str">
        <f ca="1">IF(OR(VLOOKUP($A129,MP,5,0)="月繳"),1,"")</f>
        <v/>
      </c>
      <c r="AO129" s="1">
        <f t="shared" ca="1" si="62"/>
        <v>0</v>
      </c>
      <c r="AP129" s="1" t="str">
        <f ca="1">IF(AND(A129&lt;=OP!$C$120,COUNTIF(PAY,C129)=1),1,"")</f>
        <v/>
      </c>
      <c r="AR129" s="301">
        <f ca="1">IF(繳費報酬率資料!$A$1=1,$AY129+$AZ129,$BF129+$BG129)</f>
        <v>0</v>
      </c>
      <c r="AS129" s="1">
        <f ca="1">IF(C129&lt;&gt;IF($C$3=1,12,$C$3-1),0,IF(繳費報酬率資料!$A$1&lt;&gt;1,VLOOKUP($A129,MP,8,0),IF(AND($A129&gt;=OP!$C$79,$A129&lt;=OP!$C$80),OP!$C$78,)))</f>
        <v>0</v>
      </c>
      <c r="AT129" s="298">
        <f t="shared" ca="1" si="63"/>
        <v>0</v>
      </c>
      <c r="AU129" s="298">
        <f ca="1">IF(AND(A129&lt;=OP!$C$120,COUNTIF(PAY,C129)=1),OP!$C$123,0)</f>
        <v>0</v>
      </c>
      <c r="AV129" s="298">
        <f ca="1">IF(AND(A129&gt;=OP!$C$132,A129&lt;=OP!$C$133,$C$3=C129),OP!$C$135,0)</f>
        <v>0</v>
      </c>
      <c r="AW129" s="180">
        <f t="shared" ca="1" si="64"/>
        <v>0.05</v>
      </c>
      <c r="AX129" s="180">
        <f t="shared" ca="1" si="65"/>
        <v>0.05</v>
      </c>
      <c r="AY129" s="286">
        <f t="shared" ca="1" si="66"/>
        <v>0</v>
      </c>
      <c r="AZ129" s="286">
        <f t="shared" ca="1" si="67"/>
        <v>0</v>
      </c>
      <c r="BA129" s="286">
        <f t="shared" ca="1" si="68"/>
        <v>0</v>
      </c>
      <c r="BB129" s="286">
        <f t="shared" ca="1" si="69"/>
        <v>0</v>
      </c>
      <c r="BC129" s="286">
        <f t="shared" ca="1" si="70"/>
        <v>0</v>
      </c>
      <c r="BD129" s="180">
        <f t="shared" ca="1" si="71"/>
        <v>0.05</v>
      </c>
      <c r="BE129" s="180">
        <f t="shared" ca="1" si="72"/>
        <v>0.05</v>
      </c>
      <c r="BF129" s="286">
        <f t="shared" ca="1" si="73"/>
        <v>0</v>
      </c>
      <c r="BG129" s="286">
        <f t="shared" ca="1" si="74"/>
        <v>0</v>
      </c>
    </row>
    <row r="130" spans="1:59">
      <c r="A130" s="1">
        <f t="shared" ca="1" si="52"/>
        <v>11</v>
      </c>
      <c r="B130" s="1">
        <f t="shared" ca="1" si="84"/>
        <v>116</v>
      </c>
      <c r="C130" s="1">
        <f t="shared" ca="1" si="85"/>
        <v>12</v>
      </c>
      <c r="D130" s="1">
        <f ca="1">MIN($D$3,VLOOKUP(C130,OP!$S$30:$T$41,2))</f>
        <v>2</v>
      </c>
      <c r="E130" s="1">
        <f t="shared" ca="1" si="86"/>
        <v>65</v>
      </c>
      <c r="F130" s="11" t="str">
        <f t="shared" ca="1" si="54"/>
        <v/>
      </c>
      <c r="G130" s="8">
        <f t="shared" ca="1" si="89"/>
        <v>366</v>
      </c>
      <c r="H130" s="8">
        <f t="shared" ca="1" si="55"/>
        <v>31</v>
      </c>
      <c r="I130" s="8" t="str">
        <f t="shared" ca="1" si="49"/>
        <v>1112</v>
      </c>
      <c r="J130" s="13">
        <f>IF(繳費報酬率資料!$A$1=1,VALUE(OP!$C$121),VLOOKUP(A130,MP,2,0))</f>
        <v>0.05</v>
      </c>
      <c r="K130" s="14">
        <f ca="1">IF(SUM($K$4:K129,IF(繳費報酬率資料!$A$1=1,$AU130+$AV130,$BB130+$BC130))&gt;OP!$L$58,0,IF(繳費報酬率資料!$A$1=1,$AU130+$AV130,$BB130+$BC130))</f>
        <v>0</v>
      </c>
      <c r="L130" s="2"/>
      <c r="M130" s="2"/>
      <c r="N130" s="2"/>
      <c r="O130" s="261">
        <f t="shared" ca="1" si="56"/>
        <v>0</v>
      </c>
      <c r="P130" s="261">
        <f t="shared" ca="1" si="77"/>
        <v>0</v>
      </c>
      <c r="Q130" s="3">
        <f ca="1">IF(A130&gt;MAX(OP!$R$17:$R$26),0,VLOOKUP(A130,fees,3,FALSE))</f>
        <v>0</v>
      </c>
      <c r="R130" s="200" t="str">
        <f t="shared" ca="1" si="57"/>
        <v/>
      </c>
      <c r="S130" s="9" t="str">
        <f ca="1">IF(COUNTIF(($T$4:T129),"F")&gt;=1,"",IF(OR(C131&lt;&gt;$C$3,E130=""),"",A130))</f>
        <v/>
      </c>
      <c r="T130" s="20" t="str">
        <f t="shared" ca="1" si="87"/>
        <v/>
      </c>
      <c r="U130" s="2">
        <f ca="1">IF(IF(OP!$C$83=1,$Z129,IF(OP!$C$83=2,$AA129,IF(OP!$C$83=3,$AB129,)))+$K130-$O130-$P130-$AS130&lt;OP!$C$142,0,$AS130)</f>
        <v>0</v>
      </c>
      <c r="V130" s="9"/>
      <c r="W130" s="19">
        <f ca="1">MAX(SUM($K$4:K130),0)</f>
        <v>2000000</v>
      </c>
      <c r="X130" s="19"/>
      <c r="Y130" s="19">
        <f t="shared" ca="1" si="78"/>
        <v>1920000</v>
      </c>
      <c r="Z130" s="2">
        <f ca="1">IF(MIN($Z$4:Z129)=0,0,MAX(0,($Z129+$K130-$O130-$P130)*IF(AND(F130="F",$D$3&lt;&gt;$G$3),((1+(-J130))^(H130/MIN(G130,365))),((1+(-J130))^(1/12)))-$U130))</f>
        <v>1115687.8870831775</v>
      </c>
      <c r="AA130" s="2">
        <f ca="1">IF(MIN($AA$4:AA129)=0,0,MAX(0,($AA129+$K130-$O130-$P130)*IF(AND(F130="F",$D$3&lt;&gt;$G$3),((1+$AA$1)^(H130/MIN(G130,365))),((1+$AA$1)^(1/12)))-$U130))</f>
        <v>1920000</v>
      </c>
      <c r="AB130" s="2">
        <f ca="1">IF(MIN($AB$4:AB129)=0,0,MAX(0,($AB129+$K130-$O130-$P130)*IF(AND(F130="F",$D$3&lt;&gt;$G$3),((1+(J130))^(H130/MIN(G130,365))),((1+(J130))^(1/12)))-$U130))</f>
        <v>3217767.3735978254</v>
      </c>
      <c r="AC130" s="5"/>
      <c r="AD130" s="5"/>
      <c r="AE130" s="5"/>
      <c r="AF130" s="282">
        <f t="shared" ca="1" si="58"/>
        <v>1115688</v>
      </c>
      <c r="AG130" s="282">
        <f t="shared" ca="1" si="59"/>
        <v>1920000</v>
      </c>
      <c r="AH130" s="282">
        <f t="shared" ca="1" si="60"/>
        <v>3217767</v>
      </c>
      <c r="AI130" s="23" t="str">
        <f t="shared" ca="1" si="79"/>
        <v>11-8</v>
      </c>
      <c r="AJ130" s="282">
        <f ca="1">IF(E130&gt;111,,IF(AND(OP!$C$99=1,T130="F"),Z130,IF(AND(OP!$C$99=2,COUNTIF($T$4:T130,"F")=1),OP!$C$97+IF(F130="F",OP!$C$98,0),"")))</f>
        <v>54527</v>
      </c>
      <c r="AK130" s="282">
        <f ca="1">IF(E130&gt;111,,IF(AND(OP!$D$99=1,T130="F"),AA130,IF(AND(OP!$D$99=2,COUNTIF($T$4:T130,"F")=1),OP!$D$97+IF(F130="F",OP!$D$98,0),"")))</f>
        <v>74177</v>
      </c>
      <c r="AL130" s="282">
        <f ca="1">IF(E130&gt;111,,IF(AND(OP!$E$99=1,T130="F"),AB130,IF(AND(OP!$E$99=2,COUNTIF($T$4:T130,"F")=1),OP!$E$97+IF(F130="F",OP!$E$98,0),"")))</f>
        <v>99404</v>
      </c>
      <c r="AM130" s="1">
        <f t="shared" ca="1" si="88"/>
        <v>8</v>
      </c>
      <c r="AN130" s="1" t="str">
        <f ca="1">IF(OR(VLOOKUP($A130,MP,5,0)="半年繳",VLOOKUP($A130,MP,5,0)="季繳",VLOOKUP($A130,MP,5,0)="月繳"),1,"")</f>
        <v/>
      </c>
      <c r="AO130" s="1">
        <f t="shared" ca="1" si="62"/>
        <v>0</v>
      </c>
      <c r="AP130" s="1" t="str">
        <f ca="1">IF(AND(A130&lt;=OP!$C$120,COUNTIF(PAY,C130)=1),1,"")</f>
        <v/>
      </c>
      <c r="AR130" s="301">
        <f ca="1">IF(繳費報酬率資料!$A$1=1,$AY130+$AZ130,$BF130+$BG130)</f>
        <v>0</v>
      </c>
      <c r="AS130" s="1">
        <f ca="1">IF(C130&lt;&gt;IF($C$3=1,12,$C$3-1),0,IF(繳費報酬率資料!$A$1&lt;&gt;1,VLOOKUP($A130,MP,8,0),IF(AND($A130&gt;=OP!$C$79,$A130&lt;=OP!$C$80),OP!$C$78,)))</f>
        <v>0</v>
      </c>
      <c r="AT130" s="298">
        <f t="shared" ca="1" si="63"/>
        <v>0</v>
      </c>
      <c r="AU130" s="298">
        <f ca="1">IF(AND(A130&lt;=OP!$C$120,COUNTIF(PAY,C130)=1),OP!$C$123,0)</f>
        <v>0</v>
      </c>
      <c r="AV130" s="298">
        <f ca="1">IF(AND(A130&gt;=OP!$C$132,A130&lt;=OP!$C$133,$C$3=C130),OP!$C$135,0)</f>
        <v>0</v>
      </c>
      <c r="AW130" s="180">
        <f t="shared" ca="1" si="64"/>
        <v>0.05</v>
      </c>
      <c r="AX130" s="180">
        <f t="shared" ca="1" si="65"/>
        <v>0.05</v>
      </c>
      <c r="AY130" s="286">
        <f t="shared" ca="1" si="66"/>
        <v>0</v>
      </c>
      <c r="AZ130" s="286">
        <f t="shared" ca="1" si="67"/>
        <v>0</v>
      </c>
      <c r="BA130" s="286">
        <f t="shared" ca="1" si="68"/>
        <v>0</v>
      </c>
      <c r="BB130" s="286">
        <f t="shared" ca="1" si="69"/>
        <v>0</v>
      </c>
      <c r="BC130" s="286">
        <f t="shared" ca="1" si="70"/>
        <v>0</v>
      </c>
      <c r="BD130" s="180">
        <f t="shared" ca="1" si="71"/>
        <v>0.05</v>
      </c>
      <c r="BE130" s="180">
        <f t="shared" ca="1" si="72"/>
        <v>0.05</v>
      </c>
      <c r="BF130" s="286">
        <f t="shared" ca="1" si="73"/>
        <v>0</v>
      </c>
      <c r="BG130" s="286">
        <f t="shared" ca="1" si="74"/>
        <v>0</v>
      </c>
    </row>
    <row r="131" spans="1:59">
      <c r="A131" s="1">
        <f t="shared" ca="1" si="52"/>
        <v>11</v>
      </c>
      <c r="B131" s="1">
        <f t="shared" ca="1" si="84"/>
        <v>117</v>
      </c>
      <c r="C131" s="1">
        <f t="shared" ca="1" si="85"/>
        <v>1</v>
      </c>
      <c r="D131" s="1">
        <f ca="1">MIN($D$3,VLOOKUP(C131,OP!$S$30:$T$41,2))</f>
        <v>2</v>
      </c>
      <c r="E131" s="1">
        <f t="shared" ca="1" si="86"/>
        <v>65</v>
      </c>
      <c r="F131" s="11" t="str">
        <f t="shared" ca="1" si="54"/>
        <v/>
      </c>
      <c r="G131" s="8">
        <f t="shared" ca="1" si="89"/>
        <v>366</v>
      </c>
      <c r="H131" s="8">
        <f t="shared" ca="1" si="55"/>
        <v>31</v>
      </c>
      <c r="I131" s="8" t="str">
        <f t="shared" ca="1" si="49"/>
        <v>111</v>
      </c>
      <c r="J131" s="13">
        <f>IF(繳費報酬率資料!$A$1=1,VALUE(OP!$C$121),VLOOKUP(A131,MP,2,0))</f>
        <v>0.05</v>
      </c>
      <c r="K131" s="14">
        <f ca="1">IF(SUM($K$4:K130,IF(繳費報酬率資料!$A$1=1,$AU131+$AV131,$BB131+$BC131))&gt;OP!$L$58,0,IF(繳費報酬率資料!$A$1=1,$AU131+$AV131,$BB131+$BC131))</f>
        <v>0</v>
      </c>
      <c r="L131" s="2"/>
      <c r="M131" s="2"/>
      <c r="N131" s="2"/>
      <c r="O131" s="261">
        <f t="shared" ca="1" si="56"/>
        <v>0</v>
      </c>
      <c r="P131" s="261">
        <f t="shared" ca="1" si="77"/>
        <v>0</v>
      </c>
      <c r="Q131" s="3">
        <f ca="1">IF(A131&gt;MAX(OP!$R$17:$R$26),0,VLOOKUP(A131,fees,3,FALSE))</f>
        <v>0</v>
      </c>
      <c r="R131" s="200" t="str">
        <f t="shared" ca="1" si="57"/>
        <v/>
      </c>
      <c r="S131" s="9" t="str">
        <f ca="1">IF(COUNTIF(($T$4:T130),"F")&gt;=1,"",IF(OR(C132&lt;&gt;$C$3,E131=""),"",A131))</f>
        <v/>
      </c>
      <c r="T131" s="20" t="str">
        <f t="shared" ca="1" si="87"/>
        <v/>
      </c>
      <c r="U131" s="2">
        <f ca="1">IF(IF(OP!$C$83=1,$Z130,IF(OP!$C$83=2,$AA130,IF(OP!$C$83=3,$AB130,)))+$K131-$O131-$P131-$AS131&lt;OP!$C$142,0,$AS131)</f>
        <v>0</v>
      </c>
      <c r="V131" s="9"/>
      <c r="W131" s="19">
        <f ca="1">MAX(SUM($K$4:K131),0)</f>
        <v>2000000</v>
      </c>
      <c r="X131" s="19"/>
      <c r="Y131" s="19">
        <f t="shared" ca="1" si="78"/>
        <v>1920000</v>
      </c>
      <c r="Z131" s="2">
        <f ca="1">IF(MIN($Z$4:Z130)=0,0,MAX(0,($Z130+$K131-$O131-$P131)*IF(AND(F131="F",$D$3&lt;&gt;$G$3),((1+(-J131))^(H131/MIN(G131,365))),((1+(-J131))^(1/12)))-$U131))</f>
        <v>1110929.1225885046</v>
      </c>
      <c r="AA131" s="2">
        <f ca="1">IF(MIN($AA$4:AA130)=0,0,MAX(0,($AA130+$K131-$O131-$P131)*IF(AND(F131="F",$D$3&lt;&gt;$G$3),((1+$AA$1)^(H131/MIN(G131,365))),((1+$AA$1)^(1/12)))-$U131))</f>
        <v>1920000</v>
      </c>
      <c r="AB131" s="2">
        <f ca="1">IF(MIN($AB$4:AB130)=0,0,MAX(0,($AB130+$K131-$O131-$P131)*IF(AND(F131="F",$D$3&lt;&gt;$G$3),((1+(J131))^(H131/MIN(G131,365))),((1+(J131))^(1/12)))-$U131))</f>
        <v>3230876.9561848482</v>
      </c>
      <c r="AC131" s="5"/>
      <c r="AD131" s="5"/>
      <c r="AE131" s="5"/>
      <c r="AF131" s="282">
        <f t="shared" ca="1" si="58"/>
        <v>1110929</v>
      </c>
      <c r="AG131" s="282">
        <f t="shared" ca="1" si="59"/>
        <v>1920000</v>
      </c>
      <c r="AH131" s="282">
        <f t="shared" ca="1" si="60"/>
        <v>3230877</v>
      </c>
      <c r="AI131" s="23" t="str">
        <f t="shared" ca="1" si="79"/>
        <v>11-9</v>
      </c>
      <c r="AJ131" s="282">
        <f ca="1">IF(E131&gt;111,,IF(AND(OP!$C$99=1,T131="F"),Z131,IF(AND(OP!$C$99=2,COUNTIF($T$4:T131,"F")=1),OP!$C$97+IF(F131="F",OP!$C$98,0),"")))</f>
        <v>54527</v>
      </c>
      <c r="AK131" s="282">
        <f ca="1">IF(E131&gt;111,,IF(AND(OP!$D$99=1,T131="F"),AA131,IF(AND(OP!$D$99=2,COUNTIF($T$4:T131,"F")=1),OP!$D$97+IF(F131="F",OP!$D$98,0),"")))</f>
        <v>74177</v>
      </c>
      <c r="AL131" s="282">
        <f ca="1">IF(E131&gt;111,,IF(AND(OP!$E$99=1,T131="F"),AB131,IF(AND(OP!$E$99=2,COUNTIF($T$4:T131,"F")=1),OP!$E$97+IF(F131="F",OP!$E$98,0),"")))</f>
        <v>99404</v>
      </c>
      <c r="AM131" s="1">
        <f t="shared" ca="1" si="88"/>
        <v>9</v>
      </c>
      <c r="AN131" s="1" t="str">
        <f ca="1">IF(OR(VLOOKUP($A131,MP,5,0)="月繳"),1,"")</f>
        <v/>
      </c>
      <c r="AO131" s="1">
        <f t="shared" ca="1" si="62"/>
        <v>0</v>
      </c>
      <c r="AP131" s="1" t="str">
        <f ca="1">IF(AND(A131&lt;=OP!$C$120,COUNTIF(PAY,C131)=1),1,"")</f>
        <v/>
      </c>
      <c r="AR131" s="301">
        <f ca="1">IF(繳費報酬率資料!$A$1=1,$AY131+$AZ131,$BF131+$BG131)</f>
        <v>0</v>
      </c>
      <c r="AS131" s="1">
        <f ca="1">IF(C131&lt;&gt;IF($C$3=1,12,$C$3-1),0,IF(繳費報酬率資料!$A$1&lt;&gt;1,VLOOKUP($A131,MP,8,0),IF(AND($A131&gt;=OP!$C$79,$A131&lt;=OP!$C$80),OP!$C$78,)))</f>
        <v>0</v>
      </c>
      <c r="AT131" s="298">
        <f t="shared" ca="1" si="63"/>
        <v>0</v>
      </c>
      <c r="AU131" s="298">
        <f ca="1">IF(AND(A131&lt;=OP!$C$120,COUNTIF(PAY,C131)=1),OP!$C$123,0)</f>
        <v>0</v>
      </c>
      <c r="AV131" s="298">
        <f ca="1">IF(AND(A131&gt;=OP!$C$132,A131&lt;=OP!$C$133,$C$3=C131),OP!$C$135,0)</f>
        <v>0</v>
      </c>
      <c r="AW131" s="180">
        <f t="shared" ca="1" si="64"/>
        <v>0.05</v>
      </c>
      <c r="AX131" s="180">
        <f t="shared" ca="1" si="65"/>
        <v>0.05</v>
      </c>
      <c r="AY131" s="286">
        <f t="shared" ca="1" si="66"/>
        <v>0</v>
      </c>
      <c r="AZ131" s="286">
        <f t="shared" ca="1" si="67"/>
        <v>0</v>
      </c>
      <c r="BA131" s="286">
        <f t="shared" ca="1" si="68"/>
        <v>0</v>
      </c>
      <c r="BB131" s="286">
        <f t="shared" ca="1" si="69"/>
        <v>0</v>
      </c>
      <c r="BC131" s="286">
        <f t="shared" ca="1" si="70"/>
        <v>0</v>
      </c>
      <c r="BD131" s="180">
        <f t="shared" ca="1" si="71"/>
        <v>0.05</v>
      </c>
      <c r="BE131" s="180">
        <f t="shared" ca="1" si="72"/>
        <v>0.05</v>
      </c>
      <c r="BF131" s="286">
        <f t="shared" ca="1" si="73"/>
        <v>0</v>
      </c>
      <c r="BG131" s="286">
        <f t="shared" ca="1" si="74"/>
        <v>0</v>
      </c>
    </row>
    <row r="132" spans="1:59">
      <c r="A132" s="1">
        <f t="shared" ca="1" si="52"/>
        <v>11</v>
      </c>
      <c r="B132" s="1">
        <f t="shared" ca="1" si="84"/>
        <v>117</v>
      </c>
      <c r="C132" s="1">
        <f t="shared" ca="1" si="85"/>
        <v>2</v>
      </c>
      <c r="D132" s="1">
        <f ca="1">MIN($D$3,VLOOKUP(C132,OP!$S$30:$T$41,2))</f>
        <v>2</v>
      </c>
      <c r="E132" s="1">
        <f t="shared" ca="1" si="86"/>
        <v>65</v>
      </c>
      <c r="F132" s="11" t="str">
        <f t="shared" ca="1" si="54"/>
        <v/>
      </c>
      <c r="G132" s="8">
        <f t="shared" ca="1" si="89"/>
        <v>366</v>
      </c>
      <c r="H132" s="8">
        <f t="shared" ca="1" si="55"/>
        <v>29</v>
      </c>
      <c r="I132" s="8" t="str">
        <f t="shared" ref="I132:I195" ca="1" si="90">A132&amp;C132</f>
        <v>112</v>
      </c>
      <c r="J132" s="13">
        <f>IF(繳費報酬率資料!$A$1=1,VALUE(OP!$C$121),VLOOKUP(A132,MP,2,0))</f>
        <v>0.05</v>
      </c>
      <c r="K132" s="14">
        <f ca="1">IF(SUM($K$4:K131,IF(繳費報酬率資料!$A$1=1,$AU132+$AV132,$BB132+$BC132))&gt;OP!$L$58,0,IF(繳費報酬率資料!$A$1=1,$AU132+$AV132,$BB132+$BC132))</f>
        <v>0</v>
      </c>
      <c r="L132" s="2"/>
      <c r="M132" s="2"/>
      <c r="N132" s="2"/>
      <c r="O132" s="261">
        <f t="shared" ca="1" si="56"/>
        <v>0</v>
      </c>
      <c r="P132" s="261">
        <f t="shared" ca="1" si="77"/>
        <v>0</v>
      </c>
      <c r="Q132" s="3">
        <f ca="1">IF(A132&gt;MAX(OP!$R$17:$R$26),0,VLOOKUP(A132,fees,3,FALSE))</f>
        <v>0</v>
      </c>
      <c r="R132" s="200" t="str">
        <f t="shared" ca="1" si="57"/>
        <v/>
      </c>
      <c r="S132" s="9" t="str">
        <f ca="1">IF(COUNTIF(($T$4:T131),"F")&gt;=1,"",IF(OR(C133&lt;&gt;$C$3,E132=""),"",A132))</f>
        <v/>
      </c>
      <c r="T132" s="20" t="str">
        <f t="shared" ca="1" si="87"/>
        <v/>
      </c>
      <c r="U132" s="2">
        <f ca="1">IF(IF(OP!$C$83=1,$Z131,IF(OP!$C$83=2,$AA131,IF(OP!$C$83=3,$AB131,)))+$K132-$O132-$P132-$AS132&lt;OP!$C$142,0,$AS132)</f>
        <v>0</v>
      </c>
      <c r="V132" s="9"/>
      <c r="W132" s="19">
        <f ca="1">MAX(SUM($K$4:K132),0)</f>
        <v>2000000</v>
      </c>
      <c r="X132" s="19"/>
      <c r="Y132" s="19">
        <f t="shared" ca="1" si="78"/>
        <v>1920000</v>
      </c>
      <c r="Z132" s="2">
        <f ca="1">IF(MIN($Z$4:Z131)=0,0,MAX(0,($Z131+$K132-$O132-$P132)*IF(AND(F132="F",$D$3&lt;&gt;$G$3),((1+(-J132))^(H132/MIN(G132,365))),((1+(-J132))^(1/12)))-$U132))</f>
        <v>1106190.6557413889</v>
      </c>
      <c r="AA132" s="2">
        <f ca="1">IF(MIN($AA$4:AA131)=0,0,MAX(0,($AA131+$K132-$O132-$P132)*IF(AND(F132="F",$D$3&lt;&gt;$G$3),((1+$AA$1)^(H132/MIN(G132,365))),((1+$AA$1)^(1/12)))-$U132))</f>
        <v>1920000</v>
      </c>
      <c r="AB132" s="2">
        <f ca="1">IF(MIN($AB$4:AB131)=0,0,MAX(0,($AB131+$K132-$O132-$P132)*IF(AND(F132="F",$D$3&lt;&gt;$G$3),((1+(J132))^(H132/MIN(G132,365))),((1+(J132))^(1/12)))-$U132))</f>
        <v>3244039.9488340821</v>
      </c>
      <c r="AC132" s="5"/>
      <c r="AD132" s="5"/>
      <c r="AE132" s="5"/>
      <c r="AF132" s="282">
        <f t="shared" ca="1" si="58"/>
        <v>1106191</v>
      </c>
      <c r="AG132" s="282">
        <f t="shared" ca="1" si="59"/>
        <v>1920000</v>
      </c>
      <c r="AH132" s="282">
        <f t="shared" ca="1" si="60"/>
        <v>3244040</v>
      </c>
      <c r="AI132" s="23" t="str">
        <f t="shared" ca="1" si="79"/>
        <v>11-10</v>
      </c>
      <c r="AJ132" s="282">
        <f ca="1">IF(E132&gt;111,,IF(AND(OP!$C$99=1,T132="F"),Z132,IF(AND(OP!$C$99=2,COUNTIF($T$4:T132,"F")=1),OP!$C$97+IF(F132="F",OP!$C$98,0),"")))</f>
        <v>54527</v>
      </c>
      <c r="AK132" s="282">
        <f ca="1">IF(E132&gt;111,,IF(AND(OP!$D$99=1,T132="F"),AA132,IF(AND(OP!$D$99=2,COUNTIF($T$4:T132,"F")=1),OP!$D$97+IF(F132="F",OP!$D$98,0),"")))</f>
        <v>74177</v>
      </c>
      <c r="AL132" s="282">
        <f ca="1">IF(E132&gt;111,,IF(AND(OP!$E$99=1,T132="F"),AB132,IF(AND(OP!$E$99=2,COUNTIF($T$4:T132,"F")=1),OP!$E$97+IF(F132="F",OP!$E$98,0),"")))</f>
        <v>99404</v>
      </c>
      <c r="AM132" s="1">
        <f t="shared" ca="1" si="88"/>
        <v>10</v>
      </c>
      <c r="AN132" s="1" t="str">
        <f ca="1">IF(OR(VLOOKUP($A132,MP,5,0)="月繳"),1,"")</f>
        <v/>
      </c>
      <c r="AO132" s="1">
        <f t="shared" ca="1" si="62"/>
        <v>0</v>
      </c>
      <c r="AP132" s="1" t="str">
        <f ca="1">IF(AND(A132&lt;=OP!$C$120,COUNTIF(PAY,C132)=1),1,"")</f>
        <v/>
      </c>
      <c r="AR132" s="301">
        <f ca="1">IF(繳費報酬率資料!$A$1=1,$AY132+$AZ132,$BF132+$BG132)</f>
        <v>0</v>
      </c>
      <c r="AS132" s="1">
        <f ca="1">IF(C132&lt;&gt;IF($C$3=1,12,$C$3-1),0,IF(繳費報酬率資料!$A$1&lt;&gt;1,VLOOKUP($A132,MP,8,0),IF(AND($A132&gt;=OP!$C$79,$A132&lt;=OP!$C$80),OP!$C$78,)))</f>
        <v>0</v>
      </c>
      <c r="AT132" s="298">
        <f t="shared" ca="1" si="63"/>
        <v>0</v>
      </c>
      <c r="AU132" s="298">
        <f ca="1">IF(AND(A132&lt;=OP!$C$120,COUNTIF(PAY,C132)=1),OP!$C$123,0)</f>
        <v>0</v>
      </c>
      <c r="AV132" s="298">
        <f ca="1">IF(AND(A132&gt;=OP!$C$132,A132&lt;=OP!$C$133,$C$3=C132),OP!$C$135,0)</f>
        <v>0</v>
      </c>
      <c r="AW132" s="180">
        <f t="shared" ca="1" si="64"/>
        <v>0.05</v>
      </c>
      <c r="AX132" s="180">
        <f t="shared" ca="1" si="65"/>
        <v>0.05</v>
      </c>
      <c r="AY132" s="286">
        <f t="shared" ca="1" si="66"/>
        <v>0</v>
      </c>
      <c r="AZ132" s="286">
        <f t="shared" ca="1" si="67"/>
        <v>0</v>
      </c>
      <c r="BA132" s="286">
        <f t="shared" ca="1" si="68"/>
        <v>0</v>
      </c>
      <c r="BB132" s="286">
        <f t="shared" ca="1" si="69"/>
        <v>0</v>
      </c>
      <c r="BC132" s="286">
        <f t="shared" ca="1" si="70"/>
        <v>0</v>
      </c>
      <c r="BD132" s="180">
        <f t="shared" ca="1" si="71"/>
        <v>0.05</v>
      </c>
      <c r="BE132" s="180">
        <f t="shared" ca="1" si="72"/>
        <v>0.05</v>
      </c>
      <c r="BF132" s="286">
        <f t="shared" ca="1" si="73"/>
        <v>0</v>
      </c>
      <c r="BG132" s="286">
        <f t="shared" ca="1" si="74"/>
        <v>0</v>
      </c>
    </row>
    <row r="133" spans="1:59">
      <c r="A133" s="1">
        <f t="shared" ref="A133:A196" ca="1" si="91">IF(C133=$C$4,A132+1,A132)</f>
        <v>11</v>
      </c>
      <c r="B133" s="1">
        <f t="shared" ca="1" si="84"/>
        <v>117</v>
      </c>
      <c r="C133" s="1">
        <f t="shared" ca="1" si="85"/>
        <v>3</v>
      </c>
      <c r="D133" s="1">
        <f ca="1">MIN($D$3,VLOOKUP(C133,OP!$S$30:$T$41,2))</f>
        <v>2</v>
      </c>
      <c r="E133" s="1">
        <f t="shared" ca="1" si="86"/>
        <v>65</v>
      </c>
      <c r="F133" s="11" t="str">
        <f t="shared" ref="F133:F196" ca="1" si="92">IF(AND(DATE($E$3+1911,$F$3,$G$3)&gt;DATE(B133+1911,C133,D133),DATE($E$3+1911,$F$3,$G$3)&lt;=DATE(B134+1911,C134,D134)),"F","")</f>
        <v/>
      </c>
      <c r="G133" s="8">
        <f t="shared" ca="1" si="89"/>
        <v>366</v>
      </c>
      <c r="H133" s="8">
        <f t="shared" ref="H133:H196" ca="1" si="93">DATEDIF(DATE(B133+1911,C133,D133),IF(F133="F",DATE($E$3+1911,$F$3,$G$3),DATE(B134+1911,C134,D134)),"d")</f>
        <v>31</v>
      </c>
      <c r="I133" s="8" t="str">
        <f t="shared" ca="1" si="90"/>
        <v>113</v>
      </c>
      <c r="J133" s="13">
        <f>IF(繳費報酬率資料!$A$1=1,VALUE(OP!$C$121),VLOOKUP(A133,MP,2,0))</f>
        <v>0.05</v>
      </c>
      <c r="K133" s="14">
        <f ca="1">IF(SUM($K$4:K132,IF(繳費報酬率資料!$A$1=1,$AU133+$AV133,$BB133+$BC133))&gt;OP!$L$58,0,IF(繳費報酬率資料!$A$1=1,$AU133+$AV133,$BB133+$BC133))</f>
        <v>0</v>
      </c>
      <c r="L133" s="2"/>
      <c r="M133" s="2"/>
      <c r="N133" s="2"/>
      <c r="O133" s="261">
        <f t="shared" ref="O133:O196" ca="1" si="94">IF(K133=0,0,$AR133)</f>
        <v>0</v>
      </c>
      <c r="P133" s="261">
        <f t="shared" ca="1" si="77"/>
        <v>0</v>
      </c>
      <c r="Q133" s="3">
        <f ca="1">IF(A133&gt;MAX(OP!$R$17:$R$26),0,VLOOKUP(A133,fees,3,FALSE))</f>
        <v>0</v>
      </c>
      <c r="R133" s="200" t="str">
        <f t="shared" ref="R133:R196" ca="1" si="95">IF(OR(C134&lt;&gt;$C$3,E133=""),"",A133)</f>
        <v/>
      </c>
      <c r="S133" s="9" t="str">
        <f ca="1">IF(COUNTIF(($T$4:T132),"F")&gt;=1,"",IF(OR(C134&lt;&gt;$C$3,E133=""),"",A133))</f>
        <v/>
      </c>
      <c r="T133" s="20" t="str">
        <f t="shared" ca="1" si="87"/>
        <v/>
      </c>
      <c r="U133" s="2">
        <f ca="1">IF(IF(OP!$C$83=1,$Z132,IF(OP!$C$83=2,$AA132,IF(OP!$C$83=3,$AB132,)))+$K133-$O133-$P133-$AS133&lt;OP!$C$142,0,$AS133)</f>
        <v>0</v>
      </c>
      <c r="V133" s="9"/>
      <c r="W133" s="19">
        <f ca="1">MAX(SUM($K$4:K133),0)</f>
        <v>2000000</v>
      </c>
      <c r="X133" s="19"/>
      <c r="Y133" s="19">
        <f t="shared" ca="1" si="78"/>
        <v>1920000</v>
      </c>
      <c r="Z133" s="2">
        <f ca="1">IF(MIN($Z$4:Z132)=0,0,MAX(0,($Z132+$K133-$O133-$P133)*IF(AND(F133="F",$D$3&lt;&gt;$G$3),((1+(-J133))^(H133/MIN(G133,365))),((1+(-J133))^(1/12)))-$U133))</f>
        <v>1101472.399965893</v>
      </c>
      <c r="AA133" s="2">
        <f ca="1">IF(MIN($AA$4:AA132)=0,0,MAX(0,($AA132+$K133-$O133-$P133)*IF(AND(F133="F",$D$3&lt;&gt;$G$3),((1+$AA$1)^(H133/MIN(G133,365))),((1+$AA$1)^(1/12)))-$U133))</f>
        <v>1920000</v>
      </c>
      <c r="AB133" s="2">
        <f ca="1">IF(MIN($AB$4:AB132)=0,0,MAX(0,($AB132+$K133-$O133-$P133)*IF(AND(F133="F",$D$3&lt;&gt;$G$3),((1+(J133))^(H133/MIN(G133,365))),((1+(J133))^(1/12)))-$U133))</f>
        <v>3257256.5691447323</v>
      </c>
      <c r="AC133" s="5"/>
      <c r="AD133" s="5"/>
      <c r="AE133" s="5"/>
      <c r="AF133" s="282">
        <f t="shared" ref="AF133:AF196" ca="1" si="96">ROUND(Z133*(1-$Q133),$AF$1)</f>
        <v>1101472</v>
      </c>
      <c r="AG133" s="282">
        <f t="shared" ref="AG133:AG196" ca="1" si="97">ROUND(AA133*(1-$Q133),$AF$1)</f>
        <v>1920000</v>
      </c>
      <c r="AH133" s="282">
        <f t="shared" ref="AH133:AH196" ca="1" si="98">ROUND(AB133*(1-$Q133),$AF$1)</f>
        <v>3257257</v>
      </c>
      <c r="AI133" s="23" t="str">
        <f t="shared" ca="1" si="79"/>
        <v>11-11</v>
      </c>
      <c r="AJ133" s="282">
        <f ca="1">IF(E133&gt;111,,IF(AND(OP!$C$99=1,T133="F"),Z133,IF(AND(OP!$C$99=2,COUNTIF($T$4:T133,"F")=1),OP!$C$97+IF(F133="F",OP!$C$98,0),"")))</f>
        <v>54527</v>
      </c>
      <c r="AK133" s="282">
        <f ca="1">IF(E133&gt;111,,IF(AND(OP!$D$99=1,T133="F"),AA133,IF(AND(OP!$D$99=2,COUNTIF($T$4:T133,"F")=1),OP!$D$97+IF(F133="F",OP!$D$98,0),"")))</f>
        <v>74177</v>
      </c>
      <c r="AL133" s="282">
        <f ca="1">IF(E133&gt;111,,IF(AND(OP!$E$99=1,T133="F"),AB133,IF(AND(OP!$E$99=2,COUNTIF($T$4:T133,"F")=1),OP!$E$97+IF(F133="F",OP!$E$98,0),"")))</f>
        <v>99404</v>
      </c>
      <c r="AM133" s="1">
        <f t="shared" ca="1" si="88"/>
        <v>11</v>
      </c>
      <c r="AN133" s="1" t="str">
        <f ca="1">IF(OR(VLOOKUP($A133,MP,5,0)="季繳",VLOOKUP($A133,MP,5,0)="月繳"),1,"")</f>
        <v/>
      </c>
      <c r="AO133" s="1">
        <f t="shared" ref="AO133:AO196" ca="1" si="99">IF(ISNA(VLOOKUP(A133,MP,2,0)),,IF(C133=$C$3,ROUND(VLOOKUP(A133,MP,4,0),0),0)+IF(AN133=1,ROUND(VLOOKUP(A133,MP,6,0),0),0))</f>
        <v>0</v>
      </c>
      <c r="AP133" s="1" t="str">
        <f ca="1">IF(AND(A133&lt;=OP!$C$120,COUNTIF(PAY,C133)=1),1,"")</f>
        <v/>
      </c>
      <c r="AR133" s="301">
        <f ca="1">IF(繳費報酬率資料!$A$1=1,$AY133+$AZ133,$BF133+$BG133)</f>
        <v>0</v>
      </c>
      <c r="AS133" s="1">
        <f ca="1">IF(C133&lt;&gt;IF($C$3=1,12,$C$3-1),0,IF(繳費報酬率資料!$A$1&lt;&gt;1,VLOOKUP($A133,MP,8,0),IF(AND($A133&gt;=OP!$C$79,$A133&lt;=OP!$C$80),OP!$C$78,)))</f>
        <v>0</v>
      </c>
      <c r="AT133" s="298">
        <f t="shared" ref="AT133:AT196" ca="1" si="100">AU133+AV133</f>
        <v>0</v>
      </c>
      <c r="AU133" s="298">
        <f ca="1">IF(AND(A133&lt;=OP!$C$120,COUNTIF(PAY,C133)=1),OP!$C$123,0)</f>
        <v>0</v>
      </c>
      <c r="AV133" s="298">
        <f ca="1">IF(AND(A133&gt;=OP!$C$132,A133&lt;=OP!$C$133,$C$3=C133),OP!$C$135,0)</f>
        <v>0</v>
      </c>
      <c r="AW133" s="180">
        <f t="shared" ref="AW133:AW196" ca="1" si="101">HLOOKUP(IF($AU133&lt;$AY$1,1,IF(AND($AU133&gt;=$AY$1,$AU133&lt;$AZ$1),2,IF(AND($AU133&gt;=$AZ$1,$AU133&lt;$BA$1),3,IF(AND($AU133&gt;=$BA$1),4,1)))),PR,2,0)</f>
        <v>0.05</v>
      </c>
      <c r="AX133" s="180">
        <f t="shared" ref="AX133:AX196" ca="1" si="102">HLOOKUP(IF($AV133&lt;$AY$1,1,IF(AND($AV133&gt;=$AY$1,$AV133&lt;$AZ$1),2,IF(AND($AV133&gt;=$AZ$1,$AV133&lt;$BA$1),3,IF(AND($AV133&gt;=$BA$1),4,1)))),PR,2,0)</f>
        <v>0.05</v>
      </c>
      <c r="AY133" s="286">
        <f t="shared" ref="AY133:AY196" ca="1" si="103">ROUND(AU133*AW133,0)</f>
        <v>0</v>
      </c>
      <c r="AZ133" s="286">
        <f t="shared" ref="AZ133:AZ196" ca="1" si="104">ROUND(AV133*AX133,0)</f>
        <v>0</v>
      </c>
      <c r="BA133" s="286">
        <f t="shared" ref="BA133:BA196" ca="1" si="105">BB133+BC133</f>
        <v>0</v>
      </c>
      <c r="BB133" s="286">
        <f t="shared" ref="BB133:BB196" ca="1" si="106">IF(ISNA(VLOOKUP(A133,MP,2,0)),,IF(C133=$C$3,ROUND(VLOOKUP(A133,MP,6,0),0),0))</f>
        <v>0</v>
      </c>
      <c r="BC133" s="286">
        <f t="shared" ref="BC133:BC196" ca="1" si="107">IF(ISNA(VLOOKUP(A133,MP,4,0)),,IF(AND(C133=$C$3,AN133=1),ROUND(VLOOKUP(A133,MP,4,0),0),0))</f>
        <v>0</v>
      </c>
      <c r="BD133" s="180">
        <f t="shared" ref="BD133:BD196" ca="1" si="108">HLOOKUP(IF($BB133&lt;$AY$1,1,IF(AND($BB133&gt;=$AY$1,$BB133&lt;$AZ$1),2,IF(AND($BB133&gt;=$AZ$1,$BB133&lt;$BA$1),3,IF(AND($BB133&gt;=$BA$1),4,1)))),PR,2,0)</f>
        <v>0.05</v>
      </c>
      <c r="BE133" s="180">
        <f t="shared" ref="BE133:BE196" ca="1" si="109">HLOOKUP(IF($BC133&lt;$AY$1,1,IF(AND($BC133&gt;=$AY$1,$BC133&lt;$AZ$1),2,IF(AND($BC133&gt;=$AZ$1,$BC133&lt;$BA$1),3,IF(AND($BC133&gt;=$BA$1),4,1)))),PR,2,0)</f>
        <v>0.05</v>
      </c>
      <c r="BF133" s="286">
        <f t="shared" ref="BF133:BF196" ca="1" si="110">ROUND(BB133*BD133,0)</f>
        <v>0</v>
      </c>
      <c r="BG133" s="286">
        <f t="shared" ref="BG133:BG196" ca="1" si="111">ROUND(BC133*BE133,0)</f>
        <v>0</v>
      </c>
    </row>
    <row r="134" spans="1:59">
      <c r="A134" s="1">
        <f t="shared" ca="1" si="91"/>
        <v>11</v>
      </c>
      <c r="B134" s="1">
        <f t="shared" ca="1" si="84"/>
        <v>117</v>
      </c>
      <c r="C134" s="1">
        <f t="shared" ca="1" si="85"/>
        <v>4</v>
      </c>
      <c r="D134" s="1">
        <f ca="1">MIN($D$3,VLOOKUP(C134,OP!$S$30:$T$41,2))</f>
        <v>2</v>
      </c>
      <c r="E134" s="1">
        <f t="shared" ca="1" si="86"/>
        <v>65</v>
      </c>
      <c r="F134" s="11" t="str">
        <f t="shared" ca="1" si="92"/>
        <v/>
      </c>
      <c r="G134" s="8">
        <f t="shared" ca="1" si="89"/>
        <v>366</v>
      </c>
      <c r="H134" s="8">
        <f t="shared" ca="1" si="93"/>
        <v>30</v>
      </c>
      <c r="I134" s="8" t="str">
        <f t="shared" ca="1" si="90"/>
        <v>114</v>
      </c>
      <c r="J134" s="13">
        <f>IF(繳費報酬率資料!$A$1=1,VALUE(OP!$C$121),VLOOKUP(A134,MP,2,0))</f>
        <v>0.05</v>
      </c>
      <c r="K134" s="14">
        <f ca="1">IF(SUM($K$4:K133,IF(繳費報酬率資料!$A$1=1,$AU134+$AV134,$BB134+$BC134))&gt;OP!$L$58,0,IF(繳費報酬率資料!$A$1=1,$AU134+$AV134,$BB134+$BC134))</f>
        <v>0</v>
      </c>
      <c r="L134" s="2"/>
      <c r="M134" s="2"/>
      <c r="N134" s="2"/>
      <c r="O134" s="261">
        <f t="shared" ca="1" si="94"/>
        <v>0</v>
      </c>
      <c r="P134" s="261">
        <f t="shared" ref="P134:P197" ca="1" si="112">IF(MAX(Z133:AB133)=0,0,P133)</f>
        <v>0</v>
      </c>
      <c r="Q134" s="3">
        <f ca="1">IF(A134&gt;MAX(OP!$R$17:$R$26),0,VLOOKUP(A134,fees,3,FALSE))</f>
        <v>0</v>
      </c>
      <c r="R134" s="200" t="str">
        <f t="shared" ca="1" si="95"/>
        <v/>
      </c>
      <c r="S134" s="9" t="str">
        <f ca="1">IF(COUNTIF(($T$4:T133),"F")&gt;=1,"",IF(OR(C135&lt;&gt;$C$3,E134=""),"",A134))</f>
        <v/>
      </c>
      <c r="T134" s="20" t="str">
        <f t="shared" ca="1" si="87"/>
        <v/>
      </c>
      <c r="U134" s="2">
        <f ca="1">IF(IF(OP!$C$83=1,$Z133,IF(OP!$C$83=2,$AA133,IF(OP!$C$83=3,$AB133,)))+$K134-$O134-$P134-$AS134&lt;OP!$C$142,0,$AS134)</f>
        <v>0</v>
      </c>
      <c r="V134" s="9"/>
      <c r="W134" s="19">
        <f ca="1">MAX(SUM($K$4:K134),0)</f>
        <v>2000000</v>
      </c>
      <c r="X134" s="19"/>
      <c r="Y134" s="19">
        <f t="shared" ref="Y134:Y197" ca="1" si="113">Y133+K134-O134</f>
        <v>1920000</v>
      </c>
      <c r="Z134" s="2">
        <f ca="1">IF(MIN($Z$4:Z133)=0,0,MAX(0,($Z133+$K134-$O134-$P134)*IF(AND(F134="F",$D$3&lt;&gt;$G$3),((1+(-J134))^(H134/MIN(G134,365))),((1+(-J134))^(1/12)))-$U134))</f>
        <v>1096774.2690553537</v>
      </c>
      <c r="AA134" s="2">
        <f ca="1">IF(MIN($AA$4:AA133)=0,0,MAX(0,($AA133+$K134-$O134-$P134)*IF(AND(F134="F",$D$3&lt;&gt;$G$3),((1+$AA$1)^(H134/MIN(G134,365))),((1+$AA$1)^(1/12)))-$U134))</f>
        <v>1920000</v>
      </c>
      <c r="AB134" s="2">
        <f ca="1">IF(MIN($AB$4:AB133)=0,0,MAX(0,($AB133+$K134-$O134-$P134)*IF(AND(F134="F",$D$3&lt;&gt;$G$3),((1+(J134))^(H134/MIN(G134,365))),((1+(J134))^(1/12)))-$U134))</f>
        <v>3270527.0356025295</v>
      </c>
      <c r="AC134" s="5"/>
      <c r="AD134" s="5"/>
      <c r="AE134" s="5"/>
      <c r="AF134" s="282">
        <f t="shared" ca="1" si="96"/>
        <v>1096774</v>
      </c>
      <c r="AG134" s="282">
        <f t="shared" ca="1" si="97"/>
        <v>1920000</v>
      </c>
      <c r="AH134" s="282">
        <f t="shared" ca="1" si="98"/>
        <v>3270527</v>
      </c>
      <c r="AI134" s="23" t="str">
        <f t="shared" ca="1" si="79"/>
        <v>11-12</v>
      </c>
      <c r="AJ134" s="282">
        <f ca="1">IF(E134&gt;111,,IF(AND(OP!$C$99=1,T134="F"),Z134,IF(AND(OP!$C$99=2,COUNTIF($T$4:T134,"F")=1),OP!$C$97+IF(F134="F",OP!$C$98,0),"")))</f>
        <v>54527</v>
      </c>
      <c r="AK134" s="282">
        <f ca="1">IF(E134&gt;111,,IF(AND(OP!$D$99=1,T134="F"),AA134,IF(AND(OP!$D$99=2,COUNTIF($T$4:T134,"F")=1),OP!$D$97+IF(F134="F",OP!$D$98,0),"")))</f>
        <v>74177</v>
      </c>
      <c r="AL134" s="282">
        <f ca="1">IF(E134&gt;111,,IF(AND(OP!$E$99=1,T134="F"),AB134,IF(AND(OP!$E$99=2,COUNTIF($T$4:T134,"F")=1),OP!$E$97+IF(F134="F",OP!$E$98,0),"")))</f>
        <v>99404</v>
      </c>
      <c r="AM134" s="1">
        <f t="shared" ca="1" si="88"/>
        <v>12</v>
      </c>
      <c r="AN134" s="1" t="str">
        <f ca="1">IF(OR(VLOOKUP($A134,MP,5,0)="月繳"),1,"")</f>
        <v/>
      </c>
      <c r="AO134" s="1">
        <f t="shared" ca="1" si="99"/>
        <v>0</v>
      </c>
      <c r="AP134" s="1" t="str">
        <f ca="1">IF(AND(A134&lt;=OP!$C$120,COUNTIF(PAY,C134)=1),1,"")</f>
        <v/>
      </c>
      <c r="AR134" s="301">
        <f ca="1">IF(繳費報酬率資料!$A$1=1,$AY134+$AZ134,$BF134+$BG134)</f>
        <v>0</v>
      </c>
      <c r="AS134" s="1">
        <f ca="1">IF(C134&lt;&gt;IF($C$3=1,12,$C$3-1),0,IF(繳費報酬率資料!$A$1&lt;&gt;1,VLOOKUP($A134,MP,8,0),IF(AND($A134&gt;=OP!$C$79,$A134&lt;=OP!$C$80),OP!$C$78,)))</f>
        <v>0</v>
      </c>
      <c r="AT134" s="298">
        <f t="shared" ca="1" si="100"/>
        <v>0</v>
      </c>
      <c r="AU134" s="298">
        <f ca="1">IF(AND(A134&lt;=OP!$C$120,COUNTIF(PAY,C134)=1),OP!$C$123,0)</f>
        <v>0</v>
      </c>
      <c r="AV134" s="298">
        <f ca="1">IF(AND(A134&gt;=OP!$C$132,A134&lt;=OP!$C$133,$C$3=C134),OP!$C$135,0)</f>
        <v>0</v>
      </c>
      <c r="AW134" s="180">
        <f t="shared" ca="1" si="101"/>
        <v>0.05</v>
      </c>
      <c r="AX134" s="180">
        <f t="shared" ca="1" si="102"/>
        <v>0.05</v>
      </c>
      <c r="AY134" s="286">
        <f t="shared" ca="1" si="103"/>
        <v>0</v>
      </c>
      <c r="AZ134" s="286">
        <f t="shared" ca="1" si="104"/>
        <v>0</v>
      </c>
      <c r="BA134" s="286">
        <f t="shared" ca="1" si="105"/>
        <v>0</v>
      </c>
      <c r="BB134" s="286">
        <f t="shared" ca="1" si="106"/>
        <v>0</v>
      </c>
      <c r="BC134" s="286">
        <f t="shared" ca="1" si="107"/>
        <v>0</v>
      </c>
      <c r="BD134" s="180">
        <f t="shared" ca="1" si="108"/>
        <v>0.05</v>
      </c>
      <c r="BE134" s="180">
        <f t="shared" ca="1" si="109"/>
        <v>0.05</v>
      </c>
      <c r="BF134" s="286">
        <f t="shared" ca="1" si="110"/>
        <v>0</v>
      </c>
      <c r="BG134" s="286">
        <f t="shared" ca="1" si="111"/>
        <v>0</v>
      </c>
    </row>
    <row r="135" spans="1:59">
      <c r="A135" s="1">
        <f t="shared" ca="1" si="91"/>
        <v>11</v>
      </c>
      <c r="B135" s="1">
        <f t="shared" ca="1" si="84"/>
        <v>117</v>
      </c>
      <c r="C135" s="1">
        <f t="shared" ca="1" si="85"/>
        <v>5</v>
      </c>
      <c r="D135" s="1">
        <f ca="1">MIN($D$3,VLOOKUP(C135,OP!$S$30:$T$41,2))</f>
        <v>2</v>
      </c>
      <c r="E135" s="1">
        <f t="shared" ca="1" si="86"/>
        <v>65</v>
      </c>
      <c r="F135" s="11" t="str">
        <f t="shared" ca="1" si="92"/>
        <v/>
      </c>
      <c r="G135" s="8">
        <f t="shared" ca="1" si="89"/>
        <v>366</v>
      </c>
      <c r="H135" s="8">
        <f t="shared" ca="1" si="93"/>
        <v>31</v>
      </c>
      <c r="I135" s="8" t="str">
        <f t="shared" ca="1" si="90"/>
        <v>115</v>
      </c>
      <c r="J135" s="13">
        <f>IF(繳費報酬率資料!$A$1=1,VALUE(OP!$C$121),VLOOKUP(A135,MP,2,0))</f>
        <v>0.05</v>
      </c>
      <c r="K135" s="14">
        <f ca="1">IF(SUM($K$4:K134,IF(繳費報酬率資料!$A$1=1,$AU135+$AV135,$BB135+$BC135))&gt;OP!$L$58,0,IF(繳費報酬率資料!$A$1=1,$AU135+$AV135,$BB135+$BC135))</f>
        <v>0</v>
      </c>
      <c r="L135" s="2">
        <f ca="1">ROUND(IF(OP!$C$78&lt;(IF(OR($T135="F",$E135&gt;=111),0,Z134+$K135-$O135+IF($C$1=1,OP!$C$78,IF($C136=$C$3,SUM(AC124:AC135,0)))))*5%,0,(OP!$C$78-((IF(OR($T135="F",$E135&gt;=111),0,Z134+$K135-$O135+IF($C$1=1,AC135,IF($C136=$C$3,SUM(AC124:AC135,0)))))*5%))*$Q135),0)</f>
        <v>0</v>
      </c>
      <c r="M135" s="2">
        <f ca="1">ROUND(IF(OP!$C$78&lt;(IF(OR($T135="F",$E135&gt;=111),0,AA134+$K135-$O135+IF($C$1=1,AD135,IF($C136=$C$3,SUM(AD124:AD135,0)))))*5%,0,(OP!$C$78-((IF(OR($T135="F",$E135&gt;=111),0,AA134+$K135-$O135+IF($C$1=1,AD135,IF($C136=$C$3,SUM(AD124:AD135,0)))))*5%))*$Q135),0)</f>
        <v>0</v>
      </c>
      <c r="N135" s="2">
        <f ca="1">ROUND(IF(OP!$C$78&lt;(IF(OR($T135="F",$E135&gt;=111),0,AB134+$K135-$O135+IF($C$1=1,AE135,IF($C136=$C$3,SUM(AE124:AE135,0)))))*5%,0,(OP!$C$78-((IF(OR($T135="F",$E135&gt;=111),0,AB134+$K135-$O135+IF($C$1=1,AE135,IF($C136=$C$3,SUM(AE124:AE135,0)))))*5%))*$Q135),0)</f>
        <v>0</v>
      </c>
      <c r="O135" s="261">
        <f t="shared" ca="1" si="94"/>
        <v>0</v>
      </c>
      <c r="P135" s="261">
        <f t="shared" ca="1" si="112"/>
        <v>0</v>
      </c>
      <c r="Q135" s="3">
        <f ca="1">IF(A135&gt;MAX(OP!$R$17:$R$26),0,VLOOKUP(A135,fees,3,FALSE))</f>
        <v>0</v>
      </c>
      <c r="R135" s="200">
        <f t="shared" ca="1" si="95"/>
        <v>11</v>
      </c>
      <c r="S135" s="9" t="str">
        <f ca="1">IF(COUNTIF(($T$4:T134),"F")&gt;=1,"",IF(OR(C136&lt;&gt;$C$3,E135=""),"",A135))</f>
        <v/>
      </c>
      <c r="T135" s="20" t="str">
        <f t="shared" ca="1" si="87"/>
        <v/>
      </c>
      <c r="U135" s="2">
        <f ca="1">IF(IF(OP!$C$83=1,$Z134,IF(OP!$C$83=2,$AA134,IF(OP!$C$83=3,$AB134,)))+$K135-$O135-$P135-$AS135&lt;OP!$C$142,0,$AS135)</f>
        <v>0</v>
      </c>
      <c r="V135" s="19">
        <f ca="1">SUM(K124:K135)</f>
        <v>0</v>
      </c>
      <c r="W135" s="19">
        <f ca="1">MAX(SUM($K$4:K135),0)</f>
        <v>2000000</v>
      </c>
      <c r="X135" s="19">
        <f ca="1">SUM(O124:P135)</f>
        <v>0</v>
      </c>
      <c r="Y135" s="19">
        <f t="shared" ca="1" si="113"/>
        <v>1920000</v>
      </c>
      <c r="Z135" s="2">
        <f ca="1">IF(MIN($Z$4:Z134)=0,0,MAX(0,($Z134+$K135-$O135-$P135)*IF(AND(F135="F",$D$3&lt;&gt;$G$3),((1+(-J135))^(H135/MIN(G135,365))),((1+(-J135))^(1/12)))-$U135))</f>
        <v>1092096.1771708066</v>
      </c>
      <c r="AA135" s="2">
        <f ca="1">IF(MIN($AA$4:AA134)=0,0,MAX(0,($AA134+$K135-$O135-$P135)*IF(AND(F135="F",$D$3&lt;&gt;$G$3),((1+$AA$1)^(H135/MIN(G135,365))),((1+$AA$1)^(1/12)))-$U135))</f>
        <v>1920000</v>
      </c>
      <c r="AB135" s="2">
        <f ca="1">IF(MIN($AB$4:AB134)=0,0,MAX(0,($AB134+$K135-$O135-$P135)*IF(AND(F135="F",$D$3&lt;&gt;$G$3),((1+(J135))^(H135/MIN(G135,365))),((1+(J135))^(1/12)))-$U135))</f>
        <v>3283851.5675833425</v>
      </c>
      <c r="AC135" s="5"/>
      <c r="AD135" s="5"/>
      <c r="AE135" s="5"/>
      <c r="AF135" s="282">
        <f t="shared" ca="1" si="96"/>
        <v>1092096</v>
      </c>
      <c r="AG135" s="282">
        <f t="shared" ca="1" si="97"/>
        <v>1920000</v>
      </c>
      <c r="AH135" s="282">
        <f t="shared" ca="1" si="98"/>
        <v>3283852</v>
      </c>
      <c r="AI135" s="23" t="str">
        <f t="shared" ca="1" si="79"/>
        <v>12-1</v>
      </c>
      <c r="AJ135" s="282">
        <f ca="1">IF(E135&gt;111,,IF(AND(OP!$C$99=1,T135="F"),Z135,IF(AND(OP!$C$99=2,COUNTIF($T$4:T135,"F")=1),OP!$C$97+IF(F135="F",OP!$C$98,0),"")))</f>
        <v>54527</v>
      </c>
      <c r="AK135" s="282">
        <f ca="1">IF(E135&gt;111,,IF(AND(OP!$D$99=1,T135="F"),AA135,IF(AND(OP!$D$99=2,COUNTIF($T$4:T135,"F")=1),OP!$D$97+IF(F135="F",OP!$D$98,0),"")))</f>
        <v>74177</v>
      </c>
      <c r="AL135" s="282">
        <f ca="1">IF(E135&gt;111,,IF(AND(OP!$E$99=1,T135="F"),AB135,IF(AND(OP!$E$99=2,COUNTIF($T$4:T135,"F")=1),OP!$E$97+IF(F135="F",OP!$E$98,0),"")))</f>
        <v>99404</v>
      </c>
      <c r="AM135" s="1">
        <f t="shared" ca="1" si="88"/>
        <v>1</v>
      </c>
      <c r="AN135" s="1" t="str">
        <f ca="1">IF(OR(VLOOKUP($A135,MP,5,0)="月繳"),1,"")</f>
        <v/>
      </c>
      <c r="AO135" s="1">
        <f t="shared" ca="1" si="99"/>
        <v>0</v>
      </c>
      <c r="AP135" s="1" t="str">
        <f ca="1">IF(AND(A135&lt;=OP!$C$120,COUNTIF(PAY,C135)=1),1,"")</f>
        <v/>
      </c>
      <c r="AR135" s="301">
        <f ca="1">IF(繳費報酬率資料!$A$1=1,$AY135+$AZ135,$BF135+$BG135)</f>
        <v>0</v>
      </c>
      <c r="AS135" s="1">
        <f ca="1">IF(C135&lt;&gt;IF($C$3=1,12,$C$3-1),0,IF(繳費報酬率資料!$A$1&lt;&gt;1,VLOOKUP($A135,MP,8,0),IF(AND($A135&gt;=OP!$C$79,$A135&lt;=OP!$C$80),OP!$C$78,)))</f>
        <v>0</v>
      </c>
      <c r="AT135" s="298">
        <f t="shared" ca="1" si="100"/>
        <v>0</v>
      </c>
      <c r="AU135" s="298">
        <f ca="1">IF(AND(A135&lt;=OP!$C$120,COUNTIF(PAY,C135)=1),OP!$C$123,0)</f>
        <v>0</v>
      </c>
      <c r="AV135" s="298">
        <f ca="1">IF(AND(A135&gt;=OP!$C$132,A135&lt;=OP!$C$133,$C$3=C135),OP!$C$135,0)</f>
        <v>0</v>
      </c>
      <c r="AW135" s="180">
        <f t="shared" ca="1" si="101"/>
        <v>0.05</v>
      </c>
      <c r="AX135" s="180">
        <f t="shared" ca="1" si="102"/>
        <v>0.05</v>
      </c>
      <c r="AY135" s="286">
        <f t="shared" ca="1" si="103"/>
        <v>0</v>
      </c>
      <c r="AZ135" s="286">
        <f t="shared" ca="1" si="104"/>
        <v>0</v>
      </c>
      <c r="BA135" s="286">
        <f t="shared" ca="1" si="105"/>
        <v>0</v>
      </c>
      <c r="BB135" s="286">
        <f t="shared" ca="1" si="106"/>
        <v>0</v>
      </c>
      <c r="BC135" s="286">
        <f t="shared" ca="1" si="107"/>
        <v>0</v>
      </c>
      <c r="BD135" s="180">
        <f t="shared" ca="1" si="108"/>
        <v>0.05</v>
      </c>
      <c r="BE135" s="180">
        <f t="shared" ca="1" si="109"/>
        <v>0.05</v>
      </c>
      <c r="BF135" s="286">
        <f t="shared" ca="1" si="110"/>
        <v>0</v>
      </c>
      <c r="BG135" s="286">
        <f t="shared" ca="1" si="111"/>
        <v>0</v>
      </c>
    </row>
    <row r="136" spans="1:59">
      <c r="A136" s="1">
        <f t="shared" ca="1" si="91"/>
        <v>12</v>
      </c>
      <c r="B136" s="1">
        <f t="shared" ref="B136:B187" ca="1" si="114">IF(C136=1,B135+1,B135)</f>
        <v>117</v>
      </c>
      <c r="C136" s="1">
        <f t="shared" ref="C136:C187" ca="1" si="115">IF(C135=12,1,C135+1)</f>
        <v>6</v>
      </c>
      <c r="D136" s="1">
        <f ca="1">MIN($D$3,VLOOKUP(C136,OP!$S$30:$T$41,2))</f>
        <v>2</v>
      </c>
      <c r="E136" s="1">
        <f t="shared" ref="E136:E187" ca="1" si="116">IF($K$1+A136-1&gt;$D$1,"",$K$1+A136-1)</f>
        <v>66</v>
      </c>
      <c r="F136" s="11" t="str">
        <f t="shared" ca="1" si="92"/>
        <v/>
      </c>
      <c r="G136" s="6">
        <f ca="1">DATEDIF(DATE(B136+1911,C136,D136),DATE(B148+1911,C148,D148),"d")</f>
        <v>365</v>
      </c>
      <c r="H136" s="8">
        <f t="shared" ca="1" si="93"/>
        <v>30</v>
      </c>
      <c r="I136" s="8" t="str">
        <f t="shared" ca="1" si="90"/>
        <v>126</v>
      </c>
      <c r="J136" s="13">
        <f>IF(繳費報酬率資料!$A$1=1,VALUE(OP!$C$121),VLOOKUP(A136,MP,2,0))</f>
        <v>0.05</v>
      </c>
      <c r="K136" s="14">
        <f ca="1">IF(SUM($K$4:K135,IF(繳費報酬率資料!$A$1=1,$AU136+$AV136,$BB136+$BC136))&gt;OP!$L$58,0,IF(繳費報酬率資料!$A$1=1,$AU136+$AV136,$BB136+$BC136))</f>
        <v>0</v>
      </c>
      <c r="L136" s="2"/>
      <c r="M136" s="2"/>
      <c r="N136" s="2"/>
      <c r="O136" s="261">
        <f t="shared" ca="1" si="94"/>
        <v>0</v>
      </c>
      <c r="P136" s="261">
        <f t="shared" ca="1" si="112"/>
        <v>0</v>
      </c>
      <c r="Q136" s="3">
        <f ca="1">IF(A136&gt;MAX(OP!$R$17:$R$26),0,VLOOKUP(A136,fees,3,FALSE))</f>
        <v>0</v>
      </c>
      <c r="R136" s="200" t="str">
        <f t="shared" ca="1" si="95"/>
        <v/>
      </c>
      <c r="S136" s="9" t="str">
        <f ca="1">IF(COUNTIF(($T$4:T135),"F")&gt;=1,"",IF(OR(C137&lt;&gt;$C$3,E136=""),"",A136))</f>
        <v/>
      </c>
      <c r="T136" s="20" t="str">
        <f t="shared" ref="T136:T187" ca="1" si="117">IF(F136&lt;&gt;"","F","")</f>
        <v/>
      </c>
      <c r="U136" s="2">
        <f ca="1">IF(IF(OP!$C$83=1,$Z135,IF(OP!$C$83=2,$AA135,IF(OP!$C$83=3,$AB135,)))+$K136-$O136-$P136-$AS136&lt;OP!$C$142,0,$AS136)</f>
        <v>0</v>
      </c>
      <c r="V136" s="9"/>
      <c r="W136" s="19">
        <f ca="1">MAX(SUM($K$4:K136),0)</f>
        <v>2000000</v>
      </c>
      <c r="X136" s="19"/>
      <c r="Y136" s="19">
        <f t="shared" ca="1" si="113"/>
        <v>1920000</v>
      </c>
      <c r="Z136" s="2">
        <f ca="1">IF(MIN($Z$4:Z135)=0,0,MAX(0,($Z135+$K136-$O136-$P136)*IF(AND(F136="F",$D$3&lt;&gt;$G$3),((1+(-J136))^(H136/MIN(G136,365))),((1+(-J136))^(1/12)))-$U136))</f>
        <v>1087438.0388394177</v>
      </c>
      <c r="AA136" s="2">
        <f ca="1">IF(MIN($AA$4:AA135)=0,0,MAX(0,($AA135+$K136-$O136-$P136)*IF(AND(F136="F",$D$3&lt;&gt;$G$3),((1+$AA$1)^(H136/MIN(G136,365))),((1+$AA$1)^(1/12)))-$U136))</f>
        <v>1920000</v>
      </c>
      <c r="AB136" s="2">
        <f ca="1">IF(MIN($AB$4:AB135)=0,0,MAX(0,($AB135+$K136-$O136-$P136)*IF(AND(F136="F",$D$3&lt;&gt;$G$3),((1+(J136))^(H136/MIN(G136,365))),((1+(J136))^(1/12)))-$U136))</f>
        <v>3297230.3853568048</v>
      </c>
      <c r="AC136" s="21"/>
      <c r="AD136" s="21"/>
      <c r="AE136" s="21"/>
      <c r="AF136" s="282">
        <f t="shared" ca="1" si="96"/>
        <v>1087438</v>
      </c>
      <c r="AG136" s="282">
        <f t="shared" ca="1" si="97"/>
        <v>1920000</v>
      </c>
      <c r="AH136" s="282">
        <f t="shared" ca="1" si="98"/>
        <v>3297230</v>
      </c>
      <c r="AI136" s="23" t="str">
        <f t="shared" ca="1" si="79"/>
        <v>12-2</v>
      </c>
      <c r="AJ136" s="281">
        <f ca="1">IF(E136&gt;111,,IF(AND(OP!$C$99=1,T136="F"),Z136,IF(AND(OP!$C$99=2,COUNTIF($T$4:T136,"F")=1),OP!$C$97+IF(F136="F",OP!$C$98,0),"")))</f>
        <v>54527</v>
      </c>
      <c r="AK136" s="281">
        <f ca="1">IF(E136&gt;111,,IF(AND(OP!$D$99=1,T136="F"),AA136,IF(AND(OP!$D$99=2,COUNTIF($T$4:T136,"F")=1),OP!$D$97+IF(F136="F",OP!$D$98,0),"")))</f>
        <v>74177</v>
      </c>
      <c r="AL136" s="281">
        <f ca="1">IF(E136&gt;111,,IF(AND(OP!$E$99=1,T136="F"),AB136,IF(AND(OP!$E$99=2,COUNTIF($T$4:T136,"F")=1),OP!$E$97+IF(F136="F",OP!$E$98,0),"")))</f>
        <v>99404</v>
      </c>
      <c r="AM136" s="1">
        <f t="shared" ca="1" si="88"/>
        <v>2</v>
      </c>
      <c r="AN136" s="1">
        <f ca="1">IF(OR(VLOOKUP($A136,MP,5,0)="年繳",VLOOKUP($A136,MP,5,0)="半年繳",VLOOKUP($A136,MP,5,0)="季繳",VLOOKUP($A136,MP,5,0)="月繳"),1,"")</f>
        <v>1</v>
      </c>
      <c r="AO136" s="1">
        <f t="shared" ca="1" si="99"/>
        <v>0</v>
      </c>
      <c r="AP136" s="1" t="str">
        <f ca="1">IF(AND(A136&lt;=OP!$C$120,COUNTIF(PAY,C136)=1),1,"")</f>
        <v/>
      </c>
      <c r="AR136" s="301">
        <f ca="1">IF(繳費報酬率資料!$A$1=1,$AY136+$AZ136,$BF136+$BG136)</f>
        <v>0</v>
      </c>
      <c r="AS136" s="1">
        <f ca="1">IF(C136&lt;&gt;IF($C$3=1,12,$C$3-1),0,IF(繳費報酬率資料!$A$1&lt;&gt;1,VLOOKUP($A136,MP,8,0),IF(AND($A136&gt;=OP!$C$79,$A136&lt;=OP!$C$80),OP!$C$78,)))</f>
        <v>0</v>
      </c>
      <c r="AT136" s="298">
        <f t="shared" ca="1" si="100"/>
        <v>0</v>
      </c>
      <c r="AU136" s="298">
        <f ca="1">IF(AND(A136&lt;=OP!$C$120,COUNTIF(PAY,C136)=1),OP!$C$123,0)</f>
        <v>0</v>
      </c>
      <c r="AV136" s="298">
        <f ca="1">IF(AND(A136&gt;=OP!$C$132,A136&lt;=OP!$C$133,$C$3=C136),OP!$C$135,0)</f>
        <v>0</v>
      </c>
      <c r="AW136" s="180">
        <f t="shared" ca="1" si="101"/>
        <v>0.05</v>
      </c>
      <c r="AX136" s="180">
        <f t="shared" ca="1" si="102"/>
        <v>0.05</v>
      </c>
      <c r="AY136" s="286">
        <f t="shared" ca="1" si="103"/>
        <v>0</v>
      </c>
      <c r="AZ136" s="286">
        <f t="shared" ca="1" si="104"/>
        <v>0</v>
      </c>
      <c r="BA136" s="286">
        <f t="shared" ca="1" si="105"/>
        <v>0</v>
      </c>
      <c r="BB136" s="286">
        <f t="shared" ca="1" si="106"/>
        <v>0</v>
      </c>
      <c r="BC136" s="286">
        <f t="shared" ca="1" si="107"/>
        <v>0</v>
      </c>
      <c r="BD136" s="180">
        <f t="shared" ca="1" si="108"/>
        <v>0.05</v>
      </c>
      <c r="BE136" s="180">
        <f t="shared" ca="1" si="109"/>
        <v>0.05</v>
      </c>
      <c r="BF136" s="286">
        <f t="shared" ca="1" si="110"/>
        <v>0</v>
      </c>
      <c r="BG136" s="286">
        <f t="shared" ca="1" si="111"/>
        <v>0</v>
      </c>
    </row>
    <row r="137" spans="1:59">
      <c r="A137" s="1">
        <f t="shared" ca="1" si="91"/>
        <v>12</v>
      </c>
      <c r="B137" s="1">
        <f t="shared" ca="1" si="114"/>
        <v>117</v>
      </c>
      <c r="C137" s="1">
        <f t="shared" ca="1" si="115"/>
        <v>7</v>
      </c>
      <c r="D137" s="1">
        <f ca="1">MIN($D$3,VLOOKUP(C137,OP!$S$30:$T$41,2))</f>
        <v>2</v>
      </c>
      <c r="E137" s="1">
        <f t="shared" ca="1" si="116"/>
        <v>66</v>
      </c>
      <c r="F137" s="11" t="str">
        <f t="shared" ca="1" si="92"/>
        <v/>
      </c>
      <c r="G137" s="8">
        <f t="shared" ref="G137:G147" ca="1" si="118">G136</f>
        <v>365</v>
      </c>
      <c r="H137" s="8">
        <f t="shared" ca="1" si="93"/>
        <v>31</v>
      </c>
      <c r="I137" s="8" t="str">
        <f t="shared" ca="1" si="90"/>
        <v>127</v>
      </c>
      <c r="J137" s="13">
        <f>IF(繳費報酬率資料!$A$1=1,VALUE(OP!$C$121),VLOOKUP(A137,MP,2,0))</f>
        <v>0.05</v>
      </c>
      <c r="K137" s="14">
        <f ca="1">IF(SUM($K$4:K136,IF(繳費報酬率資料!$A$1=1,$AU137+$AV137,$BB137+$BC137))&gt;OP!$L$58,0,IF(繳費報酬率資料!$A$1=1,$AU137+$AV137,$BB137+$BC137))</f>
        <v>0</v>
      </c>
      <c r="L137" s="2"/>
      <c r="M137" s="2"/>
      <c r="N137" s="2"/>
      <c r="O137" s="261">
        <f t="shared" ca="1" si="94"/>
        <v>0</v>
      </c>
      <c r="P137" s="261">
        <f t="shared" ca="1" si="112"/>
        <v>0</v>
      </c>
      <c r="Q137" s="3">
        <f ca="1">IF(A137&gt;MAX(OP!$R$17:$R$26),0,VLOOKUP(A137,fees,3,FALSE))</f>
        <v>0</v>
      </c>
      <c r="R137" s="200" t="str">
        <f t="shared" ca="1" si="95"/>
        <v/>
      </c>
      <c r="S137" s="9" t="str">
        <f ca="1">IF(COUNTIF(($T$4:T136),"F")&gt;=1,"",IF(OR(C138&lt;&gt;$C$3,E137=""),"",A137))</f>
        <v/>
      </c>
      <c r="T137" s="20" t="str">
        <f t="shared" ca="1" si="117"/>
        <v/>
      </c>
      <c r="U137" s="2">
        <f ca="1">IF(IF(OP!$C$83=1,$Z136,IF(OP!$C$83=2,$AA136,IF(OP!$C$83=3,$AB136,)))+$K137-$O137-$P137-$AS137&lt;OP!$C$142,0,$AS137)</f>
        <v>0</v>
      </c>
      <c r="V137" s="9"/>
      <c r="W137" s="19">
        <f ca="1">MAX(SUM($K$4:K137),0)</f>
        <v>2000000</v>
      </c>
      <c r="X137" s="19"/>
      <c r="Y137" s="19">
        <f t="shared" ca="1" si="113"/>
        <v>1920000</v>
      </c>
      <c r="Z137" s="2">
        <f ca="1">IF(MIN($Z$4:Z136)=0,0,MAX(0,($Z136+$K137-$O137-$P137)*IF(AND(F137="F",$D$3&lt;&gt;$G$3),((1+(-J137))^(H137/MIN(G137,365))),((1+(-J137))^(1/12)))-$U137))</f>
        <v>1082799.7689529222</v>
      </c>
      <c r="AA137" s="2">
        <f ca="1">IF(MIN($AA$4:AA136)=0,0,MAX(0,($AA136+$K137-$O137-$P137)*IF(AND(F137="F",$D$3&lt;&gt;$G$3),((1+$AA$1)^(H137/MIN(G137,365))),((1+$AA$1)^(1/12)))-$U137))</f>
        <v>1920000</v>
      </c>
      <c r="AB137" s="2">
        <f ca="1">IF(MIN($AB$4:AB136)=0,0,MAX(0,($AB136+$K137-$O137-$P137)*IF(AND(F137="F",$D$3&lt;&gt;$G$3),((1+(J137))^(H137/MIN(G137,365))),((1+(J137))^(1/12)))-$U137))</f>
        <v>3310663.710089955</v>
      </c>
      <c r="AC137" s="5"/>
      <c r="AD137" s="5"/>
      <c r="AE137" s="5"/>
      <c r="AF137" s="282">
        <f t="shared" ca="1" si="96"/>
        <v>1082800</v>
      </c>
      <c r="AG137" s="282">
        <f t="shared" ca="1" si="97"/>
        <v>1920000</v>
      </c>
      <c r="AH137" s="282">
        <f t="shared" ca="1" si="98"/>
        <v>3310664</v>
      </c>
      <c r="AI137" s="23" t="str">
        <f t="shared" ca="1" si="79"/>
        <v>12-3</v>
      </c>
      <c r="AJ137" s="282">
        <f ca="1">IF(E137&gt;111,,IF(AND(OP!$C$99=1,T137="F"),Z137,IF(AND(OP!$C$99=2,COUNTIF($T$4:T137,"F")=1),OP!$C$97+IF(F137="F",OP!$C$98,0),"")))</f>
        <v>54527</v>
      </c>
      <c r="AK137" s="282">
        <f ca="1">IF(E137&gt;111,,IF(AND(OP!$D$99=1,T137="F"),AA137,IF(AND(OP!$D$99=2,COUNTIF($T$4:T137,"F")=1),OP!$D$97+IF(F137="F",OP!$D$98,0),"")))</f>
        <v>74177</v>
      </c>
      <c r="AL137" s="282">
        <f ca="1">IF(E137&gt;111,,IF(AND(OP!$E$99=1,T137="F"),AB137,IF(AND(OP!$E$99=2,COUNTIF($T$4:T137,"F")=1),OP!$E$97+IF(F137="F",OP!$E$98,0),"")))</f>
        <v>99404</v>
      </c>
      <c r="AM137" s="1">
        <f t="shared" ca="1" si="88"/>
        <v>3</v>
      </c>
      <c r="AN137" s="1" t="str">
        <f ca="1">IF(OR(VLOOKUP($A137,MP,5,0)="月繳"),1,"")</f>
        <v/>
      </c>
      <c r="AO137" s="1">
        <f t="shared" ca="1" si="99"/>
        <v>0</v>
      </c>
      <c r="AP137" s="1" t="str">
        <f ca="1">IF(AND(A137&lt;=OP!$C$120,COUNTIF(PAY,C137)=1),1,"")</f>
        <v/>
      </c>
      <c r="AR137" s="301">
        <f ca="1">IF(繳費報酬率資料!$A$1=1,$AY137+$AZ137,$BF137+$BG137)</f>
        <v>0</v>
      </c>
      <c r="AS137" s="1">
        <f ca="1">IF(C137&lt;&gt;IF($C$3=1,12,$C$3-1),0,IF(繳費報酬率資料!$A$1&lt;&gt;1,VLOOKUP($A137,MP,8,0),IF(AND($A137&gt;=OP!$C$79,$A137&lt;=OP!$C$80),OP!$C$78,)))</f>
        <v>0</v>
      </c>
      <c r="AT137" s="298">
        <f t="shared" ca="1" si="100"/>
        <v>0</v>
      </c>
      <c r="AU137" s="298">
        <f ca="1">IF(AND(A137&lt;=OP!$C$120,COUNTIF(PAY,C137)=1),OP!$C$123,0)</f>
        <v>0</v>
      </c>
      <c r="AV137" s="298">
        <f ca="1">IF(AND(A137&gt;=OP!$C$132,A137&lt;=OP!$C$133,$C$3=C137),OP!$C$135,0)</f>
        <v>0</v>
      </c>
      <c r="AW137" s="180">
        <f t="shared" ca="1" si="101"/>
        <v>0.05</v>
      </c>
      <c r="AX137" s="180">
        <f t="shared" ca="1" si="102"/>
        <v>0.05</v>
      </c>
      <c r="AY137" s="286">
        <f t="shared" ca="1" si="103"/>
        <v>0</v>
      </c>
      <c r="AZ137" s="286">
        <f t="shared" ca="1" si="104"/>
        <v>0</v>
      </c>
      <c r="BA137" s="286">
        <f t="shared" ca="1" si="105"/>
        <v>0</v>
      </c>
      <c r="BB137" s="286">
        <f t="shared" ca="1" si="106"/>
        <v>0</v>
      </c>
      <c r="BC137" s="286">
        <f t="shared" ca="1" si="107"/>
        <v>0</v>
      </c>
      <c r="BD137" s="180">
        <f t="shared" ca="1" si="108"/>
        <v>0.05</v>
      </c>
      <c r="BE137" s="180">
        <f t="shared" ca="1" si="109"/>
        <v>0.05</v>
      </c>
      <c r="BF137" s="286">
        <f t="shared" ca="1" si="110"/>
        <v>0</v>
      </c>
      <c r="BG137" s="286">
        <f t="shared" ca="1" si="111"/>
        <v>0</v>
      </c>
    </row>
    <row r="138" spans="1:59">
      <c r="A138" s="1">
        <f t="shared" ca="1" si="91"/>
        <v>12</v>
      </c>
      <c r="B138" s="1">
        <f t="shared" ca="1" si="114"/>
        <v>117</v>
      </c>
      <c r="C138" s="1">
        <f t="shared" ca="1" si="115"/>
        <v>8</v>
      </c>
      <c r="D138" s="1">
        <f ca="1">MIN($D$3,VLOOKUP(C138,OP!$S$30:$T$41,2))</f>
        <v>2</v>
      </c>
      <c r="E138" s="1">
        <f t="shared" ca="1" si="116"/>
        <v>66</v>
      </c>
      <c r="F138" s="11" t="str">
        <f t="shared" ca="1" si="92"/>
        <v/>
      </c>
      <c r="G138" s="8">
        <f t="shared" ca="1" si="118"/>
        <v>365</v>
      </c>
      <c r="H138" s="8">
        <f t="shared" ca="1" si="93"/>
        <v>31</v>
      </c>
      <c r="I138" s="8" t="str">
        <f t="shared" ca="1" si="90"/>
        <v>128</v>
      </c>
      <c r="J138" s="13">
        <f>IF(繳費報酬率資料!$A$1=1,VALUE(OP!$C$121),VLOOKUP(A138,MP,2,0))</f>
        <v>0.05</v>
      </c>
      <c r="K138" s="14">
        <f ca="1">IF(SUM($K$4:K137,IF(繳費報酬率資料!$A$1=1,$AU138+$AV138,$BB138+$BC138))&gt;OP!$L$58,0,IF(繳費報酬率資料!$A$1=1,$AU138+$AV138,$BB138+$BC138))</f>
        <v>0</v>
      </c>
      <c r="L138" s="2"/>
      <c r="M138" s="2"/>
      <c r="N138" s="2"/>
      <c r="O138" s="261">
        <f t="shared" ca="1" si="94"/>
        <v>0</v>
      </c>
      <c r="P138" s="261">
        <f t="shared" ca="1" si="112"/>
        <v>0</v>
      </c>
      <c r="Q138" s="3">
        <f ca="1">IF(A138&gt;MAX(OP!$R$17:$R$26),0,VLOOKUP(A138,fees,3,FALSE))</f>
        <v>0</v>
      </c>
      <c r="R138" s="200" t="str">
        <f t="shared" ca="1" si="95"/>
        <v/>
      </c>
      <c r="S138" s="9" t="str">
        <f ca="1">IF(COUNTIF(($T$4:T137),"F")&gt;=1,"",IF(OR(C139&lt;&gt;$C$3,E138=""),"",A138))</f>
        <v/>
      </c>
      <c r="T138" s="20" t="str">
        <f t="shared" ca="1" si="117"/>
        <v/>
      </c>
      <c r="U138" s="2">
        <f ca="1">IF(IF(OP!$C$83=1,$Z137,IF(OP!$C$83=2,$AA137,IF(OP!$C$83=3,$AB137,)))+$K138-$O138-$P138-$AS138&lt;OP!$C$142,0,$AS138)</f>
        <v>0</v>
      </c>
      <c r="V138" s="9"/>
      <c r="W138" s="19">
        <f ca="1">MAX(SUM($K$4:K138),0)</f>
        <v>2000000</v>
      </c>
      <c r="X138" s="19"/>
      <c r="Y138" s="19">
        <f t="shared" ca="1" si="113"/>
        <v>1920000</v>
      </c>
      <c r="Z138" s="2">
        <f ca="1">IF(MIN($Z$4:Z137)=0,0,MAX(0,($Z137+$K138-$O138-$P138)*IF(AND(F138="F",$D$3&lt;&gt;$G$3),((1+(-J138))^(H138/MIN(G138,365))),((1+(-J138))^(1/12)))-$U138))</f>
        <v>1078181.2827660691</v>
      </c>
      <c r="AA138" s="2">
        <f ca="1">IF(MIN($AA$4:AA137)=0,0,MAX(0,($AA137+$K138-$O138-$P138)*IF(AND(F138="F",$D$3&lt;&gt;$G$3),((1+$AA$1)^(H138/MIN(G138,365))),((1+$AA$1)^(1/12)))-$U138))</f>
        <v>1920000</v>
      </c>
      <c r="AB138" s="2">
        <f ca="1">IF(MIN($AB$4:AB137)=0,0,MAX(0,($AB137+$K138-$O138-$P138)*IF(AND(F138="F",$D$3&lt;&gt;$G$3),((1+(J138))^(H138/MIN(G138,365))),((1+(J138))^(1/12)))-$U138))</f>
        <v>3324151.7638508938</v>
      </c>
      <c r="AC138" s="5"/>
      <c r="AD138" s="5"/>
      <c r="AE138" s="5"/>
      <c r="AF138" s="282">
        <f t="shared" ca="1" si="96"/>
        <v>1078181</v>
      </c>
      <c r="AG138" s="282">
        <f t="shared" ca="1" si="97"/>
        <v>1920000</v>
      </c>
      <c r="AH138" s="282">
        <f t="shared" ca="1" si="98"/>
        <v>3324152</v>
      </c>
      <c r="AI138" s="23" t="str">
        <f t="shared" ca="1" si="79"/>
        <v>12-4</v>
      </c>
      <c r="AJ138" s="282">
        <f ca="1">IF(E138&gt;111,,IF(AND(OP!$C$99=1,T138="F"),Z138,IF(AND(OP!$C$99=2,COUNTIF($T$4:T138,"F")=1),OP!$C$97+IF(F138="F",OP!$C$98,0),"")))</f>
        <v>54527</v>
      </c>
      <c r="AK138" s="282">
        <f ca="1">IF(E138&gt;111,,IF(AND(OP!$D$99=1,T138="F"),AA138,IF(AND(OP!$D$99=2,COUNTIF($T$4:T138,"F")=1),OP!$D$97+IF(F138="F",OP!$D$98,0),"")))</f>
        <v>74177</v>
      </c>
      <c r="AL138" s="282">
        <f ca="1">IF(E138&gt;111,,IF(AND(OP!$E$99=1,T138="F"),AB138,IF(AND(OP!$E$99=2,COUNTIF($T$4:T138,"F")=1),OP!$E$97+IF(F138="F",OP!$E$98,0),"")))</f>
        <v>99404</v>
      </c>
      <c r="AM138" s="1">
        <f t="shared" ca="1" si="88"/>
        <v>4</v>
      </c>
      <c r="AN138" s="1" t="str">
        <f ca="1">IF(OR(VLOOKUP($A138,MP,5,0)="月繳"),1,"")</f>
        <v/>
      </c>
      <c r="AO138" s="1">
        <f t="shared" ca="1" si="99"/>
        <v>0</v>
      </c>
      <c r="AP138" s="1" t="str">
        <f ca="1">IF(AND(A138&lt;=OP!$C$120,COUNTIF(PAY,C138)=1),1,"")</f>
        <v/>
      </c>
      <c r="AR138" s="301">
        <f ca="1">IF(繳費報酬率資料!$A$1=1,$AY138+$AZ138,$BF138+$BG138)</f>
        <v>0</v>
      </c>
      <c r="AS138" s="1">
        <f ca="1">IF(C138&lt;&gt;IF($C$3=1,12,$C$3-1),0,IF(繳費報酬率資料!$A$1&lt;&gt;1,VLOOKUP($A138,MP,8,0),IF(AND($A138&gt;=OP!$C$79,$A138&lt;=OP!$C$80),OP!$C$78,)))</f>
        <v>0</v>
      </c>
      <c r="AT138" s="298">
        <f t="shared" ca="1" si="100"/>
        <v>0</v>
      </c>
      <c r="AU138" s="298">
        <f ca="1">IF(AND(A138&lt;=OP!$C$120,COUNTIF(PAY,C138)=1),OP!$C$123,0)</f>
        <v>0</v>
      </c>
      <c r="AV138" s="298">
        <f ca="1">IF(AND(A138&gt;=OP!$C$132,A138&lt;=OP!$C$133,$C$3=C138),OP!$C$135,0)</f>
        <v>0</v>
      </c>
      <c r="AW138" s="180">
        <f t="shared" ca="1" si="101"/>
        <v>0.05</v>
      </c>
      <c r="AX138" s="180">
        <f t="shared" ca="1" si="102"/>
        <v>0.05</v>
      </c>
      <c r="AY138" s="286">
        <f t="shared" ca="1" si="103"/>
        <v>0</v>
      </c>
      <c r="AZ138" s="286">
        <f t="shared" ca="1" si="104"/>
        <v>0</v>
      </c>
      <c r="BA138" s="286">
        <f t="shared" ca="1" si="105"/>
        <v>0</v>
      </c>
      <c r="BB138" s="286">
        <f t="shared" ca="1" si="106"/>
        <v>0</v>
      </c>
      <c r="BC138" s="286">
        <f t="shared" ca="1" si="107"/>
        <v>0</v>
      </c>
      <c r="BD138" s="180">
        <f t="shared" ca="1" si="108"/>
        <v>0.05</v>
      </c>
      <c r="BE138" s="180">
        <f t="shared" ca="1" si="109"/>
        <v>0.05</v>
      </c>
      <c r="BF138" s="286">
        <f t="shared" ca="1" si="110"/>
        <v>0</v>
      </c>
      <c r="BG138" s="286">
        <f t="shared" ca="1" si="111"/>
        <v>0</v>
      </c>
    </row>
    <row r="139" spans="1:59">
      <c r="A139" s="1">
        <f t="shared" ca="1" si="91"/>
        <v>12</v>
      </c>
      <c r="B139" s="1">
        <f t="shared" ca="1" si="114"/>
        <v>117</v>
      </c>
      <c r="C139" s="1">
        <f t="shared" ca="1" si="115"/>
        <v>9</v>
      </c>
      <c r="D139" s="1">
        <f ca="1">MIN($D$3,VLOOKUP(C139,OP!$S$30:$T$41,2))</f>
        <v>2</v>
      </c>
      <c r="E139" s="1">
        <f t="shared" ca="1" si="116"/>
        <v>66</v>
      </c>
      <c r="F139" s="11" t="str">
        <f t="shared" ca="1" si="92"/>
        <v/>
      </c>
      <c r="G139" s="8">
        <f t="shared" ca="1" si="118"/>
        <v>365</v>
      </c>
      <c r="H139" s="8">
        <f t="shared" ca="1" si="93"/>
        <v>30</v>
      </c>
      <c r="I139" s="8" t="str">
        <f t="shared" ca="1" si="90"/>
        <v>129</v>
      </c>
      <c r="J139" s="13">
        <f>IF(繳費報酬率資料!$A$1=1,VALUE(OP!$C$121),VLOOKUP(A139,MP,2,0))</f>
        <v>0.05</v>
      </c>
      <c r="K139" s="14">
        <f ca="1">IF(SUM($K$4:K138,IF(繳費報酬率資料!$A$1=1,$AU139+$AV139,$BB139+$BC139))&gt;OP!$L$58,0,IF(繳費報酬率資料!$A$1=1,$AU139+$AV139,$BB139+$BC139))</f>
        <v>0</v>
      </c>
      <c r="L139" s="2"/>
      <c r="M139" s="2"/>
      <c r="N139" s="2"/>
      <c r="O139" s="261">
        <f t="shared" ca="1" si="94"/>
        <v>0</v>
      </c>
      <c r="P139" s="261">
        <f t="shared" ca="1" si="112"/>
        <v>0</v>
      </c>
      <c r="Q139" s="3">
        <f ca="1">IF(A139&gt;MAX(OP!$R$17:$R$26),0,VLOOKUP(A139,fees,3,FALSE))</f>
        <v>0</v>
      </c>
      <c r="R139" s="200" t="str">
        <f t="shared" ca="1" si="95"/>
        <v/>
      </c>
      <c r="S139" s="9" t="str">
        <f ca="1">IF(COUNTIF(($T$4:T138),"F")&gt;=1,"",IF(OR(C140&lt;&gt;$C$3,E139=""),"",A139))</f>
        <v/>
      </c>
      <c r="T139" s="20" t="str">
        <f t="shared" ca="1" si="117"/>
        <v/>
      </c>
      <c r="U139" s="2">
        <f ca="1">IF(IF(OP!$C$83=1,$Z138,IF(OP!$C$83=2,$AA138,IF(OP!$C$83=3,$AB138,)))+$K139-$O139-$P139-$AS139&lt;OP!$C$142,0,$AS139)</f>
        <v>0</v>
      </c>
      <c r="V139" s="9"/>
      <c r="W139" s="19">
        <f ca="1">MAX(SUM($K$4:K139),0)</f>
        <v>2000000</v>
      </c>
      <c r="X139" s="19"/>
      <c r="Y139" s="19">
        <f t="shared" ca="1" si="113"/>
        <v>1920000</v>
      </c>
      <c r="Z139" s="2">
        <f ca="1">IF(MIN($Z$4:Z138)=0,0,MAX(0,($Z138+$K139-$O139-$P139)*IF(AND(F139="F",$D$3&lt;&gt;$G$3),((1+(-J139))^(H139/MIN(G139,365))),((1+(-J139))^(1/12)))-$U139))</f>
        <v>1073582.4958950726</v>
      </c>
      <c r="AA139" s="2">
        <f ca="1">IF(MIN($AA$4:AA138)=0,0,MAX(0,($AA138+$K139-$O139-$P139)*IF(AND(F139="F",$D$3&lt;&gt;$G$3),((1+$AA$1)^(H139/MIN(G139,365))),((1+$AA$1)^(1/12)))-$U139))</f>
        <v>1920000</v>
      </c>
      <c r="AB139" s="2">
        <f ca="1">IF(MIN($AB$4:AB138)=0,0,MAX(0,($AB138+$K139-$O139-$P139)*IF(AND(F139="F",$D$3&lt;&gt;$G$3),((1+(J139))^(H139/MIN(G139,365))),((1+(J139))^(1/12)))-$U139))</f>
        <v>3337694.7696124553</v>
      </c>
      <c r="AC139" s="5"/>
      <c r="AD139" s="5"/>
      <c r="AE139" s="5"/>
      <c r="AF139" s="282">
        <f t="shared" ca="1" si="96"/>
        <v>1073582</v>
      </c>
      <c r="AG139" s="282">
        <f t="shared" ca="1" si="97"/>
        <v>1920000</v>
      </c>
      <c r="AH139" s="282">
        <f t="shared" ca="1" si="98"/>
        <v>3337695</v>
      </c>
      <c r="AI139" s="23" t="str">
        <f t="shared" ca="1" si="79"/>
        <v>12-5</v>
      </c>
      <c r="AJ139" s="282">
        <f ca="1">IF(E139&gt;111,,IF(AND(OP!$C$99=1,T139="F"),Z139,IF(AND(OP!$C$99=2,COUNTIF($T$4:T139,"F")=1),OP!$C$97+IF(F139="F",OP!$C$98,0),"")))</f>
        <v>54527</v>
      </c>
      <c r="AK139" s="282">
        <f ca="1">IF(E139&gt;111,,IF(AND(OP!$D$99=1,T139="F"),AA139,IF(AND(OP!$D$99=2,COUNTIF($T$4:T139,"F")=1),OP!$D$97+IF(F139="F",OP!$D$98,0),"")))</f>
        <v>74177</v>
      </c>
      <c r="AL139" s="282">
        <f ca="1">IF(E139&gt;111,,IF(AND(OP!$E$99=1,T139="F"),AB139,IF(AND(OP!$E$99=2,COUNTIF($T$4:T139,"F")=1),OP!$E$97+IF(F139="F",OP!$E$98,0),"")))</f>
        <v>99404</v>
      </c>
      <c r="AM139" s="1">
        <f t="shared" ca="1" si="88"/>
        <v>5</v>
      </c>
      <c r="AN139" s="1" t="str">
        <f ca="1">IF(OR(VLOOKUP($A139,MP,5,0)="季繳",VLOOKUP($A139,MP,5,0)="月繳"),1,"")</f>
        <v/>
      </c>
      <c r="AO139" s="1">
        <f t="shared" ca="1" si="99"/>
        <v>0</v>
      </c>
      <c r="AP139" s="1" t="str">
        <f ca="1">IF(AND(A139&lt;=OP!$C$120,COUNTIF(PAY,C139)=1),1,"")</f>
        <v/>
      </c>
      <c r="AR139" s="301">
        <f ca="1">IF(繳費報酬率資料!$A$1=1,$AY139+$AZ139,$BF139+$BG139)</f>
        <v>0</v>
      </c>
      <c r="AS139" s="1">
        <f ca="1">IF(C139&lt;&gt;IF($C$3=1,12,$C$3-1),0,IF(繳費報酬率資料!$A$1&lt;&gt;1,VLOOKUP($A139,MP,8,0),IF(AND($A139&gt;=OP!$C$79,$A139&lt;=OP!$C$80),OP!$C$78,)))</f>
        <v>0</v>
      </c>
      <c r="AT139" s="298">
        <f t="shared" ca="1" si="100"/>
        <v>0</v>
      </c>
      <c r="AU139" s="298">
        <f ca="1">IF(AND(A139&lt;=OP!$C$120,COUNTIF(PAY,C139)=1),OP!$C$123,0)</f>
        <v>0</v>
      </c>
      <c r="AV139" s="298">
        <f ca="1">IF(AND(A139&gt;=OP!$C$132,A139&lt;=OP!$C$133,$C$3=C139),OP!$C$135,0)</f>
        <v>0</v>
      </c>
      <c r="AW139" s="180">
        <f t="shared" ca="1" si="101"/>
        <v>0.05</v>
      </c>
      <c r="AX139" s="180">
        <f t="shared" ca="1" si="102"/>
        <v>0.05</v>
      </c>
      <c r="AY139" s="286">
        <f t="shared" ca="1" si="103"/>
        <v>0</v>
      </c>
      <c r="AZ139" s="286">
        <f t="shared" ca="1" si="104"/>
        <v>0</v>
      </c>
      <c r="BA139" s="286">
        <f t="shared" ca="1" si="105"/>
        <v>0</v>
      </c>
      <c r="BB139" s="286">
        <f t="shared" ca="1" si="106"/>
        <v>0</v>
      </c>
      <c r="BC139" s="286">
        <f t="shared" ca="1" si="107"/>
        <v>0</v>
      </c>
      <c r="BD139" s="180">
        <f t="shared" ca="1" si="108"/>
        <v>0.05</v>
      </c>
      <c r="BE139" s="180">
        <f t="shared" ca="1" si="109"/>
        <v>0.05</v>
      </c>
      <c r="BF139" s="286">
        <f t="shared" ca="1" si="110"/>
        <v>0</v>
      </c>
      <c r="BG139" s="286">
        <f t="shared" ca="1" si="111"/>
        <v>0</v>
      </c>
    </row>
    <row r="140" spans="1:59">
      <c r="A140" s="1">
        <f t="shared" ca="1" si="91"/>
        <v>12</v>
      </c>
      <c r="B140" s="1">
        <f t="shared" ca="1" si="114"/>
        <v>117</v>
      </c>
      <c r="C140" s="1">
        <f t="shared" ca="1" si="115"/>
        <v>10</v>
      </c>
      <c r="D140" s="1">
        <f ca="1">MIN($D$3,VLOOKUP(C140,OP!$S$30:$T$41,2))</f>
        <v>2</v>
      </c>
      <c r="E140" s="1">
        <f t="shared" ca="1" si="116"/>
        <v>66</v>
      </c>
      <c r="F140" s="11" t="str">
        <f t="shared" ca="1" si="92"/>
        <v/>
      </c>
      <c r="G140" s="8">
        <f t="shared" ca="1" si="118"/>
        <v>365</v>
      </c>
      <c r="H140" s="8">
        <f t="shared" ca="1" si="93"/>
        <v>31</v>
      </c>
      <c r="I140" s="8" t="str">
        <f t="shared" ca="1" si="90"/>
        <v>1210</v>
      </c>
      <c r="J140" s="13">
        <f>IF(繳費報酬率資料!$A$1=1,VALUE(OP!$C$121),VLOOKUP(A140,MP,2,0))</f>
        <v>0.05</v>
      </c>
      <c r="K140" s="14">
        <f ca="1">IF(SUM($K$4:K139,IF(繳費報酬率資料!$A$1=1,$AU140+$AV140,$BB140+$BC140))&gt;OP!$L$58,0,IF(繳費報酬率資料!$A$1=1,$AU140+$AV140,$BB140+$BC140))</f>
        <v>0</v>
      </c>
      <c r="L140" s="2"/>
      <c r="M140" s="2"/>
      <c r="N140" s="2"/>
      <c r="O140" s="261">
        <f t="shared" ca="1" si="94"/>
        <v>0</v>
      </c>
      <c r="P140" s="261">
        <f t="shared" ca="1" si="112"/>
        <v>0</v>
      </c>
      <c r="Q140" s="3">
        <f ca="1">IF(A140&gt;MAX(OP!$R$17:$R$26),0,VLOOKUP(A140,fees,3,FALSE))</f>
        <v>0</v>
      </c>
      <c r="R140" s="200" t="str">
        <f t="shared" ca="1" si="95"/>
        <v/>
      </c>
      <c r="S140" s="9" t="str">
        <f ca="1">IF(COUNTIF(($T$4:T139),"F")&gt;=1,"",IF(OR(C141&lt;&gt;$C$3,E140=""),"",A140))</f>
        <v/>
      </c>
      <c r="T140" s="20" t="str">
        <f t="shared" ca="1" si="117"/>
        <v/>
      </c>
      <c r="U140" s="2">
        <f ca="1">IF(IF(OP!$C$83=1,$Z139,IF(OP!$C$83=2,$AA139,IF(OP!$C$83=3,$AB139,)))+$K140-$O140-$P140-$AS140&lt;OP!$C$142,0,$AS140)</f>
        <v>0</v>
      </c>
      <c r="V140" s="9"/>
      <c r="W140" s="19">
        <f ca="1">MAX(SUM($K$4:K140),0)</f>
        <v>2000000</v>
      </c>
      <c r="X140" s="19"/>
      <c r="Y140" s="19">
        <f t="shared" ca="1" si="113"/>
        <v>1920000</v>
      </c>
      <c r="Z140" s="2">
        <f ca="1">IF(MIN($Z$4:Z139)=0,0,MAX(0,($Z139+$K140-$O140-$P140)*IF(AND(F140="F",$D$3&lt;&gt;$G$3),((1+(-J140))^(H140/MIN(G140,365))),((1+(-J140))^(1/12)))-$U140))</f>
        <v>1069003.3243160709</v>
      </c>
      <c r="AA140" s="2">
        <f ca="1">IF(MIN($AA$4:AA139)=0,0,MAX(0,($AA139+$K140-$O140-$P140)*IF(AND(F140="F",$D$3&lt;&gt;$G$3),((1+$AA$1)^(H140/MIN(G140,365))),((1+$AA$1)^(1/12)))-$U140))</f>
        <v>1920000</v>
      </c>
      <c r="AB140" s="2">
        <f ca="1">IF(MIN($AB$4:AB139)=0,0,MAX(0,($AB139+$K140-$O140-$P140)*IF(AND(F140="F",$D$3&lt;&gt;$G$3),((1+(J140))^(H140/MIN(G140,365))),((1+(J140))^(1/12)))-$U140))</f>
        <v>3351292.9512558919</v>
      </c>
      <c r="AC140" s="5"/>
      <c r="AD140" s="5"/>
      <c r="AE140" s="5"/>
      <c r="AF140" s="282">
        <f t="shared" ca="1" si="96"/>
        <v>1069003</v>
      </c>
      <c r="AG140" s="282">
        <f t="shared" ca="1" si="97"/>
        <v>1920000</v>
      </c>
      <c r="AH140" s="282">
        <f t="shared" ca="1" si="98"/>
        <v>3351293</v>
      </c>
      <c r="AI140" s="23" t="str">
        <f t="shared" ref="AI140:AI203" ca="1" si="119">IF($G$3=D141,A141,A140)&amp;"-"&amp;AM140</f>
        <v>12-6</v>
      </c>
      <c r="AJ140" s="282">
        <f ca="1">IF(E140&gt;111,,IF(AND(OP!$C$99=1,T140="F"),Z140,IF(AND(OP!$C$99=2,COUNTIF($T$4:T140,"F")=1),OP!$C$97+IF(F140="F",OP!$C$98,0),"")))</f>
        <v>54527</v>
      </c>
      <c r="AK140" s="282">
        <f ca="1">IF(E140&gt;111,,IF(AND(OP!$D$99=1,T140="F"),AA140,IF(AND(OP!$D$99=2,COUNTIF($T$4:T140,"F")=1),OP!$D$97+IF(F140="F",OP!$D$98,0),"")))</f>
        <v>74177</v>
      </c>
      <c r="AL140" s="282">
        <f ca="1">IF(E140&gt;111,,IF(AND(OP!$E$99=1,T140="F"),AB140,IF(AND(OP!$E$99=2,COUNTIF($T$4:T140,"F")=1),OP!$E$97+IF(F140="F",OP!$E$98,0),"")))</f>
        <v>99404</v>
      </c>
      <c r="AM140" s="1">
        <f t="shared" ca="1" si="88"/>
        <v>6</v>
      </c>
      <c r="AN140" s="1" t="str">
        <f ca="1">IF(OR(VLOOKUP($A140,MP,5,0)="月繳"),1,"")</f>
        <v/>
      </c>
      <c r="AO140" s="1">
        <f t="shared" ca="1" si="99"/>
        <v>0</v>
      </c>
      <c r="AP140" s="1" t="str">
        <f ca="1">IF(AND(A140&lt;=OP!$C$120,COUNTIF(PAY,C140)=1),1,"")</f>
        <v/>
      </c>
      <c r="AR140" s="301">
        <f ca="1">IF(繳費報酬率資料!$A$1=1,$AY140+$AZ140,$BF140+$BG140)</f>
        <v>0</v>
      </c>
      <c r="AS140" s="1">
        <f ca="1">IF(C140&lt;&gt;IF($C$3=1,12,$C$3-1),0,IF(繳費報酬率資料!$A$1&lt;&gt;1,VLOOKUP($A140,MP,8,0),IF(AND($A140&gt;=OP!$C$79,$A140&lt;=OP!$C$80),OP!$C$78,)))</f>
        <v>0</v>
      </c>
      <c r="AT140" s="298">
        <f t="shared" ca="1" si="100"/>
        <v>0</v>
      </c>
      <c r="AU140" s="298">
        <f ca="1">IF(AND(A140&lt;=OP!$C$120,COUNTIF(PAY,C140)=1),OP!$C$123,0)</f>
        <v>0</v>
      </c>
      <c r="AV140" s="298">
        <f ca="1">IF(AND(A140&gt;=OP!$C$132,A140&lt;=OP!$C$133,$C$3=C140),OP!$C$135,0)</f>
        <v>0</v>
      </c>
      <c r="AW140" s="180">
        <f t="shared" ca="1" si="101"/>
        <v>0.05</v>
      </c>
      <c r="AX140" s="180">
        <f t="shared" ca="1" si="102"/>
        <v>0.05</v>
      </c>
      <c r="AY140" s="286">
        <f t="shared" ca="1" si="103"/>
        <v>0</v>
      </c>
      <c r="AZ140" s="286">
        <f t="shared" ca="1" si="104"/>
        <v>0</v>
      </c>
      <c r="BA140" s="286">
        <f t="shared" ca="1" si="105"/>
        <v>0</v>
      </c>
      <c r="BB140" s="286">
        <f t="shared" ca="1" si="106"/>
        <v>0</v>
      </c>
      <c r="BC140" s="286">
        <f t="shared" ca="1" si="107"/>
        <v>0</v>
      </c>
      <c r="BD140" s="180">
        <f t="shared" ca="1" si="108"/>
        <v>0.05</v>
      </c>
      <c r="BE140" s="180">
        <f t="shared" ca="1" si="109"/>
        <v>0.05</v>
      </c>
      <c r="BF140" s="286">
        <f t="shared" ca="1" si="110"/>
        <v>0</v>
      </c>
      <c r="BG140" s="286">
        <f t="shared" ca="1" si="111"/>
        <v>0</v>
      </c>
    </row>
    <row r="141" spans="1:59">
      <c r="A141" s="1">
        <f t="shared" ca="1" si="91"/>
        <v>12</v>
      </c>
      <c r="B141" s="1">
        <f t="shared" ca="1" si="114"/>
        <v>117</v>
      </c>
      <c r="C141" s="1">
        <f t="shared" ca="1" si="115"/>
        <v>11</v>
      </c>
      <c r="D141" s="1">
        <f ca="1">MIN($D$3,VLOOKUP(C141,OP!$S$30:$T$41,2))</f>
        <v>2</v>
      </c>
      <c r="E141" s="1">
        <f t="shared" ca="1" si="116"/>
        <v>66</v>
      </c>
      <c r="F141" s="11" t="str">
        <f t="shared" ca="1" si="92"/>
        <v/>
      </c>
      <c r="G141" s="8">
        <f t="shared" ca="1" si="118"/>
        <v>365</v>
      </c>
      <c r="H141" s="8">
        <f t="shared" ca="1" si="93"/>
        <v>30</v>
      </c>
      <c r="I141" s="8" t="str">
        <f t="shared" ca="1" si="90"/>
        <v>1211</v>
      </c>
      <c r="J141" s="13">
        <f>IF(繳費報酬率資料!$A$1=1,VALUE(OP!$C$121),VLOOKUP(A141,MP,2,0))</f>
        <v>0.05</v>
      </c>
      <c r="K141" s="14">
        <f ca="1">IF(SUM($K$4:K140,IF(繳費報酬率資料!$A$1=1,$AU141+$AV141,$BB141+$BC141))&gt;OP!$L$58,0,IF(繳費報酬率資料!$A$1=1,$AU141+$AV141,$BB141+$BC141))</f>
        <v>0</v>
      </c>
      <c r="L141" s="2"/>
      <c r="M141" s="2"/>
      <c r="N141" s="2"/>
      <c r="O141" s="261">
        <f t="shared" ca="1" si="94"/>
        <v>0</v>
      </c>
      <c r="P141" s="261">
        <f t="shared" ca="1" si="112"/>
        <v>0</v>
      </c>
      <c r="Q141" s="3">
        <f ca="1">IF(A141&gt;MAX(OP!$R$17:$R$26),0,VLOOKUP(A141,fees,3,FALSE))</f>
        <v>0</v>
      </c>
      <c r="R141" s="200" t="str">
        <f t="shared" ca="1" si="95"/>
        <v/>
      </c>
      <c r="S141" s="9" t="str">
        <f ca="1">IF(COUNTIF(($T$4:T140),"F")&gt;=1,"",IF(OR(C142&lt;&gt;$C$3,E141=""),"",A141))</f>
        <v/>
      </c>
      <c r="T141" s="20" t="str">
        <f t="shared" ca="1" si="117"/>
        <v/>
      </c>
      <c r="U141" s="2">
        <f ca="1">IF(IF(OP!$C$83=1,$Z140,IF(OP!$C$83=2,$AA140,IF(OP!$C$83=3,$AB140,)))+$K141-$O141-$P141-$AS141&lt;OP!$C$142,0,$AS141)</f>
        <v>0</v>
      </c>
      <c r="V141" s="9"/>
      <c r="W141" s="19">
        <f ca="1">MAX(SUM($K$4:K141),0)</f>
        <v>2000000</v>
      </c>
      <c r="X141" s="19"/>
      <c r="Y141" s="19">
        <f t="shared" ca="1" si="113"/>
        <v>1920000</v>
      </c>
      <c r="Z141" s="2">
        <f ca="1">IF(MIN($Z$4:Z140)=0,0,MAX(0,($Z140+$K141-$O141-$P141)*IF(AND(F141="F",$D$3&lt;&gt;$G$3),((1+(-J141))^(H141/MIN(G141,365))),((1+(-J141))^(1/12)))-$U141))</f>
        <v>1064443.6843635908</v>
      </c>
      <c r="AA141" s="2">
        <f ca="1">IF(MIN($AA$4:AA140)=0,0,MAX(0,($AA140+$K141-$O141-$P141)*IF(AND(F141="F",$D$3&lt;&gt;$G$3),((1+$AA$1)^(H141/MIN(G141,365))),((1+$AA$1)^(1/12)))-$U141))</f>
        <v>1920000</v>
      </c>
      <c r="AB141" s="2">
        <f ca="1">IF(MIN($AB$4:AB140)=0,0,MAX(0,($AB140+$K141-$O141-$P141)*IF(AND(F141="F",$D$3&lt;&gt;$G$3),((1+(J141))^(H141/MIN(G141,365))),((1+(J141))^(1/12)))-$U141))</f>
        <v>3364946.5335745765</v>
      </c>
      <c r="AC141" s="5"/>
      <c r="AD141" s="5"/>
      <c r="AE141" s="5"/>
      <c r="AF141" s="282">
        <f t="shared" ca="1" si="96"/>
        <v>1064444</v>
      </c>
      <c r="AG141" s="282">
        <f t="shared" ca="1" si="97"/>
        <v>1920000</v>
      </c>
      <c r="AH141" s="282">
        <f t="shared" ca="1" si="98"/>
        <v>3364947</v>
      </c>
      <c r="AI141" s="23" t="str">
        <f t="shared" ca="1" si="119"/>
        <v>12-7</v>
      </c>
      <c r="AJ141" s="282">
        <f ca="1">IF(E141&gt;111,,IF(AND(OP!$C$99=1,T141="F"),Z141,IF(AND(OP!$C$99=2,COUNTIF($T$4:T141,"F")=1),OP!$C$97+IF(F141="F",OP!$C$98,0),"")))</f>
        <v>54527</v>
      </c>
      <c r="AK141" s="282">
        <f ca="1">IF(E141&gt;111,,IF(AND(OP!$D$99=1,T141="F"),AA141,IF(AND(OP!$D$99=2,COUNTIF($T$4:T141,"F")=1),OP!$D$97+IF(F141="F",OP!$D$98,0),"")))</f>
        <v>74177</v>
      </c>
      <c r="AL141" s="282">
        <f ca="1">IF(E141&gt;111,,IF(AND(OP!$E$99=1,T141="F"),AB141,IF(AND(OP!$E$99=2,COUNTIF($T$4:T141,"F")=1),OP!$E$97+IF(F141="F",OP!$E$98,0),"")))</f>
        <v>99404</v>
      </c>
      <c r="AM141" s="1">
        <f t="shared" ca="1" si="88"/>
        <v>7</v>
      </c>
      <c r="AN141" s="1" t="str">
        <f ca="1">IF(OR(VLOOKUP($A141,MP,5,0)="月繳"),1,"")</f>
        <v/>
      </c>
      <c r="AO141" s="1">
        <f t="shared" ca="1" si="99"/>
        <v>0</v>
      </c>
      <c r="AP141" s="1" t="str">
        <f ca="1">IF(AND(A141&lt;=OP!$C$120,COUNTIF(PAY,C141)=1),1,"")</f>
        <v/>
      </c>
      <c r="AR141" s="301">
        <f ca="1">IF(繳費報酬率資料!$A$1=1,$AY141+$AZ141,$BF141+$BG141)</f>
        <v>0</v>
      </c>
      <c r="AS141" s="1">
        <f ca="1">IF(C141&lt;&gt;IF($C$3=1,12,$C$3-1),0,IF(繳費報酬率資料!$A$1&lt;&gt;1,VLOOKUP($A141,MP,8,0),IF(AND($A141&gt;=OP!$C$79,$A141&lt;=OP!$C$80),OP!$C$78,)))</f>
        <v>0</v>
      </c>
      <c r="AT141" s="298">
        <f t="shared" ca="1" si="100"/>
        <v>0</v>
      </c>
      <c r="AU141" s="298">
        <f ca="1">IF(AND(A141&lt;=OP!$C$120,COUNTIF(PAY,C141)=1),OP!$C$123,0)</f>
        <v>0</v>
      </c>
      <c r="AV141" s="298">
        <f ca="1">IF(AND(A141&gt;=OP!$C$132,A141&lt;=OP!$C$133,$C$3=C141),OP!$C$135,0)</f>
        <v>0</v>
      </c>
      <c r="AW141" s="180">
        <f t="shared" ca="1" si="101"/>
        <v>0.05</v>
      </c>
      <c r="AX141" s="180">
        <f t="shared" ca="1" si="102"/>
        <v>0.05</v>
      </c>
      <c r="AY141" s="286">
        <f t="shared" ca="1" si="103"/>
        <v>0</v>
      </c>
      <c r="AZ141" s="286">
        <f t="shared" ca="1" si="104"/>
        <v>0</v>
      </c>
      <c r="BA141" s="286">
        <f t="shared" ca="1" si="105"/>
        <v>0</v>
      </c>
      <c r="BB141" s="286">
        <f t="shared" ca="1" si="106"/>
        <v>0</v>
      </c>
      <c r="BC141" s="286">
        <f t="shared" ca="1" si="107"/>
        <v>0</v>
      </c>
      <c r="BD141" s="180">
        <f t="shared" ca="1" si="108"/>
        <v>0.05</v>
      </c>
      <c r="BE141" s="180">
        <f t="shared" ca="1" si="109"/>
        <v>0.05</v>
      </c>
      <c r="BF141" s="286">
        <f t="shared" ca="1" si="110"/>
        <v>0</v>
      </c>
      <c r="BG141" s="286">
        <f t="shared" ca="1" si="111"/>
        <v>0</v>
      </c>
    </row>
    <row r="142" spans="1:59">
      <c r="A142" s="1">
        <f t="shared" ca="1" si="91"/>
        <v>12</v>
      </c>
      <c r="B142" s="1">
        <f t="shared" ca="1" si="114"/>
        <v>117</v>
      </c>
      <c r="C142" s="1">
        <f t="shared" ca="1" si="115"/>
        <v>12</v>
      </c>
      <c r="D142" s="1">
        <f ca="1">MIN($D$3,VLOOKUP(C142,OP!$S$30:$T$41,2))</f>
        <v>2</v>
      </c>
      <c r="E142" s="1">
        <f t="shared" ca="1" si="116"/>
        <v>66</v>
      </c>
      <c r="F142" s="11" t="str">
        <f t="shared" ca="1" si="92"/>
        <v/>
      </c>
      <c r="G142" s="8">
        <f t="shared" ca="1" si="118"/>
        <v>365</v>
      </c>
      <c r="H142" s="8">
        <f t="shared" ca="1" si="93"/>
        <v>31</v>
      </c>
      <c r="I142" s="8" t="str">
        <f t="shared" ca="1" si="90"/>
        <v>1212</v>
      </c>
      <c r="J142" s="13">
        <f>IF(繳費報酬率資料!$A$1=1,VALUE(OP!$C$121),VLOOKUP(A142,MP,2,0))</f>
        <v>0.05</v>
      </c>
      <c r="K142" s="14">
        <f ca="1">IF(SUM($K$4:K141,IF(繳費報酬率資料!$A$1=1,$AU142+$AV142,$BB142+$BC142))&gt;OP!$L$58,0,IF(繳費報酬率資料!$A$1=1,$AU142+$AV142,$BB142+$BC142))</f>
        <v>0</v>
      </c>
      <c r="L142" s="2"/>
      <c r="M142" s="2"/>
      <c r="N142" s="2"/>
      <c r="O142" s="261">
        <f t="shared" ca="1" si="94"/>
        <v>0</v>
      </c>
      <c r="P142" s="261">
        <f t="shared" ca="1" si="112"/>
        <v>0</v>
      </c>
      <c r="Q142" s="3">
        <f ca="1">IF(A142&gt;MAX(OP!$R$17:$R$26),0,VLOOKUP(A142,fees,3,FALSE))</f>
        <v>0</v>
      </c>
      <c r="R142" s="200" t="str">
        <f t="shared" ca="1" si="95"/>
        <v/>
      </c>
      <c r="S142" s="9" t="str">
        <f ca="1">IF(COUNTIF(($T$4:T141),"F")&gt;=1,"",IF(OR(C143&lt;&gt;$C$3,E142=""),"",A142))</f>
        <v/>
      </c>
      <c r="T142" s="20" t="str">
        <f t="shared" ca="1" si="117"/>
        <v/>
      </c>
      <c r="U142" s="2">
        <f ca="1">IF(IF(OP!$C$83=1,$Z141,IF(OP!$C$83=2,$AA141,IF(OP!$C$83=3,$AB141,)))+$K142-$O142-$P142-$AS142&lt;OP!$C$142,0,$AS142)</f>
        <v>0</v>
      </c>
      <c r="V142" s="9"/>
      <c r="W142" s="19">
        <f ca="1">MAX(SUM($K$4:K142),0)</f>
        <v>2000000</v>
      </c>
      <c r="X142" s="19"/>
      <c r="Y142" s="19">
        <f t="shared" ca="1" si="113"/>
        <v>1920000</v>
      </c>
      <c r="Z142" s="2">
        <f ca="1">IF(MIN($Z$4:Z141)=0,0,MAX(0,($Z141+$K142-$O142-$P142)*IF(AND(F142="F",$D$3&lt;&gt;$G$3),((1+(-J142))^(H142/MIN(G142,365))),((1+(-J142))^(1/12)))-$U142))</f>
        <v>1059903.4927290189</v>
      </c>
      <c r="AA142" s="2">
        <f ca="1">IF(MIN($AA$4:AA141)=0,0,MAX(0,($AA141+$K142-$O142-$P142)*IF(AND(F142="F",$D$3&lt;&gt;$G$3),((1+$AA$1)^(H142/MIN(G142,365))),((1+$AA$1)^(1/12)))-$U142))</f>
        <v>1920000</v>
      </c>
      <c r="AB142" s="2">
        <f ca="1">IF(MIN($AB$4:AB141)=0,0,MAX(0,($AB141+$K142-$O142-$P142)*IF(AND(F142="F",$D$3&lt;&gt;$G$3),((1+(J142))^(H142/MIN(G142,365))),((1+(J142))^(1/12)))-$U142))</f>
        <v>3378655.7422777177</v>
      </c>
      <c r="AC142" s="5"/>
      <c r="AD142" s="5"/>
      <c r="AE142" s="5"/>
      <c r="AF142" s="282">
        <f t="shared" ca="1" si="96"/>
        <v>1059903</v>
      </c>
      <c r="AG142" s="282">
        <f t="shared" ca="1" si="97"/>
        <v>1920000</v>
      </c>
      <c r="AH142" s="282">
        <f t="shared" ca="1" si="98"/>
        <v>3378656</v>
      </c>
      <c r="AI142" s="23" t="str">
        <f t="shared" ca="1" si="119"/>
        <v>12-8</v>
      </c>
      <c r="AJ142" s="282">
        <f ca="1">IF(E142&gt;111,,IF(AND(OP!$C$99=1,T142="F"),Z142,IF(AND(OP!$C$99=2,COUNTIF($T$4:T142,"F")=1),OP!$C$97+IF(F142="F",OP!$C$98,0),"")))</f>
        <v>54527</v>
      </c>
      <c r="AK142" s="282">
        <f ca="1">IF(E142&gt;111,,IF(AND(OP!$D$99=1,T142="F"),AA142,IF(AND(OP!$D$99=2,COUNTIF($T$4:T142,"F")=1),OP!$D$97+IF(F142="F",OP!$D$98,0),"")))</f>
        <v>74177</v>
      </c>
      <c r="AL142" s="282">
        <f ca="1">IF(E142&gt;111,,IF(AND(OP!$E$99=1,T142="F"),AB142,IF(AND(OP!$E$99=2,COUNTIF($T$4:T142,"F")=1),OP!$E$97+IF(F142="F",OP!$E$98,0),"")))</f>
        <v>99404</v>
      </c>
      <c r="AM142" s="1">
        <f t="shared" ca="1" si="88"/>
        <v>8</v>
      </c>
      <c r="AN142" s="1" t="str">
        <f ca="1">IF(OR(VLOOKUP($A142,MP,5,0)="半年繳",VLOOKUP($A142,MP,5,0)="季繳",VLOOKUP($A142,MP,5,0)="月繳"),1,"")</f>
        <v/>
      </c>
      <c r="AO142" s="1">
        <f t="shared" ca="1" si="99"/>
        <v>0</v>
      </c>
      <c r="AP142" s="1" t="str">
        <f ca="1">IF(AND(A142&lt;=OP!$C$120,COUNTIF(PAY,C142)=1),1,"")</f>
        <v/>
      </c>
      <c r="AR142" s="301">
        <f ca="1">IF(繳費報酬率資料!$A$1=1,$AY142+$AZ142,$BF142+$BG142)</f>
        <v>0</v>
      </c>
      <c r="AS142" s="1">
        <f ca="1">IF(C142&lt;&gt;IF($C$3=1,12,$C$3-1),0,IF(繳費報酬率資料!$A$1&lt;&gt;1,VLOOKUP($A142,MP,8,0),IF(AND($A142&gt;=OP!$C$79,$A142&lt;=OP!$C$80),OP!$C$78,)))</f>
        <v>0</v>
      </c>
      <c r="AT142" s="298">
        <f t="shared" ca="1" si="100"/>
        <v>0</v>
      </c>
      <c r="AU142" s="298">
        <f ca="1">IF(AND(A142&lt;=OP!$C$120,COUNTIF(PAY,C142)=1),OP!$C$123,0)</f>
        <v>0</v>
      </c>
      <c r="AV142" s="298">
        <f ca="1">IF(AND(A142&gt;=OP!$C$132,A142&lt;=OP!$C$133,$C$3=C142),OP!$C$135,0)</f>
        <v>0</v>
      </c>
      <c r="AW142" s="180">
        <f t="shared" ca="1" si="101"/>
        <v>0.05</v>
      </c>
      <c r="AX142" s="180">
        <f t="shared" ca="1" si="102"/>
        <v>0.05</v>
      </c>
      <c r="AY142" s="286">
        <f t="shared" ca="1" si="103"/>
        <v>0</v>
      </c>
      <c r="AZ142" s="286">
        <f t="shared" ca="1" si="104"/>
        <v>0</v>
      </c>
      <c r="BA142" s="286">
        <f t="shared" ca="1" si="105"/>
        <v>0</v>
      </c>
      <c r="BB142" s="286">
        <f t="shared" ca="1" si="106"/>
        <v>0</v>
      </c>
      <c r="BC142" s="286">
        <f t="shared" ca="1" si="107"/>
        <v>0</v>
      </c>
      <c r="BD142" s="180">
        <f t="shared" ca="1" si="108"/>
        <v>0.05</v>
      </c>
      <c r="BE142" s="180">
        <f t="shared" ca="1" si="109"/>
        <v>0.05</v>
      </c>
      <c r="BF142" s="286">
        <f t="shared" ca="1" si="110"/>
        <v>0</v>
      </c>
      <c r="BG142" s="286">
        <f t="shared" ca="1" si="111"/>
        <v>0</v>
      </c>
    </row>
    <row r="143" spans="1:59">
      <c r="A143" s="1">
        <f t="shared" ca="1" si="91"/>
        <v>12</v>
      </c>
      <c r="B143" s="1">
        <f t="shared" ca="1" si="114"/>
        <v>118</v>
      </c>
      <c r="C143" s="1">
        <f t="shared" ca="1" si="115"/>
        <v>1</v>
      </c>
      <c r="D143" s="1">
        <f ca="1">MIN($D$3,VLOOKUP(C143,OP!$S$30:$T$41,2))</f>
        <v>2</v>
      </c>
      <c r="E143" s="1">
        <f t="shared" ca="1" si="116"/>
        <v>66</v>
      </c>
      <c r="F143" s="11" t="str">
        <f t="shared" ca="1" si="92"/>
        <v/>
      </c>
      <c r="G143" s="8">
        <f t="shared" ca="1" si="118"/>
        <v>365</v>
      </c>
      <c r="H143" s="8">
        <f t="shared" ca="1" si="93"/>
        <v>31</v>
      </c>
      <c r="I143" s="8" t="str">
        <f t="shared" ca="1" si="90"/>
        <v>121</v>
      </c>
      <c r="J143" s="13">
        <f>IF(繳費報酬率資料!$A$1=1,VALUE(OP!$C$121),VLOOKUP(A143,MP,2,0))</f>
        <v>0.05</v>
      </c>
      <c r="K143" s="14">
        <f ca="1">IF(SUM($K$4:K142,IF(繳費報酬率資料!$A$1=1,$AU143+$AV143,$BB143+$BC143))&gt;OP!$L$58,0,IF(繳費報酬率資料!$A$1=1,$AU143+$AV143,$BB143+$BC143))</f>
        <v>0</v>
      </c>
      <c r="L143" s="2"/>
      <c r="M143" s="2"/>
      <c r="N143" s="2"/>
      <c r="O143" s="261">
        <f t="shared" ca="1" si="94"/>
        <v>0</v>
      </c>
      <c r="P143" s="261">
        <f t="shared" ca="1" si="112"/>
        <v>0</v>
      </c>
      <c r="Q143" s="3">
        <f ca="1">IF(A143&gt;MAX(OP!$R$17:$R$26),0,VLOOKUP(A143,fees,3,FALSE))</f>
        <v>0</v>
      </c>
      <c r="R143" s="200" t="str">
        <f t="shared" ca="1" si="95"/>
        <v/>
      </c>
      <c r="S143" s="9" t="str">
        <f ca="1">IF(COUNTIF(($T$4:T142),"F")&gt;=1,"",IF(OR(C144&lt;&gt;$C$3,E143=""),"",A143))</f>
        <v/>
      </c>
      <c r="T143" s="20" t="str">
        <f t="shared" ca="1" si="117"/>
        <v/>
      </c>
      <c r="U143" s="2">
        <f ca="1">IF(IF(OP!$C$83=1,$Z142,IF(OP!$C$83=2,$AA142,IF(OP!$C$83=3,$AB142,)))+$K143-$O143-$P143-$AS143&lt;OP!$C$142,0,$AS143)</f>
        <v>0</v>
      </c>
      <c r="V143" s="9"/>
      <c r="W143" s="19">
        <f ca="1">MAX(SUM($K$4:K143),0)</f>
        <v>2000000</v>
      </c>
      <c r="X143" s="19"/>
      <c r="Y143" s="19">
        <f t="shared" ca="1" si="113"/>
        <v>1920000</v>
      </c>
      <c r="Z143" s="2">
        <f ca="1">IF(MIN($Z$4:Z142)=0,0,MAX(0,($Z142+$K143-$O143-$P143)*IF(AND(F143="F",$D$3&lt;&gt;$G$3),((1+(-J143))^(H143/MIN(G143,365))),((1+(-J143))^(1/12)))-$U143))</f>
        <v>1055382.6664590796</v>
      </c>
      <c r="AA143" s="2">
        <f ca="1">IF(MIN($AA$4:AA142)=0,0,MAX(0,($AA142+$K143-$O143-$P143)*IF(AND(F143="F",$D$3&lt;&gt;$G$3),((1+$AA$1)^(H143/MIN(G143,365))),((1+$AA$1)^(1/12)))-$U143))</f>
        <v>1920000</v>
      </c>
      <c r="AB143" s="2">
        <f ca="1">IF(MIN($AB$4:AB142)=0,0,MAX(0,($AB142+$K143-$O143-$P143)*IF(AND(F143="F",$D$3&lt;&gt;$G$3),((1+(J143))^(H143/MIN(G143,365))),((1+(J143))^(1/12)))-$U143))</f>
        <v>3392420.8039940912</v>
      </c>
      <c r="AC143" s="5"/>
      <c r="AD143" s="5"/>
      <c r="AE143" s="5"/>
      <c r="AF143" s="282">
        <f t="shared" ca="1" si="96"/>
        <v>1055383</v>
      </c>
      <c r="AG143" s="282">
        <f t="shared" ca="1" si="97"/>
        <v>1920000</v>
      </c>
      <c r="AH143" s="282">
        <f t="shared" ca="1" si="98"/>
        <v>3392421</v>
      </c>
      <c r="AI143" s="23" t="str">
        <f t="shared" ca="1" si="119"/>
        <v>12-9</v>
      </c>
      <c r="AJ143" s="282">
        <f ca="1">IF(E143&gt;111,,IF(AND(OP!$C$99=1,T143="F"),Z143,IF(AND(OP!$C$99=2,COUNTIF($T$4:T143,"F")=1),OP!$C$97+IF(F143="F",OP!$C$98,0),"")))</f>
        <v>54527</v>
      </c>
      <c r="AK143" s="282">
        <f ca="1">IF(E143&gt;111,,IF(AND(OP!$D$99=1,T143="F"),AA143,IF(AND(OP!$D$99=2,COUNTIF($T$4:T143,"F")=1),OP!$D$97+IF(F143="F",OP!$D$98,0),"")))</f>
        <v>74177</v>
      </c>
      <c r="AL143" s="282">
        <f ca="1">IF(E143&gt;111,,IF(AND(OP!$E$99=1,T143="F"),AB143,IF(AND(OP!$E$99=2,COUNTIF($T$4:T143,"F")=1),OP!$E$97+IF(F143="F",OP!$E$98,0),"")))</f>
        <v>99404</v>
      </c>
      <c r="AM143" s="1">
        <f t="shared" ca="1" si="88"/>
        <v>9</v>
      </c>
      <c r="AN143" s="1" t="str">
        <f ca="1">IF(OR(VLOOKUP($A143,MP,5,0)="月繳"),1,"")</f>
        <v/>
      </c>
      <c r="AO143" s="1">
        <f t="shared" ca="1" si="99"/>
        <v>0</v>
      </c>
      <c r="AP143" s="1" t="str">
        <f ca="1">IF(AND(A143&lt;=OP!$C$120,COUNTIF(PAY,C143)=1),1,"")</f>
        <v/>
      </c>
      <c r="AR143" s="301">
        <f ca="1">IF(繳費報酬率資料!$A$1=1,$AY143+$AZ143,$BF143+$BG143)</f>
        <v>0</v>
      </c>
      <c r="AS143" s="1">
        <f ca="1">IF(C143&lt;&gt;IF($C$3=1,12,$C$3-1),0,IF(繳費報酬率資料!$A$1&lt;&gt;1,VLOOKUP($A143,MP,8,0),IF(AND($A143&gt;=OP!$C$79,$A143&lt;=OP!$C$80),OP!$C$78,)))</f>
        <v>0</v>
      </c>
      <c r="AT143" s="298">
        <f t="shared" ca="1" si="100"/>
        <v>0</v>
      </c>
      <c r="AU143" s="298">
        <f ca="1">IF(AND(A143&lt;=OP!$C$120,COUNTIF(PAY,C143)=1),OP!$C$123,0)</f>
        <v>0</v>
      </c>
      <c r="AV143" s="298">
        <f ca="1">IF(AND(A143&gt;=OP!$C$132,A143&lt;=OP!$C$133,$C$3=C143),OP!$C$135,0)</f>
        <v>0</v>
      </c>
      <c r="AW143" s="180">
        <f t="shared" ca="1" si="101"/>
        <v>0.05</v>
      </c>
      <c r="AX143" s="180">
        <f t="shared" ca="1" si="102"/>
        <v>0.05</v>
      </c>
      <c r="AY143" s="286">
        <f t="shared" ca="1" si="103"/>
        <v>0</v>
      </c>
      <c r="AZ143" s="286">
        <f t="shared" ca="1" si="104"/>
        <v>0</v>
      </c>
      <c r="BA143" s="286">
        <f t="shared" ca="1" si="105"/>
        <v>0</v>
      </c>
      <c r="BB143" s="286">
        <f t="shared" ca="1" si="106"/>
        <v>0</v>
      </c>
      <c r="BC143" s="286">
        <f t="shared" ca="1" si="107"/>
        <v>0</v>
      </c>
      <c r="BD143" s="180">
        <f t="shared" ca="1" si="108"/>
        <v>0.05</v>
      </c>
      <c r="BE143" s="180">
        <f t="shared" ca="1" si="109"/>
        <v>0.05</v>
      </c>
      <c r="BF143" s="286">
        <f t="shared" ca="1" si="110"/>
        <v>0</v>
      </c>
      <c r="BG143" s="286">
        <f t="shared" ca="1" si="111"/>
        <v>0</v>
      </c>
    </row>
    <row r="144" spans="1:59">
      <c r="A144" s="1">
        <f t="shared" ca="1" si="91"/>
        <v>12</v>
      </c>
      <c r="B144" s="1">
        <f t="shared" ca="1" si="114"/>
        <v>118</v>
      </c>
      <c r="C144" s="1">
        <f t="shared" ca="1" si="115"/>
        <v>2</v>
      </c>
      <c r="D144" s="1">
        <f ca="1">MIN($D$3,VLOOKUP(C144,OP!$S$30:$T$41,2))</f>
        <v>2</v>
      </c>
      <c r="E144" s="1">
        <f t="shared" ca="1" si="116"/>
        <v>66</v>
      </c>
      <c r="F144" s="11" t="str">
        <f t="shared" ca="1" si="92"/>
        <v/>
      </c>
      <c r="G144" s="8">
        <f t="shared" ca="1" si="118"/>
        <v>365</v>
      </c>
      <c r="H144" s="8">
        <f t="shared" ca="1" si="93"/>
        <v>28</v>
      </c>
      <c r="I144" s="8" t="str">
        <f t="shared" ca="1" si="90"/>
        <v>122</v>
      </c>
      <c r="J144" s="13">
        <f>IF(繳費報酬率資料!$A$1=1,VALUE(OP!$C$121),VLOOKUP(A144,MP,2,0))</f>
        <v>0.05</v>
      </c>
      <c r="K144" s="14">
        <f ca="1">IF(SUM($K$4:K143,IF(繳費報酬率資料!$A$1=1,$AU144+$AV144,$BB144+$BC144))&gt;OP!$L$58,0,IF(繳費報酬率資料!$A$1=1,$AU144+$AV144,$BB144+$BC144))</f>
        <v>0</v>
      </c>
      <c r="L144" s="2"/>
      <c r="M144" s="2"/>
      <c r="N144" s="2"/>
      <c r="O144" s="261">
        <f t="shared" ca="1" si="94"/>
        <v>0</v>
      </c>
      <c r="P144" s="261">
        <f t="shared" ca="1" si="112"/>
        <v>0</v>
      </c>
      <c r="Q144" s="3">
        <f ca="1">IF(A144&gt;MAX(OP!$R$17:$R$26),0,VLOOKUP(A144,fees,3,FALSE))</f>
        <v>0</v>
      </c>
      <c r="R144" s="200" t="str">
        <f t="shared" ca="1" si="95"/>
        <v/>
      </c>
      <c r="S144" s="9" t="str">
        <f ca="1">IF(COUNTIF(($T$4:T143),"F")&gt;=1,"",IF(OR(C145&lt;&gt;$C$3,E144=""),"",A144))</f>
        <v/>
      </c>
      <c r="T144" s="20" t="str">
        <f t="shared" ca="1" si="117"/>
        <v/>
      </c>
      <c r="U144" s="2">
        <f ca="1">IF(IF(OP!$C$83=1,$Z143,IF(OP!$C$83=2,$AA143,IF(OP!$C$83=3,$AB143,)))+$K144-$O144-$P144-$AS144&lt;OP!$C$142,0,$AS144)</f>
        <v>0</v>
      </c>
      <c r="V144" s="9"/>
      <c r="W144" s="19">
        <f ca="1">MAX(SUM($K$4:K144),0)</f>
        <v>2000000</v>
      </c>
      <c r="X144" s="19"/>
      <c r="Y144" s="19">
        <f t="shared" ca="1" si="113"/>
        <v>1920000</v>
      </c>
      <c r="Z144" s="2">
        <f ca="1">IF(MIN($Z$4:Z143)=0,0,MAX(0,($Z143+$K144-$O144-$P144)*IF(AND(F144="F",$D$3&lt;&gt;$G$3),((1+(-J144))^(H144/MIN(G144,365))),((1+(-J144))^(1/12)))-$U144))</f>
        <v>1050881.1229543197</v>
      </c>
      <c r="AA144" s="2">
        <f ca="1">IF(MIN($AA$4:AA143)=0,0,MAX(0,($AA143+$K144-$O144-$P144)*IF(AND(F144="F",$D$3&lt;&gt;$G$3),((1+$AA$1)^(H144/MIN(G144,365))),((1+$AA$1)^(1/12)))-$U144))</f>
        <v>1920000</v>
      </c>
      <c r="AB144" s="2">
        <f ca="1">IF(MIN($AB$4:AB143)=0,0,MAX(0,($AB143+$K144-$O144-$P144)*IF(AND(F144="F",$D$3&lt;&gt;$G$3),((1+(J144))^(H144/MIN(G144,365))),((1+(J144))^(1/12)))-$U144))</f>
        <v>3406241.946275787</v>
      </c>
      <c r="AC144" s="5"/>
      <c r="AD144" s="5"/>
      <c r="AE144" s="5"/>
      <c r="AF144" s="282">
        <f t="shared" ca="1" si="96"/>
        <v>1050881</v>
      </c>
      <c r="AG144" s="282">
        <f t="shared" ca="1" si="97"/>
        <v>1920000</v>
      </c>
      <c r="AH144" s="282">
        <f t="shared" ca="1" si="98"/>
        <v>3406242</v>
      </c>
      <c r="AI144" s="23" t="str">
        <f t="shared" ca="1" si="119"/>
        <v>12-10</v>
      </c>
      <c r="AJ144" s="282">
        <f ca="1">IF(E144&gt;111,,IF(AND(OP!$C$99=1,T144="F"),Z144,IF(AND(OP!$C$99=2,COUNTIF($T$4:T144,"F")=1),OP!$C$97+IF(F144="F",OP!$C$98,0),"")))</f>
        <v>54527</v>
      </c>
      <c r="AK144" s="282">
        <f ca="1">IF(E144&gt;111,,IF(AND(OP!$D$99=1,T144="F"),AA144,IF(AND(OP!$D$99=2,COUNTIF($T$4:T144,"F")=1),OP!$D$97+IF(F144="F",OP!$D$98,0),"")))</f>
        <v>74177</v>
      </c>
      <c r="AL144" s="282">
        <f ca="1">IF(E144&gt;111,,IF(AND(OP!$E$99=1,T144="F"),AB144,IF(AND(OP!$E$99=2,COUNTIF($T$4:T144,"F")=1),OP!$E$97+IF(F144="F",OP!$E$98,0),"")))</f>
        <v>99404</v>
      </c>
      <c r="AM144" s="1">
        <f t="shared" ca="1" si="88"/>
        <v>10</v>
      </c>
      <c r="AN144" s="1" t="str">
        <f ca="1">IF(OR(VLOOKUP($A144,MP,5,0)="月繳"),1,"")</f>
        <v/>
      </c>
      <c r="AO144" s="1">
        <f t="shared" ca="1" si="99"/>
        <v>0</v>
      </c>
      <c r="AP144" s="1" t="str">
        <f ca="1">IF(AND(A144&lt;=OP!$C$120,COUNTIF(PAY,C144)=1),1,"")</f>
        <v/>
      </c>
      <c r="AR144" s="301">
        <f ca="1">IF(繳費報酬率資料!$A$1=1,$AY144+$AZ144,$BF144+$BG144)</f>
        <v>0</v>
      </c>
      <c r="AS144" s="1">
        <f ca="1">IF(C144&lt;&gt;IF($C$3=1,12,$C$3-1),0,IF(繳費報酬率資料!$A$1&lt;&gt;1,VLOOKUP($A144,MP,8,0),IF(AND($A144&gt;=OP!$C$79,$A144&lt;=OP!$C$80),OP!$C$78,)))</f>
        <v>0</v>
      </c>
      <c r="AT144" s="298">
        <f t="shared" ca="1" si="100"/>
        <v>0</v>
      </c>
      <c r="AU144" s="298">
        <f ca="1">IF(AND(A144&lt;=OP!$C$120,COUNTIF(PAY,C144)=1),OP!$C$123,0)</f>
        <v>0</v>
      </c>
      <c r="AV144" s="298">
        <f ca="1">IF(AND(A144&gt;=OP!$C$132,A144&lt;=OP!$C$133,$C$3=C144),OP!$C$135,0)</f>
        <v>0</v>
      </c>
      <c r="AW144" s="180">
        <f t="shared" ca="1" si="101"/>
        <v>0.05</v>
      </c>
      <c r="AX144" s="180">
        <f t="shared" ca="1" si="102"/>
        <v>0.05</v>
      </c>
      <c r="AY144" s="286">
        <f t="shared" ca="1" si="103"/>
        <v>0</v>
      </c>
      <c r="AZ144" s="286">
        <f t="shared" ca="1" si="104"/>
        <v>0</v>
      </c>
      <c r="BA144" s="286">
        <f t="shared" ca="1" si="105"/>
        <v>0</v>
      </c>
      <c r="BB144" s="286">
        <f t="shared" ca="1" si="106"/>
        <v>0</v>
      </c>
      <c r="BC144" s="286">
        <f t="shared" ca="1" si="107"/>
        <v>0</v>
      </c>
      <c r="BD144" s="180">
        <f t="shared" ca="1" si="108"/>
        <v>0.05</v>
      </c>
      <c r="BE144" s="180">
        <f t="shared" ca="1" si="109"/>
        <v>0.05</v>
      </c>
      <c r="BF144" s="286">
        <f t="shared" ca="1" si="110"/>
        <v>0</v>
      </c>
      <c r="BG144" s="286">
        <f t="shared" ca="1" si="111"/>
        <v>0</v>
      </c>
    </row>
    <row r="145" spans="1:59">
      <c r="A145" s="1">
        <f t="shared" ca="1" si="91"/>
        <v>12</v>
      </c>
      <c r="B145" s="1">
        <f t="shared" ca="1" si="114"/>
        <v>118</v>
      </c>
      <c r="C145" s="1">
        <f t="shared" ca="1" si="115"/>
        <v>3</v>
      </c>
      <c r="D145" s="1">
        <f ca="1">MIN($D$3,VLOOKUP(C145,OP!$S$30:$T$41,2))</f>
        <v>2</v>
      </c>
      <c r="E145" s="1">
        <f t="shared" ca="1" si="116"/>
        <v>66</v>
      </c>
      <c r="F145" s="11" t="str">
        <f t="shared" ca="1" si="92"/>
        <v/>
      </c>
      <c r="G145" s="8">
        <f t="shared" ca="1" si="118"/>
        <v>365</v>
      </c>
      <c r="H145" s="8">
        <f t="shared" ca="1" si="93"/>
        <v>31</v>
      </c>
      <c r="I145" s="8" t="str">
        <f t="shared" ca="1" si="90"/>
        <v>123</v>
      </c>
      <c r="J145" s="13">
        <f>IF(繳費報酬率資料!$A$1=1,VALUE(OP!$C$121),VLOOKUP(A145,MP,2,0))</f>
        <v>0.05</v>
      </c>
      <c r="K145" s="14">
        <f ca="1">IF(SUM($K$4:K144,IF(繳費報酬率資料!$A$1=1,$AU145+$AV145,$BB145+$BC145))&gt;OP!$L$58,0,IF(繳費報酬率資料!$A$1=1,$AU145+$AV145,$BB145+$BC145))</f>
        <v>0</v>
      </c>
      <c r="L145" s="2"/>
      <c r="M145" s="2"/>
      <c r="N145" s="2"/>
      <c r="O145" s="261">
        <f t="shared" ca="1" si="94"/>
        <v>0</v>
      </c>
      <c r="P145" s="261">
        <f t="shared" ca="1" si="112"/>
        <v>0</v>
      </c>
      <c r="Q145" s="3">
        <f ca="1">IF(A145&gt;MAX(OP!$R$17:$R$26),0,VLOOKUP(A145,fees,3,FALSE))</f>
        <v>0</v>
      </c>
      <c r="R145" s="200" t="str">
        <f t="shared" ca="1" si="95"/>
        <v/>
      </c>
      <c r="S145" s="9" t="str">
        <f ca="1">IF(COUNTIF(($T$4:T144),"F")&gt;=1,"",IF(OR(C146&lt;&gt;$C$3,E145=""),"",A145))</f>
        <v/>
      </c>
      <c r="T145" s="20" t="str">
        <f t="shared" ca="1" si="117"/>
        <v/>
      </c>
      <c r="U145" s="2">
        <f ca="1">IF(IF(OP!$C$83=1,$Z144,IF(OP!$C$83=2,$AA144,IF(OP!$C$83=3,$AB144,)))+$K145-$O145-$P145-$AS145&lt;OP!$C$142,0,$AS145)</f>
        <v>0</v>
      </c>
      <c r="V145" s="9"/>
      <c r="W145" s="19">
        <f ca="1">MAX(SUM($K$4:K145),0)</f>
        <v>2000000</v>
      </c>
      <c r="X145" s="19"/>
      <c r="Y145" s="19">
        <f t="shared" ca="1" si="113"/>
        <v>1920000</v>
      </c>
      <c r="Z145" s="2">
        <f ca="1">IF(MIN($Z$4:Z144)=0,0,MAX(0,($Z144+$K145-$O145-$P145)*IF(AND(F145="F",$D$3&lt;&gt;$G$3),((1+(-J145))^(H145/MIN(G145,365))),((1+(-J145))^(1/12)))-$U145))</f>
        <v>1046398.7799675986</v>
      </c>
      <c r="AA145" s="2">
        <f ca="1">IF(MIN($AA$4:AA144)=0,0,MAX(0,($AA144+$K145-$O145-$P145)*IF(AND(F145="F",$D$3&lt;&gt;$G$3),((1+$AA$1)^(H145/MIN(G145,365))),((1+$AA$1)^(1/12)))-$U145))</f>
        <v>1920000</v>
      </c>
      <c r="AB145" s="2">
        <f ca="1">IF(MIN($AB$4:AB144)=0,0,MAX(0,($AB144+$K145-$O145-$P145)*IF(AND(F145="F",$D$3&lt;&gt;$G$3),((1+(J145))^(H145/MIN(G145,365))),((1+(J145))^(1/12)))-$U145))</f>
        <v>3420119.39760197</v>
      </c>
      <c r="AC145" s="5"/>
      <c r="AD145" s="5"/>
      <c r="AE145" s="5"/>
      <c r="AF145" s="282">
        <f t="shared" ca="1" si="96"/>
        <v>1046399</v>
      </c>
      <c r="AG145" s="282">
        <f t="shared" ca="1" si="97"/>
        <v>1920000</v>
      </c>
      <c r="AH145" s="282">
        <f t="shared" ca="1" si="98"/>
        <v>3420119</v>
      </c>
      <c r="AI145" s="23" t="str">
        <f t="shared" ca="1" si="119"/>
        <v>12-11</v>
      </c>
      <c r="AJ145" s="282">
        <f ca="1">IF(E145&gt;111,,IF(AND(OP!$C$99=1,T145="F"),Z145,IF(AND(OP!$C$99=2,COUNTIF($T$4:T145,"F")=1),OP!$C$97+IF(F145="F",OP!$C$98,0),"")))</f>
        <v>54527</v>
      </c>
      <c r="AK145" s="282">
        <f ca="1">IF(E145&gt;111,,IF(AND(OP!$D$99=1,T145="F"),AA145,IF(AND(OP!$D$99=2,COUNTIF($T$4:T145,"F")=1),OP!$D$97+IF(F145="F",OP!$D$98,0),"")))</f>
        <v>74177</v>
      </c>
      <c r="AL145" s="282">
        <f ca="1">IF(E145&gt;111,,IF(AND(OP!$E$99=1,T145="F"),AB145,IF(AND(OP!$E$99=2,COUNTIF($T$4:T145,"F")=1),OP!$E$97+IF(F145="F",OP!$E$98,0),"")))</f>
        <v>99404</v>
      </c>
      <c r="AM145" s="1">
        <f t="shared" ca="1" si="88"/>
        <v>11</v>
      </c>
      <c r="AN145" s="1" t="str">
        <f ca="1">IF(OR(VLOOKUP($A145,MP,5,0)="季繳",VLOOKUP($A145,MP,5,0)="月繳"),1,"")</f>
        <v/>
      </c>
      <c r="AO145" s="1">
        <f t="shared" ca="1" si="99"/>
        <v>0</v>
      </c>
      <c r="AP145" s="1" t="str">
        <f ca="1">IF(AND(A145&lt;=OP!$C$120,COUNTIF(PAY,C145)=1),1,"")</f>
        <v/>
      </c>
      <c r="AR145" s="301">
        <f ca="1">IF(繳費報酬率資料!$A$1=1,$AY145+$AZ145,$BF145+$BG145)</f>
        <v>0</v>
      </c>
      <c r="AS145" s="1">
        <f ca="1">IF(C145&lt;&gt;IF($C$3=1,12,$C$3-1),0,IF(繳費報酬率資料!$A$1&lt;&gt;1,VLOOKUP($A145,MP,8,0),IF(AND($A145&gt;=OP!$C$79,$A145&lt;=OP!$C$80),OP!$C$78,)))</f>
        <v>0</v>
      </c>
      <c r="AT145" s="298">
        <f t="shared" ca="1" si="100"/>
        <v>0</v>
      </c>
      <c r="AU145" s="298">
        <f ca="1">IF(AND(A145&lt;=OP!$C$120,COUNTIF(PAY,C145)=1),OP!$C$123,0)</f>
        <v>0</v>
      </c>
      <c r="AV145" s="298">
        <f ca="1">IF(AND(A145&gt;=OP!$C$132,A145&lt;=OP!$C$133,$C$3=C145),OP!$C$135,0)</f>
        <v>0</v>
      </c>
      <c r="AW145" s="180">
        <f t="shared" ca="1" si="101"/>
        <v>0.05</v>
      </c>
      <c r="AX145" s="180">
        <f t="shared" ca="1" si="102"/>
        <v>0.05</v>
      </c>
      <c r="AY145" s="286">
        <f t="shared" ca="1" si="103"/>
        <v>0</v>
      </c>
      <c r="AZ145" s="286">
        <f t="shared" ca="1" si="104"/>
        <v>0</v>
      </c>
      <c r="BA145" s="286">
        <f t="shared" ca="1" si="105"/>
        <v>0</v>
      </c>
      <c r="BB145" s="286">
        <f t="shared" ca="1" si="106"/>
        <v>0</v>
      </c>
      <c r="BC145" s="286">
        <f t="shared" ca="1" si="107"/>
        <v>0</v>
      </c>
      <c r="BD145" s="180">
        <f t="shared" ca="1" si="108"/>
        <v>0.05</v>
      </c>
      <c r="BE145" s="180">
        <f t="shared" ca="1" si="109"/>
        <v>0.05</v>
      </c>
      <c r="BF145" s="286">
        <f t="shared" ca="1" si="110"/>
        <v>0</v>
      </c>
      <c r="BG145" s="286">
        <f t="shared" ca="1" si="111"/>
        <v>0</v>
      </c>
    </row>
    <row r="146" spans="1:59">
      <c r="A146" s="1">
        <f t="shared" ca="1" si="91"/>
        <v>12</v>
      </c>
      <c r="B146" s="1">
        <f t="shared" ca="1" si="114"/>
        <v>118</v>
      </c>
      <c r="C146" s="1">
        <f t="shared" ca="1" si="115"/>
        <v>4</v>
      </c>
      <c r="D146" s="1">
        <f ca="1">MIN($D$3,VLOOKUP(C146,OP!$S$30:$T$41,2))</f>
        <v>2</v>
      </c>
      <c r="E146" s="1">
        <f t="shared" ca="1" si="116"/>
        <v>66</v>
      </c>
      <c r="F146" s="11" t="str">
        <f t="shared" ca="1" si="92"/>
        <v/>
      </c>
      <c r="G146" s="8">
        <f t="shared" ca="1" si="118"/>
        <v>365</v>
      </c>
      <c r="H146" s="8">
        <f t="shared" ca="1" si="93"/>
        <v>30</v>
      </c>
      <c r="I146" s="8" t="str">
        <f t="shared" ca="1" si="90"/>
        <v>124</v>
      </c>
      <c r="J146" s="13">
        <f>IF(繳費報酬率資料!$A$1=1,VALUE(OP!$C$121),VLOOKUP(A146,MP,2,0))</f>
        <v>0.05</v>
      </c>
      <c r="K146" s="14">
        <f ca="1">IF(SUM($K$4:K145,IF(繳費報酬率資料!$A$1=1,$AU146+$AV146,$BB146+$BC146))&gt;OP!$L$58,0,IF(繳費報酬率資料!$A$1=1,$AU146+$AV146,$BB146+$BC146))</f>
        <v>0</v>
      </c>
      <c r="L146" s="2"/>
      <c r="M146" s="2"/>
      <c r="N146" s="2"/>
      <c r="O146" s="261">
        <f t="shared" ca="1" si="94"/>
        <v>0</v>
      </c>
      <c r="P146" s="261">
        <f t="shared" ca="1" si="112"/>
        <v>0</v>
      </c>
      <c r="Q146" s="3">
        <f ca="1">IF(A146&gt;MAX(OP!$R$17:$R$26),0,VLOOKUP(A146,fees,3,FALSE))</f>
        <v>0</v>
      </c>
      <c r="R146" s="200" t="str">
        <f t="shared" ca="1" si="95"/>
        <v/>
      </c>
      <c r="S146" s="9" t="str">
        <f ca="1">IF(COUNTIF(($T$4:T145),"F")&gt;=1,"",IF(OR(C147&lt;&gt;$C$3,E146=""),"",A146))</f>
        <v/>
      </c>
      <c r="T146" s="20" t="str">
        <f t="shared" ca="1" si="117"/>
        <v/>
      </c>
      <c r="U146" s="2">
        <f ca="1">IF(IF(OP!$C$83=1,$Z145,IF(OP!$C$83=2,$AA145,IF(OP!$C$83=3,$AB145,)))+$K146-$O146-$P146-$AS146&lt;OP!$C$142,0,$AS146)</f>
        <v>0</v>
      </c>
      <c r="V146" s="9"/>
      <c r="W146" s="19">
        <f ca="1">MAX(SUM($K$4:K146),0)</f>
        <v>2000000</v>
      </c>
      <c r="X146" s="19"/>
      <c r="Y146" s="19">
        <f t="shared" ca="1" si="113"/>
        <v>1920000</v>
      </c>
      <c r="Z146" s="2">
        <f ca="1">IF(MIN($Z$4:Z145)=0,0,MAX(0,($Z145+$K146-$O146-$P146)*IF(AND(F146="F",$D$3&lt;&gt;$G$3),((1+(-J146))^(H146/MIN(G146,365))),((1+(-J146))^(1/12)))-$U146))</f>
        <v>1041935.5556025862</v>
      </c>
      <c r="AA146" s="2">
        <f ca="1">IF(MIN($AA$4:AA145)=0,0,MAX(0,($AA145+$K146-$O146-$P146)*IF(AND(F146="F",$D$3&lt;&gt;$G$3),((1+$AA$1)^(H146/MIN(G146,365))),((1+$AA$1)^(1/12)))-$U146))</f>
        <v>1920000</v>
      </c>
      <c r="AB146" s="2">
        <f ca="1">IF(MIN($AB$4:AB145)=0,0,MAX(0,($AB145+$K146-$O146-$P146)*IF(AND(F146="F",$D$3&lt;&gt;$G$3),((1+(J146))^(H146/MIN(G146,365))),((1+(J146))^(1/12)))-$U146))</f>
        <v>3434053.3873826573</v>
      </c>
      <c r="AC146" s="5"/>
      <c r="AD146" s="5"/>
      <c r="AE146" s="5"/>
      <c r="AF146" s="282">
        <f t="shared" ca="1" si="96"/>
        <v>1041936</v>
      </c>
      <c r="AG146" s="282">
        <f t="shared" ca="1" si="97"/>
        <v>1920000</v>
      </c>
      <c r="AH146" s="282">
        <f t="shared" ca="1" si="98"/>
        <v>3434053</v>
      </c>
      <c r="AI146" s="23" t="str">
        <f t="shared" ca="1" si="119"/>
        <v>12-12</v>
      </c>
      <c r="AJ146" s="282">
        <f ca="1">IF(E146&gt;111,,IF(AND(OP!$C$99=1,T146="F"),Z146,IF(AND(OP!$C$99=2,COUNTIF($T$4:T146,"F")=1),OP!$C$97+IF(F146="F",OP!$C$98,0),"")))</f>
        <v>54527</v>
      </c>
      <c r="AK146" s="282">
        <f ca="1">IF(E146&gt;111,,IF(AND(OP!$D$99=1,T146="F"),AA146,IF(AND(OP!$D$99=2,COUNTIF($T$4:T146,"F")=1),OP!$D$97+IF(F146="F",OP!$D$98,0),"")))</f>
        <v>74177</v>
      </c>
      <c r="AL146" s="282">
        <f ca="1">IF(E146&gt;111,,IF(AND(OP!$E$99=1,T146="F"),AB146,IF(AND(OP!$E$99=2,COUNTIF($T$4:T146,"F")=1),OP!$E$97+IF(F146="F",OP!$E$98,0),"")))</f>
        <v>99404</v>
      </c>
      <c r="AM146" s="1">
        <f t="shared" ca="1" si="88"/>
        <v>12</v>
      </c>
      <c r="AN146" s="1" t="str">
        <f ca="1">IF(OR(VLOOKUP($A146,MP,5,0)="月繳"),1,"")</f>
        <v/>
      </c>
      <c r="AO146" s="1">
        <f t="shared" ca="1" si="99"/>
        <v>0</v>
      </c>
      <c r="AP146" s="1" t="str">
        <f ca="1">IF(AND(A146&lt;=OP!$C$120,COUNTIF(PAY,C146)=1),1,"")</f>
        <v/>
      </c>
      <c r="AR146" s="301">
        <f ca="1">IF(繳費報酬率資料!$A$1=1,$AY146+$AZ146,$BF146+$BG146)</f>
        <v>0</v>
      </c>
      <c r="AS146" s="1">
        <f ca="1">IF(C146&lt;&gt;IF($C$3=1,12,$C$3-1),0,IF(繳費報酬率資料!$A$1&lt;&gt;1,VLOOKUP($A146,MP,8,0),IF(AND($A146&gt;=OP!$C$79,$A146&lt;=OP!$C$80),OP!$C$78,)))</f>
        <v>0</v>
      </c>
      <c r="AT146" s="298">
        <f t="shared" ca="1" si="100"/>
        <v>0</v>
      </c>
      <c r="AU146" s="298">
        <f ca="1">IF(AND(A146&lt;=OP!$C$120,COUNTIF(PAY,C146)=1),OP!$C$123,0)</f>
        <v>0</v>
      </c>
      <c r="AV146" s="298">
        <f ca="1">IF(AND(A146&gt;=OP!$C$132,A146&lt;=OP!$C$133,$C$3=C146),OP!$C$135,0)</f>
        <v>0</v>
      </c>
      <c r="AW146" s="180">
        <f t="shared" ca="1" si="101"/>
        <v>0.05</v>
      </c>
      <c r="AX146" s="180">
        <f t="shared" ca="1" si="102"/>
        <v>0.05</v>
      </c>
      <c r="AY146" s="286">
        <f t="shared" ca="1" si="103"/>
        <v>0</v>
      </c>
      <c r="AZ146" s="286">
        <f t="shared" ca="1" si="104"/>
        <v>0</v>
      </c>
      <c r="BA146" s="286">
        <f t="shared" ca="1" si="105"/>
        <v>0</v>
      </c>
      <c r="BB146" s="286">
        <f t="shared" ca="1" si="106"/>
        <v>0</v>
      </c>
      <c r="BC146" s="286">
        <f t="shared" ca="1" si="107"/>
        <v>0</v>
      </c>
      <c r="BD146" s="180">
        <f t="shared" ca="1" si="108"/>
        <v>0.05</v>
      </c>
      <c r="BE146" s="180">
        <f t="shared" ca="1" si="109"/>
        <v>0.05</v>
      </c>
      <c r="BF146" s="286">
        <f t="shared" ca="1" si="110"/>
        <v>0</v>
      </c>
      <c r="BG146" s="286">
        <f t="shared" ca="1" si="111"/>
        <v>0</v>
      </c>
    </row>
    <row r="147" spans="1:59">
      <c r="A147" s="1">
        <f t="shared" ca="1" si="91"/>
        <v>12</v>
      </c>
      <c r="B147" s="1">
        <f t="shared" ca="1" si="114"/>
        <v>118</v>
      </c>
      <c r="C147" s="1">
        <f t="shared" ca="1" si="115"/>
        <v>5</v>
      </c>
      <c r="D147" s="1">
        <f ca="1">MIN($D$3,VLOOKUP(C147,OP!$S$30:$T$41,2))</f>
        <v>2</v>
      </c>
      <c r="E147" s="1">
        <f t="shared" ca="1" si="116"/>
        <v>66</v>
      </c>
      <c r="F147" s="11" t="str">
        <f t="shared" ca="1" si="92"/>
        <v/>
      </c>
      <c r="G147" s="8">
        <f t="shared" ca="1" si="118"/>
        <v>365</v>
      </c>
      <c r="H147" s="8">
        <f t="shared" ca="1" si="93"/>
        <v>31</v>
      </c>
      <c r="I147" s="8" t="str">
        <f t="shared" ca="1" si="90"/>
        <v>125</v>
      </c>
      <c r="J147" s="13">
        <f>IF(繳費報酬率資料!$A$1=1,VALUE(OP!$C$121),VLOOKUP(A147,MP,2,0))</f>
        <v>0.05</v>
      </c>
      <c r="K147" s="14">
        <f ca="1">IF(SUM($K$4:K146,IF(繳費報酬率資料!$A$1=1,$AU147+$AV147,$BB147+$BC147))&gt;OP!$L$58,0,IF(繳費報酬率資料!$A$1=1,$AU147+$AV147,$BB147+$BC147))</f>
        <v>0</v>
      </c>
      <c r="L147" s="2">
        <f ca="1">ROUND(IF(OP!$C$78&lt;(IF(OR($T147="F",$E147&gt;=111),0,Z146+$K147-$O147+IF($C$1=1,OP!$C$78,IF($C148=$C$3,SUM(AC136:AC147,0)))))*5%,0,(OP!$C$78-((IF(OR($T147="F",$E147&gt;=111),0,Z146+$K147-$O147+IF($C$1=1,AC147,IF($C148=$C$3,SUM(AC136:AC147,0)))))*5%))*$Q147),0)</f>
        <v>0</v>
      </c>
      <c r="M147" s="2">
        <f ca="1">ROUND(IF(OP!$C$78&lt;(IF(OR($T147="F",$E147&gt;=111),0,AA146+$K147-$O147+IF($C$1=1,AD147,IF($C148=$C$3,SUM(AD136:AD147,0)))))*5%,0,(OP!$C$78-((IF(OR($T147="F",$E147&gt;=111),0,AA146+$K147-$O147+IF($C$1=1,AD147,IF($C148=$C$3,SUM(AD136:AD147,0)))))*5%))*$Q147),0)</f>
        <v>0</v>
      </c>
      <c r="N147" s="2">
        <f ca="1">ROUND(IF(OP!$C$78&lt;(IF(OR($T147="F",$E147&gt;=111),0,AB146+$K147-$O147+IF($C$1=1,AE147,IF($C148=$C$3,SUM(AE136:AE147,0)))))*5%,0,(OP!$C$78-((IF(OR($T147="F",$E147&gt;=111),0,AB146+$K147-$O147+IF($C$1=1,AE147,IF($C148=$C$3,SUM(AE136:AE147,0)))))*5%))*$Q147),0)</f>
        <v>0</v>
      </c>
      <c r="O147" s="261">
        <f t="shared" ca="1" si="94"/>
        <v>0</v>
      </c>
      <c r="P147" s="261">
        <f t="shared" ca="1" si="112"/>
        <v>0</v>
      </c>
      <c r="Q147" s="3">
        <f ca="1">IF(A147&gt;MAX(OP!$R$17:$R$26),0,VLOOKUP(A147,fees,3,FALSE))</f>
        <v>0</v>
      </c>
      <c r="R147" s="200">
        <f t="shared" ca="1" si="95"/>
        <v>12</v>
      </c>
      <c r="S147" s="9" t="str">
        <f ca="1">IF(COUNTIF(($T$4:T146),"F")&gt;=1,"",IF(OR(C148&lt;&gt;$C$3,E147=""),"",A147))</f>
        <v/>
      </c>
      <c r="T147" s="20" t="str">
        <f t="shared" ca="1" si="117"/>
        <v/>
      </c>
      <c r="U147" s="2">
        <f ca="1">IF(IF(OP!$C$83=1,$Z146,IF(OP!$C$83=2,$AA146,IF(OP!$C$83=3,$AB146,)))+$K147-$O147-$P147-$AS147&lt;OP!$C$142,0,$AS147)</f>
        <v>0</v>
      </c>
      <c r="V147" s="19">
        <f ca="1">SUM(K136:K147)</f>
        <v>0</v>
      </c>
      <c r="W147" s="19">
        <f ca="1">MAX(SUM($K$4:K147),0)</f>
        <v>2000000</v>
      </c>
      <c r="X147" s="19">
        <f ca="1">SUM(O136:P147)</f>
        <v>0</v>
      </c>
      <c r="Y147" s="19">
        <f t="shared" ca="1" si="113"/>
        <v>1920000</v>
      </c>
      <c r="Z147" s="2">
        <f ca="1">IF(MIN($Z$4:Z146)=0,0,MAX(0,($Z146+$K147-$O147-$P147)*IF(AND(F147="F",$D$3&lt;&gt;$G$3),((1+(-J147))^(H147/MIN(G147,365))),((1+(-J147))^(1/12)))-$U147))</f>
        <v>1037491.3683122664</v>
      </c>
      <c r="AA147" s="2">
        <f ca="1">IF(MIN($AA$4:AA146)=0,0,MAX(0,($AA146+$K147-$O147-$P147)*IF(AND(F147="F",$D$3&lt;&gt;$G$3),((1+$AA$1)^(H147/MIN(G147,365))),((1+$AA$1)^(1/12)))-$U147))</f>
        <v>1920000</v>
      </c>
      <c r="AB147" s="2">
        <f ca="1">IF(MIN($AB$4:AB146)=0,0,MAX(0,($AB146+$K147-$O147-$P147)*IF(AND(F147="F",$D$3&lt;&gt;$G$3),((1+(J147))^(H147/MIN(G147,365))),((1+(J147))^(1/12)))-$U147))</f>
        <v>3448044.1459625112</v>
      </c>
      <c r="AC147" s="5"/>
      <c r="AD147" s="5"/>
      <c r="AE147" s="5"/>
      <c r="AF147" s="282">
        <f t="shared" ca="1" si="96"/>
        <v>1037491</v>
      </c>
      <c r="AG147" s="282">
        <f t="shared" ca="1" si="97"/>
        <v>1920000</v>
      </c>
      <c r="AH147" s="282">
        <f t="shared" ca="1" si="98"/>
        <v>3448044</v>
      </c>
      <c r="AI147" s="23" t="str">
        <f t="shared" ca="1" si="119"/>
        <v>13-1</v>
      </c>
      <c r="AJ147" s="282">
        <f ca="1">IF(E147&gt;111,,IF(AND(OP!$C$99=1,T147="F"),Z147,IF(AND(OP!$C$99=2,COUNTIF($T$4:T147,"F")=1),OP!$C$97+IF(F147="F",OP!$C$98,0),"")))</f>
        <v>54527</v>
      </c>
      <c r="AK147" s="282">
        <f ca="1">IF(E147&gt;111,,IF(AND(OP!$D$99=1,T147="F"),AA147,IF(AND(OP!$D$99=2,COUNTIF($T$4:T147,"F")=1),OP!$D$97+IF(F147="F",OP!$D$98,0),"")))</f>
        <v>74177</v>
      </c>
      <c r="AL147" s="282">
        <f ca="1">IF(E147&gt;111,,IF(AND(OP!$E$99=1,T147="F"),AB147,IF(AND(OP!$E$99=2,COUNTIF($T$4:T147,"F")=1),OP!$E$97+IF(F147="F",OP!$E$98,0),"")))</f>
        <v>99404</v>
      </c>
      <c r="AM147" s="1">
        <f t="shared" ca="1" si="88"/>
        <v>1</v>
      </c>
      <c r="AN147" s="1" t="str">
        <f ca="1">IF(OR(VLOOKUP($A147,MP,5,0)="月繳"),1,"")</f>
        <v/>
      </c>
      <c r="AO147" s="1">
        <f t="shared" ca="1" si="99"/>
        <v>0</v>
      </c>
      <c r="AP147" s="1" t="str">
        <f ca="1">IF(AND(A147&lt;=OP!$C$120,COUNTIF(PAY,C147)=1),1,"")</f>
        <v/>
      </c>
      <c r="AR147" s="301">
        <f ca="1">IF(繳費報酬率資料!$A$1=1,$AY147+$AZ147,$BF147+$BG147)</f>
        <v>0</v>
      </c>
      <c r="AS147" s="1">
        <f ca="1">IF(C147&lt;&gt;IF($C$3=1,12,$C$3-1),0,IF(繳費報酬率資料!$A$1&lt;&gt;1,VLOOKUP($A147,MP,8,0),IF(AND($A147&gt;=OP!$C$79,$A147&lt;=OP!$C$80),OP!$C$78,)))</f>
        <v>0</v>
      </c>
      <c r="AT147" s="298">
        <f t="shared" ca="1" si="100"/>
        <v>0</v>
      </c>
      <c r="AU147" s="298">
        <f ca="1">IF(AND(A147&lt;=OP!$C$120,COUNTIF(PAY,C147)=1),OP!$C$123,0)</f>
        <v>0</v>
      </c>
      <c r="AV147" s="298">
        <f ca="1">IF(AND(A147&gt;=OP!$C$132,A147&lt;=OP!$C$133,$C$3=C147),OP!$C$135,0)</f>
        <v>0</v>
      </c>
      <c r="AW147" s="180">
        <f t="shared" ca="1" si="101"/>
        <v>0.05</v>
      </c>
      <c r="AX147" s="180">
        <f t="shared" ca="1" si="102"/>
        <v>0.05</v>
      </c>
      <c r="AY147" s="286">
        <f t="shared" ca="1" si="103"/>
        <v>0</v>
      </c>
      <c r="AZ147" s="286">
        <f t="shared" ca="1" si="104"/>
        <v>0</v>
      </c>
      <c r="BA147" s="286">
        <f t="shared" ca="1" si="105"/>
        <v>0</v>
      </c>
      <c r="BB147" s="286">
        <f t="shared" ca="1" si="106"/>
        <v>0</v>
      </c>
      <c r="BC147" s="286">
        <f t="shared" ca="1" si="107"/>
        <v>0</v>
      </c>
      <c r="BD147" s="180">
        <f t="shared" ca="1" si="108"/>
        <v>0.05</v>
      </c>
      <c r="BE147" s="180">
        <f t="shared" ca="1" si="109"/>
        <v>0.05</v>
      </c>
      <c r="BF147" s="286">
        <f t="shared" ca="1" si="110"/>
        <v>0</v>
      </c>
      <c r="BG147" s="286">
        <f t="shared" ca="1" si="111"/>
        <v>0</v>
      </c>
    </row>
    <row r="148" spans="1:59">
      <c r="A148" s="1">
        <f t="shared" ca="1" si="91"/>
        <v>13</v>
      </c>
      <c r="B148" s="1">
        <f t="shared" ca="1" si="114"/>
        <v>118</v>
      </c>
      <c r="C148" s="1">
        <f t="shared" ca="1" si="115"/>
        <v>6</v>
      </c>
      <c r="D148" s="1">
        <f ca="1">MIN($D$3,VLOOKUP(C148,OP!$S$30:$T$41,2))</f>
        <v>2</v>
      </c>
      <c r="E148" s="1">
        <f t="shared" ca="1" si="116"/>
        <v>67</v>
      </c>
      <c r="F148" s="11" t="str">
        <f t="shared" ca="1" si="92"/>
        <v/>
      </c>
      <c r="G148" s="6">
        <f ca="1">DATEDIF(DATE(B148+1911,C148,D148),DATE(B160+1911,C160,D160),"d")</f>
        <v>365</v>
      </c>
      <c r="H148" s="8">
        <f t="shared" ca="1" si="93"/>
        <v>30</v>
      </c>
      <c r="I148" s="8" t="str">
        <f t="shared" ca="1" si="90"/>
        <v>136</v>
      </c>
      <c r="J148" s="13">
        <f>IF(繳費報酬率資料!$A$1=1,VALUE(OP!$C$121),VLOOKUP(A148,MP,2,0))</f>
        <v>0.05</v>
      </c>
      <c r="K148" s="14">
        <f ca="1">IF(SUM($K$4:K147,IF(繳費報酬率資料!$A$1=1,$AU148+$AV148,$BB148+$BC148))&gt;OP!$L$58,0,IF(繳費報酬率資料!$A$1=1,$AU148+$AV148,$BB148+$BC148))</f>
        <v>0</v>
      </c>
      <c r="L148" s="2"/>
      <c r="M148" s="2"/>
      <c r="N148" s="2"/>
      <c r="O148" s="261">
        <f t="shared" ca="1" si="94"/>
        <v>0</v>
      </c>
      <c r="P148" s="261">
        <f t="shared" ca="1" si="112"/>
        <v>0</v>
      </c>
      <c r="Q148" s="3">
        <f ca="1">IF(A148&gt;MAX(OP!$R$17:$R$26),0,VLOOKUP(A148,fees,3,FALSE))</f>
        <v>0</v>
      </c>
      <c r="R148" s="200" t="str">
        <f t="shared" ca="1" si="95"/>
        <v/>
      </c>
      <c r="S148" s="9" t="str">
        <f ca="1">IF(COUNTIF(($T$4:T147),"F")&gt;=1,"",IF(OR(C149&lt;&gt;$C$3,E148=""),"",A148))</f>
        <v/>
      </c>
      <c r="T148" s="20" t="str">
        <f t="shared" ca="1" si="117"/>
        <v/>
      </c>
      <c r="U148" s="2">
        <f ca="1">IF(IF(OP!$C$83=1,$Z147,IF(OP!$C$83=2,$AA147,IF(OP!$C$83=3,$AB147,)))+$K148-$O148-$P148-$AS148&lt;OP!$C$142,0,$AS148)</f>
        <v>0</v>
      </c>
      <c r="V148" s="9"/>
      <c r="W148" s="19">
        <f ca="1">MAX(SUM($K$4:K148),0)</f>
        <v>2000000</v>
      </c>
      <c r="X148" s="19"/>
      <c r="Y148" s="19">
        <f t="shared" ca="1" si="113"/>
        <v>1920000</v>
      </c>
      <c r="Z148" s="2">
        <f ca="1">IF(MIN($Z$4:Z147)=0,0,MAX(0,($Z147+$K148-$O148-$P148)*IF(AND(F148="F",$D$3&lt;&gt;$G$3),((1+(-J148))^(H148/MIN(G148,365))),((1+(-J148))^(1/12)))-$U148))</f>
        <v>1033066.1368974471</v>
      </c>
      <c r="AA148" s="2">
        <f ca="1">IF(MIN($AA$4:AA147)=0,0,MAX(0,($AA147+$K148-$O148-$P148)*IF(AND(F148="F",$D$3&lt;&gt;$G$3),((1+$AA$1)^(H148/MIN(G148,365))),((1+$AA$1)^(1/12)))-$U148))</f>
        <v>1920000</v>
      </c>
      <c r="AB148" s="2">
        <f ca="1">IF(MIN($AB$4:AB147)=0,0,MAX(0,($AB147+$K148-$O148-$P148)*IF(AND(F148="F",$D$3&lt;&gt;$G$3),((1+(J148))^(H148/MIN(G148,365))),((1+(J148))^(1/12)))-$U148))</f>
        <v>3462091.9046246465</v>
      </c>
      <c r="AC148" s="21"/>
      <c r="AD148" s="21"/>
      <c r="AE148" s="21"/>
      <c r="AF148" s="282">
        <f t="shared" ca="1" si="96"/>
        <v>1033066</v>
      </c>
      <c r="AG148" s="282">
        <f t="shared" ca="1" si="97"/>
        <v>1920000</v>
      </c>
      <c r="AH148" s="282">
        <f t="shared" ca="1" si="98"/>
        <v>3462092</v>
      </c>
      <c r="AI148" s="23" t="str">
        <f t="shared" ca="1" si="119"/>
        <v>13-2</v>
      </c>
      <c r="AJ148" s="281">
        <f ca="1">IF(E148&gt;111,,IF(AND(OP!$C$99=1,T148="F"),Z148,IF(AND(OP!$C$99=2,COUNTIF($T$4:T148,"F")=1),OP!$C$97+IF(F148="F",OP!$C$98,0),"")))</f>
        <v>54527</v>
      </c>
      <c r="AK148" s="281">
        <f ca="1">IF(E148&gt;111,,IF(AND(OP!$D$99=1,T148="F"),AA148,IF(AND(OP!$D$99=2,COUNTIF($T$4:T148,"F")=1),OP!$D$97+IF(F148="F",OP!$D$98,0),"")))</f>
        <v>74177</v>
      </c>
      <c r="AL148" s="281">
        <f ca="1">IF(E148&gt;111,,IF(AND(OP!$E$99=1,T148="F"),AB148,IF(AND(OP!$E$99=2,COUNTIF($T$4:T148,"F")=1),OP!$E$97+IF(F148="F",OP!$E$98,0),"")))</f>
        <v>99404</v>
      </c>
      <c r="AM148" s="1">
        <f t="shared" ca="1" si="88"/>
        <v>2</v>
      </c>
      <c r="AN148" s="1">
        <f ca="1">IF(OR(VLOOKUP($A148,MP,5,0)="年繳",VLOOKUP($A148,MP,5,0)="半年繳",VLOOKUP($A148,MP,5,0)="季繳",VLOOKUP($A148,MP,5,0)="月繳"),1,"")</f>
        <v>1</v>
      </c>
      <c r="AO148" s="1">
        <f t="shared" ca="1" si="99"/>
        <v>0</v>
      </c>
      <c r="AP148" s="1" t="str">
        <f ca="1">IF(AND(A148&lt;=OP!$C$120,COUNTIF(PAY,C148)=1),1,"")</f>
        <v/>
      </c>
      <c r="AR148" s="301">
        <f ca="1">IF(繳費報酬率資料!$A$1=1,$AY148+$AZ148,$BF148+$BG148)</f>
        <v>0</v>
      </c>
      <c r="AS148" s="1">
        <f ca="1">IF(C148&lt;&gt;IF($C$3=1,12,$C$3-1),0,IF(繳費報酬率資料!$A$1&lt;&gt;1,VLOOKUP($A148,MP,8,0),IF(AND($A148&gt;=OP!$C$79,$A148&lt;=OP!$C$80),OP!$C$78,)))</f>
        <v>0</v>
      </c>
      <c r="AT148" s="298">
        <f t="shared" ca="1" si="100"/>
        <v>0</v>
      </c>
      <c r="AU148" s="298">
        <f ca="1">IF(AND(A148&lt;=OP!$C$120,COUNTIF(PAY,C148)=1),OP!$C$123,0)</f>
        <v>0</v>
      </c>
      <c r="AV148" s="298">
        <f ca="1">IF(AND(A148&gt;=OP!$C$132,A148&lt;=OP!$C$133,$C$3=C148),OP!$C$135,0)</f>
        <v>0</v>
      </c>
      <c r="AW148" s="180">
        <f t="shared" ca="1" si="101"/>
        <v>0.05</v>
      </c>
      <c r="AX148" s="180">
        <f t="shared" ca="1" si="102"/>
        <v>0.05</v>
      </c>
      <c r="AY148" s="286">
        <f t="shared" ca="1" si="103"/>
        <v>0</v>
      </c>
      <c r="AZ148" s="286">
        <f t="shared" ca="1" si="104"/>
        <v>0</v>
      </c>
      <c r="BA148" s="286">
        <f t="shared" ca="1" si="105"/>
        <v>0</v>
      </c>
      <c r="BB148" s="286">
        <f t="shared" ca="1" si="106"/>
        <v>0</v>
      </c>
      <c r="BC148" s="286">
        <f t="shared" ca="1" si="107"/>
        <v>0</v>
      </c>
      <c r="BD148" s="180">
        <f t="shared" ca="1" si="108"/>
        <v>0.05</v>
      </c>
      <c r="BE148" s="180">
        <f t="shared" ca="1" si="109"/>
        <v>0.05</v>
      </c>
      <c r="BF148" s="286">
        <f t="shared" ca="1" si="110"/>
        <v>0</v>
      </c>
      <c r="BG148" s="286">
        <f t="shared" ca="1" si="111"/>
        <v>0</v>
      </c>
    </row>
    <row r="149" spans="1:59">
      <c r="A149" s="1">
        <f t="shared" ca="1" si="91"/>
        <v>13</v>
      </c>
      <c r="B149" s="1">
        <f t="shared" ca="1" si="114"/>
        <v>118</v>
      </c>
      <c r="C149" s="1">
        <f t="shared" ca="1" si="115"/>
        <v>7</v>
      </c>
      <c r="D149" s="1">
        <f ca="1">MIN($D$3,VLOOKUP(C149,OP!$S$30:$T$41,2))</f>
        <v>2</v>
      </c>
      <c r="E149" s="1">
        <f t="shared" ca="1" si="116"/>
        <v>67</v>
      </c>
      <c r="F149" s="11" t="str">
        <f t="shared" ca="1" si="92"/>
        <v/>
      </c>
      <c r="G149" s="8">
        <f t="shared" ref="G149:G159" ca="1" si="120">G148</f>
        <v>365</v>
      </c>
      <c r="H149" s="8">
        <f t="shared" ca="1" si="93"/>
        <v>31</v>
      </c>
      <c r="I149" s="8" t="str">
        <f t="shared" ca="1" si="90"/>
        <v>137</v>
      </c>
      <c r="J149" s="13">
        <f>IF(繳費報酬率資料!$A$1=1,VALUE(OP!$C$121),VLOOKUP(A149,MP,2,0))</f>
        <v>0.05</v>
      </c>
      <c r="K149" s="14">
        <f ca="1">IF(SUM($K$4:K148,IF(繳費報酬率資料!$A$1=1,$AU149+$AV149,$BB149+$BC149))&gt;OP!$L$58,0,IF(繳費報酬率資料!$A$1=1,$AU149+$AV149,$BB149+$BC149))</f>
        <v>0</v>
      </c>
      <c r="L149" s="2"/>
      <c r="M149" s="2"/>
      <c r="N149" s="2"/>
      <c r="O149" s="261">
        <f t="shared" ca="1" si="94"/>
        <v>0</v>
      </c>
      <c r="P149" s="261">
        <f t="shared" ca="1" si="112"/>
        <v>0</v>
      </c>
      <c r="Q149" s="3">
        <f ca="1">IF(A149&gt;MAX(OP!$R$17:$R$26),0,VLOOKUP(A149,fees,3,FALSE))</f>
        <v>0</v>
      </c>
      <c r="R149" s="200" t="str">
        <f t="shared" ca="1" si="95"/>
        <v/>
      </c>
      <c r="S149" s="9" t="str">
        <f ca="1">IF(COUNTIF(($T$4:T148),"F")&gt;=1,"",IF(OR(C150&lt;&gt;$C$3,E149=""),"",A149))</f>
        <v/>
      </c>
      <c r="T149" s="20" t="str">
        <f t="shared" ca="1" si="117"/>
        <v/>
      </c>
      <c r="U149" s="2">
        <f ca="1">IF(IF(OP!$C$83=1,$Z148,IF(OP!$C$83=2,$AA148,IF(OP!$C$83=3,$AB148,)))+$K149-$O149-$P149-$AS149&lt;OP!$C$142,0,$AS149)</f>
        <v>0</v>
      </c>
      <c r="V149" s="9"/>
      <c r="W149" s="19">
        <f ca="1">MAX(SUM($K$4:K149),0)</f>
        <v>2000000</v>
      </c>
      <c r="X149" s="19"/>
      <c r="Y149" s="19">
        <f t="shared" ca="1" si="113"/>
        <v>1920000</v>
      </c>
      <c r="Z149" s="2">
        <f ca="1">IF(MIN($Z$4:Z148)=0,0,MAX(0,($Z148+$K149-$O149-$P149)*IF(AND(F149="F",$D$3&lt;&gt;$G$3),((1+(-J149))^(H149/MIN(G149,365))),((1+(-J149))^(1/12)))-$U149))</f>
        <v>1028659.7805052763</v>
      </c>
      <c r="AA149" s="2">
        <f ca="1">IF(MIN($AA$4:AA148)=0,0,MAX(0,($AA148+$K149-$O149-$P149)*IF(AND(F149="F",$D$3&lt;&gt;$G$3),((1+$AA$1)^(H149/MIN(G149,365))),((1+$AA$1)^(1/12)))-$U149))</f>
        <v>1920000</v>
      </c>
      <c r="AB149" s="2">
        <f ca="1">IF(MIN($AB$4:AB148)=0,0,MAX(0,($AB148+$K149-$O149-$P149)*IF(AND(F149="F",$D$3&lt;&gt;$G$3),((1+(J149))^(H149/MIN(G149,365))),((1+(J149))^(1/12)))-$U149))</f>
        <v>3476196.8955944544</v>
      </c>
      <c r="AC149" s="5"/>
      <c r="AD149" s="5"/>
      <c r="AE149" s="5"/>
      <c r="AF149" s="282">
        <f t="shared" ca="1" si="96"/>
        <v>1028660</v>
      </c>
      <c r="AG149" s="282">
        <f t="shared" ca="1" si="97"/>
        <v>1920000</v>
      </c>
      <c r="AH149" s="282">
        <f t="shared" ca="1" si="98"/>
        <v>3476197</v>
      </c>
      <c r="AI149" s="23" t="str">
        <f t="shared" ca="1" si="119"/>
        <v>13-3</v>
      </c>
      <c r="AJ149" s="282">
        <f ca="1">IF(E149&gt;111,,IF(AND(OP!$C$99=1,T149="F"),Z149,IF(AND(OP!$C$99=2,COUNTIF($T$4:T149,"F")=1),OP!$C$97+IF(F149="F",OP!$C$98,0),"")))</f>
        <v>54527</v>
      </c>
      <c r="AK149" s="282">
        <f ca="1">IF(E149&gt;111,,IF(AND(OP!$D$99=1,T149="F"),AA149,IF(AND(OP!$D$99=2,COUNTIF($T$4:T149,"F")=1),OP!$D$97+IF(F149="F",OP!$D$98,0),"")))</f>
        <v>74177</v>
      </c>
      <c r="AL149" s="282">
        <f ca="1">IF(E149&gt;111,,IF(AND(OP!$E$99=1,T149="F"),AB149,IF(AND(OP!$E$99=2,COUNTIF($T$4:T149,"F")=1),OP!$E$97+IF(F149="F",OP!$E$98,0),"")))</f>
        <v>99404</v>
      </c>
      <c r="AM149" s="1">
        <f t="shared" ca="1" si="88"/>
        <v>3</v>
      </c>
      <c r="AN149" s="1" t="str">
        <f ca="1">IF(OR(VLOOKUP($A149,MP,5,0)="月繳"),1,"")</f>
        <v/>
      </c>
      <c r="AO149" s="1">
        <f t="shared" ca="1" si="99"/>
        <v>0</v>
      </c>
      <c r="AP149" s="1" t="str">
        <f ca="1">IF(AND(A149&lt;=OP!$C$120,COUNTIF(PAY,C149)=1),1,"")</f>
        <v/>
      </c>
      <c r="AR149" s="301">
        <f ca="1">IF(繳費報酬率資料!$A$1=1,$AY149+$AZ149,$BF149+$BG149)</f>
        <v>0</v>
      </c>
      <c r="AS149" s="1">
        <f ca="1">IF(C149&lt;&gt;IF($C$3=1,12,$C$3-1),0,IF(繳費報酬率資料!$A$1&lt;&gt;1,VLOOKUP($A149,MP,8,0),IF(AND($A149&gt;=OP!$C$79,$A149&lt;=OP!$C$80),OP!$C$78,)))</f>
        <v>0</v>
      </c>
      <c r="AT149" s="298">
        <f t="shared" ca="1" si="100"/>
        <v>0</v>
      </c>
      <c r="AU149" s="298">
        <f ca="1">IF(AND(A149&lt;=OP!$C$120,COUNTIF(PAY,C149)=1),OP!$C$123,0)</f>
        <v>0</v>
      </c>
      <c r="AV149" s="298">
        <f ca="1">IF(AND(A149&gt;=OP!$C$132,A149&lt;=OP!$C$133,$C$3=C149),OP!$C$135,0)</f>
        <v>0</v>
      </c>
      <c r="AW149" s="180">
        <f t="shared" ca="1" si="101"/>
        <v>0.05</v>
      </c>
      <c r="AX149" s="180">
        <f t="shared" ca="1" si="102"/>
        <v>0.05</v>
      </c>
      <c r="AY149" s="286">
        <f t="shared" ca="1" si="103"/>
        <v>0</v>
      </c>
      <c r="AZ149" s="286">
        <f t="shared" ca="1" si="104"/>
        <v>0</v>
      </c>
      <c r="BA149" s="286">
        <f t="shared" ca="1" si="105"/>
        <v>0</v>
      </c>
      <c r="BB149" s="286">
        <f t="shared" ca="1" si="106"/>
        <v>0</v>
      </c>
      <c r="BC149" s="286">
        <f t="shared" ca="1" si="107"/>
        <v>0</v>
      </c>
      <c r="BD149" s="180">
        <f t="shared" ca="1" si="108"/>
        <v>0.05</v>
      </c>
      <c r="BE149" s="180">
        <f t="shared" ca="1" si="109"/>
        <v>0.05</v>
      </c>
      <c r="BF149" s="286">
        <f t="shared" ca="1" si="110"/>
        <v>0</v>
      </c>
      <c r="BG149" s="286">
        <f t="shared" ca="1" si="111"/>
        <v>0</v>
      </c>
    </row>
    <row r="150" spans="1:59">
      <c r="A150" s="1">
        <f t="shared" ca="1" si="91"/>
        <v>13</v>
      </c>
      <c r="B150" s="1">
        <f t="shared" ca="1" si="114"/>
        <v>118</v>
      </c>
      <c r="C150" s="1">
        <f t="shared" ca="1" si="115"/>
        <v>8</v>
      </c>
      <c r="D150" s="1">
        <f ca="1">MIN($D$3,VLOOKUP(C150,OP!$S$30:$T$41,2))</f>
        <v>2</v>
      </c>
      <c r="E150" s="1">
        <f t="shared" ca="1" si="116"/>
        <v>67</v>
      </c>
      <c r="F150" s="11" t="str">
        <f t="shared" ca="1" si="92"/>
        <v/>
      </c>
      <c r="G150" s="8">
        <f t="shared" ca="1" si="120"/>
        <v>365</v>
      </c>
      <c r="H150" s="8">
        <f t="shared" ca="1" si="93"/>
        <v>31</v>
      </c>
      <c r="I150" s="8" t="str">
        <f t="shared" ca="1" si="90"/>
        <v>138</v>
      </c>
      <c r="J150" s="13">
        <f>IF(繳費報酬率資料!$A$1=1,VALUE(OP!$C$121),VLOOKUP(A150,MP,2,0))</f>
        <v>0.05</v>
      </c>
      <c r="K150" s="14">
        <f ca="1">IF(SUM($K$4:K149,IF(繳費報酬率資料!$A$1=1,$AU150+$AV150,$BB150+$BC150))&gt;OP!$L$58,0,IF(繳費報酬率資料!$A$1=1,$AU150+$AV150,$BB150+$BC150))</f>
        <v>0</v>
      </c>
      <c r="L150" s="2"/>
      <c r="M150" s="2"/>
      <c r="N150" s="2"/>
      <c r="O150" s="261">
        <f t="shared" ca="1" si="94"/>
        <v>0</v>
      </c>
      <c r="P150" s="261">
        <f t="shared" ca="1" si="112"/>
        <v>0</v>
      </c>
      <c r="Q150" s="3">
        <f ca="1">IF(A150&gt;MAX(OP!$R$17:$R$26),0,VLOOKUP(A150,fees,3,FALSE))</f>
        <v>0</v>
      </c>
      <c r="R150" s="200" t="str">
        <f t="shared" ca="1" si="95"/>
        <v/>
      </c>
      <c r="S150" s="9" t="str">
        <f ca="1">IF(COUNTIF(($T$4:T149),"F")&gt;=1,"",IF(OR(C151&lt;&gt;$C$3,E150=""),"",A150))</f>
        <v/>
      </c>
      <c r="T150" s="20" t="str">
        <f t="shared" ca="1" si="117"/>
        <v/>
      </c>
      <c r="U150" s="2">
        <f ca="1">IF(IF(OP!$C$83=1,$Z149,IF(OP!$C$83=2,$AA149,IF(OP!$C$83=3,$AB149,)))+$K150-$O150-$P150-$AS150&lt;OP!$C$142,0,$AS150)</f>
        <v>0</v>
      </c>
      <c r="V150" s="9"/>
      <c r="W150" s="19">
        <f ca="1">MAX(SUM($K$4:K150),0)</f>
        <v>2000000</v>
      </c>
      <c r="X150" s="19"/>
      <c r="Y150" s="19">
        <f t="shared" ca="1" si="113"/>
        <v>1920000</v>
      </c>
      <c r="Z150" s="2">
        <f ca="1">IF(MIN($Z$4:Z149)=0,0,MAX(0,($Z149+$K150-$O150-$P150)*IF(AND(F150="F",$D$3&lt;&gt;$G$3),((1+(-J150))^(H150/MIN(G150,365))),((1+(-J150))^(1/12)))-$U150))</f>
        <v>1024272.2186277658</v>
      </c>
      <c r="AA150" s="2">
        <f ca="1">IF(MIN($AA$4:AA149)=0,0,MAX(0,($AA149+$K150-$O150-$P150)*IF(AND(F150="F",$D$3&lt;&gt;$G$3),((1+$AA$1)^(H150/MIN(G150,365))),((1+$AA$1)^(1/12)))-$U150))</f>
        <v>1920000</v>
      </c>
      <c r="AB150" s="2">
        <f ca="1">IF(MIN($AB$4:AB149)=0,0,MAX(0,($AB149+$K150-$O150-$P150)*IF(AND(F150="F",$D$3&lt;&gt;$G$3),((1+(J150))^(H150/MIN(G150,365))),((1+(J150))^(1/12)))-$U150))</f>
        <v>3490359.3520434401</v>
      </c>
      <c r="AC150" s="5"/>
      <c r="AD150" s="5"/>
      <c r="AE150" s="5"/>
      <c r="AF150" s="282">
        <f t="shared" ca="1" si="96"/>
        <v>1024272</v>
      </c>
      <c r="AG150" s="282">
        <f t="shared" ca="1" si="97"/>
        <v>1920000</v>
      </c>
      <c r="AH150" s="282">
        <f t="shared" ca="1" si="98"/>
        <v>3490359</v>
      </c>
      <c r="AI150" s="23" t="str">
        <f t="shared" ca="1" si="119"/>
        <v>13-4</v>
      </c>
      <c r="AJ150" s="282">
        <f ca="1">IF(E150&gt;111,,IF(AND(OP!$C$99=1,T150="F"),Z150,IF(AND(OP!$C$99=2,COUNTIF($T$4:T150,"F")=1),OP!$C$97+IF(F150="F",OP!$C$98,0),"")))</f>
        <v>54527</v>
      </c>
      <c r="AK150" s="282">
        <f ca="1">IF(E150&gt;111,,IF(AND(OP!$D$99=1,T150="F"),AA150,IF(AND(OP!$D$99=2,COUNTIF($T$4:T150,"F")=1),OP!$D$97+IF(F150="F",OP!$D$98,0),"")))</f>
        <v>74177</v>
      </c>
      <c r="AL150" s="282">
        <f ca="1">IF(E150&gt;111,,IF(AND(OP!$E$99=1,T150="F"),AB150,IF(AND(OP!$E$99=2,COUNTIF($T$4:T150,"F")=1),OP!$E$97+IF(F150="F",OP!$E$98,0),"")))</f>
        <v>99404</v>
      </c>
      <c r="AM150" s="1">
        <f t="shared" ca="1" si="88"/>
        <v>4</v>
      </c>
      <c r="AN150" s="1" t="str">
        <f ca="1">IF(OR(VLOOKUP($A150,MP,5,0)="月繳"),1,"")</f>
        <v/>
      </c>
      <c r="AO150" s="1">
        <f t="shared" ca="1" si="99"/>
        <v>0</v>
      </c>
      <c r="AP150" s="1" t="str">
        <f ca="1">IF(AND(A150&lt;=OP!$C$120,COUNTIF(PAY,C150)=1),1,"")</f>
        <v/>
      </c>
      <c r="AR150" s="301">
        <f ca="1">IF(繳費報酬率資料!$A$1=1,$AY150+$AZ150,$BF150+$BG150)</f>
        <v>0</v>
      </c>
      <c r="AS150" s="1">
        <f ca="1">IF(C150&lt;&gt;IF($C$3=1,12,$C$3-1),0,IF(繳費報酬率資料!$A$1&lt;&gt;1,VLOOKUP($A150,MP,8,0),IF(AND($A150&gt;=OP!$C$79,$A150&lt;=OP!$C$80),OP!$C$78,)))</f>
        <v>0</v>
      </c>
      <c r="AT150" s="298">
        <f t="shared" ca="1" si="100"/>
        <v>0</v>
      </c>
      <c r="AU150" s="298">
        <f ca="1">IF(AND(A150&lt;=OP!$C$120,COUNTIF(PAY,C150)=1),OP!$C$123,0)</f>
        <v>0</v>
      </c>
      <c r="AV150" s="298">
        <f ca="1">IF(AND(A150&gt;=OP!$C$132,A150&lt;=OP!$C$133,$C$3=C150),OP!$C$135,0)</f>
        <v>0</v>
      </c>
      <c r="AW150" s="180">
        <f t="shared" ca="1" si="101"/>
        <v>0.05</v>
      </c>
      <c r="AX150" s="180">
        <f t="shared" ca="1" si="102"/>
        <v>0.05</v>
      </c>
      <c r="AY150" s="286">
        <f t="shared" ca="1" si="103"/>
        <v>0</v>
      </c>
      <c r="AZ150" s="286">
        <f t="shared" ca="1" si="104"/>
        <v>0</v>
      </c>
      <c r="BA150" s="286">
        <f t="shared" ca="1" si="105"/>
        <v>0</v>
      </c>
      <c r="BB150" s="286">
        <f t="shared" ca="1" si="106"/>
        <v>0</v>
      </c>
      <c r="BC150" s="286">
        <f t="shared" ca="1" si="107"/>
        <v>0</v>
      </c>
      <c r="BD150" s="180">
        <f t="shared" ca="1" si="108"/>
        <v>0.05</v>
      </c>
      <c r="BE150" s="180">
        <f t="shared" ca="1" si="109"/>
        <v>0.05</v>
      </c>
      <c r="BF150" s="286">
        <f t="shared" ca="1" si="110"/>
        <v>0</v>
      </c>
      <c r="BG150" s="286">
        <f t="shared" ca="1" si="111"/>
        <v>0</v>
      </c>
    </row>
    <row r="151" spans="1:59">
      <c r="A151" s="1">
        <f t="shared" ca="1" si="91"/>
        <v>13</v>
      </c>
      <c r="B151" s="1">
        <f t="shared" ca="1" si="114"/>
        <v>118</v>
      </c>
      <c r="C151" s="1">
        <f t="shared" ca="1" si="115"/>
        <v>9</v>
      </c>
      <c r="D151" s="1">
        <f ca="1">MIN($D$3,VLOOKUP(C151,OP!$S$30:$T$41,2))</f>
        <v>2</v>
      </c>
      <c r="E151" s="1">
        <f t="shared" ca="1" si="116"/>
        <v>67</v>
      </c>
      <c r="F151" s="11" t="str">
        <f t="shared" ca="1" si="92"/>
        <v/>
      </c>
      <c r="G151" s="8">
        <f t="shared" ca="1" si="120"/>
        <v>365</v>
      </c>
      <c r="H151" s="8">
        <f t="shared" ca="1" si="93"/>
        <v>30</v>
      </c>
      <c r="I151" s="8" t="str">
        <f t="shared" ca="1" si="90"/>
        <v>139</v>
      </c>
      <c r="J151" s="13">
        <f>IF(繳費報酬率資料!$A$1=1,VALUE(OP!$C$121),VLOOKUP(A151,MP,2,0))</f>
        <v>0.05</v>
      </c>
      <c r="K151" s="14">
        <f ca="1">IF(SUM($K$4:K150,IF(繳費報酬率資料!$A$1=1,$AU151+$AV151,$BB151+$BC151))&gt;OP!$L$58,0,IF(繳費報酬率資料!$A$1=1,$AU151+$AV151,$BB151+$BC151))</f>
        <v>0</v>
      </c>
      <c r="L151" s="2"/>
      <c r="M151" s="2"/>
      <c r="N151" s="2"/>
      <c r="O151" s="261">
        <f t="shared" ca="1" si="94"/>
        <v>0</v>
      </c>
      <c r="P151" s="261">
        <f t="shared" ca="1" si="112"/>
        <v>0</v>
      </c>
      <c r="Q151" s="3">
        <f ca="1">IF(A151&gt;MAX(OP!$R$17:$R$26),0,VLOOKUP(A151,fees,3,FALSE))</f>
        <v>0</v>
      </c>
      <c r="R151" s="200" t="str">
        <f t="shared" ca="1" si="95"/>
        <v/>
      </c>
      <c r="S151" s="9" t="str">
        <f ca="1">IF(COUNTIF(($T$4:T150),"F")&gt;=1,"",IF(OR(C152&lt;&gt;$C$3,E151=""),"",A151))</f>
        <v/>
      </c>
      <c r="T151" s="20" t="str">
        <f t="shared" ca="1" si="117"/>
        <v/>
      </c>
      <c r="U151" s="2">
        <f ca="1">IF(IF(OP!$C$83=1,$Z150,IF(OP!$C$83=2,$AA150,IF(OP!$C$83=3,$AB150,)))+$K151-$O151-$P151-$AS151&lt;OP!$C$142,0,$AS151)</f>
        <v>0</v>
      </c>
      <c r="V151" s="9"/>
      <c r="W151" s="19">
        <f ca="1">MAX(SUM($K$4:K151),0)</f>
        <v>2000000</v>
      </c>
      <c r="X151" s="19"/>
      <c r="Y151" s="19">
        <f t="shared" ca="1" si="113"/>
        <v>1920000</v>
      </c>
      <c r="Z151" s="2">
        <f ca="1">IF(MIN($Z$4:Z150)=0,0,MAX(0,($Z150+$K151-$O151-$P151)*IF(AND(F151="F",$D$3&lt;&gt;$G$3),((1+(-J151))^(H151/MIN(G151,365))),((1+(-J151))^(1/12)))-$U151))</f>
        <v>1019903.3711003191</v>
      </c>
      <c r="AA151" s="2">
        <f ca="1">IF(MIN($AA$4:AA150)=0,0,MAX(0,($AA150+$K151-$O151-$P151)*IF(AND(F151="F",$D$3&lt;&gt;$G$3),((1+$AA$1)^(H151/MIN(G151,365))),((1+$AA$1)^(1/12)))-$U151))</f>
        <v>1920000</v>
      </c>
      <c r="AB151" s="2">
        <f ca="1">IF(MIN($AB$4:AB150)=0,0,MAX(0,($AB150+$K151-$O151-$P151)*IF(AND(F151="F",$D$3&lt;&gt;$G$3),((1+(J151))^(H151/MIN(G151,365))),((1+(J151))^(1/12)))-$U151))</f>
        <v>3504579.5080930796</v>
      </c>
      <c r="AC151" s="5"/>
      <c r="AD151" s="5"/>
      <c r="AE151" s="5"/>
      <c r="AF151" s="282">
        <f t="shared" ca="1" si="96"/>
        <v>1019903</v>
      </c>
      <c r="AG151" s="282">
        <f t="shared" ca="1" si="97"/>
        <v>1920000</v>
      </c>
      <c r="AH151" s="282">
        <f t="shared" ca="1" si="98"/>
        <v>3504580</v>
      </c>
      <c r="AI151" s="23" t="str">
        <f t="shared" ca="1" si="119"/>
        <v>13-5</v>
      </c>
      <c r="AJ151" s="282">
        <f ca="1">IF(E151&gt;111,,IF(AND(OP!$C$99=1,T151="F"),Z151,IF(AND(OP!$C$99=2,COUNTIF($T$4:T151,"F")=1),OP!$C$97+IF(F151="F",OP!$C$98,0),"")))</f>
        <v>54527</v>
      </c>
      <c r="AK151" s="282">
        <f ca="1">IF(E151&gt;111,,IF(AND(OP!$D$99=1,T151="F"),AA151,IF(AND(OP!$D$99=2,COUNTIF($T$4:T151,"F")=1),OP!$D$97+IF(F151="F",OP!$D$98,0),"")))</f>
        <v>74177</v>
      </c>
      <c r="AL151" s="282">
        <f ca="1">IF(E151&gt;111,,IF(AND(OP!$E$99=1,T151="F"),AB151,IF(AND(OP!$E$99=2,COUNTIF($T$4:T151,"F")=1),OP!$E$97+IF(F151="F",OP!$E$98,0),"")))</f>
        <v>99404</v>
      </c>
      <c r="AM151" s="1">
        <f t="shared" ca="1" si="88"/>
        <v>5</v>
      </c>
      <c r="AN151" s="1" t="str">
        <f ca="1">IF(OR(VLOOKUP($A151,MP,5,0)="季繳",VLOOKUP($A151,MP,5,0)="月繳"),1,"")</f>
        <v/>
      </c>
      <c r="AO151" s="1">
        <f t="shared" ca="1" si="99"/>
        <v>0</v>
      </c>
      <c r="AP151" s="1" t="str">
        <f ca="1">IF(AND(A151&lt;=OP!$C$120,COUNTIF(PAY,C151)=1),1,"")</f>
        <v/>
      </c>
      <c r="AR151" s="301">
        <f ca="1">IF(繳費報酬率資料!$A$1=1,$AY151+$AZ151,$BF151+$BG151)</f>
        <v>0</v>
      </c>
      <c r="AS151" s="1">
        <f ca="1">IF(C151&lt;&gt;IF($C$3=1,12,$C$3-1),0,IF(繳費報酬率資料!$A$1&lt;&gt;1,VLOOKUP($A151,MP,8,0),IF(AND($A151&gt;=OP!$C$79,$A151&lt;=OP!$C$80),OP!$C$78,)))</f>
        <v>0</v>
      </c>
      <c r="AT151" s="298">
        <f t="shared" ca="1" si="100"/>
        <v>0</v>
      </c>
      <c r="AU151" s="298">
        <f ca="1">IF(AND(A151&lt;=OP!$C$120,COUNTIF(PAY,C151)=1),OP!$C$123,0)</f>
        <v>0</v>
      </c>
      <c r="AV151" s="298">
        <f ca="1">IF(AND(A151&gt;=OP!$C$132,A151&lt;=OP!$C$133,$C$3=C151),OP!$C$135,0)</f>
        <v>0</v>
      </c>
      <c r="AW151" s="180">
        <f t="shared" ca="1" si="101"/>
        <v>0.05</v>
      </c>
      <c r="AX151" s="180">
        <f t="shared" ca="1" si="102"/>
        <v>0.05</v>
      </c>
      <c r="AY151" s="286">
        <f t="shared" ca="1" si="103"/>
        <v>0</v>
      </c>
      <c r="AZ151" s="286">
        <f t="shared" ca="1" si="104"/>
        <v>0</v>
      </c>
      <c r="BA151" s="286">
        <f t="shared" ca="1" si="105"/>
        <v>0</v>
      </c>
      <c r="BB151" s="286">
        <f t="shared" ca="1" si="106"/>
        <v>0</v>
      </c>
      <c r="BC151" s="286">
        <f t="shared" ca="1" si="107"/>
        <v>0</v>
      </c>
      <c r="BD151" s="180">
        <f t="shared" ca="1" si="108"/>
        <v>0.05</v>
      </c>
      <c r="BE151" s="180">
        <f t="shared" ca="1" si="109"/>
        <v>0.05</v>
      </c>
      <c r="BF151" s="286">
        <f t="shared" ca="1" si="110"/>
        <v>0</v>
      </c>
      <c r="BG151" s="286">
        <f t="shared" ca="1" si="111"/>
        <v>0</v>
      </c>
    </row>
    <row r="152" spans="1:59">
      <c r="A152" s="1">
        <f t="shared" ca="1" si="91"/>
        <v>13</v>
      </c>
      <c r="B152" s="1">
        <f t="shared" ca="1" si="114"/>
        <v>118</v>
      </c>
      <c r="C152" s="1">
        <f t="shared" ca="1" si="115"/>
        <v>10</v>
      </c>
      <c r="D152" s="1">
        <f ca="1">MIN($D$3,VLOOKUP(C152,OP!$S$30:$T$41,2))</f>
        <v>2</v>
      </c>
      <c r="E152" s="1">
        <f t="shared" ca="1" si="116"/>
        <v>67</v>
      </c>
      <c r="F152" s="11" t="str">
        <f t="shared" ca="1" si="92"/>
        <v/>
      </c>
      <c r="G152" s="8">
        <f t="shared" ca="1" si="120"/>
        <v>365</v>
      </c>
      <c r="H152" s="8">
        <f t="shared" ca="1" si="93"/>
        <v>31</v>
      </c>
      <c r="I152" s="8" t="str">
        <f t="shared" ca="1" si="90"/>
        <v>1310</v>
      </c>
      <c r="J152" s="13">
        <f>IF(繳費報酬率資料!$A$1=1,VALUE(OP!$C$121),VLOOKUP(A152,MP,2,0))</f>
        <v>0.05</v>
      </c>
      <c r="K152" s="14">
        <f ca="1">IF(SUM($K$4:K151,IF(繳費報酬率資料!$A$1=1,$AU152+$AV152,$BB152+$BC152))&gt;OP!$L$58,0,IF(繳費報酬率資料!$A$1=1,$AU152+$AV152,$BB152+$BC152))</f>
        <v>0</v>
      </c>
      <c r="L152" s="2"/>
      <c r="M152" s="2"/>
      <c r="N152" s="2"/>
      <c r="O152" s="261">
        <f t="shared" ca="1" si="94"/>
        <v>0</v>
      </c>
      <c r="P152" s="261">
        <f t="shared" ca="1" si="112"/>
        <v>0</v>
      </c>
      <c r="Q152" s="3">
        <f ca="1">IF(A152&gt;MAX(OP!$R$17:$R$26),0,VLOOKUP(A152,fees,3,FALSE))</f>
        <v>0</v>
      </c>
      <c r="R152" s="200" t="str">
        <f t="shared" ca="1" si="95"/>
        <v/>
      </c>
      <c r="S152" s="9" t="str">
        <f ca="1">IF(COUNTIF(($T$4:T151),"F")&gt;=1,"",IF(OR(C153&lt;&gt;$C$3,E152=""),"",A152))</f>
        <v/>
      </c>
      <c r="T152" s="20" t="str">
        <f t="shared" ca="1" si="117"/>
        <v/>
      </c>
      <c r="U152" s="2">
        <f ca="1">IF(IF(OP!$C$83=1,$Z151,IF(OP!$C$83=2,$AA151,IF(OP!$C$83=3,$AB151,)))+$K152-$O152-$P152-$AS152&lt;OP!$C$142,0,$AS152)</f>
        <v>0</v>
      </c>
      <c r="V152" s="9"/>
      <c r="W152" s="19">
        <f ca="1">MAX(SUM($K$4:K152),0)</f>
        <v>2000000</v>
      </c>
      <c r="X152" s="19"/>
      <c r="Y152" s="19">
        <f t="shared" ca="1" si="113"/>
        <v>1920000</v>
      </c>
      <c r="Z152" s="2">
        <f ca="1">IF(MIN($Z$4:Z151)=0,0,MAX(0,($Z151+$K152-$O152-$P152)*IF(AND(F152="F",$D$3&lt;&gt;$G$3),((1+(-J152))^(H152/MIN(G152,365))),((1+(-J152))^(1/12)))-$U152))</f>
        <v>1015553.1581002675</v>
      </c>
      <c r="AA152" s="2">
        <f ca="1">IF(MIN($AA$4:AA151)=0,0,MAX(0,($AA151+$K152-$O152-$P152)*IF(AND(F152="F",$D$3&lt;&gt;$G$3),((1+$AA$1)^(H152/MIN(G152,365))),((1+$AA$1)^(1/12)))-$U152))</f>
        <v>1920000</v>
      </c>
      <c r="AB152" s="2">
        <f ca="1">IF(MIN($AB$4:AB151)=0,0,MAX(0,($AB151+$K152-$O152-$P152)*IF(AND(F152="F",$D$3&lt;&gt;$G$3),((1+(J152))^(H152/MIN(G152,365))),((1+(J152))^(1/12)))-$U152))</f>
        <v>3518857.5988186882</v>
      </c>
      <c r="AC152" s="5"/>
      <c r="AD152" s="5"/>
      <c r="AE152" s="5"/>
      <c r="AF152" s="282">
        <f t="shared" ca="1" si="96"/>
        <v>1015553</v>
      </c>
      <c r="AG152" s="282">
        <f t="shared" ca="1" si="97"/>
        <v>1920000</v>
      </c>
      <c r="AH152" s="282">
        <f t="shared" ca="1" si="98"/>
        <v>3518858</v>
      </c>
      <c r="AI152" s="23" t="str">
        <f t="shared" ca="1" si="119"/>
        <v>13-6</v>
      </c>
      <c r="AJ152" s="282">
        <f ca="1">IF(E152&gt;111,,IF(AND(OP!$C$99=1,T152="F"),Z152,IF(AND(OP!$C$99=2,COUNTIF($T$4:T152,"F")=1),OP!$C$97+IF(F152="F",OP!$C$98,0),"")))</f>
        <v>54527</v>
      </c>
      <c r="AK152" s="282">
        <f ca="1">IF(E152&gt;111,,IF(AND(OP!$D$99=1,T152="F"),AA152,IF(AND(OP!$D$99=2,COUNTIF($T$4:T152,"F")=1),OP!$D$97+IF(F152="F",OP!$D$98,0),"")))</f>
        <v>74177</v>
      </c>
      <c r="AL152" s="282">
        <f ca="1">IF(E152&gt;111,,IF(AND(OP!$E$99=1,T152="F"),AB152,IF(AND(OP!$E$99=2,COUNTIF($T$4:T152,"F")=1),OP!$E$97+IF(F152="F",OP!$E$98,0),"")))</f>
        <v>99404</v>
      </c>
      <c r="AM152" s="1">
        <f t="shared" ca="1" si="88"/>
        <v>6</v>
      </c>
      <c r="AN152" s="1" t="str">
        <f ca="1">IF(OR(VLOOKUP($A152,MP,5,0)="月繳"),1,"")</f>
        <v/>
      </c>
      <c r="AO152" s="1">
        <f t="shared" ca="1" si="99"/>
        <v>0</v>
      </c>
      <c r="AP152" s="1" t="str">
        <f ca="1">IF(AND(A152&lt;=OP!$C$120,COUNTIF(PAY,C152)=1),1,"")</f>
        <v/>
      </c>
      <c r="AR152" s="301">
        <f ca="1">IF(繳費報酬率資料!$A$1=1,$AY152+$AZ152,$BF152+$BG152)</f>
        <v>0</v>
      </c>
      <c r="AS152" s="1">
        <f ca="1">IF(C152&lt;&gt;IF($C$3=1,12,$C$3-1),0,IF(繳費報酬率資料!$A$1&lt;&gt;1,VLOOKUP($A152,MP,8,0),IF(AND($A152&gt;=OP!$C$79,$A152&lt;=OP!$C$80),OP!$C$78,)))</f>
        <v>0</v>
      </c>
      <c r="AT152" s="298">
        <f t="shared" ca="1" si="100"/>
        <v>0</v>
      </c>
      <c r="AU152" s="298">
        <f ca="1">IF(AND(A152&lt;=OP!$C$120,COUNTIF(PAY,C152)=1),OP!$C$123,0)</f>
        <v>0</v>
      </c>
      <c r="AV152" s="298">
        <f ca="1">IF(AND(A152&gt;=OP!$C$132,A152&lt;=OP!$C$133,$C$3=C152),OP!$C$135,0)</f>
        <v>0</v>
      </c>
      <c r="AW152" s="180">
        <f t="shared" ca="1" si="101"/>
        <v>0.05</v>
      </c>
      <c r="AX152" s="180">
        <f t="shared" ca="1" si="102"/>
        <v>0.05</v>
      </c>
      <c r="AY152" s="286">
        <f t="shared" ca="1" si="103"/>
        <v>0</v>
      </c>
      <c r="AZ152" s="286">
        <f t="shared" ca="1" si="104"/>
        <v>0</v>
      </c>
      <c r="BA152" s="286">
        <f t="shared" ca="1" si="105"/>
        <v>0</v>
      </c>
      <c r="BB152" s="286">
        <f t="shared" ca="1" si="106"/>
        <v>0</v>
      </c>
      <c r="BC152" s="286">
        <f t="shared" ca="1" si="107"/>
        <v>0</v>
      </c>
      <c r="BD152" s="180">
        <f t="shared" ca="1" si="108"/>
        <v>0.05</v>
      </c>
      <c r="BE152" s="180">
        <f t="shared" ca="1" si="109"/>
        <v>0.05</v>
      </c>
      <c r="BF152" s="286">
        <f t="shared" ca="1" si="110"/>
        <v>0</v>
      </c>
      <c r="BG152" s="286">
        <f t="shared" ca="1" si="111"/>
        <v>0</v>
      </c>
    </row>
    <row r="153" spans="1:59">
      <c r="A153" s="1">
        <f t="shared" ca="1" si="91"/>
        <v>13</v>
      </c>
      <c r="B153" s="1">
        <f t="shared" ca="1" si="114"/>
        <v>118</v>
      </c>
      <c r="C153" s="1">
        <f t="shared" ca="1" si="115"/>
        <v>11</v>
      </c>
      <c r="D153" s="1">
        <f ca="1">MIN($D$3,VLOOKUP(C153,OP!$S$30:$T$41,2))</f>
        <v>2</v>
      </c>
      <c r="E153" s="1">
        <f t="shared" ca="1" si="116"/>
        <v>67</v>
      </c>
      <c r="F153" s="11" t="str">
        <f t="shared" ca="1" si="92"/>
        <v/>
      </c>
      <c r="G153" s="8">
        <f t="shared" ca="1" si="120"/>
        <v>365</v>
      </c>
      <c r="H153" s="8">
        <f t="shared" ca="1" si="93"/>
        <v>30</v>
      </c>
      <c r="I153" s="8" t="str">
        <f t="shared" ca="1" si="90"/>
        <v>1311</v>
      </c>
      <c r="J153" s="13">
        <f>IF(繳費報酬率資料!$A$1=1,VALUE(OP!$C$121),VLOOKUP(A153,MP,2,0))</f>
        <v>0.05</v>
      </c>
      <c r="K153" s="14">
        <f ca="1">IF(SUM($K$4:K152,IF(繳費報酬率資料!$A$1=1,$AU153+$AV153,$BB153+$BC153))&gt;OP!$L$58,0,IF(繳費報酬率資料!$A$1=1,$AU153+$AV153,$BB153+$BC153))</f>
        <v>0</v>
      </c>
      <c r="L153" s="2"/>
      <c r="M153" s="2"/>
      <c r="N153" s="2"/>
      <c r="O153" s="261">
        <f t="shared" ca="1" si="94"/>
        <v>0</v>
      </c>
      <c r="P153" s="261">
        <f t="shared" ca="1" si="112"/>
        <v>0</v>
      </c>
      <c r="Q153" s="3">
        <f ca="1">IF(A153&gt;MAX(OP!$R$17:$R$26),0,VLOOKUP(A153,fees,3,FALSE))</f>
        <v>0</v>
      </c>
      <c r="R153" s="200" t="str">
        <f t="shared" ca="1" si="95"/>
        <v/>
      </c>
      <c r="S153" s="9" t="str">
        <f ca="1">IF(COUNTIF(($T$4:T152),"F")&gt;=1,"",IF(OR(C154&lt;&gt;$C$3,E153=""),"",A153))</f>
        <v/>
      </c>
      <c r="T153" s="20" t="str">
        <f t="shared" ca="1" si="117"/>
        <v/>
      </c>
      <c r="U153" s="2">
        <f ca="1">IF(IF(OP!$C$83=1,$Z152,IF(OP!$C$83=2,$AA152,IF(OP!$C$83=3,$AB152,)))+$K153-$O153-$P153-$AS153&lt;OP!$C$142,0,$AS153)</f>
        <v>0</v>
      </c>
      <c r="V153" s="9"/>
      <c r="W153" s="19">
        <f ca="1">MAX(SUM($K$4:K153),0)</f>
        <v>2000000</v>
      </c>
      <c r="X153" s="19"/>
      <c r="Y153" s="19">
        <f t="shared" ca="1" si="113"/>
        <v>1920000</v>
      </c>
      <c r="Z153" s="2">
        <f ca="1">IF(MIN($Z$4:Z152)=0,0,MAX(0,($Z152+$K153-$O153-$P153)*IF(AND(F153="F",$D$3&lt;&gt;$G$3),((1+(-J153))^(H153/MIN(G153,365))),((1+(-J153))^(1/12)))-$U153))</f>
        <v>1011221.5001454115</v>
      </c>
      <c r="AA153" s="2">
        <f ca="1">IF(MIN($AA$4:AA152)=0,0,MAX(0,($AA152+$K153-$O153-$P153)*IF(AND(F153="F",$D$3&lt;&gt;$G$3),((1+$AA$1)^(H153/MIN(G153,365))),((1+$AA$1)^(1/12)))-$U153))</f>
        <v>1920000</v>
      </c>
      <c r="AB153" s="2">
        <f ca="1">IF(MIN($AB$4:AB152)=0,0,MAX(0,($AB152+$K153-$O153-$P153)*IF(AND(F153="F",$D$3&lt;&gt;$G$3),((1+(J153))^(H153/MIN(G153,365))),((1+(J153))^(1/12)))-$U153))</f>
        <v>3533193.860253307</v>
      </c>
      <c r="AC153" s="5"/>
      <c r="AD153" s="5"/>
      <c r="AE153" s="5"/>
      <c r="AF153" s="282">
        <f t="shared" ca="1" si="96"/>
        <v>1011222</v>
      </c>
      <c r="AG153" s="282">
        <f t="shared" ca="1" si="97"/>
        <v>1920000</v>
      </c>
      <c r="AH153" s="282">
        <f t="shared" ca="1" si="98"/>
        <v>3533194</v>
      </c>
      <c r="AI153" s="23" t="str">
        <f t="shared" ca="1" si="119"/>
        <v>13-7</v>
      </c>
      <c r="AJ153" s="282">
        <f ca="1">IF(E153&gt;111,,IF(AND(OP!$C$99=1,T153="F"),Z153,IF(AND(OP!$C$99=2,COUNTIF($T$4:T153,"F")=1),OP!$C$97+IF(F153="F",OP!$C$98,0),"")))</f>
        <v>54527</v>
      </c>
      <c r="AK153" s="282">
        <f ca="1">IF(E153&gt;111,,IF(AND(OP!$D$99=1,T153="F"),AA153,IF(AND(OP!$D$99=2,COUNTIF($T$4:T153,"F")=1),OP!$D$97+IF(F153="F",OP!$D$98,0),"")))</f>
        <v>74177</v>
      </c>
      <c r="AL153" s="282">
        <f ca="1">IF(E153&gt;111,,IF(AND(OP!$E$99=1,T153="F"),AB153,IF(AND(OP!$E$99=2,COUNTIF($T$4:T153,"F")=1),OP!$E$97+IF(F153="F",OP!$E$98,0),"")))</f>
        <v>99404</v>
      </c>
      <c r="AM153" s="1">
        <f t="shared" ca="1" si="88"/>
        <v>7</v>
      </c>
      <c r="AN153" s="1" t="str">
        <f ca="1">IF(OR(VLOOKUP($A153,MP,5,0)="月繳"),1,"")</f>
        <v/>
      </c>
      <c r="AO153" s="1">
        <f t="shared" ca="1" si="99"/>
        <v>0</v>
      </c>
      <c r="AP153" s="1" t="str">
        <f ca="1">IF(AND(A153&lt;=OP!$C$120,COUNTIF(PAY,C153)=1),1,"")</f>
        <v/>
      </c>
      <c r="AR153" s="301">
        <f ca="1">IF(繳費報酬率資料!$A$1=1,$AY153+$AZ153,$BF153+$BG153)</f>
        <v>0</v>
      </c>
      <c r="AS153" s="1">
        <f ca="1">IF(C153&lt;&gt;IF($C$3=1,12,$C$3-1),0,IF(繳費報酬率資料!$A$1&lt;&gt;1,VLOOKUP($A153,MP,8,0),IF(AND($A153&gt;=OP!$C$79,$A153&lt;=OP!$C$80),OP!$C$78,)))</f>
        <v>0</v>
      </c>
      <c r="AT153" s="298">
        <f t="shared" ca="1" si="100"/>
        <v>0</v>
      </c>
      <c r="AU153" s="298">
        <f ca="1">IF(AND(A153&lt;=OP!$C$120,COUNTIF(PAY,C153)=1),OP!$C$123,0)</f>
        <v>0</v>
      </c>
      <c r="AV153" s="298">
        <f ca="1">IF(AND(A153&gt;=OP!$C$132,A153&lt;=OP!$C$133,$C$3=C153),OP!$C$135,0)</f>
        <v>0</v>
      </c>
      <c r="AW153" s="180">
        <f t="shared" ca="1" si="101"/>
        <v>0.05</v>
      </c>
      <c r="AX153" s="180">
        <f t="shared" ca="1" si="102"/>
        <v>0.05</v>
      </c>
      <c r="AY153" s="286">
        <f t="shared" ca="1" si="103"/>
        <v>0</v>
      </c>
      <c r="AZ153" s="286">
        <f t="shared" ca="1" si="104"/>
        <v>0</v>
      </c>
      <c r="BA153" s="286">
        <f t="shared" ca="1" si="105"/>
        <v>0</v>
      </c>
      <c r="BB153" s="286">
        <f t="shared" ca="1" si="106"/>
        <v>0</v>
      </c>
      <c r="BC153" s="286">
        <f t="shared" ca="1" si="107"/>
        <v>0</v>
      </c>
      <c r="BD153" s="180">
        <f t="shared" ca="1" si="108"/>
        <v>0.05</v>
      </c>
      <c r="BE153" s="180">
        <f t="shared" ca="1" si="109"/>
        <v>0.05</v>
      </c>
      <c r="BF153" s="286">
        <f t="shared" ca="1" si="110"/>
        <v>0</v>
      </c>
      <c r="BG153" s="286">
        <f t="shared" ca="1" si="111"/>
        <v>0</v>
      </c>
    </row>
    <row r="154" spans="1:59">
      <c r="A154" s="1">
        <f t="shared" ca="1" si="91"/>
        <v>13</v>
      </c>
      <c r="B154" s="1">
        <f t="shared" ca="1" si="114"/>
        <v>118</v>
      </c>
      <c r="C154" s="1">
        <f t="shared" ca="1" si="115"/>
        <v>12</v>
      </c>
      <c r="D154" s="1">
        <f ca="1">MIN($D$3,VLOOKUP(C154,OP!$S$30:$T$41,2))</f>
        <v>2</v>
      </c>
      <c r="E154" s="1">
        <f t="shared" ca="1" si="116"/>
        <v>67</v>
      </c>
      <c r="F154" s="11" t="str">
        <f t="shared" ca="1" si="92"/>
        <v/>
      </c>
      <c r="G154" s="8">
        <f t="shared" ca="1" si="120"/>
        <v>365</v>
      </c>
      <c r="H154" s="8">
        <f t="shared" ca="1" si="93"/>
        <v>31</v>
      </c>
      <c r="I154" s="8" t="str">
        <f t="shared" ca="1" si="90"/>
        <v>1312</v>
      </c>
      <c r="J154" s="13">
        <f>IF(繳費報酬率資料!$A$1=1,VALUE(OP!$C$121),VLOOKUP(A154,MP,2,0))</f>
        <v>0.05</v>
      </c>
      <c r="K154" s="14">
        <f ca="1">IF(SUM($K$4:K153,IF(繳費報酬率資料!$A$1=1,$AU154+$AV154,$BB154+$BC154))&gt;OP!$L$58,0,IF(繳費報酬率資料!$A$1=1,$AU154+$AV154,$BB154+$BC154))</f>
        <v>0</v>
      </c>
      <c r="L154" s="2"/>
      <c r="M154" s="2"/>
      <c r="N154" s="2"/>
      <c r="O154" s="261">
        <f t="shared" ca="1" si="94"/>
        <v>0</v>
      </c>
      <c r="P154" s="261">
        <f t="shared" ca="1" si="112"/>
        <v>0</v>
      </c>
      <c r="Q154" s="3">
        <f ca="1">IF(A154&gt;MAX(OP!$R$17:$R$26),0,VLOOKUP(A154,fees,3,FALSE))</f>
        <v>0</v>
      </c>
      <c r="R154" s="200" t="str">
        <f t="shared" ca="1" si="95"/>
        <v/>
      </c>
      <c r="S154" s="9" t="str">
        <f ca="1">IF(COUNTIF(($T$4:T153),"F")&gt;=1,"",IF(OR(C155&lt;&gt;$C$3,E154=""),"",A154))</f>
        <v/>
      </c>
      <c r="T154" s="20" t="str">
        <f t="shared" ca="1" si="117"/>
        <v/>
      </c>
      <c r="U154" s="2">
        <f ca="1">IF(IF(OP!$C$83=1,$Z153,IF(OP!$C$83=2,$AA153,IF(OP!$C$83=3,$AB153,)))+$K154-$O154-$P154-$AS154&lt;OP!$C$142,0,$AS154)</f>
        <v>0</v>
      </c>
      <c r="V154" s="9"/>
      <c r="W154" s="19">
        <f ca="1">MAX(SUM($K$4:K154),0)</f>
        <v>2000000</v>
      </c>
      <c r="X154" s="19"/>
      <c r="Y154" s="19">
        <f t="shared" ca="1" si="113"/>
        <v>1920000</v>
      </c>
      <c r="Z154" s="2">
        <f ca="1">IF(MIN($Z$4:Z153)=0,0,MAX(0,($Z153+$K154-$O154-$P154)*IF(AND(F154="F",$D$3&lt;&gt;$G$3),((1+(-J154))^(H154/MIN(G154,365))),((1+(-J154))^(1/12)))-$U154))</f>
        <v>1006908.3180925682</v>
      </c>
      <c r="AA154" s="2">
        <f ca="1">IF(MIN($AA$4:AA153)=0,0,MAX(0,($AA153+$K154-$O154-$P154)*IF(AND(F154="F",$D$3&lt;&gt;$G$3),((1+$AA$1)^(H154/MIN(G154,365))),((1+$AA$1)^(1/12)))-$U154))</f>
        <v>1920000</v>
      </c>
      <c r="AB154" s="2">
        <f ca="1">IF(MIN($AB$4:AB153)=0,0,MAX(0,($AB153+$K154-$O154-$P154)*IF(AND(F154="F",$D$3&lt;&gt;$G$3),((1+(J154))^(H154/MIN(G154,365))),((1+(J154))^(1/12)))-$U154))</f>
        <v>3547588.5293916054</v>
      </c>
      <c r="AC154" s="5"/>
      <c r="AD154" s="5"/>
      <c r="AE154" s="5"/>
      <c r="AF154" s="282">
        <f t="shared" ca="1" si="96"/>
        <v>1006908</v>
      </c>
      <c r="AG154" s="282">
        <f t="shared" ca="1" si="97"/>
        <v>1920000</v>
      </c>
      <c r="AH154" s="282">
        <f t="shared" ca="1" si="98"/>
        <v>3547589</v>
      </c>
      <c r="AI154" s="23" t="str">
        <f t="shared" ca="1" si="119"/>
        <v>13-8</v>
      </c>
      <c r="AJ154" s="282">
        <f ca="1">IF(E154&gt;111,,IF(AND(OP!$C$99=1,T154="F"),Z154,IF(AND(OP!$C$99=2,COUNTIF($T$4:T154,"F")=1),OP!$C$97+IF(F154="F",OP!$C$98,0),"")))</f>
        <v>54527</v>
      </c>
      <c r="AK154" s="282">
        <f ca="1">IF(E154&gt;111,,IF(AND(OP!$D$99=1,T154="F"),AA154,IF(AND(OP!$D$99=2,COUNTIF($T$4:T154,"F")=1),OP!$D$97+IF(F154="F",OP!$D$98,0),"")))</f>
        <v>74177</v>
      </c>
      <c r="AL154" s="282">
        <f ca="1">IF(E154&gt;111,,IF(AND(OP!$E$99=1,T154="F"),AB154,IF(AND(OP!$E$99=2,COUNTIF($T$4:T154,"F")=1),OP!$E$97+IF(F154="F",OP!$E$98,0),"")))</f>
        <v>99404</v>
      </c>
      <c r="AM154" s="1">
        <f t="shared" ca="1" si="88"/>
        <v>8</v>
      </c>
      <c r="AN154" s="1" t="str">
        <f ca="1">IF(OR(VLOOKUP($A154,MP,5,0)="半年繳",VLOOKUP($A154,MP,5,0)="季繳",VLOOKUP($A154,MP,5,0)="月繳"),1,"")</f>
        <v/>
      </c>
      <c r="AO154" s="1">
        <f t="shared" ca="1" si="99"/>
        <v>0</v>
      </c>
      <c r="AP154" s="1" t="str">
        <f ca="1">IF(AND(A154&lt;=OP!$C$120,COUNTIF(PAY,C154)=1),1,"")</f>
        <v/>
      </c>
      <c r="AR154" s="301">
        <f ca="1">IF(繳費報酬率資料!$A$1=1,$AY154+$AZ154,$BF154+$BG154)</f>
        <v>0</v>
      </c>
      <c r="AS154" s="1">
        <f ca="1">IF(C154&lt;&gt;IF($C$3=1,12,$C$3-1),0,IF(繳費報酬率資料!$A$1&lt;&gt;1,VLOOKUP($A154,MP,8,0),IF(AND($A154&gt;=OP!$C$79,$A154&lt;=OP!$C$80),OP!$C$78,)))</f>
        <v>0</v>
      </c>
      <c r="AT154" s="298">
        <f t="shared" ca="1" si="100"/>
        <v>0</v>
      </c>
      <c r="AU154" s="298">
        <f ca="1">IF(AND(A154&lt;=OP!$C$120,COUNTIF(PAY,C154)=1),OP!$C$123,0)</f>
        <v>0</v>
      </c>
      <c r="AV154" s="298">
        <f ca="1">IF(AND(A154&gt;=OP!$C$132,A154&lt;=OP!$C$133,$C$3=C154),OP!$C$135,0)</f>
        <v>0</v>
      </c>
      <c r="AW154" s="180">
        <f t="shared" ca="1" si="101"/>
        <v>0.05</v>
      </c>
      <c r="AX154" s="180">
        <f t="shared" ca="1" si="102"/>
        <v>0.05</v>
      </c>
      <c r="AY154" s="286">
        <f t="shared" ca="1" si="103"/>
        <v>0</v>
      </c>
      <c r="AZ154" s="286">
        <f t="shared" ca="1" si="104"/>
        <v>0</v>
      </c>
      <c r="BA154" s="286">
        <f t="shared" ca="1" si="105"/>
        <v>0</v>
      </c>
      <c r="BB154" s="286">
        <f t="shared" ca="1" si="106"/>
        <v>0</v>
      </c>
      <c r="BC154" s="286">
        <f t="shared" ca="1" si="107"/>
        <v>0</v>
      </c>
      <c r="BD154" s="180">
        <f t="shared" ca="1" si="108"/>
        <v>0.05</v>
      </c>
      <c r="BE154" s="180">
        <f t="shared" ca="1" si="109"/>
        <v>0.05</v>
      </c>
      <c r="BF154" s="286">
        <f t="shared" ca="1" si="110"/>
        <v>0</v>
      </c>
      <c r="BG154" s="286">
        <f t="shared" ca="1" si="111"/>
        <v>0</v>
      </c>
    </row>
    <row r="155" spans="1:59">
      <c r="A155" s="1">
        <f t="shared" ca="1" si="91"/>
        <v>13</v>
      </c>
      <c r="B155" s="1">
        <f t="shared" ca="1" si="114"/>
        <v>119</v>
      </c>
      <c r="C155" s="1">
        <f t="shared" ca="1" si="115"/>
        <v>1</v>
      </c>
      <c r="D155" s="1">
        <f ca="1">MIN($D$3,VLOOKUP(C155,OP!$S$30:$T$41,2))</f>
        <v>2</v>
      </c>
      <c r="E155" s="1">
        <f t="shared" ca="1" si="116"/>
        <v>67</v>
      </c>
      <c r="F155" s="11" t="str">
        <f t="shared" ca="1" si="92"/>
        <v/>
      </c>
      <c r="G155" s="8">
        <f t="shared" ca="1" si="120"/>
        <v>365</v>
      </c>
      <c r="H155" s="8">
        <f t="shared" ca="1" si="93"/>
        <v>31</v>
      </c>
      <c r="I155" s="8" t="str">
        <f t="shared" ca="1" si="90"/>
        <v>131</v>
      </c>
      <c r="J155" s="13">
        <f>IF(繳費報酬率資料!$A$1=1,VALUE(OP!$C$121),VLOOKUP(A155,MP,2,0))</f>
        <v>0.05</v>
      </c>
      <c r="K155" s="14">
        <f ca="1">IF(SUM($K$4:K154,IF(繳費報酬率資料!$A$1=1,$AU155+$AV155,$BB155+$BC155))&gt;OP!$L$58,0,IF(繳費報酬率資料!$A$1=1,$AU155+$AV155,$BB155+$BC155))</f>
        <v>0</v>
      </c>
      <c r="L155" s="2"/>
      <c r="M155" s="2"/>
      <c r="N155" s="2"/>
      <c r="O155" s="261">
        <f t="shared" ca="1" si="94"/>
        <v>0</v>
      </c>
      <c r="P155" s="261">
        <f t="shared" ca="1" si="112"/>
        <v>0</v>
      </c>
      <c r="Q155" s="3">
        <f ca="1">IF(A155&gt;MAX(OP!$R$17:$R$26),0,VLOOKUP(A155,fees,3,FALSE))</f>
        <v>0</v>
      </c>
      <c r="R155" s="200" t="str">
        <f t="shared" ca="1" si="95"/>
        <v/>
      </c>
      <c r="S155" s="9" t="str">
        <f ca="1">IF(COUNTIF(($T$4:T154),"F")&gt;=1,"",IF(OR(C156&lt;&gt;$C$3,E155=""),"",A155))</f>
        <v/>
      </c>
      <c r="T155" s="20" t="str">
        <f t="shared" ca="1" si="117"/>
        <v/>
      </c>
      <c r="U155" s="2">
        <f ca="1">IF(IF(OP!$C$83=1,$Z154,IF(OP!$C$83=2,$AA154,IF(OP!$C$83=3,$AB154,)))+$K155-$O155-$P155-$AS155&lt;OP!$C$142,0,$AS155)</f>
        <v>0</v>
      </c>
      <c r="V155" s="9"/>
      <c r="W155" s="19">
        <f ca="1">MAX(SUM($K$4:K155),0)</f>
        <v>2000000</v>
      </c>
      <c r="X155" s="19"/>
      <c r="Y155" s="19">
        <f t="shared" ca="1" si="113"/>
        <v>1920000</v>
      </c>
      <c r="Z155" s="2">
        <f ca="1">IF(MIN($Z$4:Z154)=0,0,MAX(0,($Z154+$K155-$O155-$P155)*IF(AND(F155="F",$D$3&lt;&gt;$G$3),((1+(-J155))^(H155/MIN(G155,365))),((1+(-J155))^(1/12)))-$U155))</f>
        <v>1002613.533136126</v>
      </c>
      <c r="AA155" s="2">
        <f ca="1">IF(MIN($AA$4:AA154)=0,0,MAX(0,($AA154+$K155-$O155-$P155)*IF(AND(F155="F",$D$3&lt;&gt;$G$3),((1+$AA$1)^(H155/MIN(G155,365))),((1+$AA$1)^(1/12)))-$U155))</f>
        <v>1920000</v>
      </c>
      <c r="AB155" s="2">
        <f ca="1">IF(MIN($AB$4:AB154)=0,0,MAX(0,($AB154+$K155-$O155-$P155)*IF(AND(F155="F",$D$3&lt;&gt;$G$3),((1+(J155))^(H155/MIN(G155,365))),((1+(J155))^(1/12)))-$U155))</f>
        <v>3562041.844193798</v>
      </c>
      <c r="AC155" s="5"/>
      <c r="AD155" s="5"/>
      <c r="AE155" s="5"/>
      <c r="AF155" s="282">
        <f t="shared" ca="1" si="96"/>
        <v>1002614</v>
      </c>
      <c r="AG155" s="282">
        <f t="shared" ca="1" si="97"/>
        <v>1920000</v>
      </c>
      <c r="AH155" s="282">
        <f t="shared" ca="1" si="98"/>
        <v>3562042</v>
      </c>
      <c r="AI155" s="23" t="str">
        <f t="shared" ca="1" si="119"/>
        <v>13-9</v>
      </c>
      <c r="AJ155" s="282">
        <f ca="1">IF(E155&gt;111,,IF(AND(OP!$C$99=1,T155="F"),Z155,IF(AND(OP!$C$99=2,COUNTIF($T$4:T155,"F")=1),OP!$C$97+IF(F155="F",OP!$C$98,0),"")))</f>
        <v>54527</v>
      </c>
      <c r="AK155" s="282">
        <f ca="1">IF(E155&gt;111,,IF(AND(OP!$D$99=1,T155="F"),AA155,IF(AND(OP!$D$99=2,COUNTIF($T$4:T155,"F")=1),OP!$D$97+IF(F155="F",OP!$D$98,0),"")))</f>
        <v>74177</v>
      </c>
      <c r="AL155" s="282">
        <f ca="1">IF(E155&gt;111,,IF(AND(OP!$E$99=1,T155="F"),AB155,IF(AND(OP!$E$99=2,COUNTIF($T$4:T155,"F")=1),OP!$E$97+IF(F155="F",OP!$E$98,0),"")))</f>
        <v>99404</v>
      </c>
      <c r="AM155" s="1">
        <f t="shared" ca="1" si="88"/>
        <v>9</v>
      </c>
      <c r="AN155" s="1" t="str">
        <f ca="1">IF(OR(VLOOKUP($A155,MP,5,0)="月繳"),1,"")</f>
        <v/>
      </c>
      <c r="AO155" s="1">
        <f t="shared" ca="1" si="99"/>
        <v>0</v>
      </c>
      <c r="AP155" s="1" t="str">
        <f ca="1">IF(AND(A155&lt;=OP!$C$120,COUNTIF(PAY,C155)=1),1,"")</f>
        <v/>
      </c>
      <c r="AR155" s="301">
        <f ca="1">IF(繳費報酬率資料!$A$1=1,$AY155+$AZ155,$BF155+$BG155)</f>
        <v>0</v>
      </c>
      <c r="AS155" s="1">
        <f ca="1">IF(C155&lt;&gt;IF($C$3=1,12,$C$3-1),0,IF(繳費報酬率資料!$A$1&lt;&gt;1,VLOOKUP($A155,MP,8,0),IF(AND($A155&gt;=OP!$C$79,$A155&lt;=OP!$C$80),OP!$C$78,)))</f>
        <v>0</v>
      </c>
      <c r="AT155" s="298">
        <f t="shared" ca="1" si="100"/>
        <v>0</v>
      </c>
      <c r="AU155" s="298">
        <f ca="1">IF(AND(A155&lt;=OP!$C$120,COUNTIF(PAY,C155)=1),OP!$C$123,0)</f>
        <v>0</v>
      </c>
      <c r="AV155" s="298">
        <f ca="1">IF(AND(A155&gt;=OP!$C$132,A155&lt;=OP!$C$133,$C$3=C155),OP!$C$135,0)</f>
        <v>0</v>
      </c>
      <c r="AW155" s="180">
        <f t="shared" ca="1" si="101"/>
        <v>0.05</v>
      </c>
      <c r="AX155" s="180">
        <f t="shared" ca="1" si="102"/>
        <v>0.05</v>
      </c>
      <c r="AY155" s="286">
        <f t="shared" ca="1" si="103"/>
        <v>0</v>
      </c>
      <c r="AZ155" s="286">
        <f t="shared" ca="1" si="104"/>
        <v>0</v>
      </c>
      <c r="BA155" s="286">
        <f t="shared" ca="1" si="105"/>
        <v>0</v>
      </c>
      <c r="BB155" s="286">
        <f t="shared" ca="1" si="106"/>
        <v>0</v>
      </c>
      <c r="BC155" s="286">
        <f t="shared" ca="1" si="107"/>
        <v>0</v>
      </c>
      <c r="BD155" s="180">
        <f t="shared" ca="1" si="108"/>
        <v>0.05</v>
      </c>
      <c r="BE155" s="180">
        <f t="shared" ca="1" si="109"/>
        <v>0.05</v>
      </c>
      <c r="BF155" s="286">
        <f t="shared" ca="1" si="110"/>
        <v>0</v>
      </c>
      <c r="BG155" s="286">
        <f t="shared" ca="1" si="111"/>
        <v>0</v>
      </c>
    </row>
    <row r="156" spans="1:59">
      <c r="A156" s="1">
        <f t="shared" ca="1" si="91"/>
        <v>13</v>
      </c>
      <c r="B156" s="1">
        <f t="shared" ca="1" si="114"/>
        <v>119</v>
      </c>
      <c r="C156" s="1">
        <f t="shared" ca="1" si="115"/>
        <v>2</v>
      </c>
      <c r="D156" s="1">
        <f ca="1">MIN($D$3,VLOOKUP(C156,OP!$S$30:$T$41,2))</f>
        <v>2</v>
      </c>
      <c r="E156" s="1">
        <f t="shared" ca="1" si="116"/>
        <v>67</v>
      </c>
      <c r="F156" s="11" t="str">
        <f t="shared" ca="1" si="92"/>
        <v/>
      </c>
      <c r="G156" s="8">
        <f t="shared" ca="1" si="120"/>
        <v>365</v>
      </c>
      <c r="H156" s="8">
        <f t="shared" ca="1" si="93"/>
        <v>28</v>
      </c>
      <c r="I156" s="8" t="str">
        <f t="shared" ca="1" si="90"/>
        <v>132</v>
      </c>
      <c r="J156" s="13">
        <f>IF(繳費報酬率資料!$A$1=1,VALUE(OP!$C$121),VLOOKUP(A156,MP,2,0))</f>
        <v>0.05</v>
      </c>
      <c r="K156" s="14">
        <f ca="1">IF(SUM($K$4:K155,IF(繳費報酬率資料!$A$1=1,$AU156+$AV156,$BB156+$BC156))&gt;OP!$L$58,0,IF(繳費報酬率資料!$A$1=1,$AU156+$AV156,$BB156+$BC156))</f>
        <v>0</v>
      </c>
      <c r="L156" s="2"/>
      <c r="M156" s="2"/>
      <c r="N156" s="2"/>
      <c r="O156" s="261">
        <f t="shared" ca="1" si="94"/>
        <v>0</v>
      </c>
      <c r="P156" s="261">
        <f t="shared" ca="1" si="112"/>
        <v>0</v>
      </c>
      <c r="Q156" s="3">
        <f ca="1">IF(A156&gt;MAX(OP!$R$17:$R$26),0,VLOOKUP(A156,fees,3,FALSE))</f>
        <v>0</v>
      </c>
      <c r="R156" s="200" t="str">
        <f t="shared" ca="1" si="95"/>
        <v/>
      </c>
      <c r="S156" s="9" t="str">
        <f ca="1">IF(COUNTIF(($T$4:T155),"F")&gt;=1,"",IF(OR(C157&lt;&gt;$C$3,E156=""),"",A156))</f>
        <v/>
      </c>
      <c r="T156" s="20" t="str">
        <f t="shared" ca="1" si="117"/>
        <v/>
      </c>
      <c r="U156" s="2">
        <f ca="1">IF(IF(OP!$C$83=1,$Z155,IF(OP!$C$83=2,$AA155,IF(OP!$C$83=3,$AB155,)))+$K156-$O156-$P156-$AS156&lt;OP!$C$142,0,$AS156)</f>
        <v>0</v>
      </c>
      <c r="V156" s="9"/>
      <c r="W156" s="19">
        <f ca="1">MAX(SUM($K$4:K156),0)</f>
        <v>2000000</v>
      </c>
      <c r="X156" s="19"/>
      <c r="Y156" s="19">
        <f t="shared" ca="1" si="113"/>
        <v>1920000</v>
      </c>
      <c r="Z156" s="2">
        <f ca="1">IF(MIN($Z$4:Z155)=0,0,MAX(0,($Z155+$K156-$O156-$P156)*IF(AND(F156="F",$D$3&lt;&gt;$G$3),((1+(-J156))^(H156/MIN(G156,365))),((1+(-J156))^(1/12)))-$U156))</f>
        <v>998337.06680660404</v>
      </c>
      <c r="AA156" s="2">
        <f ca="1">IF(MIN($AA$4:AA155)=0,0,MAX(0,($AA155+$K156-$O156-$P156)*IF(AND(F156="F",$D$3&lt;&gt;$G$3),((1+$AA$1)^(H156/MIN(G156,365))),((1+$AA$1)^(1/12)))-$U156))</f>
        <v>1920000</v>
      </c>
      <c r="AB156" s="2">
        <f ca="1">IF(MIN($AB$4:AB155)=0,0,MAX(0,($AB155+$K156-$O156-$P156)*IF(AND(F156="F",$D$3&lt;&gt;$G$3),((1+(J156))^(H156/MIN(G156,365))),((1+(J156))^(1/12)))-$U156))</f>
        <v>3576554.0435895785</v>
      </c>
      <c r="AC156" s="5"/>
      <c r="AD156" s="5"/>
      <c r="AE156" s="5"/>
      <c r="AF156" s="282">
        <f t="shared" ca="1" si="96"/>
        <v>998337</v>
      </c>
      <c r="AG156" s="282">
        <f t="shared" ca="1" si="97"/>
        <v>1920000</v>
      </c>
      <c r="AH156" s="282">
        <f t="shared" ca="1" si="98"/>
        <v>3576554</v>
      </c>
      <c r="AI156" s="23" t="str">
        <f t="shared" ca="1" si="119"/>
        <v>13-10</v>
      </c>
      <c r="AJ156" s="282">
        <f ca="1">IF(E156&gt;111,,IF(AND(OP!$C$99=1,T156="F"),Z156,IF(AND(OP!$C$99=2,COUNTIF($T$4:T156,"F")=1),OP!$C$97+IF(F156="F",OP!$C$98,0),"")))</f>
        <v>54527</v>
      </c>
      <c r="AK156" s="282">
        <f ca="1">IF(E156&gt;111,,IF(AND(OP!$D$99=1,T156="F"),AA156,IF(AND(OP!$D$99=2,COUNTIF($T$4:T156,"F")=1),OP!$D$97+IF(F156="F",OP!$D$98,0),"")))</f>
        <v>74177</v>
      </c>
      <c r="AL156" s="282">
        <f ca="1">IF(E156&gt;111,,IF(AND(OP!$E$99=1,T156="F"),AB156,IF(AND(OP!$E$99=2,COUNTIF($T$4:T156,"F")=1),OP!$E$97+IF(F156="F",OP!$E$98,0),"")))</f>
        <v>99404</v>
      </c>
      <c r="AM156" s="1">
        <f t="shared" ca="1" si="88"/>
        <v>10</v>
      </c>
      <c r="AN156" s="1" t="str">
        <f ca="1">IF(OR(VLOOKUP($A156,MP,5,0)="月繳"),1,"")</f>
        <v/>
      </c>
      <c r="AO156" s="1">
        <f t="shared" ca="1" si="99"/>
        <v>0</v>
      </c>
      <c r="AP156" s="1" t="str">
        <f ca="1">IF(AND(A156&lt;=OP!$C$120,COUNTIF(PAY,C156)=1),1,"")</f>
        <v/>
      </c>
      <c r="AR156" s="301">
        <f ca="1">IF(繳費報酬率資料!$A$1=1,$AY156+$AZ156,$BF156+$BG156)</f>
        <v>0</v>
      </c>
      <c r="AS156" s="1">
        <f ca="1">IF(C156&lt;&gt;IF($C$3=1,12,$C$3-1),0,IF(繳費報酬率資料!$A$1&lt;&gt;1,VLOOKUP($A156,MP,8,0),IF(AND($A156&gt;=OP!$C$79,$A156&lt;=OP!$C$80),OP!$C$78,)))</f>
        <v>0</v>
      </c>
      <c r="AT156" s="298">
        <f t="shared" ca="1" si="100"/>
        <v>0</v>
      </c>
      <c r="AU156" s="298">
        <f ca="1">IF(AND(A156&lt;=OP!$C$120,COUNTIF(PAY,C156)=1),OP!$C$123,0)</f>
        <v>0</v>
      </c>
      <c r="AV156" s="298">
        <f ca="1">IF(AND(A156&gt;=OP!$C$132,A156&lt;=OP!$C$133,$C$3=C156),OP!$C$135,0)</f>
        <v>0</v>
      </c>
      <c r="AW156" s="180">
        <f t="shared" ca="1" si="101"/>
        <v>0.05</v>
      </c>
      <c r="AX156" s="180">
        <f t="shared" ca="1" si="102"/>
        <v>0.05</v>
      </c>
      <c r="AY156" s="286">
        <f t="shared" ca="1" si="103"/>
        <v>0</v>
      </c>
      <c r="AZ156" s="286">
        <f t="shared" ca="1" si="104"/>
        <v>0</v>
      </c>
      <c r="BA156" s="286">
        <f t="shared" ca="1" si="105"/>
        <v>0</v>
      </c>
      <c r="BB156" s="286">
        <f t="shared" ca="1" si="106"/>
        <v>0</v>
      </c>
      <c r="BC156" s="286">
        <f t="shared" ca="1" si="107"/>
        <v>0</v>
      </c>
      <c r="BD156" s="180">
        <f t="shared" ca="1" si="108"/>
        <v>0.05</v>
      </c>
      <c r="BE156" s="180">
        <f t="shared" ca="1" si="109"/>
        <v>0.05</v>
      </c>
      <c r="BF156" s="286">
        <f t="shared" ca="1" si="110"/>
        <v>0</v>
      </c>
      <c r="BG156" s="286">
        <f t="shared" ca="1" si="111"/>
        <v>0</v>
      </c>
    </row>
    <row r="157" spans="1:59">
      <c r="A157" s="1">
        <f t="shared" ca="1" si="91"/>
        <v>13</v>
      </c>
      <c r="B157" s="1">
        <f t="shared" ca="1" si="114"/>
        <v>119</v>
      </c>
      <c r="C157" s="1">
        <f t="shared" ca="1" si="115"/>
        <v>3</v>
      </c>
      <c r="D157" s="1">
        <f ca="1">MIN($D$3,VLOOKUP(C157,OP!$S$30:$T$41,2))</f>
        <v>2</v>
      </c>
      <c r="E157" s="1">
        <f t="shared" ca="1" si="116"/>
        <v>67</v>
      </c>
      <c r="F157" s="11" t="str">
        <f t="shared" ca="1" si="92"/>
        <v/>
      </c>
      <c r="G157" s="8">
        <f t="shared" ca="1" si="120"/>
        <v>365</v>
      </c>
      <c r="H157" s="8">
        <f t="shared" ca="1" si="93"/>
        <v>31</v>
      </c>
      <c r="I157" s="8" t="str">
        <f t="shared" ca="1" si="90"/>
        <v>133</v>
      </c>
      <c r="J157" s="13">
        <f>IF(繳費報酬率資料!$A$1=1,VALUE(OP!$C$121),VLOOKUP(A157,MP,2,0))</f>
        <v>0.05</v>
      </c>
      <c r="K157" s="14">
        <f ca="1">IF(SUM($K$4:K156,IF(繳費報酬率資料!$A$1=1,$AU157+$AV157,$BB157+$BC157))&gt;OP!$L$58,0,IF(繳費報酬率資料!$A$1=1,$AU157+$AV157,$BB157+$BC157))</f>
        <v>0</v>
      </c>
      <c r="L157" s="2"/>
      <c r="M157" s="2"/>
      <c r="N157" s="2"/>
      <c r="O157" s="261">
        <f t="shared" ca="1" si="94"/>
        <v>0</v>
      </c>
      <c r="P157" s="261">
        <f t="shared" ca="1" si="112"/>
        <v>0</v>
      </c>
      <c r="Q157" s="3">
        <f ca="1">IF(A157&gt;MAX(OP!$R$17:$R$26),0,VLOOKUP(A157,fees,3,FALSE))</f>
        <v>0</v>
      </c>
      <c r="R157" s="200" t="str">
        <f t="shared" ca="1" si="95"/>
        <v/>
      </c>
      <c r="S157" s="9" t="str">
        <f ca="1">IF(COUNTIF(($T$4:T156),"F")&gt;=1,"",IF(OR(C158&lt;&gt;$C$3,E157=""),"",A157))</f>
        <v/>
      </c>
      <c r="T157" s="20" t="str">
        <f t="shared" ca="1" si="117"/>
        <v/>
      </c>
      <c r="U157" s="2">
        <f ca="1">IF(IF(OP!$C$83=1,$Z156,IF(OP!$C$83=2,$AA156,IF(OP!$C$83=3,$AB156,)))+$K157-$O157-$P157-$AS157&lt;OP!$C$142,0,$AS157)</f>
        <v>0</v>
      </c>
      <c r="V157" s="9"/>
      <c r="W157" s="19">
        <f ca="1">MAX(SUM($K$4:K157),0)</f>
        <v>2000000</v>
      </c>
      <c r="X157" s="19"/>
      <c r="Y157" s="19">
        <f t="shared" ca="1" si="113"/>
        <v>1920000</v>
      </c>
      <c r="Z157" s="2">
        <f ca="1">IF(MIN($Z$4:Z156)=0,0,MAX(0,($Z156+$K157-$O157-$P157)*IF(AND(F157="F",$D$3&lt;&gt;$G$3),((1+(-J157))^(H157/MIN(G157,365))),((1+(-J157))^(1/12)))-$U157))</f>
        <v>994078.84096921899</v>
      </c>
      <c r="AA157" s="2">
        <f ca="1">IF(MIN($AA$4:AA156)=0,0,MAX(0,($AA156+$K157-$O157-$P157)*IF(AND(F157="F",$D$3&lt;&gt;$G$3),((1+$AA$1)^(H157/MIN(G157,365))),((1+$AA$1)^(1/12)))-$U157))</f>
        <v>1920000</v>
      </c>
      <c r="AB157" s="2">
        <f ca="1">IF(MIN($AB$4:AB156)=0,0,MAX(0,($AB156+$K157-$O157-$P157)*IF(AND(F157="F",$D$3&lt;&gt;$G$3),((1+(J157))^(H157/MIN(G157,365))),((1+(J157))^(1/12)))-$U157))</f>
        <v>3591125.3674820703</v>
      </c>
      <c r="AC157" s="5"/>
      <c r="AD157" s="5"/>
      <c r="AE157" s="5"/>
      <c r="AF157" s="282">
        <f t="shared" ca="1" si="96"/>
        <v>994079</v>
      </c>
      <c r="AG157" s="282">
        <f t="shared" ca="1" si="97"/>
        <v>1920000</v>
      </c>
      <c r="AH157" s="282">
        <f t="shared" ca="1" si="98"/>
        <v>3591125</v>
      </c>
      <c r="AI157" s="23" t="str">
        <f t="shared" ca="1" si="119"/>
        <v>13-11</v>
      </c>
      <c r="AJ157" s="282">
        <f ca="1">IF(E157&gt;111,,IF(AND(OP!$C$99=1,T157="F"),Z157,IF(AND(OP!$C$99=2,COUNTIF($T$4:T157,"F")=1),OP!$C$97+IF(F157="F",OP!$C$98,0),"")))</f>
        <v>54527</v>
      </c>
      <c r="AK157" s="282">
        <f ca="1">IF(E157&gt;111,,IF(AND(OP!$D$99=1,T157="F"),AA157,IF(AND(OP!$D$99=2,COUNTIF($T$4:T157,"F")=1),OP!$D$97+IF(F157="F",OP!$D$98,0),"")))</f>
        <v>74177</v>
      </c>
      <c r="AL157" s="282">
        <f ca="1">IF(E157&gt;111,,IF(AND(OP!$E$99=1,T157="F"),AB157,IF(AND(OP!$E$99=2,COUNTIF($T$4:T157,"F")=1),OP!$E$97+IF(F157="F",OP!$E$98,0),"")))</f>
        <v>99404</v>
      </c>
      <c r="AM157" s="1">
        <f t="shared" ca="1" si="88"/>
        <v>11</v>
      </c>
      <c r="AN157" s="1" t="str">
        <f ca="1">IF(OR(VLOOKUP($A157,MP,5,0)="季繳",VLOOKUP($A157,MP,5,0)="月繳"),1,"")</f>
        <v/>
      </c>
      <c r="AO157" s="1">
        <f t="shared" ca="1" si="99"/>
        <v>0</v>
      </c>
      <c r="AP157" s="1" t="str">
        <f ca="1">IF(AND(A157&lt;=OP!$C$120,COUNTIF(PAY,C157)=1),1,"")</f>
        <v/>
      </c>
      <c r="AR157" s="301">
        <f ca="1">IF(繳費報酬率資料!$A$1=1,$AY157+$AZ157,$BF157+$BG157)</f>
        <v>0</v>
      </c>
      <c r="AS157" s="1">
        <f ca="1">IF(C157&lt;&gt;IF($C$3=1,12,$C$3-1),0,IF(繳費報酬率資料!$A$1&lt;&gt;1,VLOOKUP($A157,MP,8,0),IF(AND($A157&gt;=OP!$C$79,$A157&lt;=OP!$C$80),OP!$C$78,)))</f>
        <v>0</v>
      </c>
      <c r="AT157" s="298">
        <f t="shared" ca="1" si="100"/>
        <v>0</v>
      </c>
      <c r="AU157" s="298">
        <f ca="1">IF(AND(A157&lt;=OP!$C$120,COUNTIF(PAY,C157)=1),OP!$C$123,0)</f>
        <v>0</v>
      </c>
      <c r="AV157" s="298">
        <f ca="1">IF(AND(A157&gt;=OP!$C$132,A157&lt;=OP!$C$133,$C$3=C157),OP!$C$135,0)</f>
        <v>0</v>
      </c>
      <c r="AW157" s="180">
        <f t="shared" ca="1" si="101"/>
        <v>0.05</v>
      </c>
      <c r="AX157" s="180">
        <f t="shared" ca="1" si="102"/>
        <v>0.05</v>
      </c>
      <c r="AY157" s="286">
        <f t="shared" ca="1" si="103"/>
        <v>0</v>
      </c>
      <c r="AZ157" s="286">
        <f t="shared" ca="1" si="104"/>
        <v>0</v>
      </c>
      <c r="BA157" s="286">
        <f t="shared" ca="1" si="105"/>
        <v>0</v>
      </c>
      <c r="BB157" s="286">
        <f t="shared" ca="1" si="106"/>
        <v>0</v>
      </c>
      <c r="BC157" s="286">
        <f t="shared" ca="1" si="107"/>
        <v>0</v>
      </c>
      <c r="BD157" s="180">
        <f t="shared" ca="1" si="108"/>
        <v>0.05</v>
      </c>
      <c r="BE157" s="180">
        <f t="shared" ca="1" si="109"/>
        <v>0.05</v>
      </c>
      <c r="BF157" s="286">
        <f t="shared" ca="1" si="110"/>
        <v>0</v>
      </c>
      <c r="BG157" s="286">
        <f t="shared" ca="1" si="111"/>
        <v>0</v>
      </c>
    </row>
    <row r="158" spans="1:59">
      <c r="A158" s="1">
        <f t="shared" ca="1" si="91"/>
        <v>13</v>
      </c>
      <c r="B158" s="1">
        <f t="shared" ca="1" si="114"/>
        <v>119</v>
      </c>
      <c r="C158" s="1">
        <f t="shared" ca="1" si="115"/>
        <v>4</v>
      </c>
      <c r="D158" s="1">
        <f ca="1">MIN($D$3,VLOOKUP(C158,OP!$S$30:$T$41,2))</f>
        <v>2</v>
      </c>
      <c r="E158" s="1">
        <f t="shared" ca="1" si="116"/>
        <v>67</v>
      </c>
      <c r="F158" s="11" t="str">
        <f t="shared" ca="1" si="92"/>
        <v/>
      </c>
      <c r="G158" s="8">
        <f t="shared" ca="1" si="120"/>
        <v>365</v>
      </c>
      <c r="H158" s="8">
        <f t="shared" ca="1" si="93"/>
        <v>30</v>
      </c>
      <c r="I158" s="8" t="str">
        <f t="shared" ca="1" si="90"/>
        <v>134</v>
      </c>
      <c r="J158" s="13">
        <f>IF(繳費報酬率資料!$A$1=1,VALUE(OP!$C$121),VLOOKUP(A158,MP,2,0))</f>
        <v>0.05</v>
      </c>
      <c r="K158" s="14">
        <f ca="1">IF(SUM($K$4:K157,IF(繳費報酬率資料!$A$1=1,$AU158+$AV158,$BB158+$BC158))&gt;OP!$L$58,0,IF(繳費報酬率資料!$A$1=1,$AU158+$AV158,$BB158+$BC158))</f>
        <v>0</v>
      </c>
      <c r="L158" s="2"/>
      <c r="M158" s="2"/>
      <c r="N158" s="2"/>
      <c r="O158" s="261">
        <f t="shared" ca="1" si="94"/>
        <v>0</v>
      </c>
      <c r="P158" s="261">
        <f t="shared" ca="1" si="112"/>
        <v>0</v>
      </c>
      <c r="Q158" s="3">
        <f ca="1">IF(A158&gt;MAX(OP!$R$17:$R$26),0,VLOOKUP(A158,fees,3,FALSE))</f>
        <v>0</v>
      </c>
      <c r="R158" s="200" t="str">
        <f t="shared" ca="1" si="95"/>
        <v/>
      </c>
      <c r="S158" s="9" t="str">
        <f ca="1">IF(COUNTIF(($T$4:T157),"F")&gt;=1,"",IF(OR(C159&lt;&gt;$C$3,E158=""),"",A158))</f>
        <v/>
      </c>
      <c r="T158" s="20" t="str">
        <f t="shared" ca="1" si="117"/>
        <v/>
      </c>
      <c r="U158" s="2">
        <f ca="1">IF(IF(OP!$C$83=1,$Z157,IF(OP!$C$83=2,$AA157,IF(OP!$C$83=3,$AB157,)))+$K158-$O158-$P158-$AS158&lt;OP!$C$142,0,$AS158)</f>
        <v>0</v>
      </c>
      <c r="V158" s="9"/>
      <c r="W158" s="19">
        <f ca="1">MAX(SUM($K$4:K158),0)</f>
        <v>2000000</v>
      </c>
      <c r="X158" s="19"/>
      <c r="Y158" s="19">
        <f t="shared" ca="1" si="113"/>
        <v>1920000</v>
      </c>
      <c r="Z158" s="2">
        <f ca="1">IF(MIN($Z$4:Z157)=0,0,MAX(0,($Z157+$K158-$O158-$P158)*IF(AND(F158="F",$D$3&lt;&gt;$G$3),((1+(-J158))^(H158/MIN(G158,365))),((1+(-J158))^(1/12)))-$U158))</f>
        <v>989838.77782245725</v>
      </c>
      <c r="AA158" s="2">
        <f ca="1">IF(MIN($AA$4:AA157)=0,0,MAX(0,($AA157+$K158-$O158-$P158)*IF(AND(F158="F",$D$3&lt;&gt;$G$3),((1+$AA$1)^(H158/MIN(G158,365))),((1+$AA$1)^(1/12)))-$U158))</f>
        <v>1920000</v>
      </c>
      <c r="AB158" s="2">
        <f ca="1">IF(MIN($AB$4:AB157)=0,0,MAX(0,($AB157+$K158-$O158-$P158)*IF(AND(F158="F",$D$3&lt;&gt;$G$3),((1+(J158))^(H158/MIN(G158,365))),((1+(J158))^(1/12)))-$U158))</f>
        <v>3605756.0567517919</v>
      </c>
      <c r="AC158" s="5"/>
      <c r="AD158" s="5"/>
      <c r="AE158" s="5"/>
      <c r="AF158" s="282">
        <f t="shared" ca="1" si="96"/>
        <v>989839</v>
      </c>
      <c r="AG158" s="282">
        <f t="shared" ca="1" si="97"/>
        <v>1920000</v>
      </c>
      <c r="AH158" s="282">
        <f t="shared" ca="1" si="98"/>
        <v>3605756</v>
      </c>
      <c r="AI158" s="23" t="str">
        <f t="shared" ca="1" si="119"/>
        <v>13-12</v>
      </c>
      <c r="AJ158" s="282">
        <f ca="1">IF(E158&gt;111,,IF(AND(OP!$C$99=1,T158="F"),Z158,IF(AND(OP!$C$99=2,COUNTIF($T$4:T158,"F")=1),OP!$C$97+IF(F158="F",OP!$C$98,0),"")))</f>
        <v>54527</v>
      </c>
      <c r="AK158" s="282">
        <f ca="1">IF(E158&gt;111,,IF(AND(OP!$D$99=1,T158="F"),AA158,IF(AND(OP!$D$99=2,COUNTIF($T$4:T158,"F")=1),OP!$D$97+IF(F158="F",OP!$D$98,0),"")))</f>
        <v>74177</v>
      </c>
      <c r="AL158" s="282">
        <f ca="1">IF(E158&gt;111,,IF(AND(OP!$E$99=1,T158="F"),AB158,IF(AND(OP!$E$99=2,COUNTIF($T$4:T158,"F")=1),OP!$E$97+IF(F158="F",OP!$E$98,0),"")))</f>
        <v>99404</v>
      </c>
      <c r="AM158" s="1">
        <f t="shared" ca="1" si="88"/>
        <v>12</v>
      </c>
      <c r="AN158" s="1" t="str">
        <f ca="1">IF(OR(VLOOKUP($A158,MP,5,0)="月繳"),1,"")</f>
        <v/>
      </c>
      <c r="AO158" s="1">
        <f t="shared" ca="1" si="99"/>
        <v>0</v>
      </c>
      <c r="AP158" s="1" t="str">
        <f ca="1">IF(AND(A158&lt;=OP!$C$120,COUNTIF(PAY,C158)=1),1,"")</f>
        <v/>
      </c>
      <c r="AR158" s="301">
        <f ca="1">IF(繳費報酬率資料!$A$1=1,$AY158+$AZ158,$BF158+$BG158)</f>
        <v>0</v>
      </c>
      <c r="AS158" s="1">
        <f ca="1">IF(C158&lt;&gt;IF($C$3=1,12,$C$3-1),0,IF(繳費報酬率資料!$A$1&lt;&gt;1,VLOOKUP($A158,MP,8,0),IF(AND($A158&gt;=OP!$C$79,$A158&lt;=OP!$C$80),OP!$C$78,)))</f>
        <v>0</v>
      </c>
      <c r="AT158" s="298">
        <f t="shared" ca="1" si="100"/>
        <v>0</v>
      </c>
      <c r="AU158" s="298">
        <f ca="1">IF(AND(A158&lt;=OP!$C$120,COUNTIF(PAY,C158)=1),OP!$C$123,0)</f>
        <v>0</v>
      </c>
      <c r="AV158" s="298">
        <f ca="1">IF(AND(A158&gt;=OP!$C$132,A158&lt;=OP!$C$133,$C$3=C158),OP!$C$135,0)</f>
        <v>0</v>
      </c>
      <c r="AW158" s="180">
        <f t="shared" ca="1" si="101"/>
        <v>0.05</v>
      </c>
      <c r="AX158" s="180">
        <f t="shared" ca="1" si="102"/>
        <v>0.05</v>
      </c>
      <c r="AY158" s="286">
        <f t="shared" ca="1" si="103"/>
        <v>0</v>
      </c>
      <c r="AZ158" s="286">
        <f t="shared" ca="1" si="104"/>
        <v>0</v>
      </c>
      <c r="BA158" s="286">
        <f t="shared" ca="1" si="105"/>
        <v>0</v>
      </c>
      <c r="BB158" s="286">
        <f t="shared" ca="1" si="106"/>
        <v>0</v>
      </c>
      <c r="BC158" s="286">
        <f t="shared" ca="1" si="107"/>
        <v>0</v>
      </c>
      <c r="BD158" s="180">
        <f t="shared" ca="1" si="108"/>
        <v>0.05</v>
      </c>
      <c r="BE158" s="180">
        <f t="shared" ca="1" si="109"/>
        <v>0.05</v>
      </c>
      <c r="BF158" s="286">
        <f t="shared" ca="1" si="110"/>
        <v>0</v>
      </c>
      <c r="BG158" s="286">
        <f t="shared" ca="1" si="111"/>
        <v>0</v>
      </c>
    </row>
    <row r="159" spans="1:59">
      <c r="A159" s="1">
        <f t="shared" ca="1" si="91"/>
        <v>13</v>
      </c>
      <c r="B159" s="1">
        <f t="shared" ca="1" si="114"/>
        <v>119</v>
      </c>
      <c r="C159" s="1">
        <f t="shared" ca="1" si="115"/>
        <v>5</v>
      </c>
      <c r="D159" s="1">
        <f ca="1">MIN($D$3,VLOOKUP(C159,OP!$S$30:$T$41,2))</f>
        <v>2</v>
      </c>
      <c r="E159" s="1">
        <f t="shared" ca="1" si="116"/>
        <v>67</v>
      </c>
      <c r="F159" s="11" t="str">
        <f t="shared" ca="1" si="92"/>
        <v/>
      </c>
      <c r="G159" s="8">
        <f t="shared" ca="1" si="120"/>
        <v>365</v>
      </c>
      <c r="H159" s="8">
        <f t="shared" ca="1" si="93"/>
        <v>31</v>
      </c>
      <c r="I159" s="8" t="str">
        <f t="shared" ca="1" si="90"/>
        <v>135</v>
      </c>
      <c r="J159" s="13">
        <f>IF(繳費報酬率資料!$A$1=1,VALUE(OP!$C$121),VLOOKUP(A159,MP,2,0))</f>
        <v>0.05</v>
      </c>
      <c r="K159" s="14">
        <f ca="1">IF(SUM($K$4:K158,IF(繳費報酬率資料!$A$1=1,$AU159+$AV159,$BB159+$BC159))&gt;OP!$L$58,0,IF(繳費報酬率資料!$A$1=1,$AU159+$AV159,$BB159+$BC159))</f>
        <v>0</v>
      </c>
      <c r="L159" s="2">
        <f ca="1">ROUND(IF(OP!$C$78&lt;(IF(OR($T159="F",$E159&gt;=111),0,Z158+$K159-$O159+IF($C$1=1,OP!$C$78,IF($C160=$C$3,SUM(AC148:AC159,0)))))*5%,0,(OP!$C$78-((IF(OR($T159="F",$E159&gt;=111),0,Z158+$K159-$O159+IF($C$1=1,AC159,IF($C160=$C$3,SUM(AC148:AC159,0)))))*5%))*$Q159),0)</f>
        <v>0</v>
      </c>
      <c r="M159" s="2">
        <f ca="1">ROUND(IF(OP!$C$78&lt;(IF(OR($T159="F",$E159&gt;=111),0,AA158+$K159-$O159+IF($C$1=1,AD159,IF($C160=$C$3,SUM(AD148:AD159,0)))))*5%,0,(OP!$C$78-((IF(OR($T159="F",$E159&gt;=111),0,AA158+$K159-$O159+IF($C$1=1,AD159,IF($C160=$C$3,SUM(AD148:AD159,0)))))*5%))*$Q159),0)</f>
        <v>0</v>
      </c>
      <c r="N159" s="2">
        <f ca="1">ROUND(IF(OP!$C$78&lt;(IF(OR($T159="F",$E159&gt;=111),0,AB158+$K159-$O159+IF($C$1=1,AE159,IF($C160=$C$3,SUM(AE148:AE159,0)))))*5%,0,(OP!$C$78-((IF(OR($T159="F",$E159&gt;=111),0,AB158+$K159-$O159+IF($C$1=1,AE159,IF($C160=$C$3,SUM(AE148:AE159,0)))))*5%))*$Q159),0)</f>
        <v>0</v>
      </c>
      <c r="O159" s="261">
        <f t="shared" ca="1" si="94"/>
        <v>0</v>
      </c>
      <c r="P159" s="261">
        <f t="shared" ca="1" si="112"/>
        <v>0</v>
      </c>
      <c r="Q159" s="3">
        <f ca="1">IF(A159&gt;MAX(OP!$R$17:$R$26),0,VLOOKUP(A159,fees,3,FALSE))</f>
        <v>0</v>
      </c>
      <c r="R159" s="200">
        <f t="shared" ca="1" si="95"/>
        <v>13</v>
      </c>
      <c r="S159" s="9" t="str">
        <f ca="1">IF(COUNTIF(($T$4:T158),"F")&gt;=1,"",IF(OR(C160&lt;&gt;$C$3,E159=""),"",A159))</f>
        <v/>
      </c>
      <c r="T159" s="20" t="str">
        <f t="shared" ca="1" si="117"/>
        <v/>
      </c>
      <c r="U159" s="2">
        <f ca="1">IF(IF(OP!$C$83=1,$Z158,IF(OP!$C$83=2,$AA158,IF(OP!$C$83=3,$AB158,)))+$K159-$O159-$P159-$AS159&lt;OP!$C$142,0,$AS159)</f>
        <v>0</v>
      </c>
      <c r="V159" s="19">
        <f ca="1">SUM(K148:K159)</f>
        <v>0</v>
      </c>
      <c r="W159" s="19">
        <f ca="1">MAX(SUM($K$4:K159),0)</f>
        <v>2000000</v>
      </c>
      <c r="X159" s="19">
        <f ca="1">SUM(O148:P159)</f>
        <v>0</v>
      </c>
      <c r="Y159" s="19">
        <f t="shared" ca="1" si="113"/>
        <v>1920000</v>
      </c>
      <c r="Z159" s="2">
        <f ca="1">IF(MIN($Z$4:Z158)=0,0,MAX(0,($Z158+$K159-$O159-$P159)*IF(AND(F159="F",$D$3&lt;&gt;$G$3),((1+(-J159))^(H159/MIN(G159,365))),((1+(-J159))^(1/12)))-$U159))</f>
        <v>985616.79989665339</v>
      </c>
      <c r="AA159" s="2">
        <f ca="1">IF(MIN($AA$4:AA158)=0,0,MAX(0,($AA158+$K159-$O159-$P159)*IF(AND(F159="F",$D$3&lt;&gt;$G$3),((1+$AA$1)^(H159/MIN(G159,365))),((1+$AA$1)^(1/12)))-$U159))</f>
        <v>1920000</v>
      </c>
      <c r="AB159" s="2">
        <f ca="1">IF(MIN($AB$4:AB158)=0,0,MAX(0,($AB158+$K159-$O159-$P159)*IF(AND(F159="F",$D$3&lt;&gt;$G$3),((1+(J159))^(H159/MIN(G159,365))),((1+(J159))^(1/12)))-$U159))</f>
        <v>3620446.3532606387</v>
      </c>
      <c r="AC159" s="5"/>
      <c r="AD159" s="5"/>
      <c r="AE159" s="5"/>
      <c r="AF159" s="282">
        <f t="shared" ca="1" si="96"/>
        <v>985617</v>
      </c>
      <c r="AG159" s="282">
        <f t="shared" ca="1" si="97"/>
        <v>1920000</v>
      </c>
      <c r="AH159" s="282">
        <f t="shared" ca="1" si="98"/>
        <v>3620446</v>
      </c>
      <c r="AI159" s="23" t="str">
        <f t="shared" ca="1" si="119"/>
        <v>14-1</v>
      </c>
      <c r="AJ159" s="282">
        <f ca="1">IF(E159&gt;111,,IF(AND(OP!$C$99=1,T159="F"),Z159,IF(AND(OP!$C$99=2,COUNTIF($T$4:T159,"F")=1),OP!$C$97+IF(F159="F",OP!$C$98,0),"")))</f>
        <v>54527</v>
      </c>
      <c r="AK159" s="282">
        <f ca="1">IF(E159&gt;111,,IF(AND(OP!$D$99=1,T159="F"),AA159,IF(AND(OP!$D$99=2,COUNTIF($T$4:T159,"F")=1),OP!$D$97+IF(F159="F",OP!$D$98,0),"")))</f>
        <v>74177</v>
      </c>
      <c r="AL159" s="282">
        <f ca="1">IF(E159&gt;111,,IF(AND(OP!$E$99=1,T159="F"),AB159,IF(AND(OP!$E$99=2,COUNTIF($T$4:T159,"F")=1),OP!$E$97+IF(F159="F",OP!$E$98,0),"")))</f>
        <v>99404</v>
      </c>
      <c r="AM159" s="1">
        <f t="shared" ca="1" si="88"/>
        <v>1</v>
      </c>
      <c r="AN159" s="1" t="str">
        <f ca="1">IF(OR(VLOOKUP($A159,MP,5,0)="月繳"),1,"")</f>
        <v/>
      </c>
      <c r="AO159" s="1">
        <f t="shared" ca="1" si="99"/>
        <v>0</v>
      </c>
      <c r="AP159" s="1" t="str">
        <f ca="1">IF(AND(A159&lt;=OP!$C$120,COUNTIF(PAY,C159)=1),1,"")</f>
        <v/>
      </c>
      <c r="AR159" s="301">
        <f ca="1">IF(繳費報酬率資料!$A$1=1,$AY159+$AZ159,$BF159+$BG159)</f>
        <v>0</v>
      </c>
      <c r="AS159" s="1">
        <f ca="1">IF(C159&lt;&gt;IF($C$3=1,12,$C$3-1),0,IF(繳費報酬率資料!$A$1&lt;&gt;1,VLOOKUP($A159,MP,8,0),IF(AND($A159&gt;=OP!$C$79,$A159&lt;=OP!$C$80),OP!$C$78,)))</f>
        <v>0</v>
      </c>
      <c r="AT159" s="298">
        <f t="shared" ca="1" si="100"/>
        <v>0</v>
      </c>
      <c r="AU159" s="298">
        <f ca="1">IF(AND(A159&lt;=OP!$C$120,COUNTIF(PAY,C159)=1),OP!$C$123,0)</f>
        <v>0</v>
      </c>
      <c r="AV159" s="298">
        <f ca="1">IF(AND(A159&gt;=OP!$C$132,A159&lt;=OP!$C$133,$C$3=C159),OP!$C$135,0)</f>
        <v>0</v>
      </c>
      <c r="AW159" s="180">
        <f t="shared" ca="1" si="101"/>
        <v>0.05</v>
      </c>
      <c r="AX159" s="180">
        <f t="shared" ca="1" si="102"/>
        <v>0.05</v>
      </c>
      <c r="AY159" s="286">
        <f t="shared" ca="1" si="103"/>
        <v>0</v>
      </c>
      <c r="AZ159" s="286">
        <f t="shared" ca="1" si="104"/>
        <v>0</v>
      </c>
      <c r="BA159" s="286">
        <f t="shared" ca="1" si="105"/>
        <v>0</v>
      </c>
      <c r="BB159" s="286">
        <f t="shared" ca="1" si="106"/>
        <v>0</v>
      </c>
      <c r="BC159" s="286">
        <f t="shared" ca="1" si="107"/>
        <v>0</v>
      </c>
      <c r="BD159" s="180">
        <f t="shared" ca="1" si="108"/>
        <v>0.05</v>
      </c>
      <c r="BE159" s="180">
        <f t="shared" ca="1" si="109"/>
        <v>0.05</v>
      </c>
      <c r="BF159" s="286">
        <f t="shared" ca="1" si="110"/>
        <v>0</v>
      </c>
      <c r="BG159" s="286">
        <f t="shared" ca="1" si="111"/>
        <v>0</v>
      </c>
    </row>
    <row r="160" spans="1:59">
      <c r="A160" s="1">
        <f t="shared" ca="1" si="91"/>
        <v>14</v>
      </c>
      <c r="B160" s="1">
        <f t="shared" ca="1" si="114"/>
        <v>119</v>
      </c>
      <c r="C160" s="1">
        <f t="shared" ca="1" si="115"/>
        <v>6</v>
      </c>
      <c r="D160" s="1">
        <f ca="1">MIN($D$3,VLOOKUP(C160,OP!$S$30:$T$41,2))</f>
        <v>2</v>
      </c>
      <c r="E160" s="1">
        <f t="shared" ca="1" si="116"/>
        <v>68</v>
      </c>
      <c r="F160" s="11" t="str">
        <f t="shared" ca="1" si="92"/>
        <v/>
      </c>
      <c r="G160" s="6">
        <f ca="1">DATEDIF(DATE(B160+1911,C160,D160),DATE(B172+1911,C172,D172),"d")</f>
        <v>365</v>
      </c>
      <c r="H160" s="8">
        <f t="shared" ca="1" si="93"/>
        <v>30</v>
      </c>
      <c r="I160" s="8" t="str">
        <f t="shared" ca="1" si="90"/>
        <v>146</v>
      </c>
      <c r="J160" s="13">
        <f>IF(繳費報酬率資料!$A$1=1,VALUE(OP!$C$121),VLOOKUP(A160,MP,2,0))</f>
        <v>0.05</v>
      </c>
      <c r="K160" s="14">
        <f ca="1">IF(SUM($K$4:K159,IF(繳費報酬率資料!$A$1=1,$AU160+$AV160,$BB160+$BC160))&gt;OP!$L$58,0,IF(繳費報酬率資料!$A$1=1,$AU160+$AV160,$BB160+$BC160))</f>
        <v>0</v>
      </c>
      <c r="L160" s="2"/>
      <c r="M160" s="2"/>
      <c r="N160" s="2"/>
      <c r="O160" s="261">
        <f t="shared" ca="1" si="94"/>
        <v>0</v>
      </c>
      <c r="P160" s="261">
        <f t="shared" ca="1" si="112"/>
        <v>0</v>
      </c>
      <c r="Q160" s="3">
        <f ca="1">IF(A160&gt;MAX(OP!$R$17:$R$26),0,VLOOKUP(A160,fees,3,FALSE))</f>
        <v>0</v>
      </c>
      <c r="R160" s="200" t="str">
        <f t="shared" ca="1" si="95"/>
        <v/>
      </c>
      <c r="S160" s="9" t="str">
        <f ca="1">IF(COUNTIF(($T$4:T159),"F")&gt;=1,"",IF(OR(C161&lt;&gt;$C$3,E160=""),"",A160))</f>
        <v/>
      </c>
      <c r="T160" s="20" t="str">
        <f t="shared" ca="1" si="117"/>
        <v/>
      </c>
      <c r="U160" s="2">
        <f ca="1">IF(IF(OP!$C$83=1,$Z159,IF(OP!$C$83=2,$AA159,IF(OP!$C$83=3,$AB159,)))+$K160-$O160-$P160-$AS160&lt;OP!$C$142,0,$AS160)</f>
        <v>0</v>
      </c>
      <c r="V160" s="9"/>
      <c r="W160" s="19">
        <f ca="1">MAX(SUM($K$4:K160),0)</f>
        <v>2000000</v>
      </c>
      <c r="X160" s="19"/>
      <c r="Y160" s="19">
        <f t="shared" ca="1" si="113"/>
        <v>1920000</v>
      </c>
      <c r="Z160" s="2">
        <f ca="1">IF(MIN($Z$4:Z159)=0,0,MAX(0,($Z159+$K160-$O160-$P160)*IF(AND(F160="F",$D$3&lt;&gt;$G$3),((1+(-J160))^(H160/MIN(G160,365))),((1+(-J160))^(1/12)))-$U160))</f>
        <v>981412.83005257498</v>
      </c>
      <c r="AA160" s="2">
        <f ca="1">IF(MIN($AA$4:AA159)=0,0,MAX(0,($AA159+$K160-$O160-$P160)*IF(AND(F160="F",$D$3&lt;&gt;$G$3),((1+$AA$1)^(H160/MIN(G160,365))),((1+$AA$1)^(1/12)))-$U160))</f>
        <v>1920000</v>
      </c>
      <c r="AB160" s="2">
        <f ca="1">IF(MIN($AB$4:AB159)=0,0,MAX(0,($AB159+$K160-$O160-$P160)*IF(AND(F160="F",$D$3&lt;&gt;$G$3),((1+(J160))^(H160/MIN(G160,365))),((1+(J160))^(1/12)))-$U160))</f>
        <v>3635196.4998558806</v>
      </c>
      <c r="AC160" s="21"/>
      <c r="AD160" s="21"/>
      <c r="AE160" s="21"/>
      <c r="AF160" s="282">
        <f t="shared" ca="1" si="96"/>
        <v>981413</v>
      </c>
      <c r="AG160" s="282">
        <f t="shared" ca="1" si="97"/>
        <v>1920000</v>
      </c>
      <c r="AH160" s="282">
        <f t="shared" ca="1" si="98"/>
        <v>3635196</v>
      </c>
      <c r="AI160" s="23" t="str">
        <f t="shared" ca="1" si="119"/>
        <v>14-2</v>
      </c>
      <c r="AJ160" s="281">
        <f ca="1">IF(E160&gt;111,,IF(AND(OP!$C$99=1,T160="F"),Z160,IF(AND(OP!$C$99=2,COUNTIF($T$4:T160,"F")=1),OP!$C$97+IF(F160="F",OP!$C$98,0),"")))</f>
        <v>54527</v>
      </c>
      <c r="AK160" s="281">
        <f ca="1">IF(E160&gt;111,,IF(AND(OP!$D$99=1,T160="F"),AA160,IF(AND(OP!$D$99=2,COUNTIF($T$4:T160,"F")=1),OP!$D$97+IF(F160="F",OP!$D$98,0),"")))</f>
        <v>74177</v>
      </c>
      <c r="AL160" s="281">
        <f ca="1">IF(E160&gt;111,,IF(AND(OP!$E$99=1,T160="F"),AB160,IF(AND(OP!$E$99=2,COUNTIF($T$4:T160,"F")=1),OP!$E$97+IF(F160="F",OP!$E$98,0),"")))</f>
        <v>99404</v>
      </c>
      <c r="AM160" s="1">
        <f t="shared" ca="1" si="88"/>
        <v>2</v>
      </c>
      <c r="AN160" s="1">
        <f ca="1">IF(OR(VLOOKUP($A160,MP,5,0)="年繳",VLOOKUP($A160,MP,5,0)="半年繳",VLOOKUP($A160,MP,5,0)="季繳",VLOOKUP($A160,MP,5,0)="月繳"),1,"")</f>
        <v>1</v>
      </c>
      <c r="AO160" s="1">
        <f t="shared" ca="1" si="99"/>
        <v>0</v>
      </c>
      <c r="AP160" s="1" t="str">
        <f ca="1">IF(AND(A160&lt;=OP!$C$120,COUNTIF(PAY,C160)=1),1,"")</f>
        <v/>
      </c>
      <c r="AR160" s="301">
        <f ca="1">IF(繳費報酬率資料!$A$1=1,$AY160+$AZ160,$BF160+$BG160)</f>
        <v>0</v>
      </c>
      <c r="AS160" s="1">
        <f ca="1">IF(C160&lt;&gt;IF($C$3=1,12,$C$3-1),0,IF(繳費報酬率資料!$A$1&lt;&gt;1,VLOOKUP($A160,MP,8,0),IF(AND($A160&gt;=OP!$C$79,$A160&lt;=OP!$C$80),OP!$C$78,)))</f>
        <v>0</v>
      </c>
      <c r="AT160" s="298">
        <f t="shared" ca="1" si="100"/>
        <v>0</v>
      </c>
      <c r="AU160" s="298">
        <f ca="1">IF(AND(A160&lt;=OP!$C$120,COUNTIF(PAY,C160)=1),OP!$C$123,0)</f>
        <v>0</v>
      </c>
      <c r="AV160" s="298">
        <f ca="1">IF(AND(A160&gt;=OP!$C$132,A160&lt;=OP!$C$133,$C$3=C160),OP!$C$135,0)</f>
        <v>0</v>
      </c>
      <c r="AW160" s="180">
        <f t="shared" ca="1" si="101"/>
        <v>0.05</v>
      </c>
      <c r="AX160" s="180">
        <f t="shared" ca="1" si="102"/>
        <v>0.05</v>
      </c>
      <c r="AY160" s="286">
        <f t="shared" ca="1" si="103"/>
        <v>0</v>
      </c>
      <c r="AZ160" s="286">
        <f t="shared" ca="1" si="104"/>
        <v>0</v>
      </c>
      <c r="BA160" s="286">
        <f t="shared" ca="1" si="105"/>
        <v>0</v>
      </c>
      <c r="BB160" s="286">
        <f t="shared" ca="1" si="106"/>
        <v>0</v>
      </c>
      <c r="BC160" s="286">
        <f t="shared" ca="1" si="107"/>
        <v>0</v>
      </c>
      <c r="BD160" s="180">
        <f t="shared" ca="1" si="108"/>
        <v>0.05</v>
      </c>
      <c r="BE160" s="180">
        <f t="shared" ca="1" si="109"/>
        <v>0.05</v>
      </c>
      <c r="BF160" s="286">
        <f t="shared" ca="1" si="110"/>
        <v>0</v>
      </c>
      <c r="BG160" s="286">
        <f t="shared" ca="1" si="111"/>
        <v>0</v>
      </c>
    </row>
    <row r="161" spans="1:59">
      <c r="A161" s="1">
        <f t="shared" ca="1" si="91"/>
        <v>14</v>
      </c>
      <c r="B161" s="1">
        <f t="shared" ca="1" si="114"/>
        <v>119</v>
      </c>
      <c r="C161" s="1">
        <f t="shared" ca="1" si="115"/>
        <v>7</v>
      </c>
      <c r="D161" s="1">
        <f ca="1">MIN($D$3,VLOOKUP(C161,OP!$S$30:$T$41,2))</f>
        <v>2</v>
      </c>
      <c r="E161" s="1">
        <f t="shared" ca="1" si="116"/>
        <v>68</v>
      </c>
      <c r="F161" s="11" t="str">
        <f t="shared" ca="1" si="92"/>
        <v/>
      </c>
      <c r="G161" s="8">
        <f t="shared" ref="G161:G171" ca="1" si="121">G160</f>
        <v>365</v>
      </c>
      <c r="H161" s="8">
        <f t="shared" ca="1" si="93"/>
        <v>31</v>
      </c>
      <c r="I161" s="8" t="str">
        <f t="shared" ca="1" si="90"/>
        <v>147</v>
      </c>
      <c r="J161" s="13">
        <f>IF(繳費報酬率資料!$A$1=1,VALUE(OP!$C$121),VLOOKUP(A161,MP,2,0))</f>
        <v>0.05</v>
      </c>
      <c r="K161" s="14">
        <f ca="1">IF(SUM($K$4:K160,IF(繳費報酬率資料!$A$1=1,$AU161+$AV161,$BB161+$BC161))&gt;OP!$L$58,0,IF(繳費報酬率資料!$A$1=1,$AU161+$AV161,$BB161+$BC161))</f>
        <v>0</v>
      </c>
      <c r="L161" s="2"/>
      <c r="M161" s="2"/>
      <c r="N161" s="2"/>
      <c r="O161" s="261">
        <f t="shared" ca="1" si="94"/>
        <v>0</v>
      </c>
      <c r="P161" s="261">
        <f t="shared" ca="1" si="112"/>
        <v>0</v>
      </c>
      <c r="Q161" s="3">
        <f ca="1">IF(A161&gt;MAX(OP!$R$17:$R$26),0,VLOOKUP(A161,fees,3,FALSE))</f>
        <v>0</v>
      </c>
      <c r="R161" s="200" t="str">
        <f t="shared" ca="1" si="95"/>
        <v/>
      </c>
      <c r="S161" s="9" t="str">
        <f ca="1">IF(COUNTIF(($T$4:T160),"F")&gt;=1,"",IF(OR(C162&lt;&gt;$C$3,E161=""),"",A161))</f>
        <v/>
      </c>
      <c r="T161" s="20" t="str">
        <f t="shared" ca="1" si="117"/>
        <v/>
      </c>
      <c r="U161" s="2">
        <f ca="1">IF(IF(OP!$C$83=1,$Z160,IF(OP!$C$83=2,$AA160,IF(OP!$C$83=3,$AB160,)))+$K161-$O161-$P161-$AS161&lt;OP!$C$142,0,$AS161)</f>
        <v>0</v>
      </c>
      <c r="V161" s="9"/>
      <c r="W161" s="19">
        <f ca="1">MAX(SUM($K$4:K161),0)</f>
        <v>2000000</v>
      </c>
      <c r="X161" s="19"/>
      <c r="Y161" s="19">
        <f t="shared" ca="1" si="113"/>
        <v>1920000</v>
      </c>
      <c r="Z161" s="2">
        <f ca="1">IF(MIN($Z$4:Z160)=0,0,MAX(0,($Z160+$K161-$O161-$P161)*IF(AND(F161="F",$D$3&lt;&gt;$G$3),((1+(-J161))^(H161/MIN(G161,365))),((1+(-J161))^(1/12)))-$U161))</f>
        <v>977226.79148001282</v>
      </c>
      <c r="AA161" s="2">
        <f ca="1">IF(MIN($AA$4:AA160)=0,0,MAX(0,($AA160+$K161-$O161-$P161)*IF(AND(F161="F",$D$3&lt;&gt;$G$3),((1+$AA$1)^(H161/MIN(G161,365))),((1+$AA$1)^(1/12)))-$U161))</f>
        <v>1920000</v>
      </c>
      <c r="AB161" s="2">
        <f ca="1">IF(MIN($AB$4:AB160)=0,0,MAX(0,($AB160+$K161-$O161-$P161)*IF(AND(F161="F",$D$3&lt;&gt;$G$3),((1+(J161))^(H161/MIN(G161,365))),((1+(J161))^(1/12)))-$U161))</f>
        <v>3650006.7403741786</v>
      </c>
      <c r="AC161" s="5"/>
      <c r="AD161" s="5"/>
      <c r="AE161" s="5"/>
      <c r="AF161" s="282">
        <f t="shared" ca="1" si="96"/>
        <v>977227</v>
      </c>
      <c r="AG161" s="282">
        <f t="shared" ca="1" si="97"/>
        <v>1920000</v>
      </c>
      <c r="AH161" s="282">
        <f t="shared" ca="1" si="98"/>
        <v>3650007</v>
      </c>
      <c r="AI161" s="23" t="str">
        <f t="shared" ca="1" si="119"/>
        <v>14-3</v>
      </c>
      <c r="AJ161" s="282">
        <f ca="1">IF(E161&gt;111,,IF(AND(OP!$C$99=1,T161="F"),Z161,IF(AND(OP!$C$99=2,COUNTIF($T$4:T161,"F")=1),OP!$C$97+IF(F161="F",OP!$C$98,0),"")))</f>
        <v>54527</v>
      </c>
      <c r="AK161" s="282">
        <f ca="1">IF(E161&gt;111,,IF(AND(OP!$D$99=1,T161="F"),AA161,IF(AND(OP!$D$99=2,COUNTIF($T$4:T161,"F")=1),OP!$D$97+IF(F161="F",OP!$D$98,0),"")))</f>
        <v>74177</v>
      </c>
      <c r="AL161" s="282">
        <f ca="1">IF(E161&gt;111,,IF(AND(OP!$E$99=1,T161="F"),AB161,IF(AND(OP!$E$99=2,COUNTIF($T$4:T161,"F")=1),OP!$E$97+IF(F161="F",OP!$E$98,0),"")))</f>
        <v>99404</v>
      </c>
      <c r="AM161" s="1">
        <f t="shared" ca="1" si="88"/>
        <v>3</v>
      </c>
      <c r="AN161" s="1" t="str">
        <f ca="1">IF(OR(VLOOKUP($A161,MP,5,0)="月繳"),1,"")</f>
        <v/>
      </c>
      <c r="AO161" s="1">
        <f t="shared" ca="1" si="99"/>
        <v>0</v>
      </c>
      <c r="AP161" s="1" t="str">
        <f ca="1">IF(AND(A161&lt;=OP!$C$120,COUNTIF(PAY,C161)=1),1,"")</f>
        <v/>
      </c>
      <c r="AR161" s="301">
        <f ca="1">IF(繳費報酬率資料!$A$1=1,$AY161+$AZ161,$BF161+$BG161)</f>
        <v>0</v>
      </c>
      <c r="AS161" s="1">
        <f ca="1">IF(C161&lt;&gt;IF($C$3=1,12,$C$3-1),0,IF(繳費報酬率資料!$A$1&lt;&gt;1,VLOOKUP($A161,MP,8,0),IF(AND($A161&gt;=OP!$C$79,$A161&lt;=OP!$C$80),OP!$C$78,)))</f>
        <v>0</v>
      </c>
      <c r="AT161" s="298">
        <f t="shared" ca="1" si="100"/>
        <v>0</v>
      </c>
      <c r="AU161" s="298">
        <f ca="1">IF(AND(A161&lt;=OP!$C$120,COUNTIF(PAY,C161)=1),OP!$C$123,0)</f>
        <v>0</v>
      </c>
      <c r="AV161" s="298">
        <f ca="1">IF(AND(A161&gt;=OP!$C$132,A161&lt;=OP!$C$133,$C$3=C161),OP!$C$135,0)</f>
        <v>0</v>
      </c>
      <c r="AW161" s="180">
        <f t="shared" ca="1" si="101"/>
        <v>0.05</v>
      </c>
      <c r="AX161" s="180">
        <f t="shared" ca="1" si="102"/>
        <v>0.05</v>
      </c>
      <c r="AY161" s="286">
        <f t="shared" ca="1" si="103"/>
        <v>0</v>
      </c>
      <c r="AZ161" s="286">
        <f t="shared" ca="1" si="104"/>
        <v>0</v>
      </c>
      <c r="BA161" s="286">
        <f t="shared" ca="1" si="105"/>
        <v>0</v>
      </c>
      <c r="BB161" s="286">
        <f t="shared" ca="1" si="106"/>
        <v>0</v>
      </c>
      <c r="BC161" s="286">
        <f t="shared" ca="1" si="107"/>
        <v>0</v>
      </c>
      <c r="BD161" s="180">
        <f t="shared" ca="1" si="108"/>
        <v>0.05</v>
      </c>
      <c r="BE161" s="180">
        <f t="shared" ca="1" si="109"/>
        <v>0.05</v>
      </c>
      <c r="BF161" s="286">
        <f t="shared" ca="1" si="110"/>
        <v>0</v>
      </c>
      <c r="BG161" s="286">
        <f t="shared" ca="1" si="111"/>
        <v>0</v>
      </c>
    </row>
    <row r="162" spans="1:59">
      <c r="A162" s="1">
        <f t="shared" ca="1" si="91"/>
        <v>14</v>
      </c>
      <c r="B162" s="1">
        <f t="shared" ca="1" si="114"/>
        <v>119</v>
      </c>
      <c r="C162" s="1">
        <f t="shared" ca="1" si="115"/>
        <v>8</v>
      </c>
      <c r="D162" s="1">
        <f ca="1">MIN($D$3,VLOOKUP(C162,OP!$S$30:$T$41,2))</f>
        <v>2</v>
      </c>
      <c r="E162" s="1">
        <f t="shared" ca="1" si="116"/>
        <v>68</v>
      </c>
      <c r="F162" s="11" t="str">
        <f t="shared" ca="1" si="92"/>
        <v/>
      </c>
      <c r="G162" s="8">
        <f t="shared" ca="1" si="121"/>
        <v>365</v>
      </c>
      <c r="H162" s="8">
        <f t="shared" ca="1" si="93"/>
        <v>31</v>
      </c>
      <c r="I162" s="8" t="str">
        <f t="shared" ca="1" si="90"/>
        <v>148</v>
      </c>
      <c r="J162" s="13">
        <f>IF(繳費報酬率資料!$A$1=1,VALUE(OP!$C$121),VLOOKUP(A162,MP,2,0))</f>
        <v>0.05</v>
      </c>
      <c r="K162" s="14">
        <f ca="1">IF(SUM($K$4:K161,IF(繳費報酬率資料!$A$1=1,$AU162+$AV162,$BB162+$BC162))&gt;OP!$L$58,0,IF(繳費報酬率資料!$A$1=1,$AU162+$AV162,$BB162+$BC162))</f>
        <v>0</v>
      </c>
      <c r="L162" s="2"/>
      <c r="M162" s="2"/>
      <c r="N162" s="2"/>
      <c r="O162" s="261">
        <f t="shared" ca="1" si="94"/>
        <v>0</v>
      </c>
      <c r="P162" s="261">
        <f t="shared" ca="1" si="112"/>
        <v>0</v>
      </c>
      <c r="Q162" s="3">
        <f ca="1">IF(A162&gt;MAX(OP!$R$17:$R$26),0,VLOOKUP(A162,fees,3,FALSE))</f>
        <v>0</v>
      </c>
      <c r="R162" s="200" t="str">
        <f t="shared" ca="1" si="95"/>
        <v/>
      </c>
      <c r="S162" s="9" t="str">
        <f ca="1">IF(COUNTIF(($T$4:T161),"F")&gt;=1,"",IF(OR(C163&lt;&gt;$C$3,E162=""),"",A162))</f>
        <v/>
      </c>
      <c r="T162" s="20" t="str">
        <f t="shared" ca="1" si="117"/>
        <v/>
      </c>
      <c r="U162" s="2">
        <f ca="1">IF(IF(OP!$C$83=1,$Z161,IF(OP!$C$83=2,$AA161,IF(OP!$C$83=3,$AB161,)))+$K162-$O162-$P162-$AS162&lt;OP!$C$142,0,$AS162)</f>
        <v>0</v>
      </c>
      <c r="V162" s="9"/>
      <c r="W162" s="19">
        <f ca="1">MAX(SUM($K$4:K162),0)</f>
        <v>2000000</v>
      </c>
      <c r="X162" s="19"/>
      <c r="Y162" s="19">
        <f t="shared" ca="1" si="113"/>
        <v>1920000</v>
      </c>
      <c r="Z162" s="2">
        <f ca="1">IF(MIN($Z$4:Z161)=0,0,MAX(0,($Z161+$K162-$O162-$P162)*IF(AND(F162="F",$D$3&lt;&gt;$G$3),((1+(-J162))^(H162/MIN(G162,365))),((1+(-J162))^(1/12)))-$U162))</f>
        <v>973058.60769637779</v>
      </c>
      <c r="AA162" s="2">
        <f ca="1">IF(MIN($AA$4:AA161)=0,0,MAX(0,($AA161+$K162-$O162-$P162)*IF(AND(F162="F",$D$3&lt;&gt;$G$3),((1+$AA$1)^(H162/MIN(G162,365))),((1+$AA$1)^(1/12)))-$U162))</f>
        <v>1920000</v>
      </c>
      <c r="AB162" s="2">
        <f ca="1">IF(MIN($AB$4:AB161)=0,0,MAX(0,($AB161+$K162-$O162-$P162)*IF(AND(F162="F",$D$3&lt;&gt;$G$3),((1+(J162))^(H162/MIN(G162,365))),((1+(J162))^(1/12)))-$U162))</f>
        <v>3664877.3196456139</v>
      </c>
      <c r="AC162" s="5"/>
      <c r="AD162" s="5"/>
      <c r="AE162" s="5"/>
      <c r="AF162" s="282">
        <f t="shared" ca="1" si="96"/>
        <v>973059</v>
      </c>
      <c r="AG162" s="282">
        <f t="shared" ca="1" si="97"/>
        <v>1920000</v>
      </c>
      <c r="AH162" s="282">
        <f t="shared" ca="1" si="98"/>
        <v>3664877</v>
      </c>
      <c r="AI162" s="23" t="str">
        <f t="shared" ca="1" si="119"/>
        <v>14-4</v>
      </c>
      <c r="AJ162" s="282">
        <f ca="1">IF(E162&gt;111,,IF(AND(OP!$C$99=1,T162="F"),Z162,IF(AND(OP!$C$99=2,COUNTIF($T$4:T162,"F")=1),OP!$C$97+IF(F162="F",OP!$C$98,0),"")))</f>
        <v>54527</v>
      </c>
      <c r="AK162" s="282">
        <f ca="1">IF(E162&gt;111,,IF(AND(OP!$D$99=1,T162="F"),AA162,IF(AND(OP!$D$99=2,COUNTIF($T$4:T162,"F")=1),OP!$D$97+IF(F162="F",OP!$D$98,0),"")))</f>
        <v>74177</v>
      </c>
      <c r="AL162" s="282">
        <f ca="1">IF(E162&gt;111,,IF(AND(OP!$E$99=1,T162="F"),AB162,IF(AND(OP!$E$99=2,COUNTIF($T$4:T162,"F")=1),OP!$E$97+IF(F162="F",OP!$E$98,0),"")))</f>
        <v>99404</v>
      </c>
      <c r="AM162" s="1">
        <f t="shared" ca="1" si="88"/>
        <v>4</v>
      </c>
      <c r="AN162" s="1" t="str">
        <f ca="1">IF(OR(VLOOKUP($A162,MP,5,0)="月繳"),1,"")</f>
        <v/>
      </c>
      <c r="AO162" s="1">
        <f t="shared" ca="1" si="99"/>
        <v>0</v>
      </c>
      <c r="AP162" s="1" t="str">
        <f ca="1">IF(AND(A162&lt;=OP!$C$120,COUNTIF(PAY,C162)=1),1,"")</f>
        <v/>
      </c>
      <c r="AR162" s="301">
        <f ca="1">IF(繳費報酬率資料!$A$1=1,$AY162+$AZ162,$BF162+$BG162)</f>
        <v>0</v>
      </c>
      <c r="AS162" s="1">
        <f ca="1">IF(C162&lt;&gt;IF($C$3=1,12,$C$3-1),0,IF(繳費報酬率資料!$A$1&lt;&gt;1,VLOOKUP($A162,MP,8,0),IF(AND($A162&gt;=OP!$C$79,$A162&lt;=OP!$C$80),OP!$C$78,)))</f>
        <v>0</v>
      </c>
      <c r="AT162" s="298">
        <f t="shared" ca="1" si="100"/>
        <v>0</v>
      </c>
      <c r="AU162" s="298">
        <f ca="1">IF(AND(A162&lt;=OP!$C$120,COUNTIF(PAY,C162)=1),OP!$C$123,0)</f>
        <v>0</v>
      </c>
      <c r="AV162" s="298">
        <f ca="1">IF(AND(A162&gt;=OP!$C$132,A162&lt;=OP!$C$133,$C$3=C162),OP!$C$135,0)</f>
        <v>0</v>
      </c>
      <c r="AW162" s="180">
        <f t="shared" ca="1" si="101"/>
        <v>0.05</v>
      </c>
      <c r="AX162" s="180">
        <f t="shared" ca="1" si="102"/>
        <v>0.05</v>
      </c>
      <c r="AY162" s="286">
        <f t="shared" ca="1" si="103"/>
        <v>0</v>
      </c>
      <c r="AZ162" s="286">
        <f t="shared" ca="1" si="104"/>
        <v>0</v>
      </c>
      <c r="BA162" s="286">
        <f t="shared" ca="1" si="105"/>
        <v>0</v>
      </c>
      <c r="BB162" s="286">
        <f t="shared" ca="1" si="106"/>
        <v>0</v>
      </c>
      <c r="BC162" s="286">
        <f t="shared" ca="1" si="107"/>
        <v>0</v>
      </c>
      <c r="BD162" s="180">
        <f t="shared" ca="1" si="108"/>
        <v>0.05</v>
      </c>
      <c r="BE162" s="180">
        <f t="shared" ca="1" si="109"/>
        <v>0.05</v>
      </c>
      <c r="BF162" s="286">
        <f t="shared" ca="1" si="110"/>
        <v>0</v>
      </c>
      <c r="BG162" s="286">
        <f t="shared" ca="1" si="111"/>
        <v>0</v>
      </c>
    </row>
    <row r="163" spans="1:59">
      <c r="A163" s="1">
        <f t="shared" ca="1" si="91"/>
        <v>14</v>
      </c>
      <c r="B163" s="1">
        <f t="shared" ca="1" si="114"/>
        <v>119</v>
      </c>
      <c r="C163" s="1">
        <f t="shared" ca="1" si="115"/>
        <v>9</v>
      </c>
      <c r="D163" s="1">
        <f ca="1">MIN($D$3,VLOOKUP(C163,OP!$S$30:$T$41,2))</f>
        <v>2</v>
      </c>
      <c r="E163" s="1">
        <f t="shared" ca="1" si="116"/>
        <v>68</v>
      </c>
      <c r="F163" s="11" t="str">
        <f t="shared" ca="1" si="92"/>
        <v/>
      </c>
      <c r="G163" s="8">
        <f t="shared" ca="1" si="121"/>
        <v>365</v>
      </c>
      <c r="H163" s="8">
        <f t="shared" ca="1" si="93"/>
        <v>30</v>
      </c>
      <c r="I163" s="8" t="str">
        <f t="shared" ca="1" si="90"/>
        <v>149</v>
      </c>
      <c r="J163" s="13">
        <f>IF(繳費報酬率資料!$A$1=1,VALUE(OP!$C$121),VLOOKUP(A163,MP,2,0))</f>
        <v>0.05</v>
      </c>
      <c r="K163" s="14">
        <f ca="1">IF(SUM($K$4:K162,IF(繳費報酬率資料!$A$1=1,$AU163+$AV163,$BB163+$BC163))&gt;OP!$L$58,0,IF(繳費報酬率資料!$A$1=1,$AU163+$AV163,$BB163+$BC163))</f>
        <v>0</v>
      </c>
      <c r="L163" s="2"/>
      <c r="M163" s="2"/>
      <c r="N163" s="2"/>
      <c r="O163" s="261">
        <f t="shared" ca="1" si="94"/>
        <v>0</v>
      </c>
      <c r="P163" s="261">
        <f t="shared" ca="1" si="112"/>
        <v>0</v>
      </c>
      <c r="Q163" s="3">
        <f ca="1">IF(A163&gt;MAX(OP!$R$17:$R$26),0,VLOOKUP(A163,fees,3,FALSE))</f>
        <v>0</v>
      </c>
      <c r="R163" s="200" t="str">
        <f t="shared" ca="1" si="95"/>
        <v/>
      </c>
      <c r="S163" s="9" t="str">
        <f ca="1">IF(COUNTIF(($T$4:T162),"F")&gt;=1,"",IF(OR(C164&lt;&gt;$C$3,E163=""),"",A163))</f>
        <v/>
      </c>
      <c r="T163" s="20" t="str">
        <f t="shared" ca="1" si="117"/>
        <v/>
      </c>
      <c r="U163" s="2">
        <f ca="1">IF(IF(OP!$C$83=1,$Z162,IF(OP!$C$83=2,$AA162,IF(OP!$C$83=3,$AB162,)))+$K163-$O163-$P163-$AS163&lt;OP!$C$142,0,$AS163)</f>
        <v>0</v>
      </c>
      <c r="V163" s="9"/>
      <c r="W163" s="19">
        <f ca="1">MAX(SUM($K$4:K163),0)</f>
        <v>2000000</v>
      </c>
      <c r="X163" s="19"/>
      <c r="Y163" s="19">
        <f t="shared" ca="1" si="113"/>
        <v>1920000</v>
      </c>
      <c r="Z163" s="2">
        <f ca="1">IF(MIN($Z$4:Z162)=0,0,MAX(0,($Z162+$K163-$O163-$P163)*IF(AND(F163="F",$D$3&lt;&gt;$G$3),((1+(-J163))^(H163/MIN(G163,365))),((1+(-J163))^(1/12)))-$U163))</f>
        <v>968908.20254530339</v>
      </c>
      <c r="AA163" s="2">
        <f ca="1">IF(MIN($AA$4:AA162)=0,0,MAX(0,($AA162+$K163-$O163-$P163)*IF(AND(F163="F",$D$3&lt;&gt;$G$3),((1+$AA$1)^(H163/MIN(G163,365))),((1+$AA$1)^(1/12)))-$U163))</f>
        <v>1920000</v>
      </c>
      <c r="AB163" s="2">
        <f ca="1">IF(MIN($AB$4:AB162)=0,0,MAX(0,($AB162+$K163-$O163-$P163)*IF(AND(F163="F",$D$3&lt;&gt;$G$3),((1+(J163))^(H163/MIN(G163,365))),((1+(J163))^(1/12)))-$U163))</f>
        <v>3679808.4834977356</v>
      </c>
      <c r="AC163" s="5"/>
      <c r="AD163" s="5"/>
      <c r="AE163" s="5"/>
      <c r="AF163" s="282">
        <f t="shared" ca="1" si="96"/>
        <v>968908</v>
      </c>
      <c r="AG163" s="282">
        <f t="shared" ca="1" si="97"/>
        <v>1920000</v>
      </c>
      <c r="AH163" s="282">
        <f t="shared" ca="1" si="98"/>
        <v>3679808</v>
      </c>
      <c r="AI163" s="23" t="str">
        <f t="shared" ca="1" si="119"/>
        <v>14-5</v>
      </c>
      <c r="AJ163" s="282">
        <f ca="1">IF(E163&gt;111,,IF(AND(OP!$C$99=1,T163="F"),Z163,IF(AND(OP!$C$99=2,COUNTIF($T$4:T163,"F")=1),OP!$C$97+IF(F163="F",OP!$C$98,0),"")))</f>
        <v>54527</v>
      </c>
      <c r="AK163" s="282">
        <f ca="1">IF(E163&gt;111,,IF(AND(OP!$D$99=1,T163="F"),AA163,IF(AND(OP!$D$99=2,COUNTIF($T$4:T163,"F")=1),OP!$D$97+IF(F163="F",OP!$D$98,0),"")))</f>
        <v>74177</v>
      </c>
      <c r="AL163" s="282">
        <f ca="1">IF(E163&gt;111,,IF(AND(OP!$E$99=1,T163="F"),AB163,IF(AND(OP!$E$99=2,COUNTIF($T$4:T163,"F")=1),OP!$E$97+IF(F163="F",OP!$E$98,0),"")))</f>
        <v>99404</v>
      </c>
      <c r="AM163" s="1">
        <f t="shared" ca="1" si="88"/>
        <v>5</v>
      </c>
      <c r="AN163" s="1" t="str">
        <f ca="1">IF(OR(VLOOKUP($A163,MP,5,0)="季繳",VLOOKUP($A163,MP,5,0)="月繳"),1,"")</f>
        <v/>
      </c>
      <c r="AO163" s="1">
        <f t="shared" ca="1" si="99"/>
        <v>0</v>
      </c>
      <c r="AP163" s="1" t="str">
        <f ca="1">IF(AND(A163&lt;=OP!$C$120,COUNTIF(PAY,C163)=1),1,"")</f>
        <v/>
      </c>
      <c r="AR163" s="301">
        <f ca="1">IF(繳費報酬率資料!$A$1=1,$AY163+$AZ163,$BF163+$BG163)</f>
        <v>0</v>
      </c>
      <c r="AS163" s="1">
        <f ca="1">IF(C163&lt;&gt;IF($C$3=1,12,$C$3-1),0,IF(繳費報酬率資料!$A$1&lt;&gt;1,VLOOKUP($A163,MP,8,0),IF(AND($A163&gt;=OP!$C$79,$A163&lt;=OP!$C$80),OP!$C$78,)))</f>
        <v>0</v>
      </c>
      <c r="AT163" s="298">
        <f t="shared" ca="1" si="100"/>
        <v>0</v>
      </c>
      <c r="AU163" s="298">
        <f ca="1">IF(AND(A163&lt;=OP!$C$120,COUNTIF(PAY,C163)=1),OP!$C$123,0)</f>
        <v>0</v>
      </c>
      <c r="AV163" s="298">
        <f ca="1">IF(AND(A163&gt;=OP!$C$132,A163&lt;=OP!$C$133,$C$3=C163),OP!$C$135,0)</f>
        <v>0</v>
      </c>
      <c r="AW163" s="180">
        <f t="shared" ca="1" si="101"/>
        <v>0.05</v>
      </c>
      <c r="AX163" s="180">
        <f t="shared" ca="1" si="102"/>
        <v>0.05</v>
      </c>
      <c r="AY163" s="286">
        <f t="shared" ca="1" si="103"/>
        <v>0</v>
      </c>
      <c r="AZ163" s="286">
        <f t="shared" ca="1" si="104"/>
        <v>0</v>
      </c>
      <c r="BA163" s="286">
        <f t="shared" ca="1" si="105"/>
        <v>0</v>
      </c>
      <c r="BB163" s="286">
        <f t="shared" ca="1" si="106"/>
        <v>0</v>
      </c>
      <c r="BC163" s="286">
        <f t="shared" ca="1" si="107"/>
        <v>0</v>
      </c>
      <c r="BD163" s="180">
        <f t="shared" ca="1" si="108"/>
        <v>0.05</v>
      </c>
      <c r="BE163" s="180">
        <f t="shared" ca="1" si="109"/>
        <v>0.05</v>
      </c>
      <c r="BF163" s="286">
        <f t="shared" ca="1" si="110"/>
        <v>0</v>
      </c>
      <c r="BG163" s="286">
        <f t="shared" ca="1" si="111"/>
        <v>0</v>
      </c>
    </row>
    <row r="164" spans="1:59">
      <c r="A164" s="1">
        <f t="shared" ca="1" si="91"/>
        <v>14</v>
      </c>
      <c r="B164" s="1">
        <f t="shared" ca="1" si="114"/>
        <v>119</v>
      </c>
      <c r="C164" s="1">
        <f t="shared" ca="1" si="115"/>
        <v>10</v>
      </c>
      <c r="D164" s="1">
        <f ca="1">MIN($D$3,VLOOKUP(C164,OP!$S$30:$T$41,2))</f>
        <v>2</v>
      </c>
      <c r="E164" s="1">
        <f t="shared" ca="1" si="116"/>
        <v>68</v>
      </c>
      <c r="F164" s="11" t="str">
        <f t="shared" ca="1" si="92"/>
        <v/>
      </c>
      <c r="G164" s="8">
        <f t="shared" ca="1" si="121"/>
        <v>365</v>
      </c>
      <c r="H164" s="8">
        <f t="shared" ca="1" si="93"/>
        <v>31</v>
      </c>
      <c r="I164" s="8" t="str">
        <f t="shared" ca="1" si="90"/>
        <v>1410</v>
      </c>
      <c r="J164" s="13">
        <f>IF(繳費報酬率資料!$A$1=1,VALUE(OP!$C$121),VLOOKUP(A164,MP,2,0))</f>
        <v>0.05</v>
      </c>
      <c r="K164" s="14">
        <f ca="1">IF(SUM($K$4:K163,IF(繳費報酬率資料!$A$1=1,$AU164+$AV164,$BB164+$BC164))&gt;OP!$L$58,0,IF(繳費報酬率資料!$A$1=1,$AU164+$AV164,$BB164+$BC164))</f>
        <v>0</v>
      </c>
      <c r="L164" s="2"/>
      <c r="M164" s="2"/>
      <c r="N164" s="2"/>
      <c r="O164" s="261">
        <f t="shared" ca="1" si="94"/>
        <v>0</v>
      </c>
      <c r="P164" s="261">
        <f t="shared" ca="1" si="112"/>
        <v>0</v>
      </c>
      <c r="Q164" s="3">
        <f ca="1">IF(A164&gt;MAX(OP!$R$17:$R$26),0,VLOOKUP(A164,fees,3,FALSE))</f>
        <v>0</v>
      </c>
      <c r="R164" s="200" t="str">
        <f t="shared" ca="1" si="95"/>
        <v/>
      </c>
      <c r="S164" s="9" t="str">
        <f ca="1">IF(COUNTIF(($T$4:T163),"F")&gt;=1,"",IF(OR(C165&lt;&gt;$C$3,E164=""),"",A164))</f>
        <v/>
      </c>
      <c r="T164" s="20" t="str">
        <f t="shared" ca="1" si="117"/>
        <v/>
      </c>
      <c r="U164" s="2">
        <f ca="1">IF(IF(OP!$C$83=1,$Z163,IF(OP!$C$83=2,$AA163,IF(OP!$C$83=3,$AB163,)))+$K164-$O164-$P164-$AS164&lt;OP!$C$142,0,$AS164)</f>
        <v>0</v>
      </c>
      <c r="V164" s="9"/>
      <c r="W164" s="19">
        <f ca="1">MAX(SUM($K$4:K164),0)</f>
        <v>2000000</v>
      </c>
      <c r="X164" s="19"/>
      <c r="Y164" s="19">
        <f t="shared" ca="1" si="113"/>
        <v>1920000</v>
      </c>
      <c r="Z164" s="2">
        <f ca="1">IF(MIN($Z$4:Z163)=0,0,MAX(0,($Z163+$K164-$O164-$P164)*IF(AND(F164="F",$D$3&lt;&gt;$G$3),((1+(-J164))^(H164/MIN(G164,365))),((1+(-J164))^(1/12)))-$U164))</f>
        <v>964775.50019525434</v>
      </c>
      <c r="AA164" s="2">
        <f ca="1">IF(MIN($AA$4:AA163)=0,0,MAX(0,($AA163+$K164-$O164-$P164)*IF(AND(F164="F",$D$3&lt;&gt;$G$3),((1+$AA$1)^(H164/MIN(G164,365))),((1+$AA$1)^(1/12)))-$U164))</f>
        <v>1920000</v>
      </c>
      <c r="AB164" s="2">
        <f ca="1">IF(MIN($AB$4:AB163)=0,0,MAX(0,($AB163+$K164-$O164-$P164)*IF(AND(F164="F",$D$3&lt;&gt;$G$3),((1+(J164))^(H164/MIN(G164,365))),((1+(J164))^(1/12)))-$U164))</f>
        <v>3694800.4787596245</v>
      </c>
      <c r="AC164" s="5"/>
      <c r="AD164" s="5"/>
      <c r="AE164" s="5"/>
      <c r="AF164" s="282">
        <f t="shared" ca="1" si="96"/>
        <v>964776</v>
      </c>
      <c r="AG164" s="282">
        <f t="shared" ca="1" si="97"/>
        <v>1920000</v>
      </c>
      <c r="AH164" s="282">
        <f t="shared" ca="1" si="98"/>
        <v>3694800</v>
      </c>
      <c r="AI164" s="23" t="str">
        <f t="shared" ca="1" si="119"/>
        <v>14-6</v>
      </c>
      <c r="AJ164" s="282">
        <f ca="1">IF(E164&gt;111,,IF(AND(OP!$C$99=1,T164="F"),Z164,IF(AND(OP!$C$99=2,COUNTIF($T$4:T164,"F")=1),OP!$C$97+IF(F164="F",OP!$C$98,0),"")))</f>
        <v>54527</v>
      </c>
      <c r="AK164" s="282">
        <f ca="1">IF(E164&gt;111,,IF(AND(OP!$D$99=1,T164="F"),AA164,IF(AND(OP!$D$99=2,COUNTIF($T$4:T164,"F")=1),OP!$D$97+IF(F164="F",OP!$D$98,0),"")))</f>
        <v>74177</v>
      </c>
      <c r="AL164" s="282">
        <f ca="1">IF(E164&gt;111,,IF(AND(OP!$E$99=1,T164="F"),AB164,IF(AND(OP!$E$99=2,COUNTIF($T$4:T164,"F")=1),OP!$E$97+IF(F164="F",OP!$E$98,0),"")))</f>
        <v>99404</v>
      </c>
      <c r="AM164" s="1">
        <f t="shared" ca="1" si="88"/>
        <v>6</v>
      </c>
      <c r="AN164" s="1" t="str">
        <f ca="1">IF(OR(VLOOKUP($A164,MP,5,0)="月繳"),1,"")</f>
        <v/>
      </c>
      <c r="AO164" s="1">
        <f t="shared" ca="1" si="99"/>
        <v>0</v>
      </c>
      <c r="AP164" s="1" t="str">
        <f ca="1">IF(AND(A164&lt;=OP!$C$120,COUNTIF(PAY,C164)=1),1,"")</f>
        <v/>
      </c>
      <c r="AR164" s="301">
        <f ca="1">IF(繳費報酬率資料!$A$1=1,$AY164+$AZ164,$BF164+$BG164)</f>
        <v>0</v>
      </c>
      <c r="AS164" s="1">
        <f ca="1">IF(C164&lt;&gt;IF($C$3=1,12,$C$3-1),0,IF(繳費報酬率資料!$A$1&lt;&gt;1,VLOOKUP($A164,MP,8,0),IF(AND($A164&gt;=OP!$C$79,$A164&lt;=OP!$C$80),OP!$C$78,)))</f>
        <v>0</v>
      </c>
      <c r="AT164" s="298">
        <f t="shared" ca="1" si="100"/>
        <v>0</v>
      </c>
      <c r="AU164" s="298">
        <f ca="1">IF(AND(A164&lt;=OP!$C$120,COUNTIF(PAY,C164)=1),OP!$C$123,0)</f>
        <v>0</v>
      </c>
      <c r="AV164" s="298">
        <f ca="1">IF(AND(A164&gt;=OP!$C$132,A164&lt;=OP!$C$133,$C$3=C164),OP!$C$135,0)</f>
        <v>0</v>
      </c>
      <c r="AW164" s="180">
        <f t="shared" ca="1" si="101"/>
        <v>0.05</v>
      </c>
      <c r="AX164" s="180">
        <f t="shared" ca="1" si="102"/>
        <v>0.05</v>
      </c>
      <c r="AY164" s="286">
        <f t="shared" ca="1" si="103"/>
        <v>0</v>
      </c>
      <c r="AZ164" s="286">
        <f t="shared" ca="1" si="104"/>
        <v>0</v>
      </c>
      <c r="BA164" s="286">
        <f t="shared" ca="1" si="105"/>
        <v>0</v>
      </c>
      <c r="BB164" s="286">
        <f t="shared" ca="1" si="106"/>
        <v>0</v>
      </c>
      <c r="BC164" s="286">
        <f t="shared" ca="1" si="107"/>
        <v>0</v>
      </c>
      <c r="BD164" s="180">
        <f t="shared" ca="1" si="108"/>
        <v>0.05</v>
      </c>
      <c r="BE164" s="180">
        <f t="shared" ca="1" si="109"/>
        <v>0.05</v>
      </c>
      <c r="BF164" s="286">
        <f t="shared" ca="1" si="110"/>
        <v>0</v>
      </c>
      <c r="BG164" s="286">
        <f t="shared" ca="1" si="111"/>
        <v>0</v>
      </c>
    </row>
    <row r="165" spans="1:59">
      <c r="A165" s="1">
        <f t="shared" ca="1" si="91"/>
        <v>14</v>
      </c>
      <c r="B165" s="1">
        <f t="shared" ca="1" si="114"/>
        <v>119</v>
      </c>
      <c r="C165" s="1">
        <f t="shared" ca="1" si="115"/>
        <v>11</v>
      </c>
      <c r="D165" s="1">
        <f ca="1">MIN($D$3,VLOOKUP(C165,OP!$S$30:$T$41,2))</f>
        <v>2</v>
      </c>
      <c r="E165" s="1">
        <f t="shared" ca="1" si="116"/>
        <v>68</v>
      </c>
      <c r="F165" s="11" t="str">
        <f t="shared" ca="1" si="92"/>
        <v/>
      </c>
      <c r="G165" s="8">
        <f t="shared" ca="1" si="121"/>
        <v>365</v>
      </c>
      <c r="H165" s="8">
        <f t="shared" ca="1" si="93"/>
        <v>30</v>
      </c>
      <c r="I165" s="8" t="str">
        <f t="shared" ca="1" si="90"/>
        <v>1411</v>
      </c>
      <c r="J165" s="13">
        <f>IF(繳費報酬率資料!$A$1=1,VALUE(OP!$C$121),VLOOKUP(A165,MP,2,0))</f>
        <v>0.05</v>
      </c>
      <c r="K165" s="14">
        <f ca="1">IF(SUM($K$4:K164,IF(繳費報酬率資料!$A$1=1,$AU165+$AV165,$BB165+$BC165))&gt;OP!$L$58,0,IF(繳費報酬率資料!$A$1=1,$AU165+$AV165,$BB165+$BC165))</f>
        <v>0</v>
      </c>
      <c r="L165" s="2"/>
      <c r="M165" s="2"/>
      <c r="N165" s="2"/>
      <c r="O165" s="261">
        <f t="shared" ca="1" si="94"/>
        <v>0</v>
      </c>
      <c r="P165" s="261">
        <f t="shared" ca="1" si="112"/>
        <v>0</v>
      </c>
      <c r="Q165" s="3">
        <f ca="1">IF(A165&gt;MAX(OP!$R$17:$R$26),0,VLOOKUP(A165,fees,3,FALSE))</f>
        <v>0</v>
      </c>
      <c r="R165" s="200" t="str">
        <f t="shared" ca="1" si="95"/>
        <v/>
      </c>
      <c r="S165" s="9" t="str">
        <f ca="1">IF(COUNTIF(($T$4:T164),"F")&gt;=1,"",IF(OR(C166&lt;&gt;$C$3,E165=""),"",A165))</f>
        <v/>
      </c>
      <c r="T165" s="20" t="str">
        <f t="shared" ca="1" si="117"/>
        <v/>
      </c>
      <c r="U165" s="2">
        <f ca="1">IF(IF(OP!$C$83=1,$Z164,IF(OP!$C$83=2,$AA164,IF(OP!$C$83=3,$AB164,)))+$K165-$O165-$P165-$AS165&lt;OP!$C$142,0,$AS165)</f>
        <v>0</v>
      </c>
      <c r="V165" s="9"/>
      <c r="W165" s="19">
        <f ca="1">MAX(SUM($K$4:K165),0)</f>
        <v>2000000</v>
      </c>
      <c r="X165" s="19"/>
      <c r="Y165" s="19">
        <f t="shared" ca="1" si="113"/>
        <v>1920000</v>
      </c>
      <c r="Z165" s="2">
        <f ca="1">IF(MIN($Z$4:Z164)=0,0,MAX(0,($Z164+$K165-$O165-$P165)*IF(AND(F165="F",$D$3&lt;&gt;$G$3),((1+(-J165))^(H165/MIN(G165,365))),((1+(-J165))^(1/12)))-$U165))</f>
        <v>960660.42513814103</v>
      </c>
      <c r="AA165" s="2">
        <f ca="1">IF(MIN($AA$4:AA164)=0,0,MAX(0,($AA164+$K165-$O165-$P165)*IF(AND(F165="F",$D$3&lt;&gt;$G$3),((1+$AA$1)^(H165/MIN(G165,365))),((1+$AA$1)^(1/12)))-$U165))</f>
        <v>1920000</v>
      </c>
      <c r="AB165" s="2">
        <f ca="1">IF(MIN($AB$4:AB164)=0,0,MAX(0,($AB164+$K165-$O165-$P165)*IF(AND(F165="F",$D$3&lt;&gt;$G$3),((1+(J165))^(H165/MIN(G165,365))),((1+(J165))^(1/12)))-$U165))</f>
        <v>3709853.5532659744</v>
      </c>
      <c r="AC165" s="5"/>
      <c r="AD165" s="5"/>
      <c r="AE165" s="5"/>
      <c r="AF165" s="282">
        <f t="shared" ca="1" si="96"/>
        <v>960660</v>
      </c>
      <c r="AG165" s="282">
        <f t="shared" ca="1" si="97"/>
        <v>1920000</v>
      </c>
      <c r="AH165" s="282">
        <f t="shared" ca="1" si="98"/>
        <v>3709854</v>
      </c>
      <c r="AI165" s="23" t="str">
        <f t="shared" ca="1" si="119"/>
        <v>14-7</v>
      </c>
      <c r="AJ165" s="282">
        <f ca="1">IF(E165&gt;111,,IF(AND(OP!$C$99=1,T165="F"),Z165,IF(AND(OP!$C$99=2,COUNTIF($T$4:T165,"F")=1),OP!$C$97+IF(F165="F",OP!$C$98,0),"")))</f>
        <v>54527</v>
      </c>
      <c r="AK165" s="282">
        <f ca="1">IF(E165&gt;111,,IF(AND(OP!$D$99=1,T165="F"),AA165,IF(AND(OP!$D$99=2,COUNTIF($T$4:T165,"F")=1),OP!$D$97+IF(F165="F",OP!$D$98,0),"")))</f>
        <v>74177</v>
      </c>
      <c r="AL165" s="282">
        <f ca="1">IF(E165&gt;111,,IF(AND(OP!$E$99=1,T165="F"),AB165,IF(AND(OP!$E$99=2,COUNTIF($T$4:T165,"F")=1),OP!$E$97+IF(F165="F",OP!$E$98,0),"")))</f>
        <v>99404</v>
      </c>
      <c r="AM165" s="1">
        <f t="shared" ca="1" si="88"/>
        <v>7</v>
      </c>
      <c r="AN165" s="1" t="str">
        <f ca="1">IF(OR(VLOOKUP($A165,MP,5,0)="月繳"),1,"")</f>
        <v/>
      </c>
      <c r="AO165" s="1">
        <f t="shared" ca="1" si="99"/>
        <v>0</v>
      </c>
      <c r="AP165" s="1" t="str">
        <f ca="1">IF(AND(A165&lt;=OP!$C$120,COUNTIF(PAY,C165)=1),1,"")</f>
        <v/>
      </c>
      <c r="AR165" s="301">
        <f ca="1">IF(繳費報酬率資料!$A$1=1,$AY165+$AZ165,$BF165+$BG165)</f>
        <v>0</v>
      </c>
      <c r="AS165" s="1">
        <f ca="1">IF(C165&lt;&gt;IF($C$3=1,12,$C$3-1),0,IF(繳費報酬率資料!$A$1&lt;&gt;1,VLOOKUP($A165,MP,8,0),IF(AND($A165&gt;=OP!$C$79,$A165&lt;=OP!$C$80),OP!$C$78,)))</f>
        <v>0</v>
      </c>
      <c r="AT165" s="298">
        <f t="shared" ca="1" si="100"/>
        <v>0</v>
      </c>
      <c r="AU165" s="298">
        <f ca="1">IF(AND(A165&lt;=OP!$C$120,COUNTIF(PAY,C165)=1),OP!$C$123,0)</f>
        <v>0</v>
      </c>
      <c r="AV165" s="298">
        <f ca="1">IF(AND(A165&gt;=OP!$C$132,A165&lt;=OP!$C$133,$C$3=C165),OP!$C$135,0)</f>
        <v>0</v>
      </c>
      <c r="AW165" s="180">
        <f t="shared" ca="1" si="101"/>
        <v>0.05</v>
      </c>
      <c r="AX165" s="180">
        <f t="shared" ca="1" si="102"/>
        <v>0.05</v>
      </c>
      <c r="AY165" s="286">
        <f t="shared" ca="1" si="103"/>
        <v>0</v>
      </c>
      <c r="AZ165" s="286">
        <f t="shared" ca="1" si="104"/>
        <v>0</v>
      </c>
      <c r="BA165" s="286">
        <f t="shared" ca="1" si="105"/>
        <v>0</v>
      </c>
      <c r="BB165" s="286">
        <f t="shared" ca="1" si="106"/>
        <v>0</v>
      </c>
      <c r="BC165" s="286">
        <f t="shared" ca="1" si="107"/>
        <v>0</v>
      </c>
      <c r="BD165" s="180">
        <f t="shared" ca="1" si="108"/>
        <v>0.05</v>
      </c>
      <c r="BE165" s="180">
        <f t="shared" ca="1" si="109"/>
        <v>0.05</v>
      </c>
      <c r="BF165" s="286">
        <f t="shared" ca="1" si="110"/>
        <v>0</v>
      </c>
      <c r="BG165" s="286">
        <f t="shared" ca="1" si="111"/>
        <v>0</v>
      </c>
    </row>
    <row r="166" spans="1:59">
      <c r="A166" s="1">
        <f t="shared" ca="1" si="91"/>
        <v>14</v>
      </c>
      <c r="B166" s="1">
        <f t="shared" ca="1" si="114"/>
        <v>119</v>
      </c>
      <c r="C166" s="1">
        <f t="shared" ca="1" si="115"/>
        <v>12</v>
      </c>
      <c r="D166" s="1">
        <f ca="1">MIN($D$3,VLOOKUP(C166,OP!$S$30:$T$41,2))</f>
        <v>2</v>
      </c>
      <c r="E166" s="1">
        <f t="shared" ca="1" si="116"/>
        <v>68</v>
      </c>
      <c r="F166" s="11" t="str">
        <f t="shared" ca="1" si="92"/>
        <v/>
      </c>
      <c r="G166" s="8">
        <f t="shared" ca="1" si="121"/>
        <v>365</v>
      </c>
      <c r="H166" s="8">
        <f t="shared" ca="1" si="93"/>
        <v>31</v>
      </c>
      <c r="I166" s="8" t="str">
        <f t="shared" ca="1" si="90"/>
        <v>1412</v>
      </c>
      <c r="J166" s="13">
        <f>IF(繳費報酬率資料!$A$1=1,VALUE(OP!$C$121),VLOOKUP(A166,MP,2,0))</f>
        <v>0.05</v>
      </c>
      <c r="K166" s="14">
        <f ca="1">IF(SUM($K$4:K165,IF(繳費報酬率資料!$A$1=1,$AU166+$AV166,$BB166+$BC166))&gt;OP!$L$58,0,IF(繳費報酬率資料!$A$1=1,$AU166+$AV166,$BB166+$BC166))</f>
        <v>0</v>
      </c>
      <c r="L166" s="2"/>
      <c r="M166" s="2"/>
      <c r="N166" s="2"/>
      <c r="O166" s="261">
        <f t="shared" ca="1" si="94"/>
        <v>0</v>
      </c>
      <c r="P166" s="261">
        <f t="shared" ca="1" si="112"/>
        <v>0</v>
      </c>
      <c r="Q166" s="3">
        <f ca="1">IF(A166&gt;MAX(OP!$R$17:$R$26),0,VLOOKUP(A166,fees,3,FALSE))</f>
        <v>0</v>
      </c>
      <c r="R166" s="200" t="str">
        <f t="shared" ca="1" si="95"/>
        <v/>
      </c>
      <c r="S166" s="9" t="str">
        <f ca="1">IF(COUNTIF(($T$4:T165),"F")&gt;=1,"",IF(OR(C167&lt;&gt;$C$3,E166=""),"",A166))</f>
        <v/>
      </c>
      <c r="T166" s="20" t="str">
        <f t="shared" ca="1" si="117"/>
        <v/>
      </c>
      <c r="U166" s="2">
        <f ca="1">IF(IF(OP!$C$83=1,$Z165,IF(OP!$C$83=2,$AA165,IF(OP!$C$83=3,$AB165,)))+$K166-$O166-$P166-$AS166&lt;OP!$C$142,0,$AS166)</f>
        <v>0</v>
      </c>
      <c r="V166" s="9"/>
      <c r="W166" s="19">
        <f ca="1">MAX(SUM($K$4:K166),0)</f>
        <v>2000000</v>
      </c>
      <c r="X166" s="19"/>
      <c r="Y166" s="19">
        <f t="shared" ca="1" si="113"/>
        <v>1920000</v>
      </c>
      <c r="Z166" s="2">
        <f ca="1">IF(MIN($Z$4:Z165)=0,0,MAX(0,($Z165+$K166-$O166-$P166)*IF(AND(F166="F",$D$3&lt;&gt;$G$3),((1+(-J166))^(H166/MIN(G166,365))),((1+(-J166))^(1/12)))-$U166))</f>
        <v>956562.90218793997</v>
      </c>
      <c r="AA166" s="2">
        <f ca="1">IF(MIN($AA$4:AA165)=0,0,MAX(0,($AA165+$K166-$O166-$P166)*IF(AND(F166="F",$D$3&lt;&gt;$G$3),((1+$AA$1)^(H166/MIN(G166,365))),((1+$AA$1)^(1/12)))-$U166))</f>
        <v>1920000</v>
      </c>
      <c r="AB166" s="2">
        <f ca="1">IF(MIN($AB$4:AB165)=0,0,MAX(0,($AB165+$K166-$O166-$P166)*IF(AND(F166="F",$D$3&lt;&gt;$G$3),((1+(J166))^(H166/MIN(G166,365))),((1+(J166))^(1/12)))-$U166))</f>
        <v>3724967.9558611875</v>
      </c>
      <c r="AC166" s="5"/>
      <c r="AD166" s="5"/>
      <c r="AE166" s="5"/>
      <c r="AF166" s="282">
        <f t="shared" ca="1" si="96"/>
        <v>956563</v>
      </c>
      <c r="AG166" s="282">
        <f t="shared" ca="1" si="97"/>
        <v>1920000</v>
      </c>
      <c r="AH166" s="282">
        <f t="shared" ca="1" si="98"/>
        <v>3724968</v>
      </c>
      <c r="AI166" s="23" t="str">
        <f t="shared" ca="1" si="119"/>
        <v>14-8</v>
      </c>
      <c r="AJ166" s="282">
        <f ca="1">IF(E166&gt;111,,IF(AND(OP!$C$99=1,T166="F"),Z166,IF(AND(OP!$C$99=2,COUNTIF($T$4:T166,"F")=1),OP!$C$97+IF(F166="F",OP!$C$98,0),"")))</f>
        <v>54527</v>
      </c>
      <c r="AK166" s="282">
        <f ca="1">IF(E166&gt;111,,IF(AND(OP!$D$99=1,T166="F"),AA166,IF(AND(OP!$D$99=2,COUNTIF($T$4:T166,"F")=1),OP!$D$97+IF(F166="F",OP!$D$98,0),"")))</f>
        <v>74177</v>
      </c>
      <c r="AL166" s="282">
        <f ca="1">IF(E166&gt;111,,IF(AND(OP!$E$99=1,T166="F"),AB166,IF(AND(OP!$E$99=2,COUNTIF($T$4:T166,"F")=1),OP!$E$97+IF(F166="F",OP!$E$98,0),"")))</f>
        <v>99404</v>
      </c>
      <c r="AM166" s="1">
        <f t="shared" ca="1" si="88"/>
        <v>8</v>
      </c>
      <c r="AN166" s="1" t="str">
        <f ca="1">IF(OR(VLOOKUP($A166,MP,5,0)="半年繳",VLOOKUP($A166,MP,5,0)="季繳",VLOOKUP($A166,MP,5,0)="月繳"),1,"")</f>
        <v/>
      </c>
      <c r="AO166" s="1">
        <f t="shared" ca="1" si="99"/>
        <v>0</v>
      </c>
      <c r="AP166" s="1" t="str">
        <f ca="1">IF(AND(A166&lt;=OP!$C$120,COUNTIF(PAY,C166)=1),1,"")</f>
        <v/>
      </c>
      <c r="AR166" s="301">
        <f ca="1">IF(繳費報酬率資料!$A$1=1,$AY166+$AZ166,$BF166+$BG166)</f>
        <v>0</v>
      </c>
      <c r="AS166" s="1">
        <f ca="1">IF(C166&lt;&gt;IF($C$3=1,12,$C$3-1),0,IF(繳費報酬率資料!$A$1&lt;&gt;1,VLOOKUP($A166,MP,8,0),IF(AND($A166&gt;=OP!$C$79,$A166&lt;=OP!$C$80),OP!$C$78,)))</f>
        <v>0</v>
      </c>
      <c r="AT166" s="298">
        <f t="shared" ca="1" si="100"/>
        <v>0</v>
      </c>
      <c r="AU166" s="298">
        <f ca="1">IF(AND(A166&lt;=OP!$C$120,COUNTIF(PAY,C166)=1),OP!$C$123,0)</f>
        <v>0</v>
      </c>
      <c r="AV166" s="298">
        <f ca="1">IF(AND(A166&gt;=OP!$C$132,A166&lt;=OP!$C$133,$C$3=C166),OP!$C$135,0)</f>
        <v>0</v>
      </c>
      <c r="AW166" s="180">
        <f t="shared" ca="1" si="101"/>
        <v>0.05</v>
      </c>
      <c r="AX166" s="180">
        <f t="shared" ca="1" si="102"/>
        <v>0.05</v>
      </c>
      <c r="AY166" s="286">
        <f t="shared" ca="1" si="103"/>
        <v>0</v>
      </c>
      <c r="AZ166" s="286">
        <f t="shared" ca="1" si="104"/>
        <v>0</v>
      </c>
      <c r="BA166" s="286">
        <f t="shared" ca="1" si="105"/>
        <v>0</v>
      </c>
      <c r="BB166" s="286">
        <f t="shared" ca="1" si="106"/>
        <v>0</v>
      </c>
      <c r="BC166" s="286">
        <f t="shared" ca="1" si="107"/>
        <v>0</v>
      </c>
      <c r="BD166" s="180">
        <f t="shared" ca="1" si="108"/>
        <v>0.05</v>
      </c>
      <c r="BE166" s="180">
        <f t="shared" ca="1" si="109"/>
        <v>0.05</v>
      </c>
      <c r="BF166" s="286">
        <f t="shared" ca="1" si="110"/>
        <v>0</v>
      </c>
      <c r="BG166" s="286">
        <f t="shared" ca="1" si="111"/>
        <v>0</v>
      </c>
    </row>
    <row r="167" spans="1:59">
      <c r="A167" s="1">
        <f t="shared" ca="1" si="91"/>
        <v>14</v>
      </c>
      <c r="B167" s="1">
        <f t="shared" ca="1" si="114"/>
        <v>120</v>
      </c>
      <c r="C167" s="1">
        <f t="shared" ca="1" si="115"/>
        <v>1</v>
      </c>
      <c r="D167" s="1">
        <f ca="1">MIN($D$3,VLOOKUP(C167,OP!$S$30:$T$41,2))</f>
        <v>2</v>
      </c>
      <c r="E167" s="1">
        <f t="shared" ca="1" si="116"/>
        <v>68</v>
      </c>
      <c r="F167" s="11" t="str">
        <f t="shared" ca="1" si="92"/>
        <v/>
      </c>
      <c r="G167" s="8">
        <f t="shared" ca="1" si="121"/>
        <v>365</v>
      </c>
      <c r="H167" s="8">
        <f t="shared" ca="1" si="93"/>
        <v>31</v>
      </c>
      <c r="I167" s="8" t="str">
        <f t="shared" ca="1" si="90"/>
        <v>141</v>
      </c>
      <c r="J167" s="13">
        <f>IF(繳費報酬率資料!$A$1=1,VALUE(OP!$C$121),VLOOKUP(A167,MP,2,0))</f>
        <v>0.05</v>
      </c>
      <c r="K167" s="14">
        <f ca="1">IF(SUM($K$4:K166,IF(繳費報酬率資料!$A$1=1,$AU167+$AV167,$BB167+$BC167))&gt;OP!$L$58,0,IF(繳費報酬率資料!$A$1=1,$AU167+$AV167,$BB167+$BC167))</f>
        <v>0</v>
      </c>
      <c r="L167" s="2"/>
      <c r="M167" s="2"/>
      <c r="N167" s="2"/>
      <c r="O167" s="261">
        <f t="shared" ca="1" si="94"/>
        <v>0</v>
      </c>
      <c r="P167" s="261">
        <f t="shared" ca="1" si="112"/>
        <v>0</v>
      </c>
      <c r="Q167" s="3">
        <f ca="1">IF(A167&gt;MAX(OP!$R$17:$R$26),0,VLOOKUP(A167,fees,3,FALSE))</f>
        <v>0</v>
      </c>
      <c r="R167" s="200" t="str">
        <f t="shared" ca="1" si="95"/>
        <v/>
      </c>
      <c r="S167" s="9" t="str">
        <f ca="1">IF(COUNTIF(($T$4:T166),"F")&gt;=1,"",IF(OR(C168&lt;&gt;$C$3,E167=""),"",A167))</f>
        <v/>
      </c>
      <c r="T167" s="20" t="str">
        <f t="shared" ca="1" si="117"/>
        <v/>
      </c>
      <c r="U167" s="2">
        <f ca="1">IF(IF(OP!$C$83=1,$Z166,IF(OP!$C$83=2,$AA166,IF(OP!$C$83=3,$AB166,)))+$K167-$O167-$P167-$AS167&lt;OP!$C$142,0,$AS167)</f>
        <v>0</v>
      </c>
      <c r="V167" s="9"/>
      <c r="W167" s="19">
        <f ca="1">MAX(SUM($K$4:K167),0)</f>
        <v>2000000</v>
      </c>
      <c r="X167" s="19"/>
      <c r="Y167" s="19">
        <f t="shared" ca="1" si="113"/>
        <v>1920000</v>
      </c>
      <c r="Z167" s="2">
        <f ca="1">IF(MIN($Z$4:Z166)=0,0,MAX(0,($Z166+$K167-$O167-$P167)*IF(AND(F167="F",$D$3&lt;&gt;$G$3),((1+(-J167))^(H167/MIN(G167,365))),((1+(-J167))^(1/12)))-$U167))</f>
        <v>952482.85647931986</v>
      </c>
      <c r="AA167" s="2">
        <f ca="1">IF(MIN($AA$4:AA166)=0,0,MAX(0,($AA166+$K167-$O167-$P167)*IF(AND(F167="F",$D$3&lt;&gt;$G$3),((1+$AA$1)^(H167/MIN(G167,365))),((1+$AA$1)^(1/12)))-$U167))</f>
        <v>1920000</v>
      </c>
      <c r="AB167" s="2">
        <f ca="1">IF(MIN($AB$4:AB166)=0,0,MAX(0,($AB166+$K167-$O167-$P167)*IF(AND(F167="F",$D$3&lt;&gt;$G$3),((1+(J167))^(H167/MIN(G167,365))),((1+(J167))^(1/12)))-$U167))</f>
        <v>3740143.9364034897</v>
      </c>
      <c r="AC167" s="5"/>
      <c r="AD167" s="5"/>
      <c r="AE167" s="5"/>
      <c r="AF167" s="282">
        <f t="shared" ca="1" si="96"/>
        <v>952483</v>
      </c>
      <c r="AG167" s="282">
        <f t="shared" ca="1" si="97"/>
        <v>1920000</v>
      </c>
      <c r="AH167" s="282">
        <f t="shared" ca="1" si="98"/>
        <v>3740144</v>
      </c>
      <c r="AI167" s="23" t="str">
        <f t="shared" ca="1" si="119"/>
        <v>14-9</v>
      </c>
      <c r="AJ167" s="282">
        <f ca="1">IF(E167&gt;111,,IF(AND(OP!$C$99=1,T167="F"),Z167,IF(AND(OP!$C$99=2,COUNTIF($T$4:T167,"F")=1),OP!$C$97+IF(F167="F",OP!$C$98,0),"")))</f>
        <v>54527</v>
      </c>
      <c r="AK167" s="282">
        <f ca="1">IF(E167&gt;111,,IF(AND(OP!$D$99=1,T167="F"),AA167,IF(AND(OP!$D$99=2,COUNTIF($T$4:T167,"F")=1),OP!$D$97+IF(F167="F",OP!$D$98,0),"")))</f>
        <v>74177</v>
      </c>
      <c r="AL167" s="282">
        <f ca="1">IF(E167&gt;111,,IF(AND(OP!$E$99=1,T167="F"),AB167,IF(AND(OP!$E$99=2,COUNTIF($T$4:T167,"F")=1),OP!$E$97+IF(F167="F",OP!$E$98,0),"")))</f>
        <v>99404</v>
      </c>
      <c r="AM167" s="1">
        <f t="shared" ca="1" si="88"/>
        <v>9</v>
      </c>
      <c r="AN167" s="1" t="str">
        <f ca="1">IF(OR(VLOOKUP($A167,MP,5,0)="月繳"),1,"")</f>
        <v/>
      </c>
      <c r="AO167" s="1">
        <f t="shared" ca="1" si="99"/>
        <v>0</v>
      </c>
      <c r="AP167" s="1" t="str">
        <f ca="1">IF(AND(A167&lt;=OP!$C$120,COUNTIF(PAY,C167)=1),1,"")</f>
        <v/>
      </c>
      <c r="AR167" s="301">
        <f ca="1">IF(繳費報酬率資料!$A$1=1,$AY167+$AZ167,$BF167+$BG167)</f>
        <v>0</v>
      </c>
      <c r="AS167" s="1">
        <f ca="1">IF(C167&lt;&gt;IF($C$3=1,12,$C$3-1),0,IF(繳費報酬率資料!$A$1&lt;&gt;1,VLOOKUP($A167,MP,8,0),IF(AND($A167&gt;=OP!$C$79,$A167&lt;=OP!$C$80),OP!$C$78,)))</f>
        <v>0</v>
      </c>
      <c r="AT167" s="298">
        <f t="shared" ca="1" si="100"/>
        <v>0</v>
      </c>
      <c r="AU167" s="298">
        <f ca="1">IF(AND(A167&lt;=OP!$C$120,COUNTIF(PAY,C167)=1),OP!$C$123,0)</f>
        <v>0</v>
      </c>
      <c r="AV167" s="298">
        <f ca="1">IF(AND(A167&gt;=OP!$C$132,A167&lt;=OP!$C$133,$C$3=C167),OP!$C$135,0)</f>
        <v>0</v>
      </c>
      <c r="AW167" s="180">
        <f t="shared" ca="1" si="101"/>
        <v>0.05</v>
      </c>
      <c r="AX167" s="180">
        <f t="shared" ca="1" si="102"/>
        <v>0.05</v>
      </c>
      <c r="AY167" s="286">
        <f t="shared" ca="1" si="103"/>
        <v>0</v>
      </c>
      <c r="AZ167" s="286">
        <f t="shared" ca="1" si="104"/>
        <v>0</v>
      </c>
      <c r="BA167" s="286">
        <f t="shared" ca="1" si="105"/>
        <v>0</v>
      </c>
      <c r="BB167" s="286">
        <f t="shared" ca="1" si="106"/>
        <v>0</v>
      </c>
      <c r="BC167" s="286">
        <f t="shared" ca="1" si="107"/>
        <v>0</v>
      </c>
      <c r="BD167" s="180">
        <f t="shared" ca="1" si="108"/>
        <v>0.05</v>
      </c>
      <c r="BE167" s="180">
        <f t="shared" ca="1" si="109"/>
        <v>0.05</v>
      </c>
      <c r="BF167" s="286">
        <f t="shared" ca="1" si="110"/>
        <v>0</v>
      </c>
      <c r="BG167" s="286">
        <f t="shared" ca="1" si="111"/>
        <v>0</v>
      </c>
    </row>
    <row r="168" spans="1:59">
      <c r="A168" s="1">
        <f t="shared" ca="1" si="91"/>
        <v>14</v>
      </c>
      <c r="B168" s="1">
        <f t="shared" ca="1" si="114"/>
        <v>120</v>
      </c>
      <c r="C168" s="1">
        <f t="shared" ca="1" si="115"/>
        <v>2</v>
      </c>
      <c r="D168" s="1">
        <f ca="1">MIN($D$3,VLOOKUP(C168,OP!$S$30:$T$41,2))</f>
        <v>2</v>
      </c>
      <c r="E168" s="1">
        <f t="shared" ca="1" si="116"/>
        <v>68</v>
      </c>
      <c r="F168" s="11" t="str">
        <f t="shared" ca="1" si="92"/>
        <v/>
      </c>
      <c r="G168" s="8">
        <f t="shared" ca="1" si="121"/>
        <v>365</v>
      </c>
      <c r="H168" s="8">
        <f t="shared" ca="1" si="93"/>
        <v>28</v>
      </c>
      <c r="I168" s="8" t="str">
        <f t="shared" ca="1" si="90"/>
        <v>142</v>
      </c>
      <c r="J168" s="13">
        <f>IF(繳費報酬率資料!$A$1=1,VALUE(OP!$C$121),VLOOKUP(A168,MP,2,0))</f>
        <v>0.05</v>
      </c>
      <c r="K168" s="14">
        <f ca="1">IF(SUM($K$4:K167,IF(繳費報酬率資料!$A$1=1,$AU168+$AV168,$BB168+$BC168))&gt;OP!$L$58,0,IF(繳費報酬率資料!$A$1=1,$AU168+$AV168,$BB168+$BC168))</f>
        <v>0</v>
      </c>
      <c r="L168" s="2"/>
      <c r="M168" s="2"/>
      <c r="N168" s="2"/>
      <c r="O168" s="261">
        <f t="shared" ca="1" si="94"/>
        <v>0</v>
      </c>
      <c r="P168" s="261">
        <f t="shared" ca="1" si="112"/>
        <v>0</v>
      </c>
      <c r="Q168" s="3">
        <f ca="1">IF(A168&gt;MAX(OP!$R$17:$R$26),0,VLOOKUP(A168,fees,3,FALSE))</f>
        <v>0</v>
      </c>
      <c r="R168" s="200" t="str">
        <f t="shared" ca="1" si="95"/>
        <v/>
      </c>
      <c r="S168" s="9" t="str">
        <f ca="1">IF(COUNTIF(($T$4:T167),"F")&gt;=1,"",IF(OR(C169&lt;&gt;$C$3,E168=""),"",A168))</f>
        <v/>
      </c>
      <c r="T168" s="20" t="str">
        <f t="shared" ca="1" si="117"/>
        <v/>
      </c>
      <c r="U168" s="2">
        <f ca="1">IF(IF(OP!$C$83=1,$Z167,IF(OP!$C$83=2,$AA167,IF(OP!$C$83=3,$AB167,)))+$K168-$O168-$P168-$AS168&lt;OP!$C$142,0,$AS168)</f>
        <v>0</v>
      </c>
      <c r="V168" s="9"/>
      <c r="W168" s="19">
        <f ca="1">MAX(SUM($K$4:K168),0)</f>
        <v>2000000</v>
      </c>
      <c r="X168" s="19"/>
      <c r="Y168" s="19">
        <f t="shared" ca="1" si="113"/>
        <v>1920000</v>
      </c>
      <c r="Z168" s="2">
        <f ca="1">IF(MIN($Z$4:Z167)=0,0,MAX(0,($Z167+$K168-$O168-$P168)*IF(AND(F168="F",$D$3&lt;&gt;$G$3),((1+(-J168))^(H168/MIN(G168,365))),((1+(-J168))^(1/12)))-$U168))</f>
        <v>948420.21346627397</v>
      </c>
      <c r="AA168" s="2">
        <f ca="1">IF(MIN($AA$4:AA167)=0,0,MAX(0,($AA167+$K168-$O168-$P168)*IF(AND(F168="F",$D$3&lt;&gt;$G$3),((1+$AA$1)^(H168/MIN(G168,365))),((1+$AA$1)^(1/12)))-$U168))</f>
        <v>1920000</v>
      </c>
      <c r="AB168" s="2">
        <f ca="1">IF(MIN($AB$4:AB167)=0,0,MAX(0,($AB167+$K168-$O168-$P168)*IF(AND(F168="F",$D$3&lt;&gt;$G$3),((1+(J168))^(H168/MIN(G168,365))),((1+(J168))^(1/12)))-$U168))</f>
        <v>3755381.7457690593</v>
      </c>
      <c r="AC168" s="5"/>
      <c r="AD168" s="5"/>
      <c r="AE168" s="5"/>
      <c r="AF168" s="282">
        <f t="shared" ca="1" si="96"/>
        <v>948420</v>
      </c>
      <c r="AG168" s="282">
        <f t="shared" ca="1" si="97"/>
        <v>1920000</v>
      </c>
      <c r="AH168" s="282">
        <f t="shared" ca="1" si="98"/>
        <v>3755382</v>
      </c>
      <c r="AI168" s="23" t="str">
        <f t="shared" ca="1" si="119"/>
        <v>14-10</v>
      </c>
      <c r="AJ168" s="282">
        <f ca="1">IF(E168&gt;111,,IF(AND(OP!$C$99=1,T168="F"),Z168,IF(AND(OP!$C$99=2,COUNTIF($T$4:T168,"F")=1),OP!$C$97+IF(F168="F",OP!$C$98,0),"")))</f>
        <v>54527</v>
      </c>
      <c r="AK168" s="282">
        <f ca="1">IF(E168&gt;111,,IF(AND(OP!$D$99=1,T168="F"),AA168,IF(AND(OP!$D$99=2,COUNTIF($T$4:T168,"F")=1),OP!$D$97+IF(F168="F",OP!$D$98,0),"")))</f>
        <v>74177</v>
      </c>
      <c r="AL168" s="282">
        <f ca="1">IF(E168&gt;111,,IF(AND(OP!$E$99=1,T168="F"),AB168,IF(AND(OP!$E$99=2,COUNTIF($T$4:T168,"F")=1),OP!$E$97+IF(F168="F",OP!$E$98,0),"")))</f>
        <v>99404</v>
      </c>
      <c r="AM168" s="1">
        <f t="shared" ca="1" si="88"/>
        <v>10</v>
      </c>
      <c r="AN168" s="1" t="str">
        <f ca="1">IF(OR(VLOOKUP($A168,MP,5,0)="月繳"),1,"")</f>
        <v/>
      </c>
      <c r="AO168" s="1">
        <f t="shared" ca="1" si="99"/>
        <v>0</v>
      </c>
      <c r="AP168" s="1" t="str">
        <f ca="1">IF(AND(A168&lt;=OP!$C$120,COUNTIF(PAY,C168)=1),1,"")</f>
        <v/>
      </c>
      <c r="AR168" s="301">
        <f ca="1">IF(繳費報酬率資料!$A$1=1,$AY168+$AZ168,$BF168+$BG168)</f>
        <v>0</v>
      </c>
      <c r="AS168" s="1">
        <f ca="1">IF(C168&lt;&gt;IF($C$3=1,12,$C$3-1),0,IF(繳費報酬率資料!$A$1&lt;&gt;1,VLOOKUP($A168,MP,8,0),IF(AND($A168&gt;=OP!$C$79,$A168&lt;=OP!$C$80),OP!$C$78,)))</f>
        <v>0</v>
      </c>
      <c r="AT168" s="298">
        <f t="shared" ca="1" si="100"/>
        <v>0</v>
      </c>
      <c r="AU168" s="298">
        <f ca="1">IF(AND(A168&lt;=OP!$C$120,COUNTIF(PAY,C168)=1),OP!$C$123,0)</f>
        <v>0</v>
      </c>
      <c r="AV168" s="298">
        <f ca="1">IF(AND(A168&gt;=OP!$C$132,A168&lt;=OP!$C$133,$C$3=C168),OP!$C$135,0)</f>
        <v>0</v>
      </c>
      <c r="AW168" s="180">
        <f t="shared" ca="1" si="101"/>
        <v>0.05</v>
      </c>
      <c r="AX168" s="180">
        <f t="shared" ca="1" si="102"/>
        <v>0.05</v>
      </c>
      <c r="AY168" s="286">
        <f t="shared" ca="1" si="103"/>
        <v>0</v>
      </c>
      <c r="AZ168" s="286">
        <f t="shared" ca="1" si="104"/>
        <v>0</v>
      </c>
      <c r="BA168" s="286">
        <f t="shared" ca="1" si="105"/>
        <v>0</v>
      </c>
      <c r="BB168" s="286">
        <f t="shared" ca="1" si="106"/>
        <v>0</v>
      </c>
      <c r="BC168" s="286">
        <f t="shared" ca="1" si="107"/>
        <v>0</v>
      </c>
      <c r="BD168" s="180">
        <f t="shared" ca="1" si="108"/>
        <v>0.05</v>
      </c>
      <c r="BE168" s="180">
        <f t="shared" ca="1" si="109"/>
        <v>0.05</v>
      </c>
      <c r="BF168" s="286">
        <f t="shared" ca="1" si="110"/>
        <v>0</v>
      </c>
      <c r="BG168" s="286">
        <f t="shared" ca="1" si="111"/>
        <v>0</v>
      </c>
    </row>
    <row r="169" spans="1:59">
      <c r="A169" s="1">
        <f t="shared" ca="1" si="91"/>
        <v>14</v>
      </c>
      <c r="B169" s="1">
        <f t="shared" ca="1" si="114"/>
        <v>120</v>
      </c>
      <c r="C169" s="1">
        <f t="shared" ca="1" si="115"/>
        <v>3</v>
      </c>
      <c r="D169" s="1">
        <f ca="1">MIN($D$3,VLOOKUP(C169,OP!$S$30:$T$41,2))</f>
        <v>2</v>
      </c>
      <c r="E169" s="1">
        <f t="shared" ca="1" si="116"/>
        <v>68</v>
      </c>
      <c r="F169" s="11" t="str">
        <f t="shared" ca="1" si="92"/>
        <v/>
      </c>
      <c r="G169" s="8">
        <f t="shared" ca="1" si="121"/>
        <v>365</v>
      </c>
      <c r="H169" s="8">
        <f t="shared" ca="1" si="93"/>
        <v>31</v>
      </c>
      <c r="I169" s="8" t="str">
        <f t="shared" ca="1" si="90"/>
        <v>143</v>
      </c>
      <c r="J169" s="13">
        <f>IF(繳費報酬率資料!$A$1=1,VALUE(OP!$C$121),VLOOKUP(A169,MP,2,0))</f>
        <v>0.05</v>
      </c>
      <c r="K169" s="14">
        <f ca="1">IF(SUM($K$4:K168,IF(繳費報酬率資料!$A$1=1,$AU169+$AV169,$BB169+$BC169))&gt;OP!$L$58,0,IF(繳費報酬率資料!$A$1=1,$AU169+$AV169,$BB169+$BC169))</f>
        <v>0</v>
      </c>
      <c r="L169" s="2"/>
      <c r="M169" s="2"/>
      <c r="N169" s="2"/>
      <c r="O169" s="261">
        <f t="shared" ca="1" si="94"/>
        <v>0</v>
      </c>
      <c r="P169" s="261">
        <f t="shared" ca="1" si="112"/>
        <v>0</v>
      </c>
      <c r="Q169" s="3">
        <f ca="1">IF(A169&gt;MAX(OP!$R$17:$R$26),0,VLOOKUP(A169,fees,3,FALSE))</f>
        <v>0</v>
      </c>
      <c r="R169" s="200" t="str">
        <f t="shared" ca="1" si="95"/>
        <v/>
      </c>
      <c r="S169" s="9" t="str">
        <f ca="1">IF(COUNTIF(($T$4:T168),"F")&gt;=1,"",IF(OR(C170&lt;&gt;$C$3,E169=""),"",A169))</f>
        <v/>
      </c>
      <c r="T169" s="20" t="str">
        <f t="shared" ca="1" si="117"/>
        <v/>
      </c>
      <c r="U169" s="2">
        <f ca="1">IF(IF(OP!$C$83=1,$Z168,IF(OP!$C$83=2,$AA168,IF(OP!$C$83=3,$AB168,)))+$K169-$O169-$P169-$AS169&lt;OP!$C$142,0,$AS169)</f>
        <v>0</v>
      </c>
      <c r="V169" s="9"/>
      <c r="W169" s="19">
        <f ca="1">MAX(SUM($K$4:K169),0)</f>
        <v>2000000</v>
      </c>
      <c r="X169" s="19"/>
      <c r="Y169" s="19">
        <f t="shared" ca="1" si="113"/>
        <v>1920000</v>
      </c>
      <c r="Z169" s="2">
        <f ca="1">IF(MIN($Z$4:Z168)=0,0,MAX(0,($Z168+$K169-$O169-$P169)*IF(AND(F169="F",$D$3&lt;&gt;$G$3),((1+(-J169))^(H169/MIN(G169,365))),((1+(-J169))^(1/12)))-$U169))</f>
        <v>944374.89892075816</v>
      </c>
      <c r="AA169" s="2">
        <f ca="1">IF(MIN($AA$4:AA168)=0,0,MAX(0,($AA168+$K169-$O169-$P169)*IF(AND(F169="F",$D$3&lt;&gt;$G$3),((1+$AA$1)^(H169/MIN(G169,365))),((1+$AA$1)^(1/12)))-$U169))</f>
        <v>1920000</v>
      </c>
      <c r="AB169" s="2">
        <f ca="1">IF(MIN($AB$4:AB168)=0,0,MAX(0,($AB168+$K169-$O169-$P169)*IF(AND(F169="F",$D$3&lt;&gt;$G$3),((1+(J169))^(H169/MIN(G169,365))),((1+(J169))^(1/12)))-$U169))</f>
        <v>3770681.6358561758</v>
      </c>
      <c r="AC169" s="5"/>
      <c r="AD169" s="5"/>
      <c r="AE169" s="5"/>
      <c r="AF169" s="282">
        <f t="shared" ca="1" si="96"/>
        <v>944375</v>
      </c>
      <c r="AG169" s="282">
        <f t="shared" ca="1" si="97"/>
        <v>1920000</v>
      </c>
      <c r="AH169" s="282">
        <f t="shared" ca="1" si="98"/>
        <v>3770682</v>
      </c>
      <c r="AI169" s="23" t="str">
        <f t="shared" ca="1" si="119"/>
        <v>14-11</v>
      </c>
      <c r="AJ169" s="282">
        <f ca="1">IF(E169&gt;111,,IF(AND(OP!$C$99=1,T169="F"),Z169,IF(AND(OP!$C$99=2,COUNTIF($T$4:T169,"F")=1),OP!$C$97+IF(F169="F",OP!$C$98,0),"")))</f>
        <v>54527</v>
      </c>
      <c r="AK169" s="282">
        <f ca="1">IF(E169&gt;111,,IF(AND(OP!$D$99=1,T169="F"),AA169,IF(AND(OP!$D$99=2,COUNTIF($T$4:T169,"F")=1),OP!$D$97+IF(F169="F",OP!$D$98,0),"")))</f>
        <v>74177</v>
      </c>
      <c r="AL169" s="282">
        <f ca="1">IF(E169&gt;111,,IF(AND(OP!$E$99=1,T169="F"),AB169,IF(AND(OP!$E$99=2,COUNTIF($T$4:T169,"F")=1),OP!$E$97+IF(F169="F",OP!$E$98,0),"")))</f>
        <v>99404</v>
      </c>
      <c r="AM169" s="1">
        <f t="shared" ca="1" si="88"/>
        <v>11</v>
      </c>
      <c r="AN169" s="1" t="str">
        <f ca="1">IF(OR(VLOOKUP($A169,MP,5,0)="季繳",VLOOKUP($A169,MP,5,0)="月繳"),1,"")</f>
        <v/>
      </c>
      <c r="AO169" s="1">
        <f t="shared" ca="1" si="99"/>
        <v>0</v>
      </c>
      <c r="AP169" s="1" t="str">
        <f ca="1">IF(AND(A169&lt;=OP!$C$120,COUNTIF(PAY,C169)=1),1,"")</f>
        <v/>
      </c>
      <c r="AR169" s="301">
        <f ca="1">IF(繳費報酬率資料!$A$1=1,$AY169+$AZ169,$BF169+$BG169)</f>
        <v>0</v>
      </c>
      <c r="AS169" s="1">
        <f ca="1">IF(C169&lt;&gt;IF($C$3=1,12,$C$3-1),0,IF(繳費報酬率資料!$A$1&lt;&gt;1,VLOOKUP($A169,MP,8,0),IF(AND($A169&gt;=OP!$C$79,$A169&lt;=OP!$C$80),OP!$C$78,)))</f>
        <v>0</v>
      </c>
      <c r="AT169" s="298">
        <f t="shared" ca="1" si="100"/>
        <v>0</v>
      </c>
      <c r="AU169" s="298">
        <f ca="1">IF(AND(A169&lt;=OP!$C$120,COUNTIF(PAY,C169)=1),OP!$C$123,0)</f>
        <v>0</v>
      </c>
      <c r="AV169" s="298">
        <f ca="1">IF(AND(A169&gt;=OP!$C$132,A169&lt;=OP!$C$133,$C$3=C169),OP!$C$135,0)</f>
        <v>0</v>
      </c>
      <c r="AW169" s="180">
        <f t="shared" ca="1" si="101"/>
        <v>0.05</v>
      </c>
      <c r="AX169" s="180">
        <f t="shared" ca="1" si="102"/>
        <v>0.05</v>
      </c>
      <c r="AY169" s="286">
        <f t="shared" ca="1" si="103"/>
        <v>0</v>
      </c>
      <c r="AZ169" s="286">
        <f t="shared" ca="1" si="104"/>
        <v>0</v>
      </c>
      <c r="BA169" s="286">
        <f t="shared" ca="1" si="105"/>
        <v>0</v>
      </c>
      <c r="BB169" s="286">
        <f t="shared" ca="1" si="106"/>
        <v>0</v>
      </c>
      <c r="BC169" s="286">
        <f t="shared" ca="1" si="107"/>
        <v>0</v>
      </c>
      <c r="BD169" s="180">
        <f t="shared" ca="1" si="108"/>
        <v>0.05</v>
      </c>
      <c r="BE169" s="180">
        <f t="shared" ca="1" si="109"/>
        <v>0.05</v>
      </c>
      <c r="BF169" s="286">
        <f t="shared" ca="1" si="110"/>
        <v>0</v>
      </c>
      <c r="BG169" s="286">
        <f t="shared" ca="1" si="111"/>
        <v>0</v>
      </c>
    </row>
    <row r="170" spans="1:59">
      <c r="A170" s="1">
        <f t="shared" ca="1" si="91"/>
        <v>14</v>
      </c>
      <c r="B170" s="1">
        <f t="shared" ca="1" si="114"/>
        <v>120</v>
      </c>
      <c r="C170" s="1">
        <f t="shared" ca="1" si="115"/>
        <v>4</v>
      </c>
      <c r="D170" s="1">
        <f ca="1">MIN($D$3,VLOOKUP(C170,OP!$S$30:$T$41,2))</f>
        <v>2</v>
      </c>
      <c r="E170" s="1">
        <f t="shared" ca="1" si="116"/>
        <v>68</v>
      </c>
      <c r="F170" s="11" t="str">
        <f t="shared" ca="1" si="92"/>
        <v/>
      </c>
      <c r="G170" s="8">
        <f t="shared" ca="1" si="121"/>
        <v>365</v>
      </c>
      <c r="H170" s="8">
        <f t="shared" ca="1" si="93"/>
        <v>30</v>
      </c>
      <c r="I170" s="8" t="str">
        <f t="shared" ca="1" si="90"/>
        <v>144</v>
      </c>
      <c r="J170" s="13">
        <f>IF(繳費報酬率資料!$A$1=1,VALUE(OP!$C$121),VLOOKUP(A170,MP,2,0))</f>
        <v>0.05</v>
      </c>
      <c r="K170" s="14">
        <f ca="1">IF(SUM($K$4:K169,IF(繳費報酬率資料!$A$1=1,$AU170+$AV170,$BB170+$BC170))&gt;OP!$L$58,0,IF(繳費報酬率資料!$A$1=1,$AU170+$AV170,$BB170+$BC170))</f>
        <v>0</v>
      </c>
      <c r="L170" s="2"/>
      <c r="M170" s="2"/>
      <c r="N170" s="2"/>
      <c r="O170" s="261">
        <f t="shared" ca="1" si="94"/>
        <v>0</v>
      </c>
      <c r="P170" s="261">
        <f t="shared" ca="1" si="112"/>
        <v>0</v>
      </c>
      <c r="Q170" s="3">
        <f ca="1">IF(A170&gt;MAX(OP!$R$17:$R$26),0,VLOOKUP(A170,fees,3,FALSE))</f>
        <v>0</v>
      </c>
      <c r="R170" s="200" t="str">
        <f t="shared" ca="1" si="95"/>
        <v/>
      </c>
      <c r="S170" s="9" t="str">
        <f ca="1">IF(COUNTIF(($T$4:T169),"F")&gt;=1,"",IF(OR(C171&lt;&gt;$C$3,E170=""),"",A170))</f>
        <v/>
      </c>
      <c r="T170" s="20" t="str">
        <f t="shared" ca="1" si="117"/>
        <v/>
      </c>
      <c r="U170" s="2">
        <f ca="1">IF(IF(OP!$C$83=1,$Z169,IF(OP!$C$83=2,$AA169,IF(OP!$C$83=3,$AB169,)))+$K170-$O170-$P170-$AS170&lt;OP!$C$142,0,$AS170)</f>
        <v>0</v>
      </c>
      <c r="V170" s="9"/>
      <c r="W170" s="19">
        <f ca="1">MAX(SUM($K$4:K170),0)</f>
        <v>2000000</v>
      </c>
      <c r="X170" s="19"/>
      <c r="Y170" s="19">
        <f t="shared" ca="1" si="113"/>
        <v>1920000</v>
      </c>
      <c r="Z170" s="2">
        <f ca="1">IF(MIN($Z$4:Z169)=0,0,MAX(0,($Z169+$K170-$O170-$P170)*IF(AND(F170="F",$D$3&lt;&gt;$G$3),((1+(-J170))^(H170/MIN(G170,365))),((1+(-J170))^(1/12)))-$U170))</f>
        <v>940346.83893133455</v>
      </c>
      <c r="AA170" s="2">
        <f ca="1">IF(MIN($AA$4:AA169)=0,0,MAX(0,($AA169+$K170-$O170-$P170)*IF(AND(F170="F",$D$3&lt;&gt;$G$3),((1+$AA$1)^(H170/MIN(G170,365))),((1+$AA$1)^(1/12)))-$U170))</f>
        <v>1920000</v>
      </c>
      <c r="AB170" s="2">
        <f ca="1">IF(MIN($AB$4:AB169)=0,0,MAX(0,($AB169+$K170-$O170-$P170)*IF(AND(F170="F",$D$3&lt;&gt;$G$3),((1+(J170))^(H170/MIN(G170,365))),((1+(J170))^(1/12)))-$U170))</f>
        <v>3786043.8595893835</v>
      </c>
      <c r="AC170" s="5"/>
      <c r="AD170" s="5"/>
      <c r="AE170" s="5"/>
      <c r="AF170" s="282">
        <f t="shared" ca="1" si="96"/>
        <v>940347</v>
      </c>
      <c r="AG170" s="282">
        <f t="shared" ca="1" si="97"/>
        <v>1920000</v>
      </c>
      <c r="AH170" s="282">
        <f t="shared" ca="1" si="98"/>
        <v>3786044</v>
      </c>
      <c r="AI170" s="23" t="str">
        <f t="shared" ca="1" si="119"/>
        <v>14-12</v>
      </c>
      <c r="AJ170" s="282">
        <f ca="1">IF(E170&gt;111,,IF(AND(OP!$C$99=1,T170="F"),Z170,IF(AND(OP!$C$99=2,COUNTIF($T$4:T170,"F")=1),OP!$C$97+IF(F170="F",OP!$C$98,0),"")))</f>
        <v>54527</v>
      </c>
      <c r="AK170" s="282">
        <f ca="1">IF(E170&gt;111,,IF(AND(OP!$D$99=1,T170="F"),AA170,IF(AND(OP!$D$99=2,COUNTIF($T$4:T170,"F")=1),OP!$D$97+IF(F170="F",OP!$D$98,0),"")))</f>
        <v>74177</v>
      </c>
      <c r="AL170" s="282">
        <f ca="1">IF(E170&gt;111,,IF(AND(OP!$E$99=1,T170="F"),AB170,IF(AND(OP!$E$99=2,COUNTIF($T$4:T170,"F")=1),OP!$E$97+IF(F170="F",OP!$E$98,0),"")))</f>
        <v>99404</v>
      </c>
      <c r="AM170" s="1">
        <f t="shared" ca="1" si="88"/>
        <v>12</v>
      </c>
      <c r="AN170" s="1" t="str">
        <f ca="1">IF(OR(VLOOKUP($A170,MP,5,0)="月繳"),1,"")</f>
        <v/>
      </c>
      <c r="AO170" s="1">
        <f t="shared" ca="1" si="99"/>
        <v>0</v>
      </c>
      <c r="AP170" s="1" t="str">
        <f ca="1">IF(AND(A170&lt;=OP!$C$120,COUNTIF(PAY,C170)=1),1,"")</f>
        <v/>
      </c>
      <c r="AR170" s="301">
        <f ca="1">IF(繳費報酬率資料!$A$1=1,$AY170+$AZ170,$BF170+$BG170)</f>
        <v>0</v>
      </c>
      <c r="AS170" s="1">
        <f ca="1">IF(C170&lt;&gt;IF($C$3=1,12,$C$3-1),0,IF(繳費報酬率資料!$A$1&lt;&gt;1,VLOOKUP($A170,MP,8,0),IF(AND($A170&gt;=OP!$C$79,$A170&lt;=OP!$C$80),OP!$C$78,)))</f>
        <v>0</v>
      </c>
      <c r="AT170" s="298">
        <f t="shared" ca="1" si="100"/>
        <v>0</v>
      </c>
      <c r="AU170" s="298">
        <f ca="1">IF(AND(A170&lt;=OP!$C$120,COUNTIF(PAY,C170)=1),OP!$C$123,0)</f>
        <v>0</v>
      </c>
      <c r="AV170" s="298">
        <f ca="1">IF(AND(A170&gt;=OP!$C$132,A170&lt;=OP!$C$133,$C$3=C170),OP!$C$135,0)</f>
        <v>0</v>
      </c>
      <c r="AW170" s="180">
        <f t="shared" ca="1" si="101"/>
        <v>0.05</v>
      </c>
      <c r="AX170" s="180">
        <f t="shared" ca="1" si="102"/>
        <v>0.05</v>
      </c>
      <c r="AY170" s="286">
        <f t="shared" ca="1" si="103"/>
        <v>0</v>
      </c>
      <c r="AZ170" s="286">
        <f t="shared" ca="1" si="104"/>
        <v>0</v>
      </c>
      <c r="BA170" s="286">
        <f t="shared" ca="1" si="105"/>
        <v>0</v>
      </c>
      <c r="BB170" s="286">
        <f t="shared" ca="1" si="106"/>
        <v>0</v>
      </c>
      <c r="BC170" s="286">
        <f t="shared" ca="1" si="107"/>
        <v>0</v>
      </c>
      <c r="BD170" s="180">
        <f t="shared" ca="1" si="108"/>
        <v>0.05</v>
      </c>
      <c r="BE170" s="180">
        <f t="shared" ca="1" si="109"/>
        <v>0.05</v>
      </c>
      <c r="BF170" s="286">
        <f t="shared" ca="1" si="110"/>
        <v>0</v>
      </c>
      <c r="BG170" s="286">
        <f t="shared" ca="1" si="111"/>
        <v>0</v>
      </c>
    </row>
    <row r="171" spans="1:59">
      <c r="A171" s="1">
        <f t="shared" ca="1" si="91"/>
        <v>14</v>
      </c>
      <c r="B171" s="1">
        <f t="shared" ca="1" si="114"/>
        <v>120</v>
      </c>
      <c r="C171" s="1">
        <f t="shared" ca="1" si="115"/>
        <v>5</v>
      </c>
      <c r="D171" s="1">
        <f ca="1">MIN($D$3,VLOOKUP(C171,OP!$S$30:$T$41,2))</f>
        <v>2</v>
      </c>
      <c r="E171" s="1">
        <f t="shared" ca="1" si="116"/>
        <v>68</v>
      </c>
      <c r="F171" s="11" t="str">
        <f t="shared" ca="1" si="92"/>
        <v/>
      </c>
      <c r="G171" s="8">
        <f t="shared" ca="1" si="121"/>
        <v>365</v>
      </c>
      <c r="H171" s="8">
        <f t="shared" ca="1" si="93"/>
        <v>31</v>
      </c>
      <c r="I171" s="8" t="str">
        <f t="shared" ca="1" si="90"/>
        <v>145</v>
      </c>
      <c r="J171" s="13">
        <f>IF(繳費報酬率資料!$A$1=1,VALUE(OP!$C$121),VLOOKUP(A171,MP,2,0))</f>
        <v>0.05</v>
      </c>
      <c r="K171" s="14">
        <f ca="1">IF(SUM($K$4:K170,IF(繳費報酬率資料!$A$1=1,$AU171+$AV171,$BB171+$BC171))&gt;OP!$L$58,0,IF(繳費報酬率資料!$A$1=1,$AU171+$AV171,$BB171+$BC171))</f>
        <v>0</v>
      </c>
      <c r="L171" s="2">
        <f ca="1">ROUND(IF(OP!$C$78&lt;(IF(OR($T171="F",$E171&gt;=111),0,Z170+$K171-$O171+IF($C$1=1,OP!$C$78,IF($C172=$C$3,SUM(AC160:AC171,0)))))*5%,0,(OP!$C$78-((IF(OR($T171="F",$E171&gt;=111),0,Z170+$K171-$O171+IF($C$1=1,AC171,IF($C172=$C$3,SUM(AC160:AC171,0)))))*5%))*$Q171),0)</f>
        <v>0</v>
      </c>
      <c r="M171" s="2">
        <f ca="1">ROUND(IF(OP!$C$78&lt;(IF(OR($T171="F",$E171&gt;=111),0,AA170+$K171-$O171+IF($C$1=1,AD171,IF($C172=$C$3,SUM(AD160:AD171,0)))))*5%,0,(OP!$C$78-((IF(OR($T171="F",$E171&gt;=111),0,AA170+$K171-$O171+IF($C$1=1,AD171,IF($C172=$C$3,SUM(AD160:AD171,0)))))*5%))*$Q171),0)</f>
        <v>0</v>
      </c>
      <c r="N171" s="2">
        <f ca="1">ROUND(IF(OP!$C$78&lt;(IF(OR($T171="F",$E171&gt;=111),0,AB170+$K171-$O171+IF($C$1=1,AE171,IF($C172=$C$3,SUM(AE160:AE171,0)))))*5%,0,(OP!$C$78-((IF(OR($T171="F",$E171&gt;=111),0,AB170+$K171-$O171+IF($C$1=1,AE171,IF($C172=$C$3,SUM(AE160:AE171,0)))))*5%))*$Q171),0)</f>
        <v>0</v>
      </c>
      <c r="O171" s="261">
        <f t="shared" ca="1" si="94"/>
        <v>0</v>
      </c>
      <c r="P171" s="261">
        <f t="shared" ca="1" si="112"/>
        <v>0</v>
      </c>
      <c r="Q171" s="3">
        <f ca="1">IF(A171&gt;MAX(OP!$R$17:$R$26),0,VLOOKUP(A171,fees,3,FALSE))</f>
        <v>0</v>
      </c>
      <c r="R171" s="200">
        <f t="shared" ca="1" si="95"/>
        <v>14</v>
      </c>
      <c r="S171" s="9" t="str">
        <f ca="1">IF(COUNTIF(($T$4:T170),"F")&gt;=1,"",IF(OR(C172&lt;&gt;$C$3,E171=""),"",A171))</f>
        <v/>
      </c>
      <c r="T171" s="20" t="str">
        <f t="shared" ca="1" si="117"/>
        <v/>
      </c>
      <c r="U171" s="2">
        <f ca="1">IF(IF(OP!$C$83=1,$Z170,IF(OP!$C$83=2,$AA170,IF(OP!$C$83=3,$AB170,)))+$K171-$O171-$P171-$AS171&lt;OP!$C$142,0,$AS171)</f>
        <v>0</v>
      </c>
      <c r="V171" s="19">
        <f ca="1">SUM(K160:K171)</f>
        <v>0</v>
      </c>
      <c r="W171" s="19">
        <f ca="1">MAX(SUM($K$4:K171),0)</f>
        <v>2000000</v>
      </c>
      <c r="X171" s="19">
        <f ca="1">SUM(O160:P171)</f>
        <v>0</v>
      </c>
      <c r="Y171" s="19">
        <f t="shared" ca="1" si="113"/>
        <v>1920000</v>
      </c>
      <c r="Z171" s="2">
        <f ca="1">IF(MIN($Z$4:Z170)=0,0,MAX(0,($Z170+$K171-$O171-$P171)*IF(AND(F171="F",$D$3&lt;&gt;$G$3),((1+(-J171))^(H171/MIN(G171,365))),((1+(-J171))^(1/12)))-$U171))</f>
        <v>936335.95990182098</v>
      </c>
      <c r="AA171" s="2">
        <f ca="1">IF(MIN($AA$4:AA170)=0,0,MAX(0,($AA170+$K171-$O171-$P171)*IF(AND(F171="F",$D$3&lt;&gt;$G$3),((1+$AA$1)^(H171/MIN(G171,365))),((1+$AA$1)^(1/12)))-$U171))</f>
        <v>1920000</v>
      </c>
      <c r="AB171" s="2">
        <f ca="1">IF(MIN($AB$4:AB170)=0,0,MAX(0,($AB170+$K171-$O171-$P171)*IF(AND(F171="F",$D$3&lt;&gt;$G$3),((1+(J171))^(H171/MIN(G171,365))),((1+(J171))^(1/12)))-$U171))</f>
        <v>3801468.6709236726</v>
      </c>
      <c r="AC171" s="5"/>
      <c r="AD171" s="5"/>
      <c r="AE171" s="5"/>
      <c r="AF171" s="282">
        <f t="shared" ca="1" si="96"/>
        <v>936336</v>
      </c>
      <c r="AG171" s="282">
        <f t="shared" ca="1" si="97"/>
        <v>1920000</v>
      </c>
      <c r="AH171" s="282">
        <f t="shared" ca="1" si="98"/>
        <v>3801469</v>
      </c>
      <c r="AI171" s="23" t="str">
        <f t="shared" ca="1" si="119"/>
        <v>15-1</v>
      </c>
      <c r="AJ171" s="282">
        <f ca="1">IF(E171&gt;111,,IF(AND(OP!$C$99=1,T171="F"),Z171,IF(AND(OP!$C$99=2,COUNTIF($T$4:T171,"F")=1),OP!$C$97+IF(F171="F",OP!$C$98,0),"")))</f>
        <v>54527</v>
      </c>
      <c r="AK171" s="282">
        <f ca="1">IF(E171&gt;111,,IF(AND(OP!$D$99=1,T171="F"),AA171,IF(AND(OP!$D$99=2,COUNTIF($T$4:T171,"F")=1),OP!$D$97+IF(F171="F",OP!$D$98,0),"")))</f>
        <v>74177</v>
      </c>
      <c r="AL171" s="282">
        <f ca="1">IF(E171&gt;111,,IF(AND(OP!$E$99=1,T171="F"),AB171,IF(AND(OP!$E$99=2,COUNTIF($T$4:T171,"F")=1),OP!$E$97+IF(F171="F",OP!$E$98,0),"")))</f>
        <v>99404</v>
      </c>
      <c r="AM171" s="1">
        <f t="shared" ca="1" si="88"/>
        <v>1</v>
      </c>
      <c r="AN171" s="1" t="str">
        <f ca="1">IF(OR(VLOOKUP($A171,MP,5,0)="月繳"),1,"")</f>
        <v/>
      </c>
      <c r="AO171" s="1">
        <f t="shared" ca="1" si="99"/>
        <v>0</v>
      </c>
      <c r="AP171" s="1" t="str">
        <f ca="1">IF(AND(A171&lt;=OP!$C$120,COUNTIF(PAY,C171)=1),1,"")</f>
        <v/>
      </c>
      <c r="AR171" s="301">
        <f ca="1">IF(繳費報酬率資料!$A$1=1,$AY171+$AZ171,$BF171+$BG171)</f>
        <v>0</v>
      </c>
      <c r="AS171" s="1">
        <f ca="1">IF(C171&lt;&gt;IF($C$3=1,12,$C$3-1),0,IF(繳費報酬率資料!$A$1&lt;&gt;1,VLOOKUP($A171,MP,8,0),IF(AND($A171&gt;=OP!$C$79,$A171&lt;=OP!$C$80),OP!$C$78,)))</f>
        <v>0</v>
      </c>
      <c r="AT171" s="298">
        <f t="shared" ca="1" si="100"/>
        <v>0</v>
      </c>
      <c r="AU171" s="298">
        <f ca="1">IF(AND(A171&lt;=OP!$C$120,COUNTIF(PAY,C171)=1),OP!$C$123,0)</f>
        <v>0</v>
      </c>
      <c r="AV171" s="298">
        <f ca="1">IF(AND(A171&gt;=OP!$C$132,A171&lt;=OP!$C$133,$C$3=C171),OP!$C$135,0)</f>
        <v>0</v>
      </c>
      <c r="AW171" s="180">
        <f t="shared" ca="1" si="101"/>
        <v>0.05</v>
      </c>
      <c r="AX171" s="180">
        <f t="shared" ca="1" si="102"/>
        <v>0.05</v>
      </c>
      <c r="AY171" s="286">
        <f t="shared" ca="1" si="103"/>
        <v>0</v>
      </c>
      <c r="AZ171" s="286">
        <f t="shared" ca="1" si="104"/>
        <v>0</v>
      </c>
      <c r="BA171" s="286">
        <f t="shared" ca="1" si="105"/>
        <v>0</v>
      </c>
      <c r="BB171" s="286">
        <f t="shared" ca="1" si="106"/>
        <v>0</v>
      </c>
      <c r="BC171" s="286">
        <f t="shared" ca="1" si="107"/>
        <v>0</v>
      </c>
      <c r="BD171" s="180">
        <f t="shared" ca="1" si="108"/>
        <v>0.05</v>
      </c>
      <c r="BE171" s="180">
        <f t="shared" ca="1" si="109"/>
        <v>0.05</v>
      </c>
      <c r="BF171" s="286">
        <f t="shared" ca="1" si="110"/>
        <v>0</v>
      </c>
      <c r="BG171" s="286">
        <f t="shared" ca="1" si="111"/>
        <v>0</v>
      </c>
    </row>
    <row r="172" spans="1:59">
      <c r="A172" s="1">
        <f t="shared" ca="1" si="91"/>
        <v>15</v>
      </c>
      <c r="B172" s="1">
        <f t="shared" ca="1" si="114"/>
        <v>120</v>
      </c>
      <c r="C172" s="1">
        <f t="shared" ca="1" si="115"/>
        <v>6</v>
      </c>
      <c r="D172" s="1">
        <f ca="1">MIN($D$3,VLOOKUP(C172,OP!$S$30:$T$41,2))</f>
        <v>2</v>
      </c>
      <c r="E172" s="1">
        <f t="shared" ca="1" si="116"/>
        <v>69</v>
      </c>
      <c r="F172" s="11" t="str">
        <f t="shared" ca="1" si="92"/>
        <v/>
      </c>
      <c r="G172" s="6">
        <f ca="1">DATEDIF(DATE(B172+1911,C172,D172),DATE(B184+1911,C184,D184),"d")</f>
        <v>366</v>
      </c>
      <c r="H172" s="8">
        <f t="shared" ca="1" si="93"/>
        <v>30</v>
      </c>
      <c r="I172" s="8" t="str">
        <f t="shared" ca="1" si="90"/>
        <v>156</v>
      </c>
      <c r="J172" s="13">
        <f>IF(繳費報酬率資料!$A$1=1,VALUE(OP!$C$121),VLOOKUP(A172,MP,2,0))</f>
        <v>0.05</v>
      </c>
      <c r="K172" s="14">
        <f ca="1">IF(SUM($K$4:K171,IF(繳費報酬率資料!$A$1=1,$AU172+$AV172,$BB172+$BC172))&gt;OP!$L$58,0,IF(繳費報酬率資料!$A$1=1,$AU172+$AV172,$BB172+$BC172))</f>
        <v>0</v>
      </c>
      <c r="L172" s="2"/>
      <c r="M172" s="2"/>
      <c r="N172" s="2"/>
      <c r="O172" s="261">
        <f t="shared" ca="1" si="94"/>
        <v>0</v>
      </c>
      <c r="P172" s="261">
        <f t="shared" ca="1" si="112"/>
        <v>0</v>
      </c>
      <c r="Q172" s="3">
        <f ca="1">IF(A172&gt;MAX(OP!$R$17:$R$26),0,VLOOKUP(A172,fees,3,FALSE))</f>
        <v>0</v>
      </c>
      <c r="R172" s="200" t="str">
        <f t="shared" ca="1" si="95"/>
        <v/>
      </c>
      <c r="S172" s="9" t="str">
        <f ca="1">IF(COUNTIF(($T$4:T171),"F")&gt;=1,"",IF(OR(C173&lt;&gt;$C$3,E172=""),"",A172))</f>
        <v/>
      </c>
      <c r="T172" s="20" t="str">
        <f t="shared" ca="1" si="117"/>
        <v/>
      </c>
      <c r="U172" s="2">
        <f ca="1">IF(IF(OP!$C$83=1,$Z171,IF(OP!$C$83=2,$AA171,IF(OP!$C$83=3,$AB171,)))+$K172-$O172-$P172-$AS172&lt;OP!$C$142,0,$AS172)</f>
        <v>0</v>
      </c>
      <c r="V172" s="9"/>
      <c r="W172" s="19">
        <f ca="1">MAX(SUM($K$4:K172),0)</f>
        <v>2000000</v>
      </c>
      <c r="X172" s="19"/>
      <c r="Y172" s="19">
        <f t="shared" ca="1" si="113"/>
        <v>1920000</v>
      </c>
      <c r="Z172" s="2">
        <f ca="1">IF(MIN($Z$4:Z171)=0,0,MAX(0,($Z171+$K172-$O172-$P172)*IF(AND(F172="F",$D$3&lt;&gt;$G$3),((1+(-J172))^(H172/MIN(G172,365))),((1+(-J172))^(1/12)))-$U172))</f>
        <v>932342.18854994653</v>
      </c>
      <c r="AA172" s="2">
        <f ca="1">IF(MIN($AA$4:AA171)=0,0,MAX(0,($AA171+$K172-$O172-$P172)*IF(AND(F172="F",$D$3&lt;&gt;$G$3),((1+$AA$1)^(H172/MIN(G172,365))),((1+$AA$1)^(1/12)))-$U172))</f>
        <v>1920000</v>
      </c>
      <c r="AB172" s="2">
        <f ca="1">IF(MIN($AB$4:AB171)=0,0,MAX(0,($AB171+$K172-$O172-$P172)*IF(AND(F172="F",$D$3&lt;&gt;$G$3),((1+(J172))^(H172/MIN(G172,365))),((1+(J172))^(1/12)))-$U172))</f>
        <v>3816956.324848677</v>
      </c>
      <c r="AC172" s="21"/>
      <c r="AD172" s="21"/>
      <c r="AE172" s="21"/>
      <c r="AF172" s="282">
        <f t="shared" ca="1" si="96"/>
        <v>932342</v>
      </c>
      <c r="AG172" s="282">
        <f t="shared" ca="1" si="97"/>
        <v>1920000</v>
      </c>
      <c r="AH172" s="282">
        <f t="shared" ca="1" si="98"/>
        <v>3816956</v>
      </c>
      <c r="AI172" s="23" t="str">
        <f t="shared" ca="1" si="119"/>
        <v>15-2</v>
      </c>
      <c r="AJ172" s="281">
        <f ca="1">IF(E172&gt;111,,IF(AND(OP!$C$99=1,T172="F"),Z172,IF(AND(OP!$C$99=2,COUNTIF($T$4:T172,"F")=1),OP!$C$97+IF(F172="F",OP!$C$98,0),"")))</f>
        <v>54527</v>
      </c>
      <c r="AK172" s="281">
        <f ca="1">IF(E172&gt;111,,IF(AND(OP!$D$99=1,T172="F"),AA172,IF(AND(OP!$D$99=2,COUNTIF($T$4:T172,"F")=1),OP!$D$97+IF(F172="F",OP!$D$98,0),"")))</f>
        <v>74177</v>
      </c>
      <c r="AL172" s="281">
        <f ca="1">IF(E172&gt;111,,IF(AND(OP!$E$99=1,T172="F"),AB172,IF(AND(OP!$E$99=2,COUNTIF($T$4:T172,"F")=1),OP!$E$97+IF(F172="F",OP!$E$98,0),"")))</f>
        <v>99404</v>
      </c>
      <c r="AM172" s="1">
        <f t="shared" ca="1" si="88"/>
        <v>2</v>
      </c>
      <c r="AN172" s="1">
        <f ca="1">IF(OR(VLOOKUP($A172,MP,5,0)="年繳",VLOOKUP($A172,MP,5,0)="半年繳",VLOOKUP($A172,MP,5,0)="季繳",VLOOKUP($A172,MP,5,0)="月繳"),1,"")</f>
        <v>1</v>
      </c>
      <c r="AO172" s="1">
        <f t="shared" ca="1" si="99"/>
        <v>0</v>
      </c>
      <c r="AP172" s="1" t="str">
        <f ca="1">IF(AND(A172&lt;=OP!$C$120,COUNTIF(PAY,C172)=1),1,"")</f>
        <v/>
      </c>
      <c r="AR172" s="301">
        <f ca="1">IF(繳費報酬率資料!$A$1=1,$AY172+$AZ172,$BF172+$BG172)</f>
        <v>0</v>
      </c>
      <c r="AS172" s="1">
        <f ca="1">IF(C172&lt;&gt;IF($C$3=1,12,$C$3-1),0,IF(繳費報酬率資料!$A$1&lt;&gt;1,VLOOKUP($A172,MP,8,0),IF(AND($A172&gt;=OP!$C$79,$A172&lt;=OP!$C$80),OP!$C$78,)))</f>
        <v>0</v>
      </c>
      <c r="AT172" s="298">
        <f t="shared" ca="1" si="100"/>
        <v>0</v>
      </c>
      <c r="AU172" s="298">
        <f ca="1">IF(AND(A172&lt;=OP!$C$120,COUNTIF(PAY,C172)=1),OP!$C$123,0)</f>
        <v>0</v>
      </c>
      <c r="AV172" s="298">
        <f ca="1">IF(AND(A172&gt;=OP!$C$132,A172&lt;=OP!$C$133,$C$3=C172),OP!$C$135,0)</f>
        <v>0</v>
      </c>
      <c r="AW172" s="180">
        <f t="shared" ca="1" si="101"/>
        <v>0.05</v>
      </c>
      <c r="AX172" s="180">
        <f t="shared" ca="1" si="102"/>
        <v>0.05</v>
      </c>
      <c r="AY172" s="286">
        <f t="shared" ca="1" si="103"/>
        <v>0</v>
      </c>
      <c r="AZ172" s="286">
        <f t="shared" ca="1" si="104"/>
        <v>0</v>
      </c>
      <c r="BA172" s="286">
        <f t="shared" ca="1" si="105"/>
        <v>0</v>
      </c>
      <c r="BB172" s="286">
        <f t="shared" ca="1" si="106"/>
        <v>0</v>
      </c>
      <c r="BC172" s="286">
        <f t="shared" ca="1" si="107"/>
        <v>0</v>
      </c>
      <c r="BD172" s="180">
        <f t="shared" ca="1" si="108"/>
        <v>0.05</v>
      </c>
      <c r="BE172" s="180">
        <f t="shared" ca="1" si="109"/>
        <v>0.05</v>
      </c>
      <c r="BF172" s="286">
        <f t="shared" ca="1" si="110"/>
        <v>0</v>
      </c>
      <c r="BG172" s="286">
        <f t="shared" ca="1" si="111"/>
        <v>0</v>
      </c>
    </row>
    <row r="173" spans="1:59">
      <c r="A173" s="1">
        <f t="shared" ca="1" si="91"/>
        <v>15</v>
      </c>
      <c r="B173" s="1">
        <f t="shared" ca="1" si="114"/>
        <v>120</v>
      </c>
      <c r="C173" s="1">
        <f t="shared" ca="1" si="115"/>
        <v>7</v>
      </c>
      <c r="D173" s="1">
        <f ca="1">MIN($D$3,VLOOKUP(C173,OP!$S$30:$T$41,2))</f>
        <v>2</v>
      </c>
      <c r="E173" s="1">
        <f t="shared" ca="1" si="116"/>
        <v>69</v>
      </c>
      <c r="F173" s="11" t="str">
        <f t="shared" ca="1" si="92"/>
        <v/>
      </c>
      <c r="G173" s="8">
        <f t="shared" ref="G173:G183" ca="1" si="122">G172</f>
        <v>366</v>
      </c>
      <c r="H173" s="8">
        <f t="shared" ca="1" si="93"/>
        <v>31</v>
      </c>
      <c r="I173" s="8" t="str">
        <f t="shared" ca="1" si="90"/>
        <v>157</v>
      </c>
      <c r="J173" s="13">
        <f>IF(繳費報酬率資料!$A$1=1,VALUE(OP!$C$121),VLOOKUP(A173,MP,2,0))</f>
        <v>0.05</v>
      </c>
      <c r="K173" s="14">
        <f ca="1">IF(SUM($K$4:K172,IF(繳費報酬率資料!$A$1=1,$AU173+$AV173,$BB173+$BC173))&gt;OP!$L$58,0,IF(繳費報酬率資料!$A$1=1,$AU173+$AV173,$BB173+$BC173))</f>
        <v>0</v>
      </c>
      <c r="L173" s="2"/>
      <c r="M173" s="2"/>
      <c r="N173" s="2"/>
      <c r="O173" s="261">
        <f t="shared" ca="1" si="94"/>
        <v>0</v>
      </c>
      <c r="P173" s="261">
        <f t="shared" ca="1" si="112"/>
        <v>0</v>
      </c>
      <c r="Q173" s="3">
        <f ca="1">IF(A173&gt;MAX(OP!$R$17:$R$26),0,VLOOKUP(A173,fees,3,FALSE))</f>
        <v>0</v>
      </c>
      <c r="R173" s="200" t="str">
        <f t="shared" ca="1" si="95"/>
        <v/>
      </c>
      <c r="S173" s="9" t="str">
        <f ca="1">IF(COUNTIF(($T$4:T172),"F")&gt;=1,"",IF(OR(C174&lt;&gt;$C$3,E173=""),"",A173))</f>
        <v/>
      </c>
      <c r="T173" s="20" t="str">
        <f t="shared" ca="1" si="117"/>
        <v/>
      </c>
      <c r="U173" s="2">
        <f ca="1">IF(IF(OP!$C$83=1,$Z172,IF(OP!$C$83=2,$AA172,IF(OP!$C$83=3,$AB172,)))+$K173-$O173-$P173-$AS173&lt;OP!$C$142,0,$AS173)</f>
        <v>0</v>
      </c>
      <c r="V173" s="9"/>
      <c r="W173" s="19">
        <f ca="1">MAX(SUM($K$4:K173),0)</f>
        <v>2000000</v>
      </c>
      <c r="X173" s="19"/>
      <c r="Y173" s="19">
        <f t="shared" ca="1" si="113"/>
        <v>1920000</v>
      </c>
      <c r="Z173" s="2">
        <f ca="1">IF(MIN($Z$4:Z172)=0,0,MAX(0,($Z172+$K173-$O173-$P173)*IF(AND(F173="F",$D$3&lt;&gt;$G$3),((1+(-J173))^(H173/MIN(G173,365))),((1+(-J173))^(1/12)))-$U173))</f>
        <v>928365.45190601249</v>
      </c>
      <c r="AA173" s="2">
        <f ca="1">IF(MIN($AA$4:AA172)=0,0,MAX(0,($AA172+$K173-$O173-$P173)*IF(AND(F173="F",$D$3&lt;&gt;$G$3),((1+$AA$1)^(H173/MIN(G173,365))),((1+$AA$1)^(1/12)))-$U173))</f>
        <v>1920000</v>
      </c>
      <c r="AB173" s="2">
        <f ca="1">IF(MIN($AB$4:AB172)=0,0,MAX(0,($AB172+$K173-$O173-$P173)*IF(AND(F173="F",$D$3&lt;&gt;$G$3),((1+(J173))^(H173/MIN(G173,365))),((1+(J173))^(1/12)))-$U173))</f>
        <v>3832507.0773928901</v>
      </c>
      <c r="AC173" s="5"/>
      <c r="AD173" s="5"/>
      <c r="AE173" s="5"/>
      <c r="AF173" s="282">
        <f t="shared" ca="1" si="96"/>
        <v>928365</v>
      </c>
      <c r="AG173" s="282">
        <f t="shared" ca="1" si="97"/>
        <v>1920000</v>
      </c>
      <c r="AH173" s="282">
        <f t="shared" ca="1" si="98"/>
        <v>3832507</v>
      </c>
      <c r="AI173" s="23" t="str">
        <f t="shared" ca="1" si="119"/>
        <v>15-3</v>
      </c>
      <c r="AJ173" s="282">
        <f ca="1">IF(E173&gt;111,,IF(AND(OP!$C$99=1,T173="F"),Z173,IF(AND(OP!$C$99=2,COUNTIF($T$4:T173,"F")=1),OP!$C$97+IF(F173="F",OP!$C$98,0),"")))</f>
        <v>54527</v>
      </c>
      <c r="AK173" s="282">
        <f ca="1">IF(E173&gt;111,,IF(AND(OP!$D$99=1,T173="F"),AA173,IF(AND(OP!$D$99=2,COUNTIF($T$4:T173,"F")=1),OP!$D$97+IF(F173="F",OP!$D$98,0),"")))</f>
        <v>74177</v>
      </c>
      <c r="AL173" s="282">
        <f ca="1">IF(E173&gt;111,,IF(AND(OP!$E$99=1,T173="F"),AB173,IF(AND(OP!$E$99=2,COUNTIF($T$4:T173,"F")=1),OP!$E$97+IF(F173="F",OP!$E$98,0),"")))</f>
        <v>99404</v>
      </c>
      <c r="AM173" s="1">
        <f t="shared" ca="1" si="88"/>
        <v>3</v>
      </c>
      <c r="AN173" s="1" t="str">
        <f ca="1">IF(OR(VLOOKUP($A173,MP,5,0)="月繳"),1,"")</f>
        <v/>
      </c>
      <c r="AO173" s="1">
        <f t="shared" ca="1" si="99"/>
        <v>0</v>
      </c>
      <c r="AP173" s="1" t="str">
        <f ca="1">IF(AND(A173&lt;=OP!$C$120,COUNTIF(PAY,C173)=1),1,"")</f>
        <v/>
      </c>
      <c r="AR173" s="301">
        <f ca="1">IF(繳費報酬率資料!$A$1=1,$AY173+$AZ173,$BF173+$BG173)</f>
        <v>0</v>
      </c>
      <c r="AS173" s="1">
        <f ca="1">IF(C173&lt;&gt;IF($C$3=1,12,$C$3-1),0,IF(繳費報酬率資料!$A$1&lt;&gt;1,VLOOKUP($A173,MP,8,0),IF(AND($A173&gt;=OP!$C$79,$A173&lt;=OP!$C$80),OP!$C$78,)))</f>
        <v>0</v>
      </c>
      <c r="AT173" s="298">
        <f t="shared" ca="1" si="100"/>
        <v>0</v>
      </c>
      <c r="AU173" s="298">
        <f ca="1">IF(AND(A173&lt;=OP!$C$120,COUNTIF(PAY,C173)=1),OP!$C$123,0)</f>
        <v>0</v>
      </c>
      <c r="AV173" s="298">
        <f ca="1">IF(AND(A173&gt;=OP!$C$132,A173&lt;=OP!$C$133,$C$3=C173),OP!$C$135,0)</f>
        <v>0</v>
      </c>
      <c r="AW173" s="180">
        <f t="shared" ca="1" si="101"/>
        <v>0.05</v>
      </c>
      <c r="AX173" s="180">
        <f t="shared" ca="1" si="102"/>
        <v>0.05</v>
      </c>
      <c r="AY173" s="286">
        <f t="shared" ca="1" si="103"/>
        <v>0</v>
      </c>
      <c r="AZ173" s="286">
        <f t="shared" ca="1" si="104"/>
        <v>0</v>
      </c>
      <c r="BA173" s="286">
        <f t="shared" ca="1" si="105"/>
        <v>0</v>
      </c>
      <c r="BB173" s="286">
        <f t="shared" ca="1" si="106"/>
        <v>0</v>
      </c>
      <c r="BC173" s="286">
        <f t="shared" ca="1" si="107"/>
        <v>0</v>
      </c>
      <c r="BD173" s="180">
        <f t="shared" ca="1" si="108"/>
        <v>0.05</v>
      </c>
      <c r="BE173" s="180">
        <f t="shared" ca="1" si="109"/>
        <v>0.05</v>
      </c>
      <c r="BF173" s="286">
        <f t="shared" ca="1" si="110"/>
        <v>0</v>
      </c>
      <c r="BG173" s="286">
        <f t="shared" ca="1" si="111"/>
        <v>0</v>
      </c>
    </row>
    <row r="174" spans="1:59">
      <c r="A174" s="1">
        <f t="shared" ca="1" si="91"/>
        <v>15</v>
      </c>
      <c r="B174" s="1">
        <f t="shared" ca="1" si="114"/>
        <v>120</v>
      </c>
      <c r="C174" s="1">
        <f t="shared" ca="1" si="115"/>
        <v>8</v>
      </c>
      <c r="D174" s="1">
        <f ca="1">MIN($D$3,VLOOKUP(C174,OP!$S$30:$T$41,2))</f>
        <v>2</v>
      </c>
      <c r="E174" s="1">
        <f t="shared" ca="1" si="116"/>
        <v>69</v>
      </c>
      <c r="F174" s="11" t="str">
        <f t="shared" ca="1" si="92"/>
        <v/>
      </c>
      <c r="G174" s="8">
        <f t="shared" ca="1" si="122"/>
        <v>366</v>
      </c>
      <c r="H174" s="8">
        <f t="shared" ca="1" si="93"/>
        <v>31</v>
      </c>
      <c r="I174" s="8" t="str">
        <f t="shared" ca="1" si="90"/>
        <v>158</v>
      </c>
      <c r="J174" s="13">
        <f>IF(繳費報酬率資料!$A$1=1,VALUE(OP!$C$121),VLOOKUP(A174,MP,2,0))</f>
        <v>0.05</v>
      </c>
      <c r="K174" s="14">
        <f ca="1">IF(SUM($K$4:K173,IF(繳費報酬率資料!$A$1=1,$AU174+$AV174,$BB174+$BC174))&gt;OP!$L$58,0,IF(繳費報酬率資料!$A$1=1,$AU174+$AV174,$BB174+$BC174))</f>
        <v>0</v>
      </c>
      <c r="L174" s="2"/>
      <c r="M174" s="2"/>
      <c r="N174" s="2"/>
      <c r="O174" s="261">
        <f t="shared" ca="1" si="94"/>
        <v>0</v>
      </c>
      <c r="P174" s="261">
        <f t="shared" ca="1" si="112"/>
        <v>0</v>
      </c>
      <c r="Q174" s="3">
        <f ca="1">IF(A174&gt;MAX(OP!$R$17:$R$26),0,VLOOKUP(A174,fees,3,FALSE))</f>
        <v>0</v>
      </c>
      <c r="R174" s="200" t="str">
        <f t="shared" ca="1" si="95"/>
        <v/>
      </c>
      <c r="S174" s="9" t="str">
        <f ca="1">IF(COUNTIF(($T$4:T173),"F")&gt;=1,"",IF(OR(C175&lt;&gt;$C$3,E174=""),"",A174))</f>
        <v/>
      </c>
      <c r="T174" s="20" t="str">
        <f t="shared" ca="1" si="117"/>
        <v/>
      </c>
      <c r="U174" s="2">
        <f ca="1">IF(IF(OP!$C$83=1,$Z173,IF(OP!$C$83=2,$AA173,IF(OP!$C$83=3,$AB173,)))+$K174-$O174-$P174-$AS174&lt;OP!$C$142,0,$AS174)</f>
        <v>0</v>
      </c>
      <c r="V174" s="9"/>
      <c r="W174" s="19">
        <f ca="1">MAX(SUM($K$4:K174),0)</f>
        <v>2000000</v>
      </c>
      <c r="X174" s="19"/>
      <c r="Y174" s="19">
        <f t="shared" ca="1" si="113"/>
        <v>1920000</v>
      </c>
      <c r="Z174" s="2">
        <f ca="1">IF(MIN($Z$4:Z173)=0,0,MAX(0,($Z173+$K174-$O174-$P174)*IF(AND(F174="F",$D$3&lt;&gt;$G$3),((1+(-J174))^(H174/MIN(G174,365))),((1+(-J174))^(1/12)))-$U174))</f>
        <v>924405.67731155921</v>
      </c>
      <c r="AA174" s="2">
        <f ca="1">IF(MIN($AA$4:AA173)=0,0,MAX(0,($AA173+$K174-$O174-$P174)*IF(AND(F174="F",$D$3&lt;&gt;$G$3),((1+$AA$1)^(H174/MIN(G174,365))),((1+$AA$1)^(1/12)))-$U174))</f>
        <v>1920000</v>
      </c>
      <c r="AB174" s="2">
        <f ca="1">IF(MIN($AB$4:AB173)=0,0,MAX(0,($AB173+$K174-$O174-$P174)*IF(AND(F174="F",$D$3&lt;&gt;$G$3),((1+(J174))^(H174/MIN(G174,365))),((1+(J174))^(1/12)))-$U174))</f>
        <v>3848121.1856278973</v>
      </c>
      <c r="AC174" s="5"/>
      <c r="AD174" s="5"/>
      <c r="AE174" s="5"/>
      <c r="AF174" s="282">
        <f t="shared" ca="1" si="96"/>
        <v>924406</v>
      </c>
      <c r="AG174" s="282">
        <f t="shared" ca="1" si="97"/>
        <v>1920000</v>
      </c>
      <c r="AH174" s="282">
        <f t="shared" ca="1" si="98"/>
        <v>3848121</v>
      </c>
      <c r="AI174" s="23" t="str">
        <f t="shared" ca="1" si="119"/>
        <v>15-4</v>
      </c>
      <c r="AJ174" s="282">
        <f ca="1">IF(E174&gt;111,,IF(AND(OP!$C$99=1,T174="F"),Z174,IF(AND(OP!$C$99=2,COUNTIF($T$4:T174,"F")=1),OP!$C$97+IF(F174="F",OP!$C$98,0),"")))</f>
        <v>54527</v>
      </c>
      <c r="AK174" s="282">
        <f ca="1">IF(E174&gt;111,,IF(AND(OP!$D$99=1,T174="F"),AA174,IF(AND(OP!$D$99=2,COUNTIF($T$4:T174,"F")=1),OP!$D$97+IF(F174="F",OP!$D$98,0),"")))</f>
        <v>74177</v>
      </c>
      <c r="AL174" s="282">
        <f ca="1">IF(E174&gt;111,,IF(AND(OP!$E$99=1,T174="F"),AB174,IF(AND(OP!$E$99=2,COUNTIF($T$4:T174,"F")=1),OP!$E$97+IF(F174="F",OP!$E$98,0),"")))</f>
        <v>99404</v>
      </c>
      <c r="AM174" s="1">
        <f t="shared" ca="1" si="88"/>
        <v>4</v>
      </c>
      <c r="AN174" s="1" t="str">
        <f ca="1">IF(OR(VLOOKUP($A174,MP,5,0)="月繳"),1,"")</f>
        <v/>
      </c>
      <c r="AO174" s="1">
        <f t="shared" ca="1" si="99"/>
        <v>0</v>
      </c>
      <c r="AP174" s="1" t="str">
        <f ca="1">IF(AND(A174&lt;=OP!$C$120,COUNTIF(PAY,C174)=1),1,"")</f>
        <v/>
      </c>
      <c r="AR174" s="301">
        <f ca="1">IF(繳費報酬率資料!$A$1=1,$AY174+$AZ174,$BF174+$BG174)</f>
        <v>0</v>
      </c>
      <c r="AS174" s="1">
        <f ca="1">IF(C174&lt;&gt;IF($C$3=1,12,$C$3-1),0,IF(繳費報酬率資料!$A$1&lt;&gt;1,VLOOKUP($A174,MP,8,0),IF(AND($A174&gt;=OP!$C$79,$A174&lt;=OP!$C$80),OP!$C$78,)))</f>
        <v>0</v>
      </c>
      <c r="AT174" s="298">
        <f t="shared" ca="1" si="100"/>
        <v>0</v>
      </c>
      <c r="AU174" s="298">
        <f ca="1">IF(AND(A174&lt;=OP!$C$120,COUNTIF(PAY,C174)=1),OP!$C$123,0)</f>
        <v>0</v>
      </c>
      <c r="AV174" s="298">
        <f ca="1">IF(AND(A174&gt;=OP!$C$132,A174&lt;=OP!$C$133,$C$3=C174),OP!$C$135,0)</f>
        <v>0</v>
      </c>
      <c r="AW174" s="180">
        <f t="shared" ca="1" si="101"/>
        <v>0.05</v>
      </c>
      <c r="AX174" s="180">
        <f t="shared" ca="1" si="102"/>
        <v>0.05</v>
      </c>
      <c r="AY174" s="286">
        <f t="shared" ca="1" si="103"/>
        <v>0</v>
      </c>
      <c r="AZ174" s="286">
        <f t="shared" ca="1" si="104"/>
        <v>0</v>
      </c>
      <c r="BA174" s="286">
        <f t="shared" ca="1" si="105"/>
        <v>0</v>
      </c>
      <c r="BB174" s="286">
        <f t="shared" ca="1" si="106"/>
        <v>0</v>
      </c>
      <c r="BC174" s="286">
        <f t="shared" ca="1" si="107"/>
        <v>0</v>
      </c>
      <c r="BD174" s="180">
        <f t="shared" ca="1" si="108"/>
        <v>0.05</v>
      </c>
      <c r="BE174" s="180">
        <f t="shared" ca="1" si="109"/>
        <v>0.05</v>
      </c>
      <c r="BF174" s="286">
        <f t="shared" ca="1" si="110"/>
        <v>0</v>
      </c>
      <c r="BG174" s="286">
        <f t="shared" ca="1" si="111"/>
        <v>0</v>
      </c>
    </row>
    <row r="175" spans="1:59">
      <c r="A175" s="1">
        <f t="shared" ca="1" si="91"/>
        <v>15</v>
      </c>
      <c r="B175" s="1">
        <f t="shared" ca="1" si="114"/>
        <v>120</v>
      </c>
      <c r="C175" s="1">
        <f t="shared" ca="1" si="115"/>
        <v>9</v>
      </c>
      <c r="D175" s="1">
        <f ca="1">MIN($D$3,VLOOKUP(C175,OP!$S$30:$T$41,2))</f>
        <v>2</v>
      </c>
      <c r="E175" s="1">
        <f t="shared" ca="1" si="116"/>
        <v>69</v>
      </c>
      <c r="F175" s="11" t="str">
        <f t="shared" ca="1" si="92"/>
        <v/>
      </c>
      <c r="G175" s="8">
        <f t="shared" ca="1" si="122"/>
        <v>366</v>
      </c>
      <c r="H175" s="8">
        <f t="shared" ca="1" si="93"/>
        <v>30</v>
      </c>
      <c r="I175" s="8" t="str">
        <f t="shared" ca="1" si="90"/>
        <v>159</v>
      </c>
      <c r="J175" s="13">
        <f>IF(繳費報酬率資料!$A$1=1,VALUE(OP!$C$121),VLOOKUP(A175,MP,2,0))</f>
        <v>0.05</v>
      </c>
      <c r="K175" s="14">
        <f ca="1">IF(SUM($K$4:K174,IF(繳費報酬率資料!$A$1=1,$AU175+$AV175,$BB175+$BC175))&gt;OP!$L$58,0,IF(繳費報酬率資料!$A$1=1,$AU175+$AV175,$BB175+$BC175))</f>
        <v>0</v>
      </c>
      <c r="L175" s="2"/>
      <c r="M175" s="2"/>
      <c r="N175" s="2"/>
      <c r="O175" s="261">
        <f t="shared" ca="1" si="94"/>
        <v>0</v>
      </c>
      <c r="P175" s="261">
        <f t="shared" ca="1" si="112"/>
        <v>0</v>
      </c>
      <c r="Q175" s="3">
        <f ca="1">IF(A175&gt;MAX(OP!$R$17:$R$26),0,VLOOKUP(A175,fees,3,FALSE))</f>
        <v>0</v>
      </c>
      <c r="R175" s="200" t="str">
        <f t="shared" ca="1" si="95"/>
        <v/>
      </c>
      <c r="S175" s="9" t="str">
        <f ca="1">IF(COUNTIF(($T$4:T174),"F")&gt;=1,"",IF(OR(C176&lt;&gt;$C$3,E175=""),"",A175))</f>
        <v/>
      </c>
      <c r="T175" s="20" t="str">
        <f t="shared" ca="1" si="117"/>
        <v/>
      </c>
      <c r="U175" s="2">
        <f ca="1">IF(IF(OP!$C$83=1,$Z174,IF(OP!$C$83=2,$AA174,IF(OP!$C$83=3,$AB174,)))+$K175-$O175-$P175-$AS175&lt;OP!$C$142,0,$AS175)</f>
        <v>0</v>
      </c>
      <c r="V175" s="9"/>
      <c r="W175" s="19">
        <f ca="1">MAX(SUM($K$4:K175),0)</f>
        <v>2000000</v>
      </c>
      <c r="X175" s="19"/>
      <c r="Y175" s="19">
        <f t="shared" ca="1" si="113"/>
        <v>1920000</v>
      </c>
      <c r="Z175" s="2">
        <f ca="1">IF(MIN($Z$4:Z174)=0,0,MAX(0,($Z174+$K175-$O175-$P175)*IF(AND(F175="F",$D$3&lt;&gt;$G$3),((1+(-J175))^(H175/MIN(G175,365))),((1+(-J175))^(1/12)))-$U175))</f>
        <v>920462.79241803859</v>
      </c>
      <c r="AA175" s="2">
        <f ca="1">IF(MIN($AA$4:AA174)=0,0,MAX(0,($AA174+$K175-$O175-$P175)*IF(AND(F175="F",$D$3&lt;&gt;$G$3),((1+$AA$1)^(H175/MIN(G175,365))),((1+$AA$1)^(1/12)))-$U175))</f>
        <v>1920000</v>
      </c>
      <c r="AB175" s="2">
        <f ca="1">IF(MIN($AB$4:AB174)=0,0,MAX(0,($AB174+$K175-$O175-$P175)*IF(AND(F175="F",$D$3&lt;&gt;$G$3),((1+(J175))^(H175/MIN(G175,365))),((1+(J175))^(1/12)))-$U175))</f>
        <v>3863798.907672625</v>
      </c>
      <c r="AC175" s="5"/>
      <c r="AD175" s="5"/>
      <c r="AE175" s="5"/>
      <c r="AF175" s="282">
        <f t="shared" ca="1" si="96"/>
        <v>920463</v>
      </c>
      <c r="AG175" s="282">
        <f t="shared" ca="1" si="97"/>
        <v>1920000</v>
      </c>
      <c r="AH175" s="282">
        <f t="shared" ca="1" si="98"/>
        <v>3863799</v>
      </c>
      <c r="AI175" s="23" t="str">
        <f t="shared" ca="1" si="119"/>
        <v>15-5</v>
      </c>
      <c r="AJ175" s="282">
        <f ca="1">IF(E175&gt;111,,IF(AND(OP!$C$99=1,T175="F"),Z175,IF(AND(OP!$C$99=2,COUNTIF($T$4:T175,"F")=1),OP!$C$97+IF(F175="F",OP!$C$98,0),"")))</f>
        <v>54527</v>
      </c>
      <c r="AK175" s="282">
        <f ca="1">IF(E175&gt;111,,IF(AND(OP!$D$99=1,T175="F"),AA175,IF(AND(OP!$D$99=2,COUNTIF($T$4:T175,"F")=1),OP!$D$97+IF(F175="F",OP!$D$98,0),"")))</f>
        <v>74177</v>
      </c>
      <c r="AL175" s="282">
        <f ca="1">IF(E175&gt;111,,IF(AND(OP!$E$99=1,T175="F"),AB175,IF(AND(OP!$E$99=2,COUNTIF($T$4:T175,"F")=1),OP!$E$97+IF(F175="F",OP!$E$98,0),"")))</f>
        <v>99404</v>
      </c>
      <c r="AM175" s="1">
        <f t="shared" ca="1" si="88"/>
        <v>5</v>
      </c>
      <c r="AN175" s="1" t="str">
        <f ca="1">IF(OR(VLOOKUP($A175,MP,5,0)="季繳",VLOOKUP($A175,MP,5,0)="月繳"),1,"")</f>
        <v/>
      </c>
      <c r="AO175" s="1">
        <f t="shared" ca="1" si="99"/>
        <v>0</v>
      </c>
      <c r="AP175" s="1" t="str">
        <f ca="1">IF(AND(A175&lt;=OP!$C$120,COUNTIF(PAY,C175)=1),1,"")</f>
        <v/>
      </c>
      <c r="AR175" s="301">
        <f ca="1">IF(繳費報酬率資料!$A$1=1,$AY175+$AZ175,$BF175+$BG175)</f>
        <v>0</v>
      </c>
      <c r="AS175" s="1">
        <f ca="1">IF(C175&lt;&gt;IF($C$3=1,12,$C$3-1),0,IF(繳費報酬率資料!$A$1&lt;&gt;1,VLOOKUP($A175,MP,8,0),IF(AND($A175&gt;=OP!$C$79,$A175&lt;=OP!$C$80),OP!$C$78,)))</f>
        <v>0</v>
      </c>
      <c r="AT175" s="298">
        <f t="shared" ca="1" si="100"/>
        <v>0</v>
      </c>
      <c r="AU175" s="298">
        <f ca="1">IF(AND(A175&lt;=OP!$C$120,COUNTIF(PAY,C175)=1),OP!$C$123,0)</f>
        <v>0</v>
      </c>
      <c r="AV175" s="298">
        <f ca="1">IF(AND(A175&gt;=OP!$C$132,A175&lt;=OP!$C$133,$C$3=C175),OP!$C$135,0)</f>
        <v>0</v>
      </c>
      <c r="AW175" s="180">
        <f t="shared" ca="1" si="101"/>
        <v>0.05</v>
      </c>
      <c r="AX175" s="180">
        <f t="shared" ca="1" si="102"/>
        <v>0.05</v>
      </c>
      <c r="AY175" s="286">
        <f t="shared" ca="1" si="103"/>
        <v>0</v>
      </c>
      <c r="AZ175" s="286">
        <f t="shared" ca="1" si="104"/>
        <v>0</v>
      </c>
      <c r="BA175" s="286">
        <f t="shared" ca="1" si="105"/>
        <v>0</v>
      </c>
      <c r="BB175" s="286">
        <f t="shared" ca="1" si="106"/>
        <v>0</v>
      </c>
      <c r="BC175" s="286">
        <f t="shared" ca="1" si="107"/>
        <v>0</v>
      </c>
      <c r="BD175" s="180">
        <f t="shared" ca="1" si="108"/>
        <v>0.05</v>
      </c>
      <c r="BE175" s="180">
        <f t="shared" ca="1" si="109"/>
        <v>0.05</v>
      </c>
      <c r="BF175" s="286">
        <f t="shared" ca="1" si="110"/>
        <v>0</v>
      </c>
      <c r="BG175" s="286">
        <f t="shared" ca="1" si="111"/>
        <v>0</v>
      </c>
    </row>
    <row r="176" spans="1:59">
      <c r="A176" s="1">
        <f t="shared" ca="1" si="91"/>
        <v>15</v>
      </c>
      <c r="B176" s="1">
        <f t="shared" ca="1" si="114"/>
        <v>120</v>
      </c>
      <c r="C176" s="1">
        <f t="shared" ca="1" si="115"/>
        <v>10</v>
      </c>
      <c r="D176" s="1">
        <f ca="1">MIN($D$3,VLOOKUP(C176,OP!$S$30:$T$41,2))</f>
        <v>2</v>
      </c>
      <c r="E176" s="1">
        <f t="shared" ca="1" si="116"/>
        <v>69</v>
      </c>
      <c r="F176" s="11" t="str">
        <f t="shared" ca="1" si="92"/>
        <v/>
      </c>
      <c r="G176" s="8">
        <f t="shared" ca="1" si="122"/>
        <v>366</v>
      </c>
      <c r="H176" s="8">
        <f t="shared" ca="1" si="93"/>
        <v>31</v>
      </c>
      <c r="I176" s="8" t="str">
        <f t="shared" ca="1" si="90"/>
        <v>1510</v>
      </c>
      <c r="J176" s="13">
        <f>IF(繳費報酬率資料!$A$1=1,VALUE(OP!$C$121),VLOOKUP(A176,MP,2,0))</f>
        <v>0.05</v>
      </c>
      <c r="K176" s="14">
        <f ca="1">IF(SUM($K$4:K175,IF(繳費報酬率資料!$A$1=1,$AU176+$AV176,$BB176+$BC176))&gt;OP!$L$58,0,IF(繳費報酬率資料!$A$1=1,$AU176+$AV176,$BB176+$BC176))</f>
        <v>0</v>
      </c>
      <c r="L176" s="2"/>
      <c r="M176" s="2"/>
      <c r="N176" s="2"/>
      <c r="O176" s="261">
        <f t="shared" ca="1" si="94"/>
        <v>0</v>
      </c>
      <c r="P176" s="261">
        <f t="shared" ca="1" si="112"/>
        <v>0</v>
      </c>
      <c r="Q176" s="3">
        <f ca="1">IF(A176&gt;MAX(OP!$R$17:$R$26),0,VLOOKUP(A176,fees,3,FALSE))</f>
        <v>0</v>
      </c>
      <c r="R176" s="200" t="str">
        <f t="shared" ca="1" si="95"/>
        <v/>
      </c>
      <c r="S176" s="9" t="str">
        <f ca="1">IF(COUNTIF(($T$4:T175),"F")&gt;=1,"",IF(OR(C177&lt;&gt;$C$3,E176=""),"",A176))</f>
        <v/>
      </c>
      <c r="T176" s="20" t="str">
        <f t="shared" ca="1" si="117"/>
        <v/>
      </c>
      <c r="U176" s="2">
        <f ca="1">IF(IF(OP!$C$83=1,$Z175,IF(OP!$C$83=2,$AA175,IF(OP!$C$83=3,$AB175,)))+$K176-$O176-$P176-$AS176&lt;OP!$C$142,0,$AS176)</f>
        <v>0</v>
      </c>
      <c r="V176" s="9"/>
      <c r="W176" s="19">
        <f ca="1">MAX(SUM($K$4:K176),0)</f>
        <v>2000000</v>
      </c>
      <c r="X176" s="19"/>
      <c r="Y176" s="19">
        <f t="shared" ca="1" si="113"/>
        <v>1920000</v>
      </c>
      <c r="Z176" s="2">
        <f ca="1">IF(MIN($Z$4:Z175)=0,0,MAX(0,($Z175+$K176-$O176-$P176)*IF(AND(F176="F",$D$3&lt;&gt;$G$3),((1+(-J176))^(H176/MIN(G176,365))),((1+(-J176))^(1/12)))-$U176))</f>
        <v>916536.72518549208</v>
      </c>
      <c r="AA176" s="2">
        <f ca="1">IF(MIN($AA$4:AA175)=0,0,MAX(0,($AA175+$K176-$O176-$P176)*IF(AND(F176="F",$D$3&lt;&gt;$G$3),((1+$AA$1)^(H176/MIN(G176,365))),((1+$AA$1)^(1/12)))-$U176))</f>
        <v>1920000</v>
      </c>
      <c r="AB176" s="2">
        <f ca="1">IF(MIN($AB$4:AB175)=0,0,MAX(0,($AB175+$K176-$O176-$P176)*IF(AND(F176="F",$D$3&lt;&gt;$G$3),((1+(J176))^(H176/MIN(G176,365))),((1+(J176))^(1/12)))-$U176))</f>
        <v>3879540.5026976084</v>
      </c>
      <c r="AC176" s="5"/>
      <c r="AD176" s="5"/>
      <c r="AE176" s="5"/>
      <c r="AF176" s="282">
        <f t="shared" ca="1" si="96"/>
        <v>916537</v>
      </c>
      <c r="AG176" s="282">
        <f t="shared" ca="1" si="97"/>
        <v>1920000</v>
      </c>
      <c r="AH176" s="282">
        <f t="shared" ca="1" si="98"/>
        <v>3879541</v>
      </c>
      <c r="AI176" s="23" t="str">
        <f t="shared" ca="1" si="119"/>
        <v>15-6</v>
      </c>
      <c r="AJ176" s="282">
        <f ca="1">IF(E176&gt;111,,IF(AND(OP!$C$99=1,T176="F"),Z176,IF(AND(OP!$C$99=2,COUNTIF($T$4:T176,"F")=1),OP!$C$97+IF(F176="F",OP!$C$98,0),"")))</f>
        <v>54527</v>
      </c>
      <c r="AK176" s="282">
        <f ca="1">IF(E176&gt;111,,IF(AND(OP!$D$99=1,T176="F"),AA176,IF(AND(OP!$D$99=2,COUNTIF($T$4:T176,"F")=1),OP!$D$97+IF(F176="F",OP!$D$98,0),"")))</f>
        <v>74177</v>
      </c>
      <c r="AL176" s="282">
        <f ca="1">IF(E176&gt;111,,IF(AND(OP!$E$99=1,T176="F"),AB176,IF(AND(OP!$E$99=2,COUNTIF($T$4:T176,"F")=1),OP!$E$97+IF(F176="F",OP!$E$98,0),"")))</f>
        <v>99404</v>
      </c>
      <c r="AM176" s="1">
        <f t="shared" ca="1" si="88"/>
        <v>6</v>
      </c>
      <c r="AN176" s="1" t="str">
        <f ca="1">IF(OR(VLOOKUP($A176,MP,5,0)="月繳"),1,"")</f>
        <v/>
      </c>
      <c r="AO176" s="1">
        <f t="shared" ca="1" si="99"/>
        <v>0</v>
      </c>
      <c r="AP176" s="1" t="str">
        <f ca="1">IF(AND(A176&lt;=OP!$C$120,COUNTIF(PAY,C176)=1),1,"")</f>
        <v/>
      </c>
      <c r="AR176" s="301">
        <f ca="1">IF(繳費報酬率資料!$A$1=1,$AY176+$AZ176,$BF176+$BG176)</f>
        <v>0</v>
      </c>
      <c r="AS176" s="1">
        <f ca="1">IF(C176&lt;&gt;IF($C$3=1,12,$C$3-1),0,IF(繳費報酬率資料!$A$1&lt;&gt;1,VLOOKUP($A176,MP,8,0),IF(AND($A176&gt;=OP!$C$79,$A176&lt;=OP!$C$80),OP!$C$78,)))</f>
        <v>0</v>
      </c>
      <c r="AT176" s="298">
        <f t="shared" ca="1" si="100"/>
        <v>0</v>
      </c>
      <c r="AU176" s="298">
        <f ca="1">IF(AND(A176&lt;=OP!$C$120,COUNTIF(PAY,C176)=1),OP!$C$123,0)</f>
        <v>0</v>
      </c>
      <c r="AV176" s="298">
        <f ca="1">IF(AND(A176&gt;=OP!$C$132,A176&lt;=OP!$C$133,$C$3=C176),OP!$C$135,0)</f>
        <v>0</v>
      </c>
      <c r="AW176" s="180">
        <f t="shared" ca="1" si="101"/>
        <v>0.05</v>
      </c>
      <c r="AX176" s="180">
        <f t="shared" ca="1" si="102"/>
        <v>0.05</v>
      </c>
      <c r="AY176" s="286">
        <f t="shared" ca="1" si="103"/>
        <v>0</v>
      </c>
      <c r="AZ176" s="286">
        <f t="shared" ca="1" si="104"/>
        <v>0</v>
      </c>
      <c r="BA176" s="286">
        <f t="shared" ca="1" si="105"/>
        <v>0</v>
      </c>
      <c r="BB176" s="286">
        <f t="shared" ca="1" si="106"/>
        <v>0</v>
      </c>
      <c r="BC176" s="286">
        <f t="shared" ca="1" si="107"/>
        <v>0</v>
      </c>
      <c r="BD176" s="180">
        <f t="shared" ca="1" si="108"/>
        <v>0.05</v>
      </c>
      <c r="BE176" s="180">
        <f t="shared" ca="1" si="109"/>
        <v>0.05</v>
      </c>
      <c r="BF176" s="286">
        <f t="shared" ca="1" si="110"/>
        <v>0</v>
      </c>
      <c r="BG176" s="286">
        <f t="shared" ca="1" si="111"/>
        <v>0</v>
      </c>
    </row>
    <row r="177" spans="1:59">
      <c r="A177" s="1">
        <f t="shared" ca="1" si="91"/>
        <v>15</v>
      </c>
      <c r="B177" s="1">
        <f t="shared" ca="1" si="114"/>
        <v>120</v>
      </c>
      <c r="C177" s="1">
        <f t="shared" ca="1" si="115"/>
        <v>11</v>
      </c>
      <c r="D177" s="1">
        <f ca="1">MIN($D$3,VLOOKUP(C177,OP!$S$30:$T$41,2))</f>
        <v>2</v>
      </c>
      <c r="E177" s="1">
        <f t="shared" ca="1" si="116"/>
        <v>69</v>
      </c>
      <c r="F177" s="11" t="str">
        <f t="shared" ca="1" si="92"/>
        <v/>
      </c>
      <c r="G177" s="8">
        <f t="shared" ca="1" si="122"/>
        <v>366</v>
      </c>
      <c r="H177" s="8">
        <f t="shared" ca="1" si="93"/>
        <v>30</v>
      </c>
      <c r="I177" s="8" t="str">
        <f t="shared" ca="1" si="90"/>
        <v>1511</v>
      </c>
      <c r="J177" s="13">
        <f>IF(繳費報酬率資料!$A$1=1,VALUE(OP!$C$121),VLOOKUP(A177,MP,2,0))</f>
        <v>0.05</v>
      </c>
      <c r="K177" s="14">
        <f ca="1">IF(SUM($K$4:K176,IF(繳費報酬率資料!$A$1=1,$AU177+$AV177,$BB177+$BC177))&gt;OP!$L$58,0,IF(繳費報酬率資料!$A$1=1,$AU177+$AV177,$BB177+$BC177))</f>
        <v>0</v>
      </c>
      <c r="L177" s="2"/>
      <c r="M177" s="2"/>
      <c r="N177" s="2"/>
      <c r="O177" s="261">
        <f t="shared" ca="1" si="94"/>
        <v>0</v>
      </c>
      <c r="P177" s="261">
        <f t="shared" ca="1" si="112"/>
        <v>0</v>
      </c>
      <c r="Q177" s="3">
        <f ca="1">IF(A177&gt;MAX(OP!$R$17:$R$26),0,VLOOKUP(A177,fees,3,FALSE))</f>
        <v>0</v>
      </c>
      <c r="R177" s="200" t="str">
        <f t="shared" ca="1" si="95"/>
        <v/>
      </c>
      <c r="S177" s="9" t="str">
        <f ca="1">IF(COUNTIF(($T$4:T176),"F")&gt;=1,"",IF(OR(C178&lt;&gt;$C$3,E177=""),"",A177))</f>
        <v/>
      </c>
      <c r="T177" s="20" t="str">
        <f t="shared" ca="1" si="117"/>
        <v/>
      </c>
      <c r="U177" s="2">
        <f ca="1">IF(IF(OP!$C$83=1,$Z176,IF(OP!$C$83=2,$AA176,IF(OP!$C$83=3,$AB176,)))+$K177-$O177-$P177-$AS177&lt;OP!$C$142,0,$AS177)</f>
        <v>0</v>
      </c>
      <c r="V177" s="9"/>
      <c r="W177" s="19">
        <f ca="1">MAX(SUM($K$4:K177),0)</f>
        <v>2000000</v>
      </c>
      <c r="X177" s="19"/>
      <c r="Y177" s="19">
        <f t="shared" ca="1" si="113"/>
        <v>1920000</v>
      </c>
      <c r="Z177" s="2">
        <f ca="1">IF(MIN($Z$4:Z176)=0,0,MAX(0,($Z176+$K177-$O177-$P177)*IF(AND(F177="F",$D$3&lt;&gt;$G$3),((1+(-J177))^(H177/MIN(G177,365))),((1+(-J177))^(1/12)))-$U177))</f>
        <v>912627.40388123447</v>
      </c>
      <c r="AA177" s="2">
        <f ca="1">IF(MIN($AA$4:AA176)=0,0,MAX(0,($AA176+$K177-$O177-$P177)*IF(AND(F177="F",$D$3&lt;&gt;$G$3),((1+$AA$1)^(H177/MIN(G177,365))),((1+$AA$1)^(1/12)))-$U177))</f>
        <v>1920000</v>
      </c>
      <c r="AB177" s="2">
        <f ca="1">IF(MIN($AB$4:AB176)=0,0,MAX(0,($AB176+$K177-$O177-$P177)*IF(AND(F177="F",$D$3&lt;&gt;$G$3),((1+(J177))^(H177/MIN(G177,365))),((1+(J177))^(1/12)))-$U177))</f>
        <v>3895346.230929276</v>
      </c>
      <c r="AC177" s="5"/>
      <c r="AD177" s="5"/>
      <c r="AE177" s="5"/>
      <c r="AF177" s="282">
        <f t="shared" ca="1" si="96"/>
        <v>912627</v>
      </c>
      <c r="AG177" s="282">
        <f t="shared" ca="1" si="97"/>
        <v>1920000</v>
      </c>
      <c r="AH177" s="282">
        <f t="shared" ca="1" si="98"/>
        <v>3895346</v>
      </c>
      <c r="AI177" s="23" t="str">
        <f t="shared" ca="1" si="119"/>
        <v>15-7</v>
      </c>
      <c r="AJ177" s="282">
        <f ca="1">IF(E177&gt;111,,IF(AND(OP!$C$99=1,T177="F"),Z177,IF(AND(OP!$C$99=2,COUNTIF($T$4:T177,"F")=1),OP!$C$97+IF(F177="F",OP!$C$98,0),"")))</f>
        <v>54527</v>
      </c>
      <c r="AK177" s="282">
        <f ca="1">IF(E177&gt;111,,IF(AND(OP!$D$99=1,T177="F"),AA177,IF(AND(OP!$D$99=2,COUNTIF($T$4:T177,"F")=1),OP!$D$97+IF(F177="F",OP!$D$98,0),"")))</f>
        <v>74177</v>
      </c>
      <c r="AL177" s="282">
        <f ca="1">IF(E177&gt;111,,IF(AND(OP!$E$99=1,T177="F"),AB177,IF(AND(OP!$E$99=2,COUNTIF($T$4:T177,"F")=1),OP!$E$97+IF(F177="F",OP!$E$98,0),"")))</f>
        <v>99404</v>
      </c>
      <c r="AM177" s="1">
        <f t="shared" ca="1" si="88"/>
        <v>7</v>
      </c>
      <c r="AN177" s="1" t="str">
        <f ca="1">IF(OR(VLOOKUP($A177,MP,5,0)="月繳"),1,"")</f>
        <v/>
      </c>
      <c r="AO177" s="1">
        <f t="shared" ca="1" si="99"/>
        <v>0</v>
      </c>
      <c r="AP177" s="1" t="str">
        <f ca="1">IF(AND(A177&lt;=OP!$C$120,COUNTIF(PAY,C177)=1),1,"")</f>
        <v/>
      </c>
      <c r="AR177" s="301">
        <f ca="1">IF(繳費報酬率資料!$A$1=1,$AY177+$AZ177,$BF177+$BG177)</f>
        <v>0</v>
      </c>
      <c r="AS177" s="1">
        <f ca="1">IF(C177&lt;&gt;IF($C$3=1,12,$C$3-1),0,IF(繳費報酬率資料!$A$1&lt;&gt;1,VLOOKUP($A177,MP,8,0),IF(AND($A177&gt;=OP!$C$79,$A177&lt;=OP!$C$80),OP!$C$78,)))</f>
        <v>0</v>
      </c>
      <c r="AT177" s="298">
        <f t="shared" ca="1" si="100"/>
        <v>0</v>
      </c>
      <c r="AU177" s="298">
        <f ca="1">IF(AND(A177&lt;=OP!$C$120,COUNTIF(PAY,C177)=1),OP!$C$123,0)</f>
        <v>0</v>
      </c>
      <c r="AV177" s="298">
        <f ca="1">IF(AND(A177&gt;=OP!$C$132,A177&lt;=OP!$C$133,$C$3=C177),OP!$C$135,0)</f>
        <v>0</v>
      </c>
      <c r="AW177" s="180">
        <f t="shared" ca="1" si="101"/>
        <v>0.05</v>
      </c>
      <c r="AX177" s="180">
        <f t="shared" ca="1" si="102"/>
        <v>0.05</v>
      </c>
      <c r="AY177" s="286">
        <f t="shared" ca="1" si="103"/>
        <v>0</v>
      </c>
      <c r="AZ177" s="286">
        <f t="shared" ca="1" si="104"/>
        <v>0</v>
      </c>
      <c r="BA177" s="286">
        <f t="shared" ca="1" si="105"/>
        <v>0</v>
      </c>
      <c r="BB177" s="286">
        <f t="shared" ca="1" si="106"/>
        <v>0</v>
      </c>
      <c r="BC177" s="286">
        <f t="shared" ca="1" si="107"/>
        <v>0</v>
      </c>
      <c r="BD177" s="180">
        <f t="shared" ca="1" si="108"/>
        <v>0.05</v>
      </c>
      <c r="BE177" s="180">
        <f t="shared" ca="1" si="109"/>
        <v>0.05</v>
      </c>
      <c r="BF177" s="286">
        <f t="shared" ca="1" si="110"/>
        <v>0</v>
      </c>
      <c r="BG177" s="286">
        <f t="shared" ca="1" si="111"/>
        <v>0</v>
      </c>
    </row>
    <row r="178" spans="1:59">
      <c r="A178" s="1">
        <f t="shared" ca="1" si="91"/>
        <v>15</v>
      </c>
      <c r="B178" s="1">
        <f t="shared" ca="1" si="114"/>
        <v>120</v>
      </c>
      <c r="C178" s="1">
        <f t="shared" ca="1" si="115"/>
        <v>12</v>
      </c>
      <c r="D178" s="1">
        <f ca="1">MIN($D$3,VLOOKUP(C178,OP!$S$30:$T$41,2))</f>
        <v>2</v>
      </c>
      <c r="E178" s="1">
        <f t="shared" ca="1" si="116"/>
        <v>69</v>
      </c>
      <c r="F178" s="11" t="str">
        <f t="shared" ca="1" si="92"/>
        <v/>
      </c>
      <c r="G178" s="8">
        <f t="shared" ca="1" si="122"/>
        <v>366</v>
      </c>
      <c r="H178" s="8">
        <f t="shared" ca="1" si="93"/>
        <v>31</v>
      </c>
      <c r="I178" s="8" t="str">
        <f t="shared" ca="1" si="90"/>
        <v>1512</v>
      </c>
      <c r="J178" s="13">
        <f>IF(繳費報酬率資料!$A$1=1,VALUE(OP!$C$121),VLOOKUP(A178,MP,2,0))</f>
        <v>0.05</v>
      </c>
      <c r="K178" s="14">
        <f ca="1">IF(SUM($K$4:K177,IF(繳費報酬率資料!$A$1=1,$AU178+$AV178,$BB178+$BC178))&gt;OP!$L$58,0,IF(繳費報酬率資料!$A$1=1,$AU178+$AV178,$BB178+$BC178))</f>
        <v>0</v>
      </c>
      <c r="L178" s="2"/>
      <c r="M178" s="2"/>
      <c r="N178" s="2"/>
      <c r="O178" s="261">
        <f t="shared" ca="1" si="94"/>
        <v>0</v>
      </c>
      <c r="P178" s="261">
        <f t="shared" ca="1" si="112"/>
        <v>0</v>
      </c>
      <c r="Q178" s="3">
        <f ca="1">IF(A178&gt;MAX(OP!$R$17:$R$26),0,VLOOKUP(A178,fees,3,FALSE))</f>
        <v>0</v>
      </c>
      <c r="R178" s="200" t="str">
        <f t="shared" ca="1" si="95"/>
        <v/>
      </c>
      <c r="S178" s="9" t="str">
        <f ca="1">IF(COUNTIF(($T$4:T177),"F")&gt;=1,"",IF(OR(C179&lt;&gt;$C$3,E178=""),"",A178))</f>
        <v/>
      </c>
      <c r="T178" s="20" t="str">
        <f t="shared" ca="1" si="117"/>
        <v/>
      </c>
      <c r="U178" s="2">
        <f ca="1">IF(IF(OP!$C$83=1,$Z177,IF(OP!$C$83=2,$AA177,IF(OP!$C$83=3,$AB177,)))+$K178-$O178-$P178-$AS178&lt;OP!$C$142,0,$AS178)</f>
        <v>0</v>
      </c>
      <c r="V178" s="9"/>
      <c r="W178" s="19">
        <f ca="1">MAX(SUM($K$4:K178),0)</f>
        <v>2000000</v>
      </c>
      <c r="X178" s="19"/>
      <c r="Y178" s="19">
        <f t="shared" ca="1" si="113"/>
        <v>1920000</v>
      </c>
      <c r="Z178" s="2">
        <f ca="1">IF(MIN($Z$4:Z177)=0,0,MAX(0,($Z177+$K178-$O178-$P178)*IF(AND(F178="F",$D$3&lt;&gt;$G$3),((1+(-J178))^(H178/MIN(G178,365))),((1+(-J178))^(1/12)))-$U178))</f>
        <v>908734.75707854342</v>
      </c>
      <c r="AA178" s="2">
        <f ca="1">IF(MIN($AA$4:AA177)=0,0,MAX(0,($AA177+$K178-$O178-$P178)*IF(AND(F178="F",$D$3&lt;&gt;$G$3),((1+$AA$1)^(H178/MIN(G178,365))),((1+$AA$1)^(1/12)))-$U178))</f>
        <v>1920000</v>
      </c>
      <c r="AB178" s="2">
        <f ca="1">IF(MIN($AB$4:AB177)=0,0,MAX(0,($AB177+$K178-$O178-$P178)*IF(AND(F178="F",$D$3&lt;&gt;$G$3),((1+(J178))^(H178/MIN(G178,365))),((1+(J178))^(1/12)))-$U178))</f>
        <v>3911216.35365425</v>
      </c>
      <c r="AC178" s="5"/>
      <c r="AD178" s="5"/>
      <c r="AE178" s="5"/>
      <c r="AF178" s="282">
        <f t="shared" ca="1" si="96"/>
        <v>908735</v>
      </c>
      <c r="AG178" s="282">
        <f t="shared" ca="1" si="97"/>
        <v>1920000</v>
      </c>
      <c r="AH178" s="282">
        <f t="shared" ca="1" si="98"/>
        <v>3911216</v>
      </c>
      <c r="AI178" s="23" t="str">
        <f t="shared" ca="1" si="119"/>
        <v>15-8</v>
      </c>
      <c r="AJ178" s="282">
        <f ca="1">IF(E178&gt;111,,IF(AND(OP!$C$99=1,T178="F"),Z178,IF(AND(OP!$C$99=2,COUNTIF($T$4:T178,"F")=1),OP!$C$97+IF(F178="F",OP!$C$98,0),"")))</f>
        <v>54527</v>
      </c>
      <c r="AK178" s="282">
        <f ca="1">IF(E178&gt;111,,IF(AND(OP!$D$99=1,T178="F"),AA178,IF(AND(OP!$D$99=2,COUNTIF($T$4:T178,"F")=1),OP!$D$97+IF(F178="F",OP!$D$98,0),"")))</f>
        <v>74177</v>
      </c>
      <c r="AL178" s="282">
        <f ca="1">IF(E178&gt;111,,IF(AND(OP!$E$99=1,T178="F"),AB178,IF(AND(OP!$E$99=2,COUNTIF($T$4:T178,"F")=1),OP!$E$97+IF(F178="F",OP!$E$98,0),"")))</f>
        <v>99404</v>
      </c>
      <c r="AM178" s="1">
        <f t="shared" ca="1" si="88"/>
        <v>8</v>
      </c>
      <c r="AN178" s="1" t="str">
        <f ca="1">IF(OR(VLOOKUP($A178,MP,5,0)="半年繳",VLOOKUP($A178,MP,5,0)="季繳",VLOOKUP($A178,MP,5,0)="月繳"),1,"")</f>
        <v/>
      </c>
      <c r="AO178" s="1">
        <f t="shared" ca="1" si="99"/>
        <v>0</v>
      </c>
      <c r="AP178" s="1" t="str">
        <f ca="1">IF(AND(A178&lt;=OP!$C$120,COUNTIF(PAY,C178)=1),1,"")</f>
        <v/>
      </c>
      <c r="AR178" s="301">
        <f ca="1">IF(繳費報酬率資料!$A$1=1,$AY178+$AZ178,$BF178+$BG178)</f>
        <v>0</v>
      </c>
      <c r="AS178" s="1">
        <f ca="1">IF(C178&lt;&gt;IF($C$3=1,12,$C$3-1),0,IF(繳費報酬率資料!$A$1&lt;&gt;1,VLOOKUP($A178,MP,8,0),IF(AND($A178&gt;=OP!$C$79,$A178&lt;=OP!$C$80),OP!$C$78,)))</f>
        <v>0</v>
      </c>
      <c r="AT178" s="298">
        <f t="shared" ca="1" si="100"/>
        <v>0</v>
      </c>
      <c r="AU178" s="298">
        <f ca="1">IF(AND(A178&lt;=OP!$C$120,COUNTIF(PAY,C178)=1),OP!$C$123,0)</f>
        <v>0</v>
      </c>
      <c r="AV178" s="298">
        <f ca="1">IF(AND(A178&gt;=OP!$C$132,A178&lt;=OP!$C$133,$C$3=C178),OP!$C$135,0)</f>
        <v>0</v>
      </c>
      <c r="AW178" s="180">
        <f t="shared" ca="1" si="101"/>
        <v>0.05</v>
      </c>
      <c r="AX178" s="180">
        <f t="shared" ca="1" si="102"/>
        <v>0.05</v>
      </c>
      <c r="AY178" s="286">
        <f t="shared" ca="1" si="103"/>
        <v>0</v>
      </c>
      <c r="AZ178" s="286">
        <f t="shared" ca="1" si="104"/>
        <v>0</v>
      </c>
      <c r="BA178" s="286">
        <f t="shared" ca="1" si="105"/>
        <v>0</v>
      </c>
      <c r="BB178" s="286">
        <f t="shared" ca="1" si="106"/>
        <v>0</v>
      </c>
      <c r="BC178" s="286">
        <f t="shared" ca="1" si="107"/>
        <v>0</v>
      </c>
      <c r="BD178" s="180">
        <f t="shared" ca="1" si="108"/>
        <v>0.05</v>
      </c>
      <c r="BE178" s="180">
        <f t="shared" ca="1" si="109"/>
        <v>0.05</v>
      </c>
      <c r="BF178" s="286">
        <f t="shared" ca="1" si="110"/>
        <v>0</v>
      </c>
      <c r="BG178" s="286">
        <f t="shared" ca="1" si="111"/>
        <v>0</v>
      </c>
    </row>
    <row r="179" spans="1:59">
      <c r="A179" s="1">
        <f t="shared" ca="1" si="91"/>
        <v>15</v>
      </c>
      <c r="B179" s="1">
        <f t="shared" ca="1" si="114"/>
        <v>121</v>
      </c>
      <c r="C179" s="1">
        <f t="shared" ca="1" si="115"/>
        <v>1</v>
      </c>
      <c r="D179" s="1">
        <f ca="1">MIN($D$3,VLOOKUP(C179,OP!$S$30:$T$41,2))</f>
        <v>2</v>
      </c>
      <c r="E179" s="1">
        <f t="shared" ca="1" si="116"/>
        <v>69</v>
      </c>
      <c r="F179" s="11" t="str">
        <f t="shared" ca="1" si="92"/>
        <v/>
      </c>
      <c r="G179" s="8">
        <f t="shared" ca="1" si="122"/>
        <v>366</v>
      </c>
      <c r="H179" s="8">
        <f t="shared" ca="1" si="93"/>
        <v>31</v>
      </c>
      <c r="I179" s="8" t="str">
        <f t="shared" ca="1" si="90"/>
        <v>151</v>
      </c>
      <c r="J179" s="13">
        <f>IF(繳費報酬率資料!$A$1=1,VALUE(OP!$C$121),VLOOKUP(A179,MP,2,0))</f>
        <v>0.05</v>
      </c>
      <c r="K179" s="14">
        <f ca="1">IF(SUM($K$4:K178,IF(繳費報酬率資料!$A$1=1,$AU179+$AV179,$BB179+$BC179))&gt;OP!$L$58,0,IF(繳費報酬率資料!$A$1=1,$AU179+$AV179,$BB179+$BC179))</f>
        <v>0</v>
      </c>
      <c r="L179" s="2"/>
      <c r="M179" s="2"/>
      <c r="N179" s="2"/>
      <c r="O179" s="261">
        <f t="shared" ca="1" si="94"/>
        <v>0</v>
      </c>
      <c r="P179" s="261">
        <f t="shared" ca="1" si="112"/>
        <v>0</v>
      </c>
      <c r="Q179" s="3">
        <f ca="1">IF(A179&gt;MAX(OP!$R$17:$R$26),0,VLOOKUP(A179,fees,3,FALSE))</f>
        <v>0</v>
      </c>
      <c r="R179" s="200" t="str">
        <f t="shared" ca="1" si="95"/>
        <v/>
      </c>
      <c r="S179" s="9" t="str">
        <f ca="1">IF(COUNTIF(($T$4:T178),"F")&gt;=1,"",IF(OR(C180&lt;&gt;$C$3,E179=""),"",A179))</f>
        <v/>
      </c>
      <c r="T179" s="20" t="str">
        <f t="shared" ca="1" si="117"/>
        <v/>
      </c>
      <c r="U179" s="2">
        <f ca="1">IF(IF(OP!$C$83=1,$Z178,IF(OP!$C$83=2,$AA178,IF(OP!$C$83=3,$AB178,)))+$K179-$O179-$P179-$AS179&lt;OP!$C$142,0,$AS179)</f>
        <v>0</v>
      </c>
      <c r="V179" s="9"/>
      <c r="W179" s="19">
        <f ca="1">MAX(SUM($K$4:K179),0)</f>
        <v>2000000</v>
      </c>
      <c r="X179" s="19"/>
      <c r="Y179" s="19">
        <f t="shared" ca="1" si="113"/>
        <v>1920000</v>
      </c>
      <c r="Z179" s="2">
        <f ca="1">IF(MIN($Z$4:Z178)=0,0,MAX(0,($Z178+$K179-$O179-$P179)*IF(AND(F179="F",$D$3&lt;&gt;$G$3),((1+(-J179))^(H179/MIN(G179,365))),((1+(-J179))^(1/12)))-$U179))</f>
        <v>904858.71365535434</v>
      </c>
      <c r="AA179" s="2">
        <f ca="1">IF(MIN($AA$4:AA178)=0,0,MAX(0,($AA178+$K179-$O179-$P179)*IF(AND(F179="F",$D$3&lt;&gt;$G$3),((1+$AA$1)^(H179/MIN(G179,365))),((1+$AA$1)^(1/12)))-$U179))</f>
        <v>1920000</v>
      </c>
      <c r="AB179" s="2">
        <f ca="1">IF(MIN($AB$4:AB178)=0,0,MAX(0,($AB178+$K179-$O179-$P179)*IF(AND(F179="F",$D$3&lt;&gt;$G$3),((1+(J179))^(H179/MIN(G179,365))),((1+(J179))^(1/12)))-$U179))</f>
        <v>3927151.1332236673</v>
      </c>
      <c r="AC179" s="5"/>
      <c r="AD179" s="5"/>
      <c r="AE179" s="5"/>
      <c r="AF179" s="282">
        <f t="shared" ca="1" si="96"/>
        <v>904859</v>
      </c>
      <c r="AG179" s="282">
        <f t="shared" ca="1" si="97"/>
        <v>1920000</v>
      </c>
      <c r="AH179" s="282">
        <f t="shared" ca="1" si="98"/>
        <v>3927151</v>
      </c>
      <c r="AI179" s="23" t="str">
        <f t="shared" ca="1" si="119"/>
        <v>15-9</v>
      </c>
      <c r="AJ179" s="282">
        <f ca="1">IF(E179&gt;111,,IF(AND(OP!$C$99=1,T179="F"),Z179,IF(AND(OP!$C$99=2,COUNTIF($T$4:T179,"F")=1),OP!$C$97+IF(F179="F",OP!$C$98,0),"")))</f>
        <v>54527</v>
      </c>
      <c r="AK179" s="282">
        <f ca="1">IF(E179&gt;111,,IF(AND(OP!$D$99=1,T179="F"),AA179,IF(AND(OP!$D$99=2,COUNTIF($T$4:T179,"F")=1),OP!$D$97+IF(F179="F",OP!$D$98,0),"")))</f>
        <v>74177</v>
      </c>
      <c r="AL179" s="282">
        <f ca="1">IF(E179&gt;111,,IF(AND(OP!$E$99=1,T179="F"),AB179,IF(AND(OP!$E$99=2,COUNTIF($T$4:T179,"F")=1),OP!$E$97+IF(F179="F",OP!$E$98,0),"")))</f>
        <v>99404</v>
      </c>
      <c r="AM179" s="1">
        <f t="shared" ca="1" si="88"/>
        <v>9</v>
      </c>
      <c r="AN179" s="1" t="str">
        <f ca="1">IF(OR(VLOOKUP($A179,MP,5,0)="月繳"),1,"")</f>
        <v/>
      </c>
      <c r="AO179" s="1">
        <f t="shared" ca="1" si="99"/>
        <v>0</v>
      </c>
      <c r="AP179" s="1" t="str">
        <f ca="1">IF(AND(A179&lt;=OP!$C$120,COUNTIF(PAY,C179)=1),1,"")</f>
        <v/>
      </c>
      <c r="AR179" s="301">
        <f ca="1">IF(繳費報酬率資料!$A$1=1,$AY179+$AZ179,$BF179+$BG179)</f>
        <v>0</v>
      </c>
      <c r="AS179" s="1">
        <f ca="1">IF(C179&lt;&gt;IF($C$3=1,12,$C$3-1),0,IF(繳費報酬率資料!$A$1&lt;&gt;1,VLOOKUP($A179,MP,8,0),IF(AND($A179&gt;=OP!$C$79,$A179&lt;=OP!$C$80),OP!$C$78,)))</f>
        <v>0</v>
      </c>
      <c r="AT179" s="298">
        <f t="shared" ca="1" si="100"/>
        <v>0</v>
      </c>
      <c r="AU179" s="298">
        <f ca="1">IF(AND(A179&lt;=OP!$C$120,COUNTIF(PAY,C179)=1),OP!$C$123,0)</f>
        <v>0</v>
      </c>
      <c r="AV179" s="298">
        <f ca="1">IF(AND(A179&gt;=OP!$C$132,A179&lt;=OP!$C$133,$C$3=C179),OP!$C$135,0)</f>
        <v>0</v>
      </c>
      <c r="AW179" s="180">
        <f t="shared" ca="1" si="101"/>
        <v>0.05</v>
      </c>
      <c r="AX179" s="180">
        <f t="shared" ca="1" si="102"/>
        <v>0.05</v>
      </c>
      <c r="AY179" s="286">
        <f t="shared" ca="1" si="103"/>
        <v>0</v>
      </c>
      <c r="AZ179" s="286">
        <f t="shared" ca="1" si="104"/>
        <v>0</v>
      </c>
      <c r="BA179" s="286">
        <f t="shared" ca="1" si="105"/>
        <v>0</v>
      </c>
      <c r="BB179" s="286">
        <f t="shared" ca="1" si="106"/>
        <v>0</v>
      </c>
      <c r="BC179" s="286">
        <f t="shared" ca="1" si="107"/>
        <v>0</v>
      </c>
      <c r="BD179" s="180">
        <f t="shared" ca="1" si="108"/>
        <v>0.05</v>
      </c>
      <c r="BE179" s="180">
        <f t="shared" ca="1" si="109"/>
        <v>0.05</v>
      </c>
      <c r="BF179" s="286">
        <f t="shared" ca="1" si="110"/>
        <v>0</v>
      </c>
      <c r="BG179" s="286">
        <f t="shared" ca="1" si="111"/>
        <v>0</v>
      </c>
    </row>
    <row r="180" spans="1:59">
      <c r="A180" s="1">
        <f t="shared" ca="1" si="91"/>
        <v>15</v>
      </c>
      <c r="B180" s="1">
        <f t="shared" ca="1" si="114"/>
        <v>121</v>
      </c>
      <c r="C180" s="1">
        <f t="shared" ca="1" si="115"/>
        <v>2</v>
      </c>
      <c r="D180" s="1">
        <f ca="1">MIN($D$3,VLOOKUP(C180,OP!$S$30:$T$41,2))</f>
        <v>2</v>
      </c>
      <c r="E180" s="1">
        <f t="shared" ca="1" si="116"/>
        <v>69</v>
      </c>
      <c r="F180" s="11" t="str">
        <f t="shared" ca="1" si="92"/>
        <v/>
      </c>
      <c r="G180" s="8">
        <f t="shared" ca="1" si="122"/>
        <v>366</v>
      </c>
      <c r="H180" s="8">
        <f t="shared" ca="1" si="93"/>
        <v>29</v>
      </c>
      <c r="I180" s="8" t="str">
        <f t="shared" ca="1" si="90"/>
        <v>152</v>
      </c>
      <c r="J180" s="13">
        <f>IF(繳費報酬率資料!$A$1=1,VALUE(OP!$C$121),VLOOKUP(A180,MP,2,0))</f>
        <v>0.05</v>
      </c>
      <c r="K180" s="14">
        <f ca="1">IF(SUM($K$4:K179,IF(繳費報酬率資料!$A$1=1,$AU180+$AV180,$BB180+$BC180))&gt;OP!$L$58,0,IF(繳費報酬率資料!$A$1=1,$AU180+$AV180,$BB180+$BC180))</f>
        <v>0</v>
      </c>
      <c r="L180" s="2"/>
      <c r="M180" s="2"/>
      <c r="N180" s="2"/>
      <c r="O180" s="261">
        <f t="shared" ca="1" si="94"/>
        <v>0</v>
      </c>
      <c r="P180" s="261">
        <f t="shared" ca="1" si="112"/>
        <v>0</v>
      </c>
      <c r="Q180" s="3">
        <f ca="1">IF(A180&gt;MAX(OP!$R$17:$R$26),0,VLOOKUP(A180,fees,3,FALSE))</f>
        <v>0</v>
      </c>
      <c r="R180" s="200" t="str">
        <f t="shared" ca="1" si="95"/>
        <v/>
      </c>
      <c r="S180" s="9" t="str">
        <f ca="1">IF(COUNTIF(($T$4:T179),"F")&gt;=1,"",IF(OR(C181&lt;&gt;$C$3,E180=""),"",A180))</f>
        <v/>
      </c>
      <c r="T180" s="20" t="str">
        <f t="shared" ca="1" si="117"/>
        <v/>
      </c>
      <c r="U180" s="2">
        <f ca="1">IF(IF(OP!$C$83=1,$Z179,IF(OP!$C$83=2,$AA179,IF(OP!$C$83=3,$AB179,)))+$K180-$O180-$P180-$AS180&lt;OP!$C$142,0,$AS180)</f>
        <v>0</v>
      </c>
      <c r="V180" s="9"/>
      <c r="W180" s="19">
        <f ca="1">MAX(SUM($K$4:K180),0)</f>
        <v>2000000</v>
      </c>
      <c r="X180" s="19"/>
      <c r="Y180" s="19">
        <f t="shared" ca="1" si="113"/>
        <v>1920000</v>
      </c>
      <c r="Z180" s="2">
        <f ca="1">IF(MIN($Z$4:Z179)=0,0,MAX(0,($Z179+$K180-$O180-$P180)*IF(AND(F180="F",$D$3&lt;&gt;$G$3),((1+(-J180))^(H180/MIN(G180,365))),((1+(-J180))^(1/12)))-$U180))</f>
        <v>900999.2027929608</v>
      </c>
      <c r="AA180" s="2">
        <f ca="1">IF(MIN($AA$4:AA179)=0,0,MAX(0,($AA179+$K180-$O180-$P180)*IF(AND(F180="F",$D$3&lt;&gt;$G$3),((1+$AA$1)^(H180/MIN(G180,365))),((1+$AA$1)^(1/12)))-$U180))</f>
        <v>1920000</v>
      </c>
      <c r="AB180" s="2">
        <f ca="1">IF(MIN($AB$4:AB179)=0,0,MAX(0,($AB179+$K180-$O180-$P180)*IF(AND(F180="F",$D$3&lt;&gt;$G$3),((1+(J180))^(H180/MIN(G180,365))),((1+(J180))^(1/12)))-$U180))</f>
        <v>3943150.8330575153</v>
      </c>
      <c r="AC180" s="5"/>
      <c r="AD180" s="5"/>
      <c r="AE180" s="5"/>
      <c r="AF180" s="282">
        <f t="shared" ca="1" si="96"/>
        <v>900999</v>
      </c>
      <c r="AG180" s="282">
        <f t="shared" ca="1" si="97"/>
        <v>1920000</v>
      </c>
      <c r="AH180" s="282">
        <f t="shared" ca="1" si="98"/>
        <v>3943151</v>
      </c>
      <c r="AI180" s="23" t="str">
        <f t="shared" ca="1" si="119"/>
        <v>15-10</v>
      </c>
      <c r="AJ180" s="282">
        <f ca="1">IF(E180&gt;111,,IF(AND(OP!$C$99=1,T180="F"),Z180,IF(AND(OP!$C$99=2,COUNTIF($T$4:T180,"F")=1),OP!$C$97+IF(F180="F",OP!$C$98,0),"")))</f>
        <v>54527</v>
      </c>
      <c r="AK180" s="282">
        <f ca="1">IF(E180&gt;111,,IF(AND(OP!$D$99=1,T180="F"),AA180,IF(AND(OP!$D$99=2,COUNTIF($T$4:T180,"F")=1),OP!$D$97+IF(F180="F",OP!$D$98,0),"")))</f>
        <v>74177</v>
      </c>
      <c r="AL180" s="282">
        <f ca="1">IF(E180&gt;111,,IF(AND(OP!$E$99=1,T180="F"),AB180,IF(AND(OP!$E$99=2,COUNTIF($T$4:T180,"F")=1),OP!$E$97+IF(F180="F",OP!$E$98,0),"")))</f>
        <v>99404</v>
      </c>
      <c r="AM180" s="1">
        <f t="shared" ca="1" si="88"/>
        <v>10</v>
      </c>
      <c r="AN180" s="1" t="str">
        <f ca="1">IF(OR(VLOOKUP($A180,MP,5,0)="月繳"),1,"")</f>
        <v/>
      </c>
      <c r="AO180" s="1">
        <f t="shared" ca="1" si="99"/>
        <v>0</v>
      </c>
      <c r="AP180" s="1" t="str">
        <f ca="1">IF(AND(A180&lt;=OP!$C$120,COUNTIF(PAY,C180)=1),1,"")</f>
        <v/>
      </c>
      <c r="AR180" s="301">
        <f ca="1">IF(繳費報酬率資料!$A$1=1,$AY180+$AZ180,$BF180+$BG180)</f>
        <v>0</v>
      </c>
      <c r="AS180" s="1">
        <f ca="1">IF(C180&lt;&gt;IF($C$3=1,12,$C$3-1),0,IF(繳費報酬率資料!$A$1&lt;&gt;1,VLOOKUP($A180,MP,8,0),IF(AND($A180&gt;=OP!$C$79,$A180&lt;=OP!$C$80),OP!$C$78,)))</f>
        <v>0</v>
      </c>
      <c r="AT180" s="298">
        <f t="shared" ca="1" si="100"/>
        <v>0</v>
      </c>
      <c r="AU180" s="298">
        <f ca="1">IF(AND(A180&lt;=OP!$C$120,COUNTIF(PAY,C180)=1),OP!$C$123,0)</f>
        <v>0</v>
      </c>
      <c r="AV180" s="298">
        <f ca="1">IF(AND(A180&gt;=OP!$C$132,A180&lt;=OP!$C$133,$C$3=C180),OP!$C$135,0)</f>
        <v>0</v>
      </c>
      <c r="AW180" s="180">
        <f t="shared" ca="1" si="101"/>
        <v>0.05</v>
      </c>
      <c r="AX180" s="180">
        <f t="shared" ca="1" si="102"/>
        <v>0.05</v>
      </c>
      <c r="AY180" s="286">
        <f t="shared" ca="1" si="103"/>
        <v>0</v>
      </c>
      <c r="AZ180" s="286">
        <f t="shared" ca="1" si="104"/>
        <v>0</v>
      </c>
      <c r="BA180" s="286">
        <f t="shared" ca="1" si="105"/>
        <v>0</v>
      </c>
      <c r="BB180" s="286">
        <f t="shared" ca="1" si="106"/>
        <v>0</v>
      </c>
      <c r="BC180" s="286">
        <f t="shared" ca="1" si="107"/>
        <v>0</v>
      </c>
      <c r="BD180" s="180">
        <f t="shared" ca="1" si="108"/>
        <v>0.05</v>
      </c>
      <c r="BE180" s="180">
        <f t="shared" ca="1" si="109"/>
        <v>0.05</v>
      </c>
      <c r="BF180" s="286">
        <f t="shared" ca="1" si="110"/>
        <v>0</v>
      </c>
      <c r="BG180" s="286">
        <f t="shared" ca="1" si="111"/>
        <v>0</v>
      </c>
    </row>
    <row r="181" spans="1:59">
      <c r="A181" s="1">
        <f t="shared" ca="1" si="91"/>
        <v>15</v>
      </c>
      <c r="B181" s="1">
        <f t="shared" ca="1" si="114"/>
        <v>121</v>
      </c>
      <c r="C181" s="1">
        <f t="shared" ca="1" si="115"/>
        <v>3</v>
      </c>
      <c r="D181" s="1">
        <f ca="1">MIN($D$3,VLOOKUP(C181,OP!$S$30:$T$41,2))</f>
        <v>2</v>
      </c>
      <c r="E181" s="1">
        <f t="shared" ca="1" si="116"/>
        <v>69</v>
      </c>
      <c r="F181" s="11" t="str">
        <f t="shared" ca="1" si="92"/>
        <v/>
      </c>
      <c r="G181" s="8">
        <f t="shared" ca="1" si="122"/>
        <v>366</v>
      </c>
      <c r="H181" s="8">
        <f t="shared" ca="1" si="93"/>
        <v>31</v>
      </c>
      <c r="I181" s="8" t="str">
        <f t="shared" ca="1" si="90"/>
        <v>153</v>
      </c>
      <c r="J181" s="13">
        <f>IF(繳費報酬率資料!$A$1=1,VALUE(OP!$C$121),VLOOKUP(A181,MP,2,0))</f>
        <v>0.05</v>
      </c>
      <c r="K181" s="14">
        <f ca="1">IF(SUM($K$4:K180,IF(繳費報酬率資料!$A$1=1,$AU181+$AV181,$BB181+$BC181))&gt;OP!$L$58,0,IF(繳費報酬率資料!$A$1=1,$AU181+$AV181,$BB181+$BC181))</f>
        <v>0</v>
      </c>
      <c r="L181" s="2"/>
      <c r="M181" s="2"/>
      <c r="N181" s="2"/>
      <c r="O181" s="261">
        <f t="shared" ca="1" si="94"/>
        <v>0</v>
      </c>
      <c r="P181" s="261">
        <f t="shared" ca="1" si="112"/>
        <v>0</v>
      </c>
      <c r="Q181" s="3">
        <f ca="1">IF(A181&gt;MAX(OP!$R$17:$R$26),0,VLOOKUP(A181,fees,3,FALSE))</f>
        <v>0</v>
      </c>
      <c r="R181" s="200" t="str">
        <f t="shared" ca="1" si="95"/>
        <v/>
      </c>
      <c r="S181" s="9" t="str">
        <f ca="1">IF(COUNTIF(($T$4:T180),"F")&gt;=1,"",IF(OR(C182&lt;&gt;$C$3,E181=""),"",A181))</f>
        <v/>
      </c>
      <c r="T181" s="20" t="str">
        <f t="shared" ca="1" si="117"/>
        <v/>
      </c>
      <c r="U181" s="2">
        <f ca="1">IF(IF(OP!$C$83=1,$Z180,IF(OP!$C$83=2,$AA180,IF(OP!$C$83=3,$AB180,)))+$K181-$O181-$P181-$AS181&lt;OP!$C$142,0,$AS181)</f>
        <v>0</v>
      </c>
      <c r="V181" s="9"/>
      <c r="W181" s="19">
        <f ca="1">MAX(SUM($K$4:K181),0)</f>
        <v>2000000</v>
      </c>
      <c r="X181" s="19"/>
      <c r="Y181" s="19">
        <f t="shared" ca="1" si="113"/>
        <v>1920000</v>
      </c>
      <c r="Z181" s="2">
        <f ca="1">IF(MIN($Z$4:Z180)=0,0,MAX(0,($Z180+$K181-$O181-$P181)*IF(AND(F181="F",$D$3&lt;&gt;$G$3),((1+(-J181))^(H181/MIN(G181,365))),((1+(-J181))^(1/12)))-$U181))</f>
        <v>897156.15397472086</v>
      </c>
      <c r="AA181" s="2">
        <f ca="1">IF(MIN($AA$4:AA180)=0,0,MAX(0,($AA180+$K181-$O181-$P181)*IF(AND(F181="F",$D$3&lt;&gt;$G$3),((1+$AA$1)^(H181/MIN(G181,365))),((1+$AA$1)^(1/12)))-$U181))</f>
        <v>1920000</v>
      </c>
      <c r="AB181" s="2">
        <f ca="1">IF(MIN($AB$4:AB180)=0,0,MAX(0,($AB180+$K181-$O181-$P181)*IF(AND(F181="F",$D$3&lt;&gt;$G$3),((1+(J181))^(H181/MIN(G181,365))),((1+(J181))^(1/12)))-$U181))</f>
        <v>3959215.7176489877</v>
      </c>
      <c r="AC181" s="5"/>
      <c r="AD181" s="5"/>
      <c r="AE181" s="5"/>
      <c r="AF181" s="282">
        <f t="shared" ca="1" si="96"/>
        <v>897156</v>
      </c>
      <c r="AG181" s="282">
        <f t="shared" ca="1" si="97"/>
        <v>1920000</v>
      </c>
      <c r="AH181" s="282">
        <f t="shared" ca="1" si="98"/>
        <v>3959216</v>
      </c>
      <c r="AI181" s="23" t="str">
        <f t="shared" ca="1" si="119"/>
        <v>15-11</v>
      </c>
      <c r="AJ181" s="282">
        <f ca="1">IF(E181&gt;111,,IF(AND(OP!$C$99=1,T181="F"),Z181,IF(AND(OP!$C$99=2,COUNTIF($T$4:T181,"F")=1),OP!$C$97+IF(F181="F",OP!$C$98,0),"")))</f>
        <v>54527</v>
      </c>
      <c r="AK181" s="282">
        <f ca="1">IF(E181&gt;111,,IF(AND(OP!$D$99=1,T181="F"),AA181,IF(AND(OP!$D$99=2,COUNTIF($T$4:T181,"F")=1),OP!$D$97+IF(F181="F",OP!$D$98,0),"")))</f>
        <v>74177</v>
      </c>
      <c r="AL181" s="282">
        <f ca="1">IF(E181&gt;111,,IF(AND(OP!$E$99=1,T181="F"),AB181,IF(AND(OP!$E$99=2,COUNTIF($T$4:T181,"F")=1),OP!$E$97+IF(F181="F",OP!$E$98,0),"")))</f>
        <v>99404</v>
      </c>
      <c r="AM181" s="1">
        <f t="shared" ca="1" si="88"/>
        <v>11</v>
      </c>
      <c r="AN181" s="1" t="str">
        <f ca="1">IF(OR(VLOOKUP($A181,MP,5,0)="季繳",VLOOKUP($A181,MP,5,0)="月繳"),1,"")</f>
        <v/>
      </c>
      <c r="AO181" s="1">
        <f t="shared" ca="1" si="99"/>
        <v>0</v>
      </c>
      <c r="AP181" s="1" t="str">
        <f ca="1">IF(AND(A181&lt;=OP!$C$120,COUNTIF(PAY,C181)=1),1,"")</f>
        <v/>
      </c>
      <c r="AR181" s="301">
        <f ca="1">IF(繳費報酬率資料!$A$1=1,$AY181+$AZ181,$BF181+$BG181)</f>
        <v>0</v>
      </c>
      <c r="AS181" s="1">
        <f ca="1">IF(C181&lt;&gt;IF($C$3=1,12,$C$3-1),0,IF(繳費報酬率資料!$A$1&lt;&gt;1,VLOOKUP($A181,MP,8,0),IF(AND($A181&gt;=OP!$C$79,$A181&lt;=OP!$C$80),OP!$C$78,)))</f>
        <v>0</v>
      </c>
      <c r="AT181" s="298">
        <f t="shared" ca="1" si="100"/>
        <v>0</v>
      </c>
      <c r="AU181" s="298">
        <f ca="1">IF(AND(A181&lt;=OP!$C$120,COUNTIF(PAY,C181)=1),OP!$C$123,0)</f>
        <v>0</v>
      </c>
      <c r="AV181" s="298">
        <f ca="1">IF(AND(A181&gt;=OP!$C$132,A181&lt;=OP!$C$133,$C$3=C181),OP!$C$135,0)</f>
        <v>0</v>
      </c>
      <c r="AW181" s="180">
        <f t="shared" ca="1" si="101"/>
        <v>0.05</v>
      </c>
      <c r="AX181" s="180">
        <f t="shared" ca="1" si="102"/>
        <v>0.05</v>
      </c>
      <c r="AY181" s="286">
        <f t="shared" ca="1" si="103"/>
        <v>0</v>
      </c>
      <c r="AZ181" s="286">
        <f t="shared" ca="1" si="104"/>
        <v>0</v>
      </c>
      <c r="BA181" s="286">
        <f t="shared" ca="1" si="105"/>
        <v>0</v>
      </c>
      <c r="BB181" s="286">
        <f t="shared" ca="1" si="106"/>
        <v>0</v>
      </c>
      <c r="BC181" s="286">
        <f t="shared" ca="1" si="107"/>
        <v>0</v>
      </c>
      <c r="BD181" s="180">
        <f t="shared" ca="1" si="108"/>
        <v>0.05</v>
      </c>
      <c r="BE181" s="180">
        <f t="shared" ca="1" si="109"/>
        <v>0.05</v>
      </c>
      <c r="BF181" s="286">
        <f t="shared" ca="1" si="110"/>
        <v>0</v>
      </c>
      <c r="BG181" s="286">
        <f t="shared" ca="1" si="111"/>
        <v>0</v>
      </c>
    </row>
    <row r="182" spans="1:59">
      <c r="A182" s="1">
        <f t="shared" ca="1" si="91"/>
        <v>15</v>
      </c>
      <c r="B182" s="1">
        <f t="shared" ca="1" si="114"/>
        <v>121</v>
      </c>
      <c r="C182" s="1">
        <f t="shared" ca="1" si="115"/>
        <v>4</v>
      </c>
      <c r="D182" s="1">
        <f ca="1">MIN($D$3,VLOOKUP(C182,OP!$S$30:$T$41,2))</f>
        <v>2</v>
      </c>
      <c r="E182" s="1">
        <f t="shared" ca="1" si="116"/>
        <v>69</v>
      </c>
      <c r="F182" s="11" t="str">
        <f t="shared" ca="1" si="92"/>
        <v/>
      </c>
      <c r="G182" s="8">
        <f t="shared" ca="1" si="122"/>
        <v>366</v>
      </c>
      <c r="H182" s="8">
        <f t="shared" ca="1" si="93"/>
        <v>30</v>
      </c>
      <c r="I182" s="8" t="str">
        <f t="shared" ca="1" si="90"/>
        <v>154</v>
      </c>
      <c r="J182" s="13">
        <f>IF(繳費報酬率資料!$A$1=1,VALUE(OP!$C$121),VLOOKUP(A182,MP,2,0))</f>
        <v>0.05</v>
      </c>
      <c r="K182" s="14">
        <f ca="1">IF(SUM($K$4:K181,IF(繳費報酬率資料!$A$1=1,$AU182+$AV182,$BB182+$BC182))&gt;OP!$L$58,0,IF(繳費報酬率資料!$A$1=1,$AU182+$AV182,$BB182+$BC182))</f>
        <v>0</v>
      </c>
      <c r="L182" s="2"/>
      <c r="M182" s="2"/>
      <c r="N182" s="2"/>
      <c r="O182" s="261">
        <f t="shared" ca="1" si="94"/>
        <v>0</v>
      </c>
      <c r="P182" s="261">
        <f t="shared" ca="1" si="112"/>
        <v>0</v>
      </c>
      <c r="Q182" s="3">
        <f ca="1">IF(A182&gt;MAX(OP!$R$17:$R$26),0,VLOOKUP(A182,fees,3,FALSE))</f>
        <v>0</v>
      </c>
      <c r="R182" s="200" t="str">
        <f t="shared" ca="1" si="95"/>
        <v/>
      </c>
      <c r="S182" s="9" t="str">
        <f ca="1">IF(COUNTIF(($T$4:T181),"F")&gt;=1,"",IF(OR(C183&lt;&gt;$C$3,E182=""),"",A182))</f>
        <v/>
      </c>
      <c r="T182" s="20" t="str">
        <f t="shared" ca="1" si="117"/>
        <v/>
      </c>
      <c r="U182" s="2">
        <f ca="1">IF(IF(OP!$C$83=1,$Z181,IF(OP!$C$83=2,$AA181,IF(OP!$C$83=3,$AB181,)))+$K182-$O182-$P182-$AS182&lt;OP!$C$142,0,$AS182)</f>
        <v>0</v>
      </c>
      <c r="V182" s="9"/>
      <c r="W182" s="19">
        <f ca="1">MAX(SUM($K$4:K182),0)</f>
        <v>2000000</v>
      </c>
      <c r="X182" s="19"/>
      <c r="Y182" s="19">
        <f t="shared" ca="1" si="113"/>
        <v>1920000</v>
      </c>
      <c r="Z182" s="2">
        <f ca="1">IF(MIN($Z$4:Z181)=0,0,MAX(0,($Z181+$K182-$O182-$P182)*IF(AND(F182="F",$D$3&lt;&gt;$G$3),((1+(-J182))^(H182/MIN(G182,365))),((1+(-J182))^(1/12)))-$U182))</f>
        <v>893329.49698476843</v>
      </c>
      <c r="AA182" s="2">
        <f ca="1">IF(MIN($AA$4:AA181)=0,0,MAX(0,($AA181+$K182-$O182-$P182)*IF(AND(F182="F",$D$3&lt;&gt;$G$3),((1+$AA$1)^(H182/MIN(G182,365))),((1+$AA$1)^(1/12)))-$U182))</f>
        <v>1920000</v>
      </c>
      <c r="AB182" s="2">
        <f ca="1">IF(MIN($AB$4:AB181)=0,0,MAX(0,($AB181+$K182-$O182-$P182)*IF(AND(F182="F",$D$3&lt;&gt;$G$3),((1+(J182))^(H182/MIN(G182,365))),((1+(J182))^(1/12)))-$U182))</f>
        <v>3975346.0525688557</v>
      </c>
      <c r="AC182" s="5"/>
      <c r="AD182" s="5"/>
      <c r="AE182" s="5"/>
      <c r="AF182" s="282">
        <f t="shared" ca="1" si="96"/>
        <v>893329</v>
      </c>
      <c r="AG182" s="282">
        <f t="shared" ca="1" si="97"/>
        <v>1920000</v>
      </c>
      <c r="AH182" s="282">
        <f t="shared" ca="1" si="98"/>
        <v>3975346</v>
      </c>
      <c r="AI182" s="23" t="str">
        <f t="shared" ca="1" si="119"/>
        <v>15-12</v>
      </c>
      <c r="AJ182" s="282">
        <f ca="1">IF(E182&gt;111,,IF(AND(OP!$C$99=1,T182="F"),Z182,IF(AND(OP!$C$99=2,COUNTIF($T$4:T182,"F")=1),OP!$C$97+IF(F182="F",OP!$C$98,0),"")))</f>
        <v>54527</v>
      </c>
      <c r="AK182" s="282">
        <f ca="1">IF(E182&gt;111,,IF(AND(OP!$D$99=1,T182="F"),AA182,IF(AND(OP!$D$99=2,COUNTIF($T$4:T182,"F")=1),OP!$D$97+IF(F182="F",OP!$D$98,0),"")))</f>
        <v>74177</v>
      </c>
      <c r="AL182" s="282">
        <f ca="1">IF(E182&gt;111,,IF(AND(OP!$E$99=1,T182="F"),AB182,IF(AND(OP!$E$99=2,COUNTIF($T$4:T182,"F")=1),OP!$E$97+IF(F182="F",OP!$E$98,0),"")))</f>
        <v>99404</v>
      </c>
      <c r="AM182" s="1">
        <f t="shared" ca="1" si="88"/>
        <v>12</v>
      </c>
      <c r="AN182" s="1" t="str">
        <f ca="1">IF(OR(VLOOKUP($A182,MP,5,0)="月繳"),1,"")</f>
        <v/>
      </c>
      <c r="AO182" s="1">
        <f t="shared" ca="1" si="99"/>
        <v>0</v>
      </c>
      <c r="AP182" s="1" t="str">
        <f ca="1">IF(AND(A182&lt;=OP!$C$120,COUNTIF(PAY,C182)=1),1,"")</f>
        <v/>
      </c>
      <c r="AR182" s="301">
        <f ca="1">IF(繳費報酬率資料!$A$1=1,$AY182+$AZ182,$BF182+$BG182)</f>
        <v>0</v>
      </c>
      <c r="AS182" s="1">
        <f ca="1">IF(C182&lt;&gt;IF($C$3=1,12,$C$3-1),0,IF(繳費報酬率資料!$A$1&lt;&gt;1,VLOOKUP($A182,MP,8,0),IF(AND($A182&gt;=OP!$C$79,$A182&lt;=OP!$C$80),OP!$C$78,)))</f>
        <v>0</v>
      </c>
      <c r="AT182" s="298">
        <f t="shared" ca="1" si="100"/>
        <v>0</v>
      </c>
      <c r="AU182" s="298">
        <f ca="1">IF(AND(A182&lt;=OP!$C$120,COUNTIF(PAY,C182)=1),OP!$C$123,0)</f>
        <v>0</v>
      </c>
      <c r="AV182" s="298">
        <f ca="1">IF(AND(A182&gt;=OP!$C$132,A182&lt;=OP!$C$133,$C$3=C182),OP!$C$135,0)</f>
        <v>0</v>
      </c>
      <c r="AW182" s="180">
        <f t="shared" ca="1" si="101"/>
        <v>0.05</v>
      </c>
      <c r="AX182" s="180">
        <f t="shared" ca="1" si="102"/>
        <v>0.05</v>
      </c>
      <c r="AY182" s="286">
        <f t="shared" ca="1" si="103"/>
        <v>0</v>
      </c>
      <c r="AZ182" s="286">
        <f t="shared" ca="1" si="104"/>
        <v>0</v>
      </c>
      <c r="BA182" s="286">
        <f t="shared" ca="1" si="105"/>
        <v>0</v>
      </c>
      <c r="BB182" s="286">
        <f t="shared" ca="1" si="106"/>
        <v>0</v>
      </c>
      <c r="BC182" s="286">
        <f t="shared" ca="1" si="107"/>
        <v>0</v>
      </c>
      <c r="BD182" s="180">
        <f t="shared" ca="1" si="108"/>
        <v>0.05</v>
      </c>
      <c r="BE182" s="180">
        <f t="shared" ca="1" si="109"/>
        <v>0.05</v>
      </c>
      <c r="BF182" s="286">
        <f t="shared" ca="1" si="110"/>
        <v>0</v>
      </c>
      <c r="BG182" s="286">
        <f t="shared" ca="1" si="111"/>
        <v>0</v>
      </c>
    </row>
    <row r="183" spans="1:59">
      <c r="A183" s="1">
        <f t="shared" ca="1" si="91"/>
        <v>15</v>
      </c>
      <c r="B183" s="1">
        <f t="shared" ca="1" si="114"/>
        <v>121</v>
      </c>
      <c r="C183" s="1">
        <f t="shared" ca="1" si="115"/>
        <v>5</v>
      </c>
      <c r="D183" s="1">
        <f ca="1">MIN($D$3,VLOOKUP(C183,OP!$S$30:$T$41,2))</f>
        <v>2</v>
      </c>
      <c r="E183" s="1">
        <f t="shared" ca="1" si="116"/>
        <v>69</v>
      </c>
      <c r="F183" s="11" t="str">
        <f t="shared" ca="1" si="92"/>
        <v/>
      </c>
      <c r="G183" s="8">
        <f t="shared" ca="1" si="122"/>
        <v>366</v>
      </c>
      <c r="H183" s="8">
        <f t="shared" ca="1" si="93"/>
        <v>31</v>
      </c>
      <c r="I183" s="8" t="str">
        <f t="shared" ca="1" si="90"/>
        <v>155</v>
      </c>
      <c r="J183" s="13">
        <f>IF(繳費報酬率資料!$A$1=1,VALUE(OP!$C$121),VLOOKUP(A183,MP,2,0))</f>
        <v>0.05</v>
      </c>
      <c r="K183" s="14">
        <f ca="1">IF(SUM($K$4:K182,IF(繳費報酬率資料!$A$1=1,$AU183+$AV183,$BB183+$BC183))&gt;OP!$L$58,0,IF(繳費報酬率資料!$A$1=1,$AU183+$AV183,$BB183+$BC183))</f>
        <v>0</v>
      </c>
      <c r="L183" s="2">
        <f ca="1">ROUND(IF(OP!$C$78&lt;(IF(OR($T183="F",$E183&gt;=111),0,Z182+$K183-$O183+IF($C$1=1,OP!$C$78,IF($C184=$C$3,SUM(AC172:AC183,0)))))*5%,0,(OP!$C$78-((IF(OR($T183="F",$E183&gt;=111),0,Z182+$K183-$O183+IF($C$1=1,AC183,IF($C184=$C$3,SUM(AC172:AC183,0)))))*5%))*$Q183),0)</f>
        <v>0</v>
      </c>
      <c r="M183" s="2">
        <f ca="1">ROUND(IF(OP!$C$78&lt;(IF(OR($T183="F",$E183&gt;=111),0,AA182+$K183-$O183+IF($C$1=1,AD183,IF($C184=$C$3,SUM(AD172:AD183,0)))))*5%,0,(OP!$C$78-((IF(OR($T183="F",$E183&gt;=111),0,AA182+$K183-$O183+IF($C$1=1,AD183,IF($C184=$C$3,SUM(AD172:AD183,0)))))*5%))*$Q183),0)</f>
        <v>0</v>
      </c>
      <c r="N183" s="2">
        <f ca="1">ROUND(IF(OP!$C$78&lt;(IF(OR($T183="F",$E183&gt;=111),0,AB182+$K183-$O183+IF($C$1=1,AE183,IF($C184=$C$3,SUM(AE172:AE183,0)))))*5%,0,(OP!$C$78-((IF(OR($T183="F",$E183&gt;=111),0,AB182+$K183-$O183+IF($C$1=1,AE183,IF($C184=$C$3,SUM(AE172:AE183,0)))))*5%))*$Q183),0)</f>
        <v>0</v>
      </c>
      <c r="O183" s="261">
        <f t="shared" ca="1" si="94"/>
        <v>0</v>
      </c>
      <c r="P183" s="261">
        <f t="shared" ca="1" si="112"/>
        <v>0</v>
      </c>
      <c r="Q183" s="3">
        <f ca="1">IF(A183&gt;MAX(OP!$R$17:$R$26),0,VLOOKUP(A183,fees,3,FALSE))</f>
        <v>0</v>
      </c>
      <c r="R183" s="200">
        <f t="shared" ca="1" si="95"/>
        <v>15</v>
      </c>
      <c r="S183" s="9" t="str">
        <f ca="1">IF(COUNTIF(($T$4:T182),"F")&gt;=1,"",IF(OR(C184&lt;&gt;$C$3,E183=""),"",A183))</f>
        <v/>
      </c>
      <c r="T183" s="20" t="str">
        <f t="shared" ca="1" si="117"/>
        <v/>
      </c>
      <c r="U183" s="2">
        <f ca="1">IF(IF(OP!$C$83=1,$Z182,IF(OP!$C$83=2,$AA182,IF(OP!$C$83=3,$AB182,)))+$K183-$O183-$P183-$AS183&lt;OP!$C$142,0,$AS183)</f>
        <v>0</v>
      </c>
      <c r="V183" s="19">
        <f ca="1">SUM(K172:K183)</f>
        <v>0</v>
      </c>
      <c r="W183" s="19">
        <f ca="1">MAX(SUM($K$4:K183),0)</f>
        <v>2000000</v>
      </c>
      <c r="X183" s="19">
        <f ca="1">SUM(O172:P183)</f>
        <v>0</v>
      </c>
      <c r="Y183" s="19">
        <f t="shared" ca="1" si="113"/>
        <v>1920000</v>
      </c>
      <c r="Z183" s="2">
        <f ca="1">IF(MIN($Z$4:Z182)=0,0,MAX(0,($Z182+$K183-$O183-$P183)*IF(AND(F183="F",$D$3&lt;&gt;$G$3),((1+(-J183))^(H183/MIN(G183,365))),((1+(-J183))^(1/12)))-$U183))</f>
        <v>889519.1619067305</v>
      </c>
      <c r="AA183" s="2">
        <f ca="1">IF(MIN($AA$4:AA182)=0,0,MAX(0,($AA182+$K183-$O183-$P183)*IF(AND(F183="F",$D$3&lt;&gt;$G$3),((1+$AA$1)^(H183/MIN(G183,365))),((1+$AA$1)^(1/12)))-$U183))</f>
        <v>1920000</v>
      </c>
      <c r="AB183" s="2">
        <f ca="1">IF(MIN($AB$4:AB182)=0,0,MAX(0,($AB182+$K183-$O183-$P183)*IF(AND(F183="F",$D$3&lt;&gt;$G$3),((1+(J183))^(H183/MIN(G183,365))),((1+(J183))^(1/12)))-$U183))</f>
        <v>3991542.104469859</v>
      </c>
      <c r="AC183" s="5"/>
      <c r="AD183" s="5"/>
      <c r="AE183" s="5"/>
      <c r="AF183" s="282">
        <f t="shared" ca="1" si="96"/>
        <v>889519</v>
      </c>
      <c r="AG183" s="282">
        <f t="shared" ca="1" si="97"/>
        <v>1920000</v>
      </c>
      <c r="AH183" s="282">
        <f t="shared" ca="1" si="98"/>
        <v>3991542</v>
      </c>
      <c r="AI183" s="23" t="str">
        <f t="shared" ca="1" si="119"/>
        <v>16-1</v>
      </c>
      <c r="AJ183" s="282">
        <f ca="1">IF(E183&gt;111,,IF(AND(OP!$C$99=1,T183="F"),Z183,IF(AND(OP!$C$99=2,COUNTIF($T$4:T183,"F")=1),OP!$C$97+IF(F183="F",OP!$C$98,0),"")))</f>
        <v>54527</v>
      </c>
      <c r="AK183" s="282">
        <f ca="1">IF(E183&gt;111,,IF(AND(OP!$D$99=1,T183="F"),AA183,IF(AND(OP!$D$99=2,COUNTIF($T$4:T183,"F")=1),OP!$D$97+IF(F183="F",OP!$D$98,0),"")))</f>
        <v>74177</v>
      </c>
      <c r="AL183" s="282">
        <f ca="1">IF(E183&gt;111,,IF(AND(OP!$E$99=1,T183="F"),AB183,IF(AND(OP!$E$99=2,COUNTIF($T$4:T183,"F")=1),OP!$E$97+IF(F183="F",OP!$E$98,0),"")))</f>
        <v>99404</v>
      </c>
      <c r="AM183" s="1">
        <f t="shared" ca="1" si="88"/>
        <v>1</v>
      </c>
      <c r="AN183" s="1" t="str">
        <f ca="1">IF(OR(VLOOKUP($A183,MP,5,0)="月繳"),1,"")</f>
        <v/>
      </c>
      <c r="AO183" s="1">
        <f t="shared" ca="1" si="99"/>
        <v>0</v>
      </c>
      <c r="AP183" s="1" t="str">
        <f ca="1">IF(AND(A183&lt;=OP!$C$120,COUNTIF(PAY,C183)=1),1,"")</f>
        <v/>
      </c>
      <c r="AR183" s="301">
        <f ca="1">IF(繳費報酬率資料!$A$1=1,$AY183+$AZ183,$BF183+$BG183)</f>
        <v>0</v>
      </c>
      <c r="AS183" s="1">
        <f ca="1">IF(C183&lt;&gt;IF($C$3=1,12,$C$3-1),0,IF(繳費報酬率資料!$A$1&lt;&gt;1,VLOOKUP($A183,MP,8,0),IF(AND($A183&gt;=OP!$C$79,$A183&lt;=OP!$C$80),OP!$C$78,)))</f>
        <v>0</v>
      </c>
      <c r="AT183" s="298">
        <f t="shared" ca="1" si="100"/>
        <v>0</v>
      </c>
      <c r="AU183" s="298">
        <f ca="1">IF(AND(A183&lt;=OP!$C$120,COUNTIF(PAY,C183)=1),OP!$C$123,0)</f>
        <v>0</v>
      </c>
      <c r="AV183" s="298">
        <f ca="1">IF(AND(A183&gt;=OP!$C$132,A183&lt;=OP!$C$133,$C$3=C183),OP!$C$135,0)</f>
        <v>0</v>
      </c>
      <c r="AW183" s="180">
        <f t="shared" ca="1" si="101"/>
        <v>0.05</v>
      </c>
      <c r="AX183" s="180">
        <f t="shared" ca="1" si="102"/>
        <v>0.05</v>
      </c>
      <c r="AY183" s="286">
        <f t="shared" ca="1" si="103"/>
        <v>0</v>
      </c>
      <c r="AZ183" s="286">
        <f t="shared" ca="1" si="104"/>
        <v>0</v>
      </c>
      <c r="BA183" s="286">
        <f t="shared" ca="1" si="105"/>
        <v>0</v>
      </c>
      <c r="BB183" s="286">
        <f t="shared" ca="1" si="106"/>
        <v>0</v>
      </c>
      <c r="BC183" s="286">
        <f t="shared" ca="1" si="107"/>
        <v>0</v>
      </c>
      <c r="BD183" s="180">
        <f t="shared" ca="1" si="108"/>
        <v>0.05</v>
      </c>
      <c r="BE183" s="180">
        <f t="shared" ca="1" si="109"/>
        <v>0.05</v>
      </c>
      <c r="BF183" s="286">
        <f t="shared" ca="1" si="110"/>
        <v>0</v>
      </c>
      <c r="BG183" s="286">
        <f t="shared" ca="1" si="111"/>
        <v>0</v>
      </c>
    </row>
    <row r="184" spans="1:59">
      <c r="A184" s="1">
        <f t="shared" ca="1" si="91"/>
        <v>16</v>
      </c>
      <c r="B184" s="1">
        <f t="shared" ca="1" si="114"/>
        <v>121</v>
      </c>
      <c r="C184" s="1">
        <f t="shared" ca="1" si="115"/>
        <v>6</v>
      </c>
      <c r="D184" s="1">
        <f ca="1">MIN($D$3,VLOOKUP(C184,OP!$S$30:$T$41,2))</f>
        <v>2</v>
      </c>
      <c r="E184" s="1">
        <f t="shared" ca="1" si="116"/>
        <v>70</v>
      </c>
      <c r="F184" s="11" t="str">
        <f t="shared" ca="1" si="92"/>
        <v/>
      </c>
      <c r="G184" s="6">
        <f ca="1">DATEDIF(DATE(B184+1911,C184,D184),DATE(B196+1911,C196,D196),"d")</f>
        <v>365</v>
      </c>
      <c r="H184" s="8">
        <f t="shared" ca="1" si="93"/>
        <v>30</v>
      </c>
      <c r="I184" s="8" t="str">
        <f t="shared" ca="1" si="90"/>
        <v>166</v>
      </c>
      <c r="J184" s="13">
        <f>IF(繳費報酬率資料!$A$1=1,VALUE(OP!$C$121),VLOOKUP(A184,MP,2,0))</f>
        <v>0.05</v>
      </c>
      <c r="K184" s="14">
        <f ca="1">IF(SUM($K$4:K183,IF(繳費報酬率資料!$A$1=1,$AU184+$AV184,$BB184+$BC184))&gt;OP!$L$58,0,IF(繳費報酬率資料!$A$1=1,$AU184+$AV184,$BB184+$BC184))</f>
        <v>0</v>
      </c>
      <c r="L184" s="2"/>
      <c r="M184" s="2"/>
      <c r="N184" s="2"/>
      <c r="O184" s="261">
        <f t="shared" ca="1" si="94"/>
        <v>0</v>
      </c>
      <c r="P184" s="261">
        <f t="shared" ca="1" si="112"/>
        <v>0</v>
      </c>
      <c r="Q184" s="3">
        <f ca="1">IF(A184&gt;MAX(OP!$R$17:$R$26),0,VLOOKUP(A184,fees,3,FALSE))</f>
        <v>0</v>
      </c>
      <c r="R184" s="200" t="str">
        <f t="shared" ca="1" si="95"/>
        <v/>
      </c>
      <c r="S184" s="9" t="str">
        <f ca="1">IF(COUNTIF(($T$4:T183),"F")&gt;=1,"",IF(OR(C185&lt;&gt;$C$3,E184=""),"",A184))</f>
        <v/>
      </c>
      <c r="T184" s="20" t="str">
        <f t="shared" ca="1" si="117"/>
        <v/>
      </c>
      <c r="U184" s="2">
        <f ca="1">IF(IF(OP!$C$83=1,$Z183,IF(OP!$C$83=2,$AA183,IF(OP!$C$83=3,$AB183,)))+$K184-$O184-$P184-$AS184&lt;OP!$C$142,0,$AS184)</f>
        <v>0</v>
      </c>
      <c r="V184" s="9"/>
      <c r="W184" s="19">
        <f ca="1">MAX(SUM($K$4:K184),0)</f>
        <v>2000000</v>
      </c>
      <c r="X184" s="19"/>
      <c r="Y184" s="19">
        <f t="shared" ca="1" si="113"/>
        <v>1920000</v>
      </c>
      <c r="Z184" s="2">
        <f ca="1">IF(MIN($Z$4:Z183)=0,0,MAX(0,($Z183+$K184-$O184-$P184)*IF(AND(F184="F",$D$3&lt;&gt;$G$3),((1+(-J184))^(H184/MIN(G184,365))),((1+(-J184))^(1/12)))-$U184))</f>
        <v>885725.07912244974</v>
      </c>
      <c r="AA184" s="2">
        <f ca="1">IF(MIN($AA$4:AA183)=0,0,MAX(0,($AA183+$K184-$O184-$P184)*IF(AND(F184="F",$D$3&lt;&gt;$G$3),((1+$AA$1)^(H184/MIN(G184,365))),((1+$AA$1)^(1/12)))-$U184))</f>
        <v>1920000</v>
      </c>
      <c r="AB184" s="2">
        <f ca="1">IF(MIN($AB$4:AB183)=0,0,MAX(0,($AB183+$K184-$O184-$P184)*IF(AND(F184="F",$D$3&lt;&gt;$G$3),((1+(J184))^(H184/MIN(G184,365))),((1+(J184))^(1/12)))-$U184))</f>
        <v>4007804.1410911134</v>
      </c>
      <c r="AC184" s="21"/>
      <c r="AD184" s="21"/>
      <c r="AE184" s="21"/>
      <c r="AF184" s="282">
        <f t="shared" ca="1" si="96"/>
        <v>885725</v>
      </c>
      <c r="AG184" s="282">
        <f t="shared" ca="1" si="97"/>
        <v>1920000</v>
      </c>
      <c r="AH184" s="282">
        <f t="shared" ca="1" si="98"/>
        <v>4007804</v>
      </c>
      <c r="AI184" s="23" t="str">
        <f t="shared" ca="1" si="119"/>
        <v>16-2</v>
      </c>
      <c r="AJ184" s="281">
        <f ca="1">IF(E184&gt;111,,IF(AND(OP!$C$99=1,T184="F"),Z184,IF(AND(OP!$C$99=2,COUNTIF($T$4:T184,"F")=1),OP!$C$97+IF(F184="F",OP!$C$98,0),"")))</f>
        <v>54527</v>
      </c>
      <c r="AK184" s="281">
        <f ca="1">IF(E184&gt;111,,IF(AND(OP!$D$99=1,T184="F"),AA184,IF(AND(OP!$D$99=2,COUNTIF($T$4:T184,"F")=1),OP!$D$97+IF(F184="F",OP!$D$98,0),"")))</f>
        <v>74177</v>
      </c>
      <c r="AL184" s="281">
        <f ca="1">IF(E184&gt;111,,IF(AND(OP!$E$99=1,T184="F"),AB184,IF(AND(OP!$E$99=2,COUNTIF($T$4:T184,"F")=1),OP!$E$97+IF(F184="F",OP!$E$98,0),"")))</f>
        <v>99404</v>
      </c>
      <c r="AM184" s="1">
        <f t="shared" ca="1" si="88"/>
        <v>2</v>
      </c>
      <c r="AN184" s="1">
        <f ca="1">IF(OR(VLOOKUP($A184,MP,5,0)="年繳",VLOOKUP($A184,MP,5,0)="半年繳",VLOOKUP($A184,MP,5,0)="季繳",VLOOKUP($A184,MP,5,0)="月繳"),1,"")</f>
        <v>1</v>
      </c>
      <c r="AO184" s="1">
        <f t="shared" ca="1" si="99"/>
        <v>0</v>
      </c>
      <c r="AP184" s="1" t="str">
        <f ca="1">IF(AND(A184&lt;=OP!$C$120,COUNTIF(PAY,C184)=1),1,"")</f>
        <v/>
      </c>
      <c r="AR184" s="301">
        <f ca="1">IF(繳費報酬率資料!$A$1=1,$AY184+$AZ184,$BF184+$BG184)</f>
        <v>0</v>
      </c>
      <c r="AS184" s="1">
        <f ca="1">IF(C184&lt;&gt;IF($C$3=1,12,$C$3-1),0,IF(繳費報酬率資料!$A$1&lt;&gt;1,VLOOKUP($A184,MP,8,0),IF(AND($A184&gt;=OP!$C$79,$A184&lt;=OP!$C$80),OP!$C$78,)))</f>
        <v>0</v>
      </c>
      <c r="AT184" s="298">
        <f t="shared" ca="1" si="100"/>
        <v>0</v>
      </c>
      <c r="AU184" s="298">
        <f ca="1">IF(AND(A184&lt;=OP!$C$120,COUNTIF(PAY,C184)=1),OP!$C$123,0)</f>
        <v>0</v>
      </c>
      <c r="AV184" s="298">
        <f ca="1">IF(AND(A184&gt;=OP!$C$132,A184&lt;=OP!$C$133,$C$3=C184),OP!$C$135,0)</f>
        <v>0</v>
      </c>
      <c r="AW184" s="180">
        <f t="shared" ca="1" si="101"/>
        <v>0.05</v>
      </c>
      <c r="AX184" s="180">
        <f t="shared" ca="1" si="102"/>
        <v>0.05</v>
      </c>
      <c r="AY184" s="286">
        <f t="shared" ca="1" si="103"/>
        <v>0</v>
      </c>
      <c r="AZ184" s="286">
        <f t="shared" ca="1" si="104"/>
        <v>0</v>
      </c>
      <c r="BA184" s="286">
        <f t="shared" ca="1" si="105"/>
        <v>0</v>
      </c>
      <c r="BB184" s="286">
        <f t="shared" ca="1" si="106"/>
        <v>0</v>
      </c>
      <c r="BC184" s="286">
        <f t="shared" ca="1" si="107"/>
        <v>0</v>
      </c>
      <c r="BD184" s="180">
        <f t="shared" ca="1" si="108"/>
        <v>0.05</v>
      </c>
      <c r="BE184" s="180">
        <f t="shared" ca="1" si="109"/>
        <v>0.05</v>
      </c>
      <c r="BF184" s="286">
        <f t="shared" ca="1" si="110"/>
        <v>0</v>
      </c>
      <c r="BG184" s="286">
        <f t="shared" ca="1" si="111"/>
        <v>0</v>
      </c>
    </row>
    <row r="185" spans="1:59">
      <c r="A185" s="1">
        <f t="shared" ca="1" si="91"/>
        <v>16</v>
      </c>
      <c r="B185" s="1">
        <f t="shared" ca="1" si="114"/>
        <v>121</v>
      </c>
      <c r="C185" s="1">
        <f t="shared" ca="1" si="115"/>
        <v>7</v>
      </c>
      <c r="D185" s="1">
        <f ca="1">MIN($D$3,VLOOKUP(C185,OP!$S$30:$T$41,2))</f>
        <v>2</v>
      </c>
      <c r="E185" s="1">
        <f t="shared" ca="1" si="116"/>
        <v>70</v>
      </c>
      <c r="F185" s="11" t="str">
        <f t="shared" ca="1" si="92"/>
        <v/>
      </c>
      <c r="G185" s="8">
        <f t="shared" ref="G185:G195" ca="1" si="123">G184</f>
        <v>365</v>
      </c>
      <c r="H185" s="8">
        <f t="shared" ca="1" si="93"/>
        <v>31</v>
      </c>
      <c r="I185" s="8" t="str">
        <f t="shared" ca="1" si="90"/>
        <v>167</v>
      </c>
      <c r="J185" s="13">
        <f>IF(繳費報酬率資料!$A$1=1,VALUE(OP!$C$121),VLOOKUP(A185,MP,2,0))</f>
        <v>0.05</v>
      </c>
      <c r="K185" s="14">
        <f ca="1">IF(SUM($K$4:K184,IF(繳費報酬率資料!$A$1=1,$AU185+$AV185,$BB185+$BC185))&gt;OP!$L$58,0,IF(繳費報酬率資料!$A$1=1,$AU185+$AV185,$BB185+$BC185))</f>
        <v>0</v>
      </c>
      <c r="L185" s="2"/>
      <c r="M185" s="2"/>
      <c r="N185" s="2"/>
      <c r="O185" s="261">
        <f t="shared" ca="1" si="94"/>
        <v>0</v>
      </c>
      <c r="P185" s="261">
        <f t="shared" ca="1" si="112"/>
        <v>0</v>
      </c>
      <c r="Q185" s="3">
        <f ca="1">IF(A185&gt;MAX(OP!$R$17:$R$26),0,VLOOKUP(A185,fees,3,FALSE))</f>
        <v>0</v>
      </c>
      <c r="R185" s="200" t="str">
        <f t="shared" ca="1" si="95"/>
        <v/>
      </c>
      <c r="S185" s="9" t="str">
        <f ca="1">IF(COUNTIF(($T$4:T184),"F")&gt;=1,"",IF(OR(C186&lt;&gt;$C$3,E185=""),"",A185))</f>
        <v/>
      </c>
      <c r="T185" s="20" t="str">
        <f t="shared" ca="1" si="117"/>
        <v/>
      </c>
      <c r="U185" s="2">
        <f ca="1">IF(IF(OP!$C$83=1,$Z184,IF(OP!$C$83=2,$AA184,IF(OP!$C$83=3,$AB184,)))+$K185-$O185-$P185-$AS185&lt;OP!$C$142,0,$AS185)</f>
        <v>0</v>
      </c>
      <c r="V185" s="9"/>
      <c r="W185" s="19">
        <f ca="1">MAX(SUM($K$4:K185),0)</f>
        <v>2000000</v>
      </c>
      <c r="X185" s="19"/>
      <c r="Y185" s="19">
        <f t="shared" ca="1" si="113"/>
        <v>1920000</v>
      </c>
      <c r="Z185" s="2">
        <f ca="1">IF(MIN($Z$4:Z184)=0,0,MAX(0,($Z184+$K185-$O185-$P185)*IF(AND(F185="F",$D$3&lt;&gt;$G$3),((1+(-J185))^(H185/MIN(G185,365))),((1+(-J185))^(1/12)))-$U185))</f>
        <v>881947.17931071238</v>
      </c>
      <c r="AA185" s="2">
        <f ca="1">IF(MIN($AA$4:AA184)=0,0,MAX(0,($AA184+$K185-$O185-$P185)*IF(AND(F185="F",$D$3&lt;&gt;$G$3),((1+$AA$1)^(H185/MIN(G185,365))),((1+$AA$1)^(1/12)))-$U185))</f>
        <v>1920000</v>
      </c>
      <c r="AB185" s="2">
        <f ca="1">IF(MIN($AB$4:AB184)=0,0,MAX(0,($AB184+$K185-$O185-$P185)*IF(AND(F185="F",$D$3&lt;&gt;$G$3),((1+(J185))^(H185/MIN(G185,365))),((1+(J185))^(1/12)))-$U185))</f>
        <v>4024132.4312625369</v>
      </c>
      <c r="AC185" s="5"/>
      <c r="AD185" s="5"/>
      <c r="AE185" s="5"/>
      <c r="AF185" s="282">
        <f t="shared" ca="1" si="96"/>
        <v>881947</v>
      </c>
      <c r="AG185" s="282">
        <f t="shared" ca="1" si="97"/>
        <v>1920000</v>
      </c>
      <c r="AH185" s="282">
        <f t="shared" ca="1" si="98"/>
        <v>4024132</v>
      </c>
      <c r="AI185" s="23" t="str">
        <f t="shared" ca="1" si="119"/>
        <v>16-3</v>
      </c>
      <c r="AJ185" s="282">
        <f ca="1">IF(E185&gt;111,,IF(AND(OP!$C$99=1,T185="F"),Z185,IF(AND(OP!$C$99=2,COUNTIF($T$4:T185,"F")=1),OP!$C$97+IF(F185="F",OP!$C$98,0),"")))</f>
        <v>54527</v>
      </c>
      <c r="AK185" s="282">
        <f ca="1">IF(E185&gt;111,,IF(AND(OP!$D$99=1,T185="F"),AA185,IF(AND(OP!$D$99=2,COUNTIF($T$4:T185,"F")=1),OP!$D$97+IF(F185="F",OP!$D$98,0),"")))</f>
        <v>74177</v>
      </c>
      <c r="AL185" s="282">
        <f ca="1">IF(E185&gt;111,,IF(AND(OP!$E$99=1,T185="F"),AB185,IF(AND(OP!$E$99=2,COUNTIF($T$4:T185,"F")=1),OP!$E$97+IF(F185="F",OP!$E$98,0),"")))</f>
        <v>99404</v>
      </c>
      <c r="AM185" s="1">
        <f t="shared" ca="1" si="88"/>
        <v>3</v>
      </c>
      <c r="AN185" s="1" t="str">
        <f ca="1">IF(OR(VLOOKUP($A185,MP,5,0)="月繳"),1,"")</f>
        <v/>
      </c>
      <c r="AO185" s="1">
        <f t="shared" ca="1" si="99"/>
        <v>0</v>
      </c>
      <c r="AP185" s="1" t="str">
        <f ca="1">IF(AND(A185&lt;=OP!$C$120,COUNTIF(PAY,C185)=1),1,"")</f>
        <v/>
      </c>
      <c r="AR185" s="301">
        <f ca="1">IF(繳費報酬率資料!$A$1=1,$AY185+$AZ185,$BF185+$BG185)</f>
        <v>0</v>
      </c>
      <c r="AS185" s="1">
        <f ca="1">IF(C185&lt;&gt;IF($C$3=1,12,$C$3-1),0,IF(繳費報酬率資料!$A$1&lt;&gt;1,VLOOKUP($A185,MP,8,0),IF(AND($A185&gt;=OP!$C$79,$A185&lt;=OP!$C$80),OP!$C$78,)))</f>
        <v>0</v>
      </c>
      <c r="AT185" s="298">
        <f t="shared" ca="1" si="100"/>
        <v>0</v>
      </c>
      <c r="AU185" s="298">
        <f ca="1">IF(AND(A185&lt;=OP!$C$120,COUNTIF(PAY,C185)=1),OP!$C$123,0)</f>
        <v>0</v>
      </c>
      <c r="AV185" s="298">
        <f ca="1">IF(AND(A185&gt;=OP!$C$132,A185&lt;=OP!$C$133,$C$3=C185),OP!$C$135,0)</f>
        <v>0</v>
      </c>
      <c r="AW185" s="180">
        <f t="shared" ca="1" si="101"/>
        <v>0.05</v>
      </c>
      <c r="AX185" s="180">
        <f t="shared" ca="1" si="102"/>
        <v>0.05</v>
      </c>
      <c r="AY185" s="286">
        <f t="shared" ca="1" si="103"/>
        <v>0</v>
      </c>
      <c r="AZ185" s="286">
        <f t="shared" ca="1" si="104"/>
        <v>0</v>
      </c>
      <c r="BA185" s="286">
        <f t="shared" ca="1" si="105"/>
        <v>0</v>
      </c>
      <c r="BB185" s="286">
        <f t="shared" ca="1" si="106"/>
        <v>0</v>
      </c>
      <c r="BC185" s="286">
        <f t="shared" ca="1" si="107"/>
        <v>0</v>
      </c>
      <c r="BD185" s="180">
        <f t="shared" ca="1" si="108"/>
        <v>0.05</v>
      </c>
      <c r="BE185" s="180">
        <f t="shared" ca="1" si="109"/>
        <v>0.05</v>
      </c>
      <c r="BF185" s="286">
        <f t="shared" ca="1" si="110"/>
        <v>0</v>
      </c>
      <c r="BG185" s="286">
        <f t="shared" ca="1" si="111"/>
        <v>0</v>
      </c>
    </row>
    <row r="186" spans="1:59">
      <c r="A186" s="1">
        <f t="shared" ca="1" si="91"/>
        <v>16</v>
      </c>
      <c r="B186" s="1">
        <f t="shared" ca="1" si="114"/>
        <v>121</v>
      </c>
      <c r="C186" s="1">
        <f t="shared" ca="1" si="115"/>
        <v>8</v>
      </c>
      <c r="D186" s="1">
        <f ca="1">MIN($D$3,VLOOKUP(C186,OP!$S$30:$T$41,2))</f>
        <v>2</v>
      </c>
      <c r="E186" s="1">
        <f t="shared" ca="1" si="116"/>
        <v>70</v>
      </c>
      <c r="F186" s="11" t="str">
        <f t="shared" ca="1" si="92"/>
        <v/>
      </c>
      <c r="G186" s="8">
        <f t="shared" ca="1" si="123"/>
        <v>365</v>
      </c>
      <c r="H186" s="8">
        <f t="shared" ca="1" si="93"/>
        <v>31</v>
      </c>
      <c r="I186" s="8" t="str">
        <f t="shared" ca="1" si="90"/>
        <v>168</v>
      </c>
      <c r="J186" s="13">
        <f>IF(繳費報酬率資料!$A$1=1,VALUE(OP!$C$121),VLOOKUP(A186,MP,2,0))</f>
        <v>0.05</v>
      </c>
      <c r="K186" s="14">
        <f ca="1">IF(SUM($K$4:K185,IF(繳費報酬率資料!$A$1=1,$AU186+$AV186,$BB186+$BC186))&gt;OP!$L$58,0,IF(繳費報酬率資料!$A$1=1,$AU186+$AV186,$BB186+$BC186))</f>
        <v>0</v>
      </c>
      <c r="L186" s="2"/>
      <c r="M186" s="2"/>
      <c r="N186" s="2"/>
      <c r="O186" s="261">
        <f t="shared" ca="1" si="94"/>
        <v>0</v>
      </c>
      <c r="P186" s="261">
        <f t="shared" ca="1" si="112"/>
        <v>0</v>
      </c>
      <c r="Q186" s="3">
        <f ca="1">IF(A186&gt;MAX(OP!$R$17:$R$26),0,VLOOKUP(A186,fees,3,FALSE))</f>
        <v>0</v>
      </c>
      <c r="R186" s="200" t="str">
        <f t="shared" ca="1" si="95"/>
        <v/>
      </c>
      <c r="S186" s="9" t="str">
        <f ca="1">IF(COUNTIF(($T$4:T185),"F")&gt;=1,"",IF(OR(C187&lt;&gt;$C$3,E186=""),"",A186))</f>
        <v/>
      </c>
      <c r="T186" s="20" t="str">
        <f t="shared" ca="1" si="117"/>
        <v/>
      </c>
      <c r="U186" s="2">
        <f ca="1">IF(IF(OP!$C$83=1,$Z185,IF(OP!$C$83=2,$AA185,IF(OP!$C$83=3,$AB185,)))+$K186-$O186-$P186-$AS186&lt;OP!$C$142,0,$AS186)</f>
        <v>0</v>
      </c>
      <c r="V186" s="9"/>
      <c r="W186" s="19">
        <f ca="1">MAX(SUM($K$4:K186),0)</f>
        <v>2000000</v>
      </c>
      <c r="X186" s="19"/>
      <c r="Y186" s="19">
        <f t="shared" ca="1" si="113"/>
        <v>1920000</v>
      </c>
      <c r="Z186" s="2">
        <f ca="1">IF(MIN($Z$4:Z185)=0,0,MAX(0,($Z185+$K186-$O186-$P186)*IF(AND(F186="F",$D$3&lt;&gt;$G$3),((1+(-J186))^(H186/MIN(G186,365))),((1+(-J186))^(1/12)))-$U186))</f>
        <v>878185.39344598178</v>
      </c>
      <c r="AA186" s="2">
        <f ca="1">IF(MIN($AA$4:AA185)=0,0,MAX(0,($AA185+$K186-$O186-$P186)*IF(AND(F186="F",$D$3&lt;&gt;$G$3),((1+$AA$1)^(H186/MIN(G186,365))),((1+$AA$1)^(1/12)))-$U186))</f>
        <v>1920000</v>
      </c>
      <c r="AB186" s="2">
        <f ca="1">IF(MIN($AB$4:AB185)=0,0,MAX(0,($AB185+$K186-$O186-$P186)*IF(AND(F186="F",$D$3&lt;&gt;$G$3),((1+(J186))^(H186/MIN(G186,365))),((1+(J186))^(1/12)))-$U186))</f>
        <v>4040527.2449092944</v>
      </c>
      <c r="AC186" s="5"/>
      <c r="AD186" s="5"/>
      <c r="AE186" s="5"/>
      <c r="AF186" s="282">
        <f t="shared" ca="1" si="96"/>
        <v>878185</v>
      </c>
      <c r="AG186" s="282">
        <f t="shared" ca="1" si="97"/>
        <v>1920000</v>
      </c>
      <c r="AH186" s="282">
        <f t="shared" ca="1" si="98"/>
        <v>4040527</v>
      </c>
      <c r="AI186" s="23" t="str">
        <f t="shared" ca="1" si="119"/>
        <v>16-4</v>
      </c>
      <c r="AJ186" s="282">
        <f ca="1">IF(E186&gt;111,,IF(AND(OP!$C$99=1,T186="F"),Z186,IF(AND(OP!$C$99=2,COUNTIF($T$4:T186,"F")=1),OP!$C$97+IF(F186="F",OP!$C$98,0),"")))</f>
        <v>54527</v>
      </c>
      <c r="AK186" s="282">
        <f ca="1">IF(E186&gt;111,,IF(AND(OP!$D$99=1,T186="F"),AA186,IF(AND(OP!$D$99=2,COUNTIF($T$4:T186,"F")=1),OP!$D$97+IF(F186="F",OP!$D$98,0),"")))</f>
        <v>74177</v>
      </c>
      <c r="AL186" s="282">
        <f ca="1">IF(E186&gt;111,,IF(AND(OP!$E$99=1,T186="F"),AB186,IF(AND(OP!$E$99=2,COUNTIF($T$4:T186,"F")=1),OP!$E$97+IF(F186="F",OP!$E$98,0),"")))</f>
        <v>99404</v>
      </c>
      <c r="AM186" s="1">
        <f t="shared" ca="1" si="88"/>
        <v>4</v>
      </c>
      <c r="AN186" s="1" t="str">
        <f ca="1">IF(OR(VLOOKUP($A186,MP,5,0)="月繳"),1,"")</f>
        <v/>
      </c>
      <c r="AO186" s="1">
        <f t="shared" ca="1" si="99"/>
        <v>0</v>
      </c>
      <c r="AP186" s="1" t="str">
        <f ca="1">IF(AND(A186&lt;=OP!$C$120,COUNTIF(PAY,C186)=1),1,"")</f>
        <v/>
      </c>
      <c r="AR186" s="301">
        <f ca="1">IF(繳費報酬率資料!$A$1=1,$AY186+$AZ186,$BF186+$BG186)</f>
        <v>0</v>
      </c>
      <c r="AS186" s="1">
        <f ca="1">IF(C186&lt;&gt;IF($C$3=1,12,$C$3-1),0,IF(繳費報酬率資料!$A$1&lt;&gt;1,VLOOKUP($A186,MP,8,0),IF(AND($A186&gt;=OP!$C$79,$A186&lt;=OP!$C$80),OP!$C$78,)))</f>
        <v>0</v>
      </c>
      <c r="AT186" s="298">
        <f t="shared" ca="1" si="100"/>
        <v>0</v>
      </c>
      <c r="AU186" s="298">
        <f ca="1">IF(AND(A186&lt;=OP!$C$120,COUNTIF(PAY,C186)=1),OP!$C$123,0)</f>
        <v>0</v>
      </c>
      <c r="AV186" s="298">
        <f ca="1">IF(AND(A186&gt;=OP!$C$132,A186&lt;=OP!$C$133,$C$3=C186),OP!$C$135,0)</f>
        <v>0</v>
      </c>
      <c r="AW186" s="180">
        <f t="shared" ca="1" si="101"/>
        <v>0.05</v>
      </c>
      <c r="AX186" s="180">
        <f t="shared" ca="1" si="102"/>
        <v>0.05</v>
      </c>
      <c r="AY186" s="286">
        <f t="shared" ca="1" si="103"/>
        <v>0</v>
      </c>
      <c r="AZ186" s="286">
        <f t="shared" ca="1" si="104"/>
        <v>0</v>
      </c>
      <c r="BA186" s="286">
        <f t="shared" ca="1" si="105"/>
        <v>0</v>
      </c>
      <c r="BB186" s="286">
        <f t="shared" ca="1" si="106"/>
        <v>0</v>
      </c>
      <c r="BC186" s="286">
        <f t="shared" ca="1" si="107"/>
        <v>0</v>
      </c>
      <c r="BD186" s="180">
        <f t="shared" ca="1" si="108"/>
        <v>0.05</v>
      </c>
      <c r="BE186" s="180">
        <f t="shared" ca="1" si="109"/>
        <v>0.05</v>
      </c>
      <c r="BF186" s="286">
        <f t="shared" ca="1" si="110"/>
        <v>0</v>
      </c>
      <c r="BG186" s="286">
        <f t="shared" ca="1" si="111"/>
        <v>0</v>
      </c>
    </row>
    <row r="187" spans="1:59">
      <c r="A187" s="1">
        <f t="shared" ca="1" si="91"/>
        <v>16</v>
      </c>
      <c r="B187" s="1">
        <f t="shared" ca="1" si="114"/>
        <v>121</v>
      </c>
      <c r="C187" s="1">
        <f t="shared" ca="1" si="115"/>
        <v>9</v>
      </c>
      <c r="D187" s="1">
        <f ca="1">MIN($D$3,VLOOKUP(C187,OP!$S$30:$T$41,2))</f>
        <v>2</v>
      </c>
      <c r="E187" s="1">
        <f t="shared" ca="1" si="116"/>
        <v>70</v>
      </c>
      <c r="F187" s="11" t="str">
        <f t="shared" ca="1" si="92"/>
        <v/>
      </c>
      <c r="G187" s="8">
        <f t="shared" ca="1" si="123"/>
        <v>365</v>
      </c>
      <c r="H187" s="8">
        <f t="shared" ca="1" si="93"/>
        <v>30</v>
      </c>
      <c r="I187" s="8" t="str">
        <f t="shared" ca="1" si="90"/>
        <v>169</v>
      </c>
      <c r="J187" s="13">
        <f>IF(繳費報酬率資料!$A$1=1,VALUE(OP!$C$121),VLOOKUP(A187,MP,2,0))</f>
        <v>0.05</v>
      </c>
      <c r="K187" s="14">
        <f ca="1">IF(SUM($K$4:K186,IF(繳費報酬率資料!$A$1=1,$AU187+$AV187,$BB187+$BC187))&gt;OP!$L$58,0,IF(繳費報酬率資料!$A$1=1,$AU187+$AV187,$BB187+$BC187))</f>
        <v>0</v>
      </c>
      <c r="L187" s="2"/>
      <c r="M187" s="2"/>
      <c r="N187" s="2"/>
      <c r="O187" s="261">
        <f t="shared" ca="1" si="94"/>
        <v>0</v>
      </c>
      <c r="P187" s="261">
        <f t="shared" ca="1" si="112"/>
        <v>0</v>
      </c>
      <c r="Q187" s="3">
        <f ca="1">IF(A187&gt;MAX(OP!$R$17:$R$26),0,VLOOKUP(A187,fees,3,FALSE))</f>
        <v>0</v>
      </c>
      <c r="R187" s="200" t="str">
        <f t="shared" ca="1" si="95"/>
        <v/>
      </c>
      <c r="S187" s="9" t="str">
        <f ca="1">IF(COUNTIF(($T$4:T186),"F")&gt;=1,"",IF(OR(C188&lt;&gt;$C$3,E187=""),"",A187))</f>
        <v/>
      </c>
      <c r="T187" s="20" t="str">
        <f t="shared" ca="1" si="117"/>
        <v/>
      </c>
      <c r="U187" s="2">
        <f ca="1">IF(IF(OP!$C$83=1,$Z186,IF(OP!$C$83=2,$AA186,IF(OP!$C$83=3,$AB186,)))+$K187-$O187-$P187-$AS187&lt;OP!$C$142,0,$AS187)</f>
        <v>0</v>
      </c>
      <c r="V187" s="9"/>
      <c r="W187" s="19">
        <f ca="1">MAX(SUM($K$4:K187),0)</f>
        <v>2000000</v>
      </c>
      <c r="X187" s="19"/>
      <c r="Y187" s="19">
        <f t="shared" ca="1" si="113"/>
        <v>1920000</v>
      </c>
      <c r="Z187" s="2">
        <f ca="1">IF(MIN($Z$4:Z186)=0,0,MAX(0,($Z186+$K187-$O187-$P187)*IF(AND(F187="F",$D$3&lt;&gt;$G$3),((1+(-J187))^(H187/MIN(G187,365))),((1+(-J187))^(1/12)))-$U187))</f>
        <v>874439.65279713715</v>
      </c>
      <c r="AA187" s="2">
        <f ca="1">IF(MIN($AA$4:AA186)=0,0,MAX(0,($AA186+$K187-$O187-$P187)*IF(AND(F187="F",$D$3&lt;&gt;$G$3),((1+$AA$1)^(H187/MIN(G187,365))),((1+$AA$1)^(1/12)))-$U187))</f>
        <v>1920000</v>
      </c>
      <c r="AB187" s="2">
        <f ca="1">IF(MIN($AB$4:AB186)=0,0,MAX(0,($AB186+$K187-$O187-$P187)*IF(AND(F187="F",$D$3&lt;&gt;$G$3),((1+(J187))^(H187/MIN(G187,365))),((1+(J187))^(1/12)))-$U187))</f>
        <v>4056988.8530562585</v>
      </c>
      <c r="AC187" s="5"/>
      <c r="AD187" s="5"/>
      <c r="AE187" s="5"/>
      <c r="AF187" s="282">
        <f t="shared" ca="1" si="96"/>
        <v>874440</v>
      </c>
      <c r="AG187" s="282">
        <f t="shared" ca="1" si="97"/>
        <v>1920000</v>
      </c>
      <c r="AH187" s="282">
        <f t="shared" ca="1" si="98"/>
        <v>4056989</v>
      </c>
      <c r="AI187" s="23" t="str">
        <f t="shared" ca="1" si="119"/>
        <v>16-5</v>
      </c>
      <c r="AJ187" s="282">
        <f ca="1">IF(E187&gt;111,,IF(AND(OP!$C$99=1,T187="F"),Z187,IF(AND(OP!$C$99=2,COUNTIF($T$4:T187,"F")=1),OP!$C$97+IF(F187="F",OP!$C$98,0),"")))</f>
        <v>54527</v>
      </c>
      <c r="AK187" s="282">
        <f ca="1">IF(E187&gt;111,,IF(AND(OP!$D$99=1,T187="F"),AA187,IF(AND(OP!$D$99=2,COUNTIF($T$4:T187,"F")=1),OP!$D$97+IF(F187="F",OP!$D$98,0),"")))</f>
        <v>74177</v>
      </c>
      <c r="AL187" s="282">
        <f ca="1">IF(E187&gt;111,,IF(AND(OP!$E$99=1,T187="F"),AB187,IF(AND(OP!$E$99=2,COUNTIF($T$4:T187,"F")=1),OP!$E$97+IF(F187="F",OP!$E$98,0),"")))</f>
        <v>99404</v>
      </c>
      <c r="AM187" s="1">
        <f t="shared" ca="1" si="88"/>
        <v>5</v>
      </c>
      <c r="AN187" s="1" t="str">
        <f ca="1">IF(OR(VLOOKUP($A187,MP,5,0)="季繳",VLOOKUP($A187,MP,5,0)="月繳"),1,"")</f>
        <v/>
      </c>
      <c r="AO187" s="1">
        <f t="shared" ca="1" si="99"/>
        <v>0</v>
      </c>
      <c r="AP187" s="1" t="str">
        <f ca="1">IF(AND(A187&lt;=OP!$C$120,COUNTIF(PAY,C187)=1),1,"")</f>
        <v/>
      </c>
      <c r="AR187" s="301">
        <f ca="1">IF(繳費報酬率資料!$A$1=1,$AY187+$AZ187,$BF187+$BG187)</f>
        <v>0</v>
      </c>
      <c r="AS187" s="1">
        <f ca="1">IF(C187&lt;&gt;IF($C$3=1,12,$C$3-1),0,IF(繳費報酬率資料!$A$1&lt;&gt;1,VLOOKUP($A187,MP,8,0),IF(AND($A187&gt;=OP!$C$79,$A187&lt;=OP!$C$80),OP!$C$78,)))</f>
        <v>0</v>
      </c>
      <c r="AT187" s="298">
        <f t="shared" ca="1" si="100"/>
        <v>0</v>
      </c>
      <c r="AU187" s="298">
        <f ca="1">IF(AND(A187&lt;=OP!$C$120,COUNTIF(PAY,C187)=1),OP!$C$123,0)</f>
        <v>0</v>
      </c>
      <c r="AV187" s="298">
        <f ca="1">IF(AND(A187&gt;=OP!$C$132,A187&lt;=OP!$C$133,$C$3=C187),OP!$C$135,0)</f>
        <v>0</v>
      </c>
      <c r="AW187" s="180">
        <f t="shared" ca="1" si="101"/>
        <v>0.05</v>
      </c>
      <c r="AX187" s="180">
        <f t="shared" ca="1" si="102"/>
        <v>0.05</v>
      </c>
      <c r="AY187" s="286">
        <f t="shared" ca="1" si="103"/>
        <v>0</v>
      </c>
      <c r="AZ187" s="286">
        <f t="shared" ca="1" si="104"/>
        <v>0</v>
      </c>
      <c r="BA187" s="286">
        <f t="shared" ca="1" si="105"/>
        <v>0</v>
      </c>
      <c r="BB187" s="286">
        <f t="shared" ca="1" si="106"/>
        <v>0</v>
      </c>
      <c r="BC187" s="286">
        <f t="shared" ca="1" si="107"/>
        <v>0</v>
      </c>
      <c r="BD187" s="180">
        <f t="shared" ca="1" si="108"/>
        <v>0.05</v>
      </c>
      <c r="BE187" s="180">
        <f t="shared" ca="1" si="109"/>
        <v>0.05</v>
      </c>
      <c r="BF187" s="286">
        <f t="shared" ca="1" si="110"/>
        <v>0</v>
      </c>
      <c r="BG187" s="286">
        <f t="shared" ca="1" si="111"/>
        <v>0</v>
      </c>
    </row>
    <row r="188" spans="1:59">
      <c r="A188" s="1">
        <f t="shared" ca="1" si="91"/>
        <v>16</v>
      </c>
      <c r="B188" s="1">
        <f t="shared" ref="B188:B251" ca="1" si="124">IF(C188=1,B187+1,B187)</f>
        <v>121</v>
      </c>
      <c r="C188" s="1">
        <f t="shared" ref="C188:C251" ca="1" si="125">IF(C187=12,1,C187+1)</f>
        <v>10</v>
      </c>
      <c r="D188" s="1">
        <f ca="1">MIN($D$3,VLOOKUP(C188,OP!$S$30:$T$41,2))</f>
        <v>2</v>
      </c>
      <c r="E188" s="1">
        <f t="shared" ref="E188:E251" ca="1" si="126">IF($K$1+A188-1&gt;$D$1,"",$K$1+A188-1)</f>
        <v>70</v>
      </c>
      <c r="F188" s="11" t="str">
        <f t="shared" ca="1" si="92"/>
        <v/>
      </c>
      <c r="G188" s="8">
        <f t="shared" ca="1" si="123"/>
        <v>365</v>
      </c>
      <c r="H188" s="8">
        <f t="shared" ca="1" si="93"/>
        <v>31</v>
      </c>
      <c r="I188" s="8" t="str">
        <f t="shared" ca="1" si="90"/>
        <v>1610</v>
      </c>
      <c r="J188" s="13">
        <f>IF(繳費報酬率資料!$A$1=1,VALUE(OP!$C$121),VLOOKUP(A188,MP,2,0))</f>
        <v>0.05</v>
      </c>
      <c r="K188" s="14">
        <f ca="1">IF(SUM($K$4:K187,IF(繳費報酬率資料!$A$1=1,$AU188+$AV188,$BB188+$BC188))&gt;OP!$L$58,0,IF(繳費報酬率資料!$A$1=1,$AU188+$AV188,$BB188+$BC188))</f>
        <v>0</v>
      </c>
      <c r="L188" s="2"/>
      <c r="M188" s="2"/>
      <c r="N188" s="2"/>
      <c r="O188" s="261">
        <f t="shared" ca="1" si="94"/>
        <v>0</v>
      </c>
      <c r="P188" s="261">
        <f t="shared" ca="1" si="112"/>
        <v>0</v>
      </c>
      <c r="Q188" s="3">
        <f ca="1">IF(A188&gt;MAX(OP!$R$17:$R$26),0,VLOOKUP(A188,fees,3,FALSE))</f>
        <v>0</v>
      </c>
      <c r="R188" s="200" t="str">
        <f t="shared" ca="1" si="95"/>
        <v/>
      </c>
      <c r="S188" s="9" t="str">
        <f ca="1">IF(COUNTIF(($T$4:T187),"F")&gt;=1,"",IF(OR(C189&lt;&gt;$C$3,E188=""),"",A188))</f>
        <v/>
      </c>
      <c r="T188" s="20" t="str">
        <f t="shared" ref="T188:T251" ca="1" si="127">IF(F188&lt;&gt;"","F","")</f>
        <v/>
      </c>
      <c r="U188" s="2">
        <f ca="1">IF(IF(OP!$C$83=1,$Z187,IF(OP!$C$83=2,$AA187,IF(OP!$C$83=3,$AB187,)))+$K188-$O188-$P188-$AS188&lt;OP!$C$142,0,$AS188)</f>
        <v>0</v>
      </c>
      <c r="V188" s="9"/>
      <c r="W188" s="19">
        <f ca="1">MAX(SUM($K$4:K188),0)</f>
        <v>2000000</v>
      </c>
      <c r="X188" s="19"/>
      <c r="Y188" s="19">
        <f t="shared" ca="1" si="113"/>
        <v>1920000</v>
      </c>
      <c r="Z188" s="2">
        <f ca="1">IF(MIN($Z$4:Z187)=0,0,MAX(0,($Z187+$K188-$O188-$P188)*IF(AND(F188="F",$D$3&lt;&gt;$G$3),((1+(-J188))^(H188/MIN(G188,365))),((1+(-J188))^(1/12)))-$U188))</f>
        <v>870709.88892621791</v>
      </c>
      <c r="AA188" s="2">
        <f ca="1">IF(MIN($AA$4:AA187)=0,0,MAX(0,($AA187+$K188-$O188-$P188)*IF(AND(F188="F",$D$3&lt;&gt;$G$3),((1+$AA$1)^(H188/MIN(G188,365))),((1+$AA$1)^(1/12)))-$U188))</f>
        <v>1920000</v>
      </c>
      <c r="AB188" s="2">
        <f ca="1">IF(MIN($AB$4:AB187)=0,0,MAX(0,($AB187+$K188-$O188-$P188)*IF(AND(F188="F",$D$3&lt;&gt;$G$3),((1+(J188))^(H188/MIN(G188,365))),((1+(J188))^(1/12)))-$U188))</f>
        <v>4073517.5278324913</v>
      </c>
      <c r="AC188" s="5"/>
      <c r="AD188" s="5"/>
      <c r="AE188" s="5"/>
      <c r="AF188" s="282">
        <f t="shared" ca="1" si="96"/>
        <v>870710</v>
      </c>
      <c r="AG188" s="282">
        <f t="shared" ca="1" si="97"/>
        <v>1920000</v>
      </c>
      <c r="AH188" s="282">
        <f t="shared" ca="1" si="98"/>
        <v>4073518</v>
      </c>
      <c r="AI188" s="23" t="str">
        <f t="shared" ca="1" si="119"/>
        <v>16-6</v>
      </c>
      <c r="AJ188" s="282">
        <f ca="1">IF(E188&gt;111,,IF(AND(OP!$C$99=1,T188="F"),Z188,IF(AND(OP!$C$99=2,COUNTIF($T$4:T188,"F")=1),OP!$C$97+IF(F188="F",OP!$C$98,0),"")))</f>
        <v>54527</v>
      </c>
      <c r="AK188" s="282">
        <f ca="1">IF(E188&gt;111,,IF(AND(OP!$D$99=1,T188="F"),AA188,IF(AND(OP!$D$99=2,COUNTIF($T$4:T188,"F")=1),OP!$D$97+IF(F188="F",OP!$D$98,0),"")))</f>
        <v>74177</v>
      </c>
      <c r="AL188" s="282">
        <f ca="1">IF(E188&gt;111,,IF(AND(OP!$E$99=1,T188="F"),AB188,IF(AND(OP!$E$99=2,COUNTIF($T$4:T188,"F")=1),OP!$E$97+IF(F188="F",OP!$E$98,0),"")))</f>
        <v>99404</v>
      </c>
      <c r="AM188" s="1">
        <f t="shared" ref="AM188:AM251" ca="1" si="128">IF(AND(AK188&lt;&gt;"",AM187=""),1,IF(AND(AK188&lt;&gt;"",AM187&gt;0),IF(AM187=12,1,AM187+1),""))</f>
        <v>6</v>
      </c>
      <c r="AN188" s="1" t="str">
        <f ca="1">IF(OR(VLOOKUP($A188,MP,5,0)="月繳"),1,"")</f>
        <v/>
      </c>
      <c r="AO188" s="1">
        <f t="shared" ca="1" si="99"/>
        <v>0</v>
      </c>
      <c r="AP188" s="1" t="str">
        <f ca="1">IF(AND(A188&lt;=OP!$C$120,COUNTIF(PAY,C188)=1),1,"")</f>
        <v/>
      </c>
      <c r="AR188" s="301">
        <f ca="1">IF(繳費報酬率資料!$A$1=1,$AY188+$AZ188,$BF188+$BG188)</f>
        <v>0</v>
      </c>
      <c r="AS188" s="1">
        <f ca="1">IF(C188&lt;&gt;IF($C$3=1,12,$C$3-1),0,IF(繳費報酬率資料!$A$1&lt;&gt;1,VLOOKUP($A188,MP,8,0),IF(AND($A188&gt;=OP!$C$79,$A188&lt;=OP!$C$80),OP!$C$78,)))</f>
        <v>0</v>
      </c>
      <c r="AT188" s="298">
        <f t="shared" ca="1" si="100"/>
        <v>0</v>
      </c>
      <c r="AU188" s="298">
        <f ca="1">IF(AND(A188&lt;=OP!$C$120,COUNTIF(PAY,C188)=1),OP!$C$123,0)</f>
        <v>0</v>
      </c>
      <c r="AV188" s="298">
        <f ca="1">IF(AND(A188&gt;=OP!$C$132,A188&lt;=OP!$C$133,$C$3=C188),OP!$C$135,0)</f>
        <v>0</v>
      </c>
      <c r="AW188" s="180">
        <f t="shared" ca="1" si="101"/>
        <v>0.05</v>
      </c>
      <c r="AX188" s="180">
        <f t="shared" ca="1" si="102"/>
        <v>0.05</v>
      </c>
      <c r="AY188" s="286">
        <f t="shared" ca="1" si="103"/>
        <v>0</v>
      </c>
      <c r="AZ188" s="286">
        <f t="shared" ca="1" si="104"/>
        <v>0</v>
      </c>
      <c r="BA188" s="286">
        <f t="shared" ca="1" si="105"/>
        <v>0</v>
      </c>
      <c r="BB188" s="286">
        <f t="shared" ca="1" si="106"/>
        <v>0</v>
      </c>
      <c r="BC188" s="286">
        <f t="shared" ca="1" si="107"/>
        <v>0</v>
      </c>
      <c r="BD188" s="180">
        <f t="shared" ca="1" si="108"/>
        <v>0.05</v>
      </c>
      <c r="BE188" s="180">
        <f t="shared" ca="1" si="109"/>
        <v>0.05</v>
      </c>
      <c r="BF188" s="286">
        <f t="shared" ca="1" si="110"/>
        <v>0</v>
      </c>
      <c r="BG188" s="286">
        <f t="shared" ca="1" si="111"/>
        <v>0</v>
      </c>
    </row>
    <row r="189" spans="1:59">
      <c r="A189" s="1">
        <f t="shared" ca="1" si="91"/>
        <v>16</v>
      </c>
      <c r="B189" s="1">
        <f t="shared" ca="1" si="124"/>
        <v>121</v>
      </c>
      <c r="C189" s="1">
        <f t="shared" ca="1" si="125"/>
        <v>11</v>
      </c>
      <c r="D189" s="1">
        <f ca="1">MIN($D$3,VLOOKUP(C189,OP!$S$30:$T$41,2))</f>
        <v>2</v>
      </c>
      <c r="E189" s="1">
        <f t="shared" ca="1" si="126"/>
        <v>70</v>
      </c>
      <c r="F189" s="11" t="str">
        <f t="shared" ca="1" si="92"/>
        <v/>
      </c>
      <c r="G189" s="8">
        <f t="shared" ca="1" si="123"/>
        <v>365</v>
      </c>
      <c r="H189" s="8">
        <f t="shared" ca="1" si="93"/>
        <v>30</v>
      </c>
      <c r="I189" s="8" t="str">
        <f t="shared" ca="1" si="90"/>
        <v>1611</v>
      </c>
      <c r="J189" s="13">
        <f>IF(繳費報酬率資料!$A$1=1,VALUE(OP!$C$121),VLOOKUP(A189,MP,2,0))</f>
        <v>0.05</v>
      </c>
      <c r="K189" s="14">
        <f ca="1">IF(SUM($K$4:K188,IF(繳費報酬率資料!$A$1=1,$AU189+$AV189,$BB189+$BC189))&gt;OP!$L$58,0,IF(繳費報酬率資料!$A$1=1,$AU189+$AV189,$BB189+$BC189))</f>
        <v>0</v>
      </c>
      <c r="L189" s="2"/>
      <c r="M189" s="2"/>
      <c r="N189" s="2"/>
      <c r="O189" s="261">
        <f t="shared" ca="1" si="94"/>
        <v>0</v>
      </c>
      <c r="P189" s="261">
        <f t="shared" ca="1" si="112"/>
        <v>0</v>
      </c>
      <c r="Q189" s="3">
        <f ca="1">IF(A189&gt;MAX(OP!$R$17:$R$26),0,VLOOKUP(A189,fees,3,FALSE))</f>
        <v>0</v>
      </c>
      <c r="R189" s="200" t="str">
        <f t="shared" ca="1" si="95"/>
        <v/>
      </c>
      <c r="S189" s="9" t="str">
        <f ca="1">IF(COUNTIF(($T$4:T188),"F")&gt;=1,"",IF(OR(C190&lt;&gt;$C$3,E189=""),"",A189))</f>
        <v/>
      </c>
      <c r="T189" s="20" t="str">
        <f t="shared" ca="1" si="127"/>
        <v/>
      </c>
      <c r="U189" s="2">
        <f ca="1">IF(IF(OP!$C$83=1,$Z188,IF(OP!$C$83=2,$AA188,IF(OP!$C$83=3,$AB188,)))+$K189-$O189-$P189-$AS189&lt;OP!$C$142,0,$AS189)</f>
        <v>0</v>
      </c>
      <c r="V189" s="9"/>
      <c r="W189" s="19">
        <f ca="1">MAX(SUM($K$4:K189),0)</f>
        <v>2000000</v>
      </c>
      <c r="X189" s="19"/>
      <c r="Y189" s="19">
        <f t="shared" ca="1" si="113"/>
        <v>1920000</v>
      </c>
      <c r="Z189" s="2">
        <f ca="1">IF(MIN($Z$4:Z188)=0,0,MAX(0,($Z188+$K189-$O189-$P189)*IF(AND(F189="F",$D$3&lt;&gt;$G$3),((1+(-J189))^(H189/MIN(G189,365))),((1+(-J189))^(1/12)))-$U189))</f>
        <v>866996.03368717316</v>
      </c>
      <c r="AA189" s="2">
        <f ca="1">IF(MIN($AA$4:AA188)=0,0,MAX(0,($AA188+$K189-$O189-$P189)*IF(AND(F189="F",$D$3&lt;&gt;$G$3),((1+$AA$1)^(H189/MIN(G189,365))),((1+$AA$1)^(1/12)))-$U189))</f>
        <v>1920000</v>
      </c>
      <c r="AB189" s="2">
        <f ca="1">IF(MIN($AB$4:AB188)=0,0,MAX(0,($AB188+$K189-$O189-$P189)*IF(AND(F189="F",$D$3&lt;&gt;$G$3),((1+(J189))^(H189/MIN(G189,365))),((1+(J189))^(1/12)))-$U189))</f>
        <v>4090113.5424757423</v>
      </c>
      <c r="AC189" s="5"/>
      <c r="AD189" s="5"/>
      <c r="AE189" s="5"/>
      <c r="AF189" s="282">
        <f t="shared" ca="1" si="96"/>
        <v>866996</v>
      </c>
      <c r="AG189" s="282">
        <f t="shared" ca="1" si="97"/>
        <v>1920000</v>
      </c>
      <c r="AH189" s="282">
        <f t="shared" ca="1" si="98"/>
        <v>4090114</v>
      </c>
      <c r="AI189" s="23" t="str">
        <f t="shared" ca="1" si="119"/>
        <v>16-7</v>
      </c>
      <c r="AJ189" s="282">
        <f ca="1">IF(E189&gt;111,,IF(AND(OP!$C$99=1,T189="F"),Z189,IF(AND(OP!$C$99=2,COUNTIF($T$4:T189,"F")=1),OP!$C$97+IF(F189="F",OP!$C$98,0),"")))</f>
        <v>54527</v>
      </c>
      <c r="AK189" s="282">
        <f ca="1">IF(E189&gt;111,,IF(AND(OP!$D$99=1,T189="F"),AA189,IF(AND(OP!$D$99=2,COUNTIF($T$4:T189,"F")=1),OP!$D$97+IF(F189="F",OP!$D$98,0),"")))</f>
        <v>74177</v>
      </c>
      <c r="AL189" s="282">
        <f ca="1">IF(E189&gt;111,,IF(AND(OP!$E$99=1,T189="F"),AB189,IF(AND(OP!$E$99=2,COUNTIF($T$4:T189,"F")=1),OP!$E$97+IF(F189="F",OP!$E$98,0),"")))</f>
        <v>99404</v>
      </c>
      <c r="AM189" s="1">
        <f t="shared" ca="1" si="128"/>
        <v>7</v>
      </c>
      <c r="AN189" s="1" t="str">
        <f ca="1">IF(OR(VLOOKUP($A189,MP,5,0)="月繳"),1,"")</f>
        <v/>
      </c>
      <c r="AO189" s="1">
        <f t="shared" ca="1" si="99"/>
        <v>0</v>
      </c>
      <c r="AP189" s="1" t="str">
        <f ca="1">IF(AND(A189&lt;=OP!$C$120,COUNTIF(PAY,C189)=1),1,"")</f>
        <v/>
      </c>
      <c r="AR189" s="301">
        <f ca="1">IF(繳費報酬率資料!$A$1=1,$AY189+$AZ189,$BF189+$BG189)</f>
        <v>0</v>
      </c>
      <c r="AS189" s="1">
        <f ca="1">IF(C189&lt;&gt;IF($C$3=1,12,$C$3-1),0,IF(繳費報酬率資料!$A$1&lt;&gt;1,VLOOKUP($A189,MP,8,0),IF(AND($A189&gt;=OP!$C$79,$A189&lt;=OP!$C$80),OP!$C$78,)))</f>
        <v>0</v>
      </c>
      <c r="AT189" s="298">
        <f t="shared" ca="1" si="100"/>
        <v>0</v>
      </c>
      <c r="AU189" s="298">
        <f ca="1">IF(AND(A189&lt;=OP!$C$120,COUNTIF(PAY,C189)=1),OP!$C$123,0)</f>
        <v>0</v>
      </c>
      <c r="AV189" s="298">
        <f ca="1">IF(AND(A189&gt;=OP!$C$132,A189&lt;=OP!$C$133,$C$3=C189),OP!$C$135,0)</f>
        <v>0</v>
      </c>
      <c r="AW189" s="180">
        <f t="shared" ca="1" si="101"/>
        <v>0.05</v>
      </c>
      <c r="AX189" s="180">
        <f t="shared" ca="1" si="102"/>
        <v>0.05</v>
      </c>
      <c r="AY189" s="286">
        <f t="shared" ca="1" si="103"/>
        <v>0</v>
      </c>
      <c r="AZ189" s="286">
        <f t="shared" ca="1" si="104"/>
        <v>0</v>
      </c>
      <c r="BA189" s="286">
        <f t="shared" ca="1" si="105"/>
        <v>0</v>
      </c>
      <c r="BB189" s="286">
        <f t="shared" ca="1" si="106"/>
        <v>0</v>
      </c>
      <c r="BC189" s="286">
        <f t="shared" ca="1" si="107"/>
        <v>0</v>
      </c>
      <c r="BD189" s="180">
        <f t="shared" ca="1" si="108"/>
        <v>0.05</v>
      </c>
      <c r="BE189" s="180">
        <f t="shared" ca="1" si="109"/>
        <v>0.05</v>
      </c>
      <c r="BF189" s="286">
        <f t="shared" ca="1" si="110"/>
        <v>0</v>
      </c>
      <c r="BG189" s="286">
        <f t="shared" ca="1" si="111"/>
        <v>0</v>
      </c>
    </row>
    <row r="190" spans="1:59">
      <c r="A190" s="1">
        <f t="shared" ca="1" si="91"/>
        <v>16</v>
      </c>
      <c r="B190" s="1">
        <f t="shared" ca="1" si="124"/>
        <v>121</v>
      </c>
      <c r="C190" s="1">
        <f t="shared" ca="1" si="125"/>
        <v>12</v>
      </c>
      <c r="D190" s="1">
        <f ca="1">MIN($D$3,VLOOKUP(C190,OP!$S$30:$T$41,2))</f>
        <v>2</v>
      </c>
      <c r="E190" s="1">
        <f t="shared" ca="1" si="126"/>
        <v>70</v>
      </c>
      <c r="F190" s="11" t="str">
        <f t="shared" ca="1" si="92"/>
        <v/>
      </c>
      <c r="G190" s="8">
        <f t="shared" ca="1" si="123"/>
        <v>365</v>
      </c>
      <c r="H190" s="8">
        <f t="shared" ca="1" si="93"/>
        <v>31</v>
      </c>
      <c r="I190" s="8" t="str">
        <f t="shared" ca="1" si="90"/>
        <v>1612</v>
      </c>
      <c r="J190" s="13">
        <f>IF(繳費報酬率資料!$A$1=1,VALUE(OP!$C$121),VLOOKUP(A190,MP,2,0))</f>
        <v>0.05</v>
      </c>
      <c r="K190" s="14">
        <f ca="1">IF(SUM($K$4:K189,IF(繳費報酬率資料!$A$1=1,$AU190+$AV190,$BB190+$BC190))&gt;OP!$L$58,0,IF(繳費報酬率資料!$A$1=1,$AU190+$AV190,$BB190+$BC190))</f>
        <v>0</v>
      </c>
      <c r="L190" s="2"/>
      <c r="M190" s="2"/>
      <c r="N190" s="2"/>
      <c r="O190" s="261">
        <f t="shared" ca="1" si="94"/>
        <v>0</v>
      </c>
      <c r="P190" s="261">
        <f t="shared" ca="1" si="112"/>
        <v>0</v>
      </c>
      <c r="Q190" s="3">
        <f ca="1">IF(A190&gt;MAX(OP!$R$17:$R$26),0,VLOOKUP(A190,fees,3,FALSE))</f>
        <v>0</v>
      </c>
      <c r="R190" s="200" t="str">
        <f t="shared" ca="1" si="95"/>
        <v/>
      </c>
      <c r="S190" s="9" t="str">
        <f ca="1">IF(COUNTIF(($T$4:T189),"F")&gt;=1,"",IF(OR(C191&lt;&gt;$C$3,E190=""),"",A190))</f>
        <v/>
      </c>
      <c r="T190" s="20" t="str">
        <f t="shared" ca="1" si="127"/>
        <v/>
      </c>
      <c r="U190" s="2">
        <f ca="1">IF(IF(OP!$C$83=1,$Z189,IF(OP!$C$83=2,$AA189,IF(OP!$C$83=3,$AB189,)))+$K190-$O190-$P190-$AS190&lt;OP!$C$142,0,$AS190)</f>
        <v>0</v>
      </c>
      <c r="V190" s="9"/>
      <c r="W190" s="19">
        <f ca="1">MAX(SUM($K$4:K190),0)</f>
        <v>2000000</v>
      </c>
      <c r="X190" s="19"/>
      <c r="Y190" s="19">
        <f t="shared" ca="1" si="113"/>
        <v>1920000</v>
      </c>
      <c r="Z190" s="2">
        <f ca="1">IF(MIN($Z$4:Z189)=0,0,MAX(0,($Z189+$K190-$O190-$P190)*IF(AND(F190="F",$D$3&lt;&gt;$G$3),((1+(-J190))^(H190/MIN(G190,365))),((1+(-J190))^(1/12)))-$U190))</f>
        <v>863298.0192246167</v>
      </c>
      <c r="AA190" s="2">
        <f ca="1">IF(MIN($AA$4:AA189)=0,0,MAX(0,($AA189+$K190-$O190-$P190)*IF(AND(F190="F",$D$3&lt;&gt;$G$3),((1+$AA$1)^(H190/MIN(G190,365))),((1+$AA$1)^(1/12)))-$U190))</f>
        <v>1920000</v>
      </c>
      <c r="AB190" s="2">
        <f ca="1">IF(MIN($AB$4:AB189)=0,0,MAX(0,($AB189+$K190-$O190-$P190)*IF(AND(F190="F",$D$3&lt;&gt;$G$3),((1+(J190))^(H190/MIN(G190,365))),((1+(J190))^(1/12)))-$U190))</f>
        <v>4106777.1713369647</v>
      </c>
      <c r="AC190" s="5"/>
      <c r="AD190" s="5"/>
      <c r="AE190" s="5"/>
      <c r="AF190" s="282">
        <f t="shared" ca="1" si="96"/>
        <v>863298</v>
      </c>
      <c r="AG190" s="282">
        <f t="shared" ca="1" si="97"/>
        <v>1920000</v>
      </c>
      <c r="AH190" s="282">
        <f t="shared" ca="1" si="98"/>
        <v>4106777</v>
      </c>
      <c r="AI190" s="23" t="str">
        <f t="shared" ca="1" si="119"/>
        <v>16-8</v>
      </c>
      <c r="AJ190" s="282">
        <f ca="1">IF(E190&gt;111,,IF(AND(OP!$C$99=1,T190="F"),Z190,IF(AND(OP!$C$99=2,COUNTIF($T$4:T190,"F")=1),OP!$C$97+IF(F190="F",OP!$C$98,0),"")))</f>
        <v>54527</v>
      </c>
      <c r="AK190" s="282">
        <f ca="1">IF(E190&gt;111,,IF(AND(OP!$D$99=1,T190="F"),AA190,IF(AND(OP!$D$99=2,COUNTIF($T$4:T190,"F")=1),OP!$D$97+IF(F190="F",OP!$D$98,0),"")))</f>
        <v>74177</v>
      </c>
      <c r="AL190" s="282">
        <f ca="1">IF(E190&gt;111,,IF(AND(OP!$E$99=1,T190="F"),AB190,IF(AND(OP!$E$99=2,COUNTIF($T$4:T190,"F")=1),OP!$E$97+IF(F190="F",OP!$E$98,0),"")))</f>
        <v>99404</v>
      </c>
      <c r="AM190" s="1">
        <f t="shared" ca="1" si="128"/>
        <v>8</v>
      </c>
      <c r="AN190" s="1" t="str">
        <f ca="1">IF(OR(VLOOKUP($A190,MP,5,0)="半年繳",VLOOKUP($A190,MP,5,0)="季繳",VLOOKUP($A190,MP,5,0)="月繳"),1,"")</f>
        <v/>
      </c>
      <c r="AO190" s="1">
        <f t="shared" ca="1" si="99"/>
        <v>0</v>
      </c>
      <c r="AP190" s="1" t="str">
        <f ca="1">IF(AND(A190&lt;=OP!$C$120,COUNTIF(PAY,C190)=1),1,"")</f>
        <v/>
      </c>
      <c r="AR190" s="301">
        <f ca="1">IF(繳費報酬率資料!$A$1=1,$AY190+$AZ190,$BF190+$BG190)</f>
        <v>0</v>
      </c>
      <c r="AS190" s="1">
        <f ca="1">IF(C190&lt;&gt;IF($C$3=1,12,$C$3-1),0,IF(繳費報酬率資料!$A$1&lt;&gt;1,VLOOKUP($A190,MP,8,0),IF(AND($A190&gt;=OP!$C$79,$A190&lt;=OP!$C$80),OP!$C$78,)))</f>
        <v>0</v>
      </c>
      <c r="AT190" s="298">
        <f t="shared" ca="1" si="100"/>
        <v>0</v>
      </c>
      <c r="AU190" s="298">
        <f ca="1">IF(AND(A190&lt;=OP!$C$120,COUNTIF(PAY,C190)=1),OP!$C$123,0)</f>
        <v>0</v>
      </c>
      <c r="AV190" s="298">
        <f ca="1">IF(AND(A190&gt;=OP!$C$132,A190&lt;=OP!$C$133,$C$3=C190),OP!$C$135,0)</f>
        <v>0</v>
      </c>
      <c r="AW190" s="180">
        <f t="shared" ca="1" si="101"/>
        <v>0.05</v>
      </c>
      <c r="AX190" s="180">
        <f t="shared" ca="1" si="102"/>
        <v>0.05</v>
      </c>
      <c r="AY190" s="286">
        <f t="shared" ca="1" si="103"/>
        <v>0</v>
      </c>
      <c r="AZ190" s="286">
        <f t="shared" ca="1" si="104"/>
        <v>0</v>
      </c>
      <c r="BA190" s="286">
        <f t="shared" ca="1" si="105"/>
        <v>0</v>
      </c>
      <c r="BB190" s="286">
        <f t="shared" ca="1" si="106"/>
        <v>0</v>
      </c>
      <c r="BC190" s="286">
        <f t="shared" ca="1" si="107"/>
        <v>0</v>
      </c>
      <c r="BD190" s="180">
        <f t="shared" ca="1" si="108"/>
        <v>0.05</v>
      </c>
      <c r="BE190" s="180">
        <f t="shared" ca="1" si="109"/>
        <v>0.05</v>
      </c>
      <c r="BF190" s="286">
        <f t="shared" ca="1" si="110"/>
        <v>0</v>
      </c>
      <c r="BG190" s="286">
        <f t="shared" ca="1" si="111"/>
        <v>0</v>
      </c>
    </row>
    <row r="191" spans="1:59">
      <c r="A191" s="1">
        <f t="shared" ca="1" si="91"/>
        <v>16</v>
      </c>
      <c r="B191" s="1">
        <f t="shared" ca="1" si="124"/>
        <v>122</v>
      </c>
      <c r="C191" s="1">
        <f t="shared" ca="1" si="125"/>
        <v>1</v>
      </c>
      <c r="D191" s="1">
        <f ca="1">MIN($D$3,VLOOKUP(C191,OP!$S$30:$T$41,2))</f>
        <v>2</v>
      </c>
      <c r="E191" s="1">
        <f t="shared" ca="1" si="126"/>
        <v>70</v>
      </c>
      <c r="F191" s="11" t="str">
        <f t="shared" ca="1" si="92"/>
        <v/>
      </c>
      <c r="G191" s="8">
        <f t="shared" ca="1" si="123"/>
        <v>365</v>
      </c>
      <c r="H191" s="8">
        <f t="shared" ca="1" si="93"/>
        <v>31</v>
      </c>
      <c r="I191" s="8" t="str">
        <f t="shared" ca="1" si="90"/>
        <v>161</v>
      </c>
      <c r="J191" s="13">
        <f>IF(繳費報酬率資料!$A$1=1,VALUE(OP!$C$121),VLOOKUP(A191,MP,2,0))</f>
        <v>0.05</v>
      </c>
      <c r="K191" s="14">
        <f ca="1">IF(SUM($K$4:K190,IF(繳費報酬率資料!$A$1=1,$AU191+$AV191,$BB191+$BC191))&gt;OP!$L$58,0,IF(繳費報酬率資料!$A$1=1,$AU191+$AV191,$BB191+$BC191))</f>
        <v>0</v>
      </c>
      <c r="L191" s="2"/>
      <c r="M191" s="2"/>
      <c r="N191" s="2"/>
      <c r="O191" s="261">
        <f t="shared" ca="1" si="94"/>
        <v>0</v>
      </c>
      <c r="P191" s="261">
        <f t="shared" ca="1" si="112"/>
        <v>0</v>
      </c>
      <c r="Q191" s="3">
        <f ca="1">IF(A191&gt;MAX(OP!$R$17:$R$26),0,VLOOKUP(A191,fees,3,FALSE))</f>
        <v>0</v>
      </c>
      <c r="R191" s="200" t="str">
        <f t="shared" ca="1" si="95"/>
        <v/>
      </c>
      <c r="S191" s="9" t="str">
        <f ca="1">IF(COUNTIF(($T$4:T190),"F")&gt;=1,"",IF(OR(C192&lt;&gt;$C$3,E191=""),"",A191))</f>
        <v/>
      </c>
      <c r="T191" s="20" t="str">
        <f t="shared" ca="1" si="127"/>
        <v/>
      </c>
      <c r="U191" s="2">
        <f ca="1">IF(IF(OP!$C$83=1,$Z190,IF(OP!$C$83=2,$AA190,IF(OP!$C$83=3,$AB190,)))+$K191-$O191-$P191-$AS191&lt;OP!$C$142,0,$AS191)</f>
        <v>0</v>
      </c>
      <c r="V191" s="9"/>
      <c r="W191" s="19">
        <f ca="1">MAX(SUM($K$4:K191),0)</f>
        <v>2000000</v>
      </c>
      <c r="X191" s="19"/>
      <c r="Y191" s="19">
        <f t="shared" ca="1" si="113"/>
        <v>1920000</v>
      </c>
      <c r="Z191" s="2">
        <f ca="1">IF(MIN($Z$4:Z190)=0,0,MAX(0,($Z190+$K191-$O191-$P191)*IF(AND(F191="F",$D$3&lt;&gt;$G$3),((1+(-J191))^(H191/MIN(G191,365))),((1+(-J191))^(1/12)))-$U191))</f>
        <v>859615.77797258704</v>
      </c>
      <c r="AA191" s="2">
        <f ca="1">IF(MIN($AA$4:AA190)=0,0,MAX(0,($AA190+$K191-$O191-$P191)*IF(AND(F191="F",$D$3&lt;&gt;$G$3),((1+$AA$1)^(H191/MIN(G191,365))),((1+$AA$1)^(1/12)))-$U191))</f>
        <v>1920000</v>
      </c>
      <c r="AB191" s="2">
        <f ca="1">IF(MIN($AB$4:AB190)=0,0,MAX(0,($AB190+$K191-$O191-$P191)*IF(AND(F191="F",$D$3&lt;&gt;$G$3),((1+(J191))^(H191/MIN(G191,365))),((1+(J191))^(1/12)))-$U191))</f>
        <v>4123508.6898848526</v>
      </c>
      <c r="AC191" s="5"/>
      <c r="AD191" s="5"/>
      <c r="AE191" s="5"/>
      <c r="AF191" s="282">
        <f t="shared" ca="1" si="96"/>
        <v>859616</v>
      </c>
      <c r="AG191" s="282">
        <f t="shared" ca="1" si="97"/>
        <v>1920000</v>
      </c>
      <c r="AH191" s="282">
        <f t="shared" ca="1" si="98"/>
        <v>4123509</v>
      </c>
      <c r="AI191" s="23" t="str">
        <f t="shared" ca="1" si="119"/>
        <v>16-9</v>
      </c>
      <c r="AJ191" s="282">
        <f ca="1">IF(E191&gt;111,,IF(AND(OP!$C$99=1,T191="F"),Z191,IF(AND(OP!$C$99=2,COUNTIF($T$4:T191,"F")=1),OP!$C$97+IF(F191="F",OP!$C$98,0),"")))</f>
        <v>54527</v>
      </c>
      <c r="AK191" s="282">
        <f ca="1">IF(E191&gt;111,,IF(AND(OP!$D$99=1,T191="F"),AA191,IF(AND(OP!$D$99=2,COUNTIF($T$4:T191,"F")=1),OP!$D$97+IF(F191="F",OP!$D$98,0),"")))</f>
        <v>74177</v>
      </c>
      <c r="AL191" s="282">
        <f ca="1">IF(E191&gt;111,,IF(AND(OP!$E$99=1,T191="F"),AB191,IF(AND(OP!$E$99=2,COUNTIF($T$4:T191,"F")=1),OP!$E$97+IF(F191="F",OP!$E$98,0),"")))</f>
        <v>99404</v>
      </c>
      <c r="AM191" s="1">
        <f t="shared" ca="1" si="128"/>
        <v>9</v>
      </c>
      <c r="AN191" s="1" t="str">
        <f ca="1">IF(OR(VLOOKUP($A191,MP,5,0)="月繳"),1,"")</f>
        <v/>
      </c>
      <c r="AO191" s="1">
        <f t="shared" ca="1" si="99"/>
        <v>0</v>
      </c>
      <c r="AP191" s="1" t="str">
        <f ca="1">IF(AND(A191&lt;=OP!$C$120,COUNTIF(PAY,C191)=1),1,"")</f>
        <v/>
      </c>
      <c r="AR191" s="301">
        <f ca="1">IF(繳費報酬率資料!$A$1=1,$AY191+$AZ191,$BF191+$BG191)</f>
        <v>0</v>
      </c>
      <c r="AS191" s="1">
        <f ca="1">IF(C191&lt;&gt;IF($C$3=1,12,$C$3-1),0,IF(繳費報酬率資料!$A$1&lt;&gt;1,VLOOKUP($A191,MP,8,0),IF(AND($A191&gt;=OP!$C$79,$A191&lt;=OP!$C$80),OP!$C$78,)))</f>
        <v>0</v>
      </c>
      <c r="AT191" s="298">
        <f t="shared" ca="1" si="100"/>
        <v>0</v>
      </c>
      <c r="AU191" s="298">
        <f ca="1">IF(AND(A191&lt;=OP!$C$120,COUNTIF(PAY,C191)=1),OP!$C$123,0)</f>
        <v>0</v>
      </c>
      <c r="AV191" s="298">
        <f ca="1">IF(AND(A191&gt;=OP!$C$132,A191&lt;=OP!$C$133,$C$3=C191),OP!$C$135,0)</f>
        <v>0</v>
      </c>
      <c r="AW191" s="180">
        <f t="shared" ca="1" si="101"/>
        <v>0.05</v>
      </c>
      <c r="AX191" s="180">
        <f t="shared" ca="1" si="102"/>
        <v>0.05</v>
      </c>
      <c r="AY191" s="286">
        <f t="shared" ca="1" si="103"/>
        <v>0</v>
      </c>
      <c r="AZ191" s="286">
        <f t="shared" ca="1" si="104"/>
        <v>0</v>
      </c>
      <c r="BA191" s="286">
        <f t="shared" ca="1" si="105"/>
        <v>0</v>
      </c>
      <c r="BB191" s="286">
        <f t="shared" ca="1" si="106"/>
        <v>0</v>
      </c>
      <c r="BC191" s="286">
        <f t="shared" ca="1" si="107"/>
        <v>0</v>
      </c>
      <c r="BD191" s="180">
        <f t="shared" ca="1" si="108"/>
        <v>0.05</v>
      </c>
      <c r="BE191" s="180">
        <f t="shared" ca="1" si="109"/>
        <v>0.05</v>
      </c>
      <c r="BF191" s="286">
        <f t="shared" ca="1" si="110"/>
        <v>0</v>
      </c>
      <c r="BG191" s="286">
        <f t="shared" ca="1" si="111"/>
        <v>0</v>
      </c>
    </row>
    <row r="192" spans="1:59">
      <c r="A192" s="1">
        <f t="shared" ca="1" si="91"/>
        <v>16</v>
      </c>
      <c r="B192" s="1">
        <f t="shared" ca="1" si="124"/>
        <v>122</v>
      </c>
      <c r="C192" s="1">
        <f t="shared" ca="1" si="125"/>
        <v>2</v>
      </c>
      <c r="D192" s="1">
        <f ca="1">MIN($D$3,VLOOKUP(C192,OP!$S$30:$T$41,2))</f>
        <v>2</v>
      </c>
      <c r="E192" s="1">
        <f t="shared" ca="1" si="126"/>
        <v>70</v>
      </c>
      <c r="F192" s="11" t="str">
        <f t="shared" ca="1" si="92"/>
        <v/>
      </c>
      <c r="G192" s="8">
        <f t="shared" ca="1" si="123"/>
        <v>365</v>
      </c>
      <c r="H192" s="8">
        <f t="shared" ca="1" si="93"/>
        <v>28</v>
      </c>
      <c r="I192" s="8" t="str">
        <f t="shared" ca="1" si="90"/>
        <v>162</v>
      </c>
      <c r="J192" s="13">
        <f>IF(繳費報酬率資料!$A$1=1,VALUE(OP!$C$121),VLOOKUP(A192,MP,2,0))</f>
        <v>0.05</v>
      </c>
      <c r="K192" s="14">
        <f ca="1">IF(SUM($K$4:K191,IF(繳費報酬率資料!$A$1=1,$AU192+$AV192,$BB192+$BC192))&gt;OP!$L$58,0,IF(繳費報酬率資料!$A$1=1,$AU192+$AV192,$BB192+$BC192))</f>
        <v>0</v>
      </c>
      <c r="L192" s="2"/>
      <c r="M192" s="2"/>
      <c r="N192" s="2"/>
      <c r="O192" s="261">
        <f t="shared" ca="1" si="94"/>
        <v>0</v>
      </c>
      <c r="P192" s="261">
        <f t="shared" ca="1" si="112"/>
        <v>0</v>
      </c>
      <c r="Q192" s="3">
        <f ca="1">IF(A192&gt;MAX(OP!$R$17:$R$26),0,VLOOKUP(A192,fees,3,FALSE))</f>
        <v>0</v>
      </c>
      <c r="R192" s="200" t="str">
        <f t="shared" ca="1" si="95"/>
        <v/>
      </c>
      <c r="S192" s="9" t="str">
        <f ca="1">IF(COUNTIF(($T$4:T191),"F")&gt;=1,"",IF(OR(C193&lt;&gt;$C$3,E192=""),"",A192))</f>
        <v/>
      </c>
      <c r="T192" s="20" t="str">
        <f t="shared" ca="1" si="127"/>
        <v/>
      </c>
      <c r="U192" s="2">
        <f ca="1">IF(IF(OP!$C$83=1,$Z191,IF(OP!$C$83=2,$AA191,IF(OP!$C$83=3,$AB191,)))+$K192-$O192-$P192-$AS192&lt;OP!$C$142,0,$AS192)</f>
        <v>0</v>
      </c>
      <c r="V192" s="9"/>
      <c r="W192" s="19">
        <f ca="1">MAX(SUM($K$4:K192),0)</f>
        <v>2000000</v>
      </c>
      <c r="X192" s="19"/>
      <c r="Y192" s="19">
        <f t="shared" ca="1" si="113"/>
        <v>1920000</v>
      </c>
      <c r="Z192" s="2">
        <f ca="1">IF(MIN($Z$4:Z191)=0,0,MAX(0,($Z191+$K192-$O192-$P192)*IF(AND(F192="F",$D$3&lt;&gt;$G$3),((1+(-J192))^(H192/MIN(G192,365))),((1+(-J192))^(1/12)))-$U192))</f>
        <v>855949.24265331321</v>
      </c>
      <c r="AA192" s="2">
        <f ca="1">IF(MIN($AA$4:AA191)=0,0,MAX(0,($AA191+$K192-$O192-$P192)*IF(AND(F192="F",$D$3&lt;&gt;$G$3),((1+$AA$1)^(H192/MIN(G192,365))),((1+$AA$1)^(1/12)))-$U192))</f>
        <v>1920000</v>
      </c>
      <c r="AB192" s="2">
        <f ca="1">IF(MIN($AB$4:AB191)=0,0,MAX(0,($AB191+$K192-$O192-$P192)*IF(AND(F192="F",$D$3&lt;&gt;$G$3),((1+(J192))^(H192/MIN(G192,365))),((1+(J192))^(1/12)))-$U192))</f>
        <v>4140308.3747103931</v>
      </c>
      <c r="AC192" s="5"/>
      <c r="AD192" s="5"/>
      <c r="AE192" s="5"/>
      <c r="AF192" s="282">
        <f t="shared" ca="1" si="96"/>
        <v>855949</v>
      </c>
      <c r="AG192" s="282">
        <f t="shared" ca="1" si="97"/>
        <v>1920000</v>
      </c>
      <c r="AH192" s="282">
        <f t="shared" ca="1" si="98"/>
        <v>4140308</v>
      </c>
      <c r="AI192" s="23" t="str">
        <f t="shared" ca="1" si="119"/>
        <v>16-10</v>
      </c>
      <c r="AJ192" s="282">
        <f ca="1">IF(E192&gt;111,,IF(AND(OP!$C$99=1,T192="F"),Z192,IF(AND(OP!$C$99=2,COUNTIF($T$4:T192,"F")=1),OP!$C$97+IF(F192="F",OP!$C$98,0),"")))</f>
        <v>54527</v>
      </c>
      <c r="AK192" s="282">
        <f ca="1">IF(E192&gt;111,,IF(AND(OP!$D$99=1,T192="F"),AA192,IF(AND(OP!$D$99=2,COUNTIF($T$4:T192,"F")=1),OP!$D$97+IF(F192="F",OP!$D$98,0),"")))</f>
        <v>74177</v>
      </c>
      <c r="AL192" s="282">
        <f ca="1">IF(E192&gt;111,,IF(AND(OP!$E$99=1,T192="F"),AB192,IF(AND(OP!$E$99=2,COUNTIF($T$4:T192,"F")=1),OP!$E$97+IF(F192="F",OP!$E$98,0),"")))</f>
        <v>99404</v>
      </c>
      <c r="AM192" s="1">
        <f t="shared" ca="1" si="128"/>
        <v>10</v>
      </c>
      <c r="AN192" s="1" t="str">
        <f ca="1">IF(OR(VLOOKUP($A192,MP,5,0)="月繳"),1,"")</f>
        <v/>
      </c>
      <c r="AO192" s="1">
        <f t="shared" ca="1" si="99"/>
        <v>0</v>
      </c>
      <c r="AP192" s="1" t="str">
        <f ca="1">IF(AND(A192&lt;=OP!$C$120,COUNTIF(PAY,C192)=1),1,"")</f>
        <v/>
      </c>
      <c r="AR192" s="301">
        <f ca="1">IF(繳費報酬率資料!$A$1=1,$AY192+$AZ192,$BF192+$BG192)</f>
        <v>0</v>
      </c>
      <c r="AS192" s="1">
        <f ca="1">IF(C192&lt;&gt;IF($C$3=1,12,$C$3-1),0,IF(繳費報酬率資料!$A$1&lt;&gt;1,VLOOKUP($A192,MP,8,0),IF(AND($A192&gt;=OP!$C$79,$A192&lt;=OP!$C$80),OP!$C$78,)))</f>
        <v>0</v>
      </c>
      <c r="AT192" s="298">
        <f t="shared" ca="1" si="100"/>
        <v>0</v>
      </c>
      <c r="AU192" s="298">
        <f ca="1">IF(AND(A192&lt;=OP!$C$120,COUNTIF(PAY,C192)=1),OP!$C$123,0)</f>
        <v>0</v>
      </c>
      <c r="AV192" s="298">
        <f ca="1">IF(AND(A192&gt;=OP!$C$132,A192&lt;=OP!$C$133,$C$3=C192),OP!$C$135,0)</f>
        <v>0</v>
      </c>
      <c r="AW192" s="180">
        <f t="shared" ca="1" si="101"/>
        <v>0.05</v>
      </c>
      <c r="AX192" s="180">
        <f t="shared" ca="1" si="102"/>
        <v>0.05</v>
      </c>
      <c r="AY192" s="286">
        <f t="shared" ca="1" si="103"/>
        <v>0</v>
      </c>
      <c r="AZ192" s="286">
        <f t="shared" ca="1" si="104"/>
        <v>0</v>
      </c>
      <c r="BA192" s="286">
        <f t="shared" ca="1" si="105"/>
        <v>0</v>
      </c>
      <c r="BB192" s="286">
        <f t="shared" ca="1" si="106"/>
        <v>0</v>
      </c>
      <c r="BC192" s="286">
        <f t="shared" ca="1" si="107"/>
        <v>0</v>
      </c>
      <c r="BD192" s="180">
        <f t="shared" ca="1" si="108"/>
        <v>0.05</v>
      </c>
      <c r="BE192" s="180">
        <f t="shared" ca="1" si="109"/>
        <v>0.05</v>
      </c>
      <c r="BF192" s="286">
        <f t="shared" ca="1" si="110"/>
        <v>0</v>
      </c>
      <c r="BG192" s="286">
        <f t="shared" ca="1" si="111"/>
        <v>0</v>
      </c>
    </row>
    <row r="193" spans="1:59">
      <c r="A193" s="1">
        <f t="shared" ca="1" si="91"/>
        <v>16</v>
      </c>
      <c r="B193" s="1">
        <f t="shared" ca="1" si="124"/>
        <v>122</v>
      </c>
      <c r="C193" s="1">
        <f t="shared" ca="1" si="125"/>
        <v>3</v>
      </c>
      <c r="D193" s="1">
        <f ca="1">MIN($D$3,VLOOKUP(C193,OP!$S$30:$T$41,2))</f>
        <v>2</v>
      </c>
      <c r="E193" s="1">
        <f t="shared" ca="1" si="126"/>
        <v>70</v>
      </c>
      <c r="F193" s="11" t="str">
        <f t="shared" ca="1" si="92"/>
        <v/>
      </c>
      <c r="G193" s="8">
        <f t="shared" ca="1" si="123"/>
        <v>365</v>
      </c>
      <c r="H193" s="8">
        <f t="shared" ca="1" si="93"/>
        <v>31</v>
      </c>
      <c r="I193" s="8" t="str">
        <f t="shared" ca="1" si="90"/>
        <v>163</v>
      </c>
      <c r="J193" s="13">
        <f>IF(繳費報酬率資料!$A$1=1,VALUE(OP!$C$121),VLOOKUP(A193,MP,2,0))</f>
        <v>0.05</v>
      </c>
      <c r="K193" s="14">
        <f ca="1">IF(SUM($K$4:K192,IF(繳費報酬率資料!$A$1=1,$AU193+$AV193,$BB193+$BC193))&gt;OP!$L$58,0,IF(繳費報酬率資料!$A$1=1,$AU193+$AV193,$BB193+$BC193))</f>
        <v>0</v>
      </c>
      <c r="L193" s="2"/>
      <c r="M193" s="2"/>
      <c r="N193" s="2"/>
      <c r="O193" s="261">
        <f t="shared" ca="1" si="94"/>
        <v>0</v>
      </c>
      <c r="P193" s="261">
        <f t="shared" ca="1" si="112"/>
        <v>0</v>
      </c>
      <c r="Q193" s="3">
        <f ca="1">IF(A193&gt;MAX(OP!$R$17:$R$26),0,VLOOKUP(A193,fees,3,FALSE))</f>
        <v>0</v>
      </c>
      <c r="R193" s="200" t="str">
        <f t="shared" ca="1" si="95"/>
        <v/>
      </c>
      <c r="S193" s="9" t="str">
        <f ca="1">IF(COUNTIF(($T$4:T192),"F")&gt;=1,"",IF(OR(C194&lt;&gt;$C$3,E193=""),"",A193))</f>
        <v/>
      </c>
      <c r="T193" s="20" t="str">
        <f t="shared" ca="1" si="127"/>
        <v/>
      </c>
      <c r="U193" s="2">
        <f ca="1">IF(IF(OP!$C$83=1,$Z192,IF(OP!$C$83=2,$AA192,IF(OP!$C$83=3,$AB192,)))+$K193-$O193-$P193-$AS193&lt;OP!$C$142,0,$AS193)</f>
        <v>0</v>
      </c>
      <c r="V193" s="9"/>
      <c r="W193" s="19">
        <f ca="1">MAX(SUM($K$4:K193),0)</f>
        <v>2000000</v>
      </c>
      <c r="X193" s="19"/>
      <c r="Y193" s="19">
        <f t="shared" ca="1" si="113"/>
        <v>1920000</v>
      </c>
      <c r="Z193" s="2">
        <f ca="1">IF(MIN($Z$4:Z192)=0,0,MAX(0,($Z192+$K193-$O193-$P193)*IF(AND(F193="F",$D$3&lt;&gt;$G$3),((1+(-J193))^(H193/MIN(G193,365))),((1+(-J193))^(1/12)))-$U193))</f>
        <v>852298.34627598524</v>
      </c>
      <c r="AA193" s="2">
        <f ca="1">IF(MIN($AA$4:AA192)=0,0,MAX(0,($AA192+$K193-$O193-$P193)*IF(AND(F193="F",$D$3&lt;&gt;$G$3),((1+$AA$1)^(H193/MIN(G193,365))),((1+$AA$1)^(1/12)))-$U193))</f>
        <v>1920000</v>
      </c>
      <c r="AB193" s="2">
        <f ca="1">IF(MIN($AB$4:AB192)=0,0,MAX(0,($AB192+$K193-$O193-$P193)*IF(AND(F193="F",$D$3&lt;&gt;$G$3),((1+(J193))^(H193/MIN(G193,365))),((1+(J193))^(1/12)))-$U193))</f>
        <v>4157176.5035314392</v>
      </c>
      <c r="AC193" s="5"/>
      <c r="AD193" s="5"/>
      <c r="AE193" s="5"/>
      <c r="AF193" s="282">
        <f t="shared" ca="1" si="96"/>
        <v>852298</v>
      </c>
      <c r="AG193" s="282">
        <f t="shared" ca="1" si="97"/>
        <v>1920000</v>
      </c>
      <c r="AH193" s="282">
        <f t="shared" ca="1" si="98"/>
        <v>4157177</v>
      </c>
      <c r="AI193" s="23" t="str">
        <f t="shared" ca="1" si="119"/>
        <v>16-11</v>
      </c>
      <c r="AJ193" s="282">
        <f ca="1">IF(E193&gt;111,,IF(AND(OP!$C$99=1,T193="F"),Z193,IF(AND(OP!$C$99=2,COUNTIF($T$4:T193,"F")=1),OP!$C$97+IF(F193="F",OP!$C$98,0),"")))</f>
        <v>54527</v>
      </c>
      <c r="AK193" s="282">
        <f ca="1">IF(E193&gt;111,,IF(AND(OP!$D$99=1,T193="F"),AA193,IF(AND(OP!$D$99=2,COUNTIF($T$4:T193,"F")=1),OP!$D$97+IF(F193="F",OP!$D$98,0),"")))</f>
        <v>74177</v>
      </c>
      <c r="AL193" s="282">
        <f ca="1">IF(E193&gt;111,,IF(AND(OP!$E$99=1,T193="F"),AB193,IF(AND(OP!$E$99=2,COUNTIF($T$4:T193,"F")=1),OP!$E$97+IF(F193="F",OP!$E$98,0),"")))</f>
        <v>99404</v>
      </c>
      <c r="AM193" s="1">
        <f t="shared" ca="1" si="128"/>
        <v>11</v>
      </c>
      <c r="AN193" s="1" t="str">
        <f ca="1">IF(OR(VLOOKUP($A193,MP,5,0)="季繳",VLOOKUP($A193,MP,5,0)="月繳"),1,"")</f>
        <v/>
      </c>
      <c r="AO193" s="1">
        <f t="shared" ca="1" si="99"/>
        <v>0</v>
      </c>
      <c r="AP193" s="1" t="str">
        <f ca="1">IF(AND(A193&lt;=OP!$C$120,COUNTIF(PAY,C193)=1),1,"")</f>
        <v/>
      </c>
      <c r="AR193" s="301">
        <f ca="1">IF(繳費報酬率資料!$A$1=1,$AY193+$AZ193,$BF193+$BG193)</f>
        <v>0</v>
      </c>
      <c r="AS193" s="1">
        <f ca="1">IF(C193&lt;&gt;IF($C$3=1,12,$C$3-1),0,IF(繳費報酬率資料!$A$1&lt;&gt;1,VLOOKUP($A193,MP,8,0),IF(AND($A193&gt;=OP!$C$79,$A193&lt;=OP!$C$80),OP!$C$78,)))</f>
        <v>0</v>
      </c>
      <c r="AT193" s="298">
        <f t="shared" ca="1" si="100"/>
        <v>0</v>
      </c>
      <c r="AU193" s="298">
        <f ca="1">IF(AND(A193&lt;=OP!$C$120,COUNTIF(PAY,C193)=1),OP!$C$123,0)</f>
        <v>0</v>
      </c>
      <c r="AV193" s="298">
        <f ca="1">IF(AND(A193&gt;=OP!$C$132,A193&lt;=OP!$C$133,$C$3=C193),OP!$C$135,0)</f>
        <v>0</v>
      </c>
      <c r="AW193" s="180">
        <f t="shared" ca="1" si="101"/>
        <v>0.05</v>
      </c>
      <c r="AX193" s="180">
        <f t="shared" ca="1" si="102"/>
        <v>0.05</v>
      </c>
      <c r="AY193" s="286">
        <f t="shared" ca="1" si="103"/>
        <v>0</v>
      </c>
      <c r="AZ193" s="286">
        <f t="shared" ca="1" si="104"/>
        <v>0</v>
      </c>
      <c r="BA193" s="286">
        <f t="shared" ca="1" si="105"/>
        <v>0</v>
      </c>
      <c r="BB193" s="286">
        <f t="shared" ca="1" si="106"/>
        <v>0</v>
      </c>
      <c r="BC193" s="286">
        <f t="shared" ca="1" si="107"/>
        <v>0</v>
      </c>
      <c r="BD193" s="180">
        <f t="shared" ca="1" si="108"/>
        <v>0.05</v>
      </c>
      <c r="BE193" s="180">
        <f t="shared" ca="1" si="109"/>
        <v>0.05</v>
      </c>
      <c r="BF193" s="286">
        <f t="shared" ca="1" si="110"/>
        <v>0</v>
      </c>
      <c r="BG193" s="286">
        <f t="shared" ca="1" si="111"/>
        <v>0</v>
      </c>
    </row>
    <row r="194" spans="1:59">
      <c r="A194" s="1">
        <f t="shared" ca="1" si="91"/>
        <v>16</v>
      </c>
      <c r="B194" s="1">
        <f t="shared" ca="1" si="124"/>
        <v>122</v>
      </c>
      <c r="C194" s="1">
        <f t="shared" ca="1" si="125"/>
        <v>4</v>
      </c>
      <c r="D194" s="1">
        <f ca="1">MIN($D$3,VLOOKUP(C194,OP!$S$30:$T$41,2))</f>
        <v>2</v>
      </c>
      <c r="E194" s="1">
        <f t="shared" ca="1" si="126"/>
        <v>70</v>
      </c>
      <c r="F194" s="11" t="str">
        <f t="shared" ca="1" si="92"/>
        <v/>
      </c>
      <c r="G194" s="8">
        <f t="shared" ca="1" si="123"/>
        <v>365</v>
      </c>
      <c r="H194" s="8">
        <f t="shared" ca="1" si="93"/>
        <v>30</v>
      </c>
      <c r="I194" s="8" t="str">
        <f t="shared" ca="1" si="90"/>
        <v>164</v>
      </c>
      <c r="J194" s="13">
        <f>IF(繳費報酬率資料!$A$1=1,VALUE(OP!$C$121),VLOOKUP(A194,MP,2,0))</f>
        <v>0.05</v>
      </c>
      <c r="K194" s="14">
        <f ca="1">IF(SUM($K$4:K193,IF(繳費報酬率資料!$A$1=1,$AU194+$AV194,$BB194+$BC194))&gt;OP!$L$58,0,IF(繳費報酬率資料!$A$1=1,$AU194+$AV194,$BB194+$BC194))</f>
        <v>0</v>
      </c>
      <c r="L194" s="2"/>
      <c r="M194" s="2"/>
      <c r="N194" s="2"/>
      <c r="O194" s="261">
        <f t="shared" ca="1" si="94"/>
        <v>0</v>
      </c>
      <c r="P194" s="261">
        <f t="shared" ca="1" si="112"/>
        <v>0</v>
      </c>
      <c r="Q194" s="3">
        <f ca="1">IF(A194&gt;MAX(OP!$R$17:$R$26),0,VLOOKUP(A194,fees,3,FALSE))</f>
        <v>0</v>
      </c>
      <c r="R194" s="200" t="str">
        <f t="shared" ca="1" si="95"/>
        <v/>
      </c>
      <c r="S194" s="9" t="str">
        <f ca="1">IF(COUNTIF(($T$4:T193),"F")&gt;=1,"",IF(OR(C195&lt;&gt;$C$3,E194=""),"",A194))</f>
        <v/>
      </c>
      <c r="T194" s="20" t="str">
        <f t="shared" ca="1" si="127"/>
        <v/>
      </c>
      <c r="U194" s="2">
        <f ca="1">IF(IF(OP!$C$83=1,$Z193,IF(OP!$C$83=2,$AA193,IF(OP!$C$83=3,$AB193,)))+$K194-$O194-$P194-$AS194&lt;OP!$C$142,0,$AS194)</f>
        <v>0</v>
      </c>
      <c r="V194" s="9"/>
      <c r="W194" s="19">
        <f ca="1">MAX(SUM($K$4:K194),0)</f>
        <v>2000000</v>
      </c>
      <c r="X194" s="19"/>
      <c r="Y194" s="19">
        <f t="shared" ca="1" si="113"/>
        <v>1920000</v>
      </c>
      <c r="Z194" s="2">
        <f ca="1">IF(MIN($Z$4:Z193)=0,0,MAX(0,($Z193+$K194-$O194-$P194)*IF(AND(F194="F",$D$3&lt;&gt;$G$3),((1+(-J194))^(H194/MIN(G194,365))),((1+(-J194))^(1/12)))-$U194))</f>
        <v>848663.02213553037</v>
      </c>
      <c r="AA194" s="2">
        <f ca="1">IF(MIN($AA$4:AA193)=0,0,MAX(0,($AA193+$K194-$O194-$P194)*IF(AND(F194="F",$D$3&lt;&gt;$G$3),((1+$AA$1)^(H194/MIN(G194,365))),((1+$AA$1)^(1/12)))-$U194))</f>
        <v>1920000</v>
      </c>
      <c r="AB194" s="2">
        <f ca="1">IF(MIN($AB$4:AB193)=0,0,MAX(0,($AB193+$K194-$O194-$P194)*IF(AND(F194="F",$D$3&lt;&gt;$G$3),((1+(J194))^(H194/MIN(G194,365))),((1+(J194))^(1/12)))-$U194))</f>
        <v>4174113.3551973007</v>
      </c>
      <c r="AC194" s="5"/>
      <c r="AD194" s="5"/>
      <c r="AE194" s="5"/>
      <c r="AF194" s="282">
        <f t="shared" ca="1" si="96"/>
        <v>848663</v>
      </c>
      <c r="AG194" s="282">
        <f t="shared" ca="1" si="97"/>
        <v>1920000</v>
      </c>
      <c r="AH194" s="282">
        <f t="shared" ca="1" si="98"/>
        <v>4174113</v>
      </c>
      <c r="AI194" s="23" t="str">
        <f t="shared" ca="1" si="119"/>
        <v>16-12</v>
      </c>
      <c r="AJ194" s="282">
        <f ca="1">IF(E194&gt;111,,IF(AND(OP!$C$99=1,T194="F"),Z194,IF(AND(OP!$C$99=2,COUNTIF($T$4:T194,"F")=1),OP!$C$97+IF(F194="F",OP!$C$98,0),"")))</f>
        <v>54527</v>
      </c>
      <c r="AK194" s="282">
        <f ca="1">IF(E194&gt;111,,IF(AND(OP!$D$99=1,T194="F"),AA194,IF(AND(OP!$D$99=2,COUNTIF($T$4:T194,"F")=1),OP!$D$97+IF(F194="F",OP!$D$98,0),"")))</f>
        <v>74177</v>
      </c>
      <c r="AL194" s="282">
        <f ca="1">IF(E194&gt;111,,IF(AND(OP!$E$99=1,T194="F"),AB194,IF(AND(OP!$E$99=2,COUNTIF($T$4:T194,"F")=1),OP!$E$97+IF(F194="F",OP!$E$98,0),"")))</f>
        <v>99404</v>
      </c>
      <c r="AM194" s="1">
        <f t="shared" ca="1" si="128"/>
        <v>12</v>
      </c>
      <c r="AN194" s="1" t="str">
        <f ca="1">IF(OR(VLOOKUP($A194,MP,5,0)="月繳"),1,"")</f>
        <v/>
      </c>
      <c r="AO194" s="1">
        <f t="shared" ca="1" si="99"/>
        <v>0</v>
      </c>
      <c r="AP194" s="1" t="str">
        <f ca="1">IF(AND(A194&lt;=OP!$C$120,COUNTIF(PAY,C194)=1),1,"")</f>
        <v/>
      </c>
      <c r="AR194" s="301">
        <f ca="1">IF(繳費報酬率資料!$A$1=1,$AY194+$AZ194,$BF194+$BG194)</f>
        <v>0</v>
      </c>
      <c r="AS194" s="1">
        <f ca="1">IF(C194&lt;&gt;IF($C$3=1,12,$C$3-1),0,IF(繳費報酬率資料!$A$1&lt;&gt;1,VLOOKUP($A194,MP,8,0),IF(AND($A194&gt;=OP!$C$79,$A194&lt;=OP!$C$80),OP!$C$78,)))</f>
        <v>0</v>
      </c>
      <c r="AT194" s="298">
        <f t="shared" ca="1" si="100"/>
        <v>0</v>
      </c>
      <c r="AU194" s="298">
        <f ca="1">IF(AND(A194&lt;=OP!$C$120,COUNTIF(PAY,C194)=1),OP!$C$123,0)</f>
        <v>0</v>
      </c>
      <c r="AV194" s="298">
        <f ca="1">IF(AND(A194&gt;=OP!$C$132,A194&lt;=OP!$C$133,$C$3=C194),OP!$C$135,0)</f>
        <v>0</v>
      </c>
      <c r="AW194" s="180">
        <f t="shared" ca="1" si="101"/>
        <v>0.05</v>
      </c>
      <c r="AX194" s="180">
        <f t="shared" ca="1" si="102"/>
        <v>0.05</v>
      </c>
      <c r="AY194" s="286">
        <f t="shared" ca="1" si="103"/>
        <v>0</v>
      </c>
      <c r="AZ194" s="286">
        <f t="shared" ca="1" si="104"/>
        <v>0</v>
      </c>
      <c r="BA194" s="286">
        <f t="shared" ca="1" si="105"/>
        <v>0</v>
      </c>
      <c r="BB194" s="286">
        <f t="shared" ca="1" si="106"/>
        <v>0</v>
      </c>
      <c r="BC194" s="286">
        <f t="shared" ca="1" si="107"/>
        <v>0</v>
      </c>
      <c r="BD194" s="180">
        <f t="shared" ca="1" si="108"/>
        <v>0.05</v>
      </c>
      <c r="BE194" s="180">
        <f t="shared" ca="1" si="109"/>
        <v>0.05</v>
      </c>
      <c r="BF194" s="286">
        <f t="shared" ca="1" si="110"/>
        <v>0</v>
      </c>
      <c r="BG194" s="286">
        <f t="shared" ca="1" si="111"/>
        <v>0</v>
      </c>
    </row>
    <row r="195" spans="1:59">
      <c r="A195" s="1">
        <f t="shared" ca="1" si="91"/>
        <v>16</v>
      </c>
      <c r="B195" s="1">
        <f t="shared" ca="1" si="124"/>
        <v>122</v>
      </c>
      <c r="C195" s="1">
        <f t="shared" ca="1" si="125"/>
        <v>5</v>
      </c>
      <c r="D195" s="1">
        <f ca="1">MIN($D$3,VLOOKUP(C195,OP!$S$30:$T$41,2))</f>
        <v>2</v>
      </c>
      <c r="E195" s="1">
        <f t="shared" ca="1" si="126"/>
        <v>70</v>
      </c>
      <c r="F195" s="11" t="str">
        <f t="shared" ca="1" si="92"/>
        <v/>
      </c>
      <c r="G195" s="8">
        <f t="shared" ca="1" si="123"/>
        <v>365</v>
      </c>
      <c r="H195" s="8">
        <f t="shared" ca="1" si="93"/>
        <v>31</v>
      </c>
      <c r="I195" s="8" t="str">
        <f t="shared" ca="1" si="90"/>
        <v>165</v>
      </c>
      <c r="J195" s="13">
        <f>IF(繳費報酬率資料!$A$1=1,VALUE(OP!$C$121),VLOOKUP(A195,MP,2,0))</f>
        <v>0.05</v>
      </c>
      <c r="K195" s="14">
        <f ca="1">IF(SUM($K$4:K194,IF(繳費報酬率資料!$A$1=1,$AU195+$AV195,$BB195+$BC195))&gt;OP!$L$58,0,IF(繳費報酬率資料!$A$1=1,$AU195+$AV195,$BB195+$BC195))</f>
        <v>0</v>
      </c>
      <c r="L195" s="2">
        <f ca="1">ROUND(IF(OP!$C$78&lt;(IF(OR($T195="F",$E195&gt;=111),0,Z194+$K195-$O195+IF($C$1=1,OP!$C$78,IF($C196=$C$3,SUM(AC184:AC195,0)))))*5%,0,(OP!$C$78-((IF(OR($T195="F",$E195&gt;=111),0,Z194+$K195-$O195+IF($C$1=1,AC195,IF($C196=$C$3,SUM(AC184:AC195,0)))))*5%))*$Q195),0)</f>
        <v>0</v>
      </c>
      <c r="M195" s="2">
        <f ca="1">ROUND(IF(OP!$C$78&lt;(IF(OR($T195="F",$E195&gt;=111),0,AA194+$K195-$O195+IF($C$1=1,AD195,IF($C196=$C$3,SUM(AD184:AD195,0)))))*5%,0,(OP!$C$78-((IF(OR($T195="F",$E195&gt;=111),0,AA194+$K195-$O195+IF($C$1=1,AD195,IF($C196=$C$3,SUM(AD184:AD195,0)))))*5%))*$Q195),0)</f>
        <v>0</v>
      </c>
      <c r="N195" s="2">
        <f ca="1">ROUND(IF(OP!$C$78&lt;(IF(OR($T195="F",$E195&gt;=111),0,AB194+$K195-$O195+IF($C$1=1,AE195,IF($C196=$C$3,SUM(AE184:AE195,0)))))*5%,0,(OP!$C$78-((IF(OR($T195="F",$E195&gt;=111),0,AB194+$K195-$O195+IF($C$1=1,AE195,IF($C196=$C$3,SUM(AE184:AE195,0)))))*5%))*$Q195),0)</f>
        <v>0</v>
      </c>
      <c r="O195" s="261">
        <f t="shared" ca="1" si="94"/>
        <v>0</v>
      </c>
      <c r="P195" s="261">
        <f t="shared" ca="1" si="112"/>
        <v>0</v>
      </c>
      <c r="Q195" s="3">
        <f ca="1">IF(A195&gt;MAX(OP!$R$17:$R$26),0,VLOOKUP(A195,fees,3,FALSE))</f>
        <v>0</v>
      </c>
      <c r="R195" s="200">
        <f t="shared" ca="1" si="95"/>
        <v>16</v>
      </c>
      <c r="S195" s="9" t="str">
        <f ca="1">IF(COUNTIF(($T$4:T194),"F")&gt;=1,"",IF(OR(C196&lt;&gt;$C$3,E195=""),"",A195))</f>
        <v/>
      </c>
      <c r="T195" s="20" t="str">
        <f t="shared" ca="1" si="127"/>
        <v/>
      </c>
      <c r="U195" s="2">
        <f ca="1">IF(IF(OP!$C$83=1,$Z194,IF(OP!$C$83=2,$AA194,IF(OP!$C$83=3,$AB194,)))+$K195-$O195-$P195-$AS195&lt;OP!$C$142,0,$AS195)</f>
        <v>0</v>
      </c>
      <c r="V195" s="19">
        <f ca="1">SUM(K184:K195)</f>
        <v>0</v>
      </c>
      <c r="W195" s="19">
        <f ca="1">MAX(SUM($K$4:K195),0)</f>
        <v>2000000</v>
      </c>
      <c r="X195" s="19">
        <f ca="1">SUM(O184:P195)</f>
        <v>0</v>
      </c>
      <c r="Y195" s="19">
        <f t="shared" ca="1" si="113"/>
        <v>1920000</v>
      </c>
      <c r="Z195" s="2">
        <f ca="1">IF(MIN($Z$4:Z194)=0,0,MAX(0,($Z194+$K195-$O195-$P195)*IF(AND(F195="F",$D$3&lt;&gt;$G$3),((1+(-J195))^(H195/MIN(G195,365))),((1+(-J195))^(1/12)))-$U195))</f>
        <v>845043.20381139428</v>
      </c>
      <c r="AA195" s="2">
        <f ca="1">IF(MIN($AA$4:AA194)=0,0,MAX(0,($AA194+$K195-$O195-$P195)*IF(AND(F195="F",$D$3&lt;&gt;$G$3),((1+$AA$1)^(H195/MIN(G195,365))),((1+$AA$1)^(1/12)))-$U195))</f>
        <v>1920000</v>
      </c>
      <c r="AB195" s="2">
        <f ca="1">IF(MIN($AB$4:AB194)=0,0,MAX(0,($AB194+$K195-$O195-$P195)*IF(AND(F195="F",$D$3&lt;&gt;$G$3),((1+(J195))^(H195/MIN(G195,365))),((1+(J195))^(1/12)))-$U195))</f>
        <v>4191119.2096933541</v>
      </c>
      <c r="AC195" s="5"/>
      <c r="AD195" s="5"/>
      <c r="AE195" s="5"/>
      <c r="AF195" s="282">
        <f t="shared" ca="1" si="96"/>
        <v>845043</v>
      </c>
      <c r="AG195" s="282">
        <f t="shared" ca="1" si="97"/>
        <v>1920000</v>
      </c>
      <c r="AH195" s="282">
        <f t="shared" ca="1" si="98"/>
        <v>4191119</v>
      </c>
      <c r="AI195" s="23" t="str">
        <f t="shared" ca="1" si="119"/>
        <v>17-1</v>
      </c>
      <c r="AJ195" s="282">
        <f ca="1">IF(E195&gt;111,,IF(AND(OP!$C$99=1,T195="F"),Z195,IF(AND(OP!$C$99=2,COUNTIF($T$4:T195,"F")=1),OP!$C$97+IF(F195="F",OP!$C$98,0),"")))</f>
        <v>54527</v>
      </c>
      <c r="AK195" s="282">
        <f ca="1">IF(E195&gt;111,,IF(AND(OP!$D$99=1,T195="F"),AA195,IF(AND(OP!$D$99=2,COUNTIF($T$4:T195,"F")=1),OP!$D$97+IF(F195="F",OP!$D$98,0),"")))</f>
        <v>74177</v>
      </c>
      <c r="AL195" s="282">
        <f ca="1">IF(E195&gt;111,,IF(AND(OP!$E$99=1,T195="F"),AB195,IF(AND(OP!$E$99=2,COUNTIF($T$4:T195,"F")=1),OP!$E$97+IF(F195="F",OP!$E$98,0),"")))</f>
        <v>99404</v>
      </c>
      <c r="AM195" s="1">
        <f t="shared" ca="1" si="128"/>
        <v>1</v>
      </c>
      <c r="AN195" s="1" t="str">
        <f ca="1">IF(OR(VLOOKUP($A195,MP,5,0)="月繳"),1,"")</f>
        <v/>
      </c>
      <c r="AO195" s="1">
        <f t="shared" ca="1" si="99"/>
        <v>0</v>
      </c>
      <c r="AP195" s="1" t="str">
        <f ca="1">IF(AND(A195&lt;=OP!$C$120,COUNTIF(PAY,C195)=1),1,"")</f>
        <v/>
      </c>
      <c r="AR195" s="301">
        <f ca="1">IF(繳費報酬率資料!$A$1=1,$AY195+$AZ195,$BF195+$BG195)</f>
        <v>0</v>
      </c>
      <c r="AS195" s="1">
        <f ca="1">IF(C195&lt;&gt;IF($C$3=1,12,$C$3-1),0,IF(繳費報酬率資料!$A$1&lt;&gt;1,VLOOKUP($A195,MP,8,0),IF(AND($A195&gt;=OP!$C$79,$A195&lt;=OP!$C$80),OP!$C$78,)))</f>
        <v>0</v>
      </c>
      <c r="AT195" s="298">
        <f t="shared" ca="1" si="100"/>
        <v>0</v>
      </c>
      <c r="AU195" s="298">
        <f ca="1">IF(AND(A195&lt;=OP!$C$120,COUNTIF(PAY,C195)=1),OP!$C$123,0)</f>
        <v>0</v>
      </c>
      <c r="AV195" s="298">
        <f ca="1">IF(AND(A195&gt;=OP!$C$132,A195&lt;=OP!$C$133,$C$3=C195),OP!$C$135,0)</f>
        <v>0</v>
      </c>
      <c r="AW195" s="180">
        <f t="shared" ca="1" si="101"/>
        <v>0.05</v>
      </c>
      <c r="AX195" s="180">
        <f t="shared" ca="1" si="102"/>
        <v>0.05</v>
      </c>
      <c r="AY195" s="286">
        <f t="shared" ca="1" si="103"/>
        <v>0</v>
      </c>
      <c r="AZ195" s="286">
        <f t="shared" ca="1" si="104"/>
        <v>0</v>
      </c>
      <c r="BA195" s="286">
        <f t="shared" ca="1" si="105"/>
        <v>0</v>
      </c>
      <c r="BB195" s="286">
        <f t="shared" ca="1" si="106"/>
        <v>0</v>
      </c>
      <c r="BC195" s="286">
        <f t="shared" ca="1" si="107"/>
        <v>0</v>
      </c>
      <c r="BD195" s="180">
        <f t="shared" ca="1" si="108"/>
        <v>0.05</v>
      </c>
      <c r="BE195" s="180">
        <f t="shared" ca="1" si="109"/>
        <v>0.05</v>
      </c>
      <c r="BF195" s="286">
        <f t="shared" ca="1" si="110"/>
        <v>0</v>
      </c>
      <c r="BG195" s="286">
        <f t="shared" ca="1" si="111"/>
        <v>0</v>
      </c>
    </row>
    <row r="196" spans="1:59">
      <c r="A196" s="1">
        <f t="shared" ca="1" si="91"/>
        <v>17</v>
      </c>
      <c r="B196" s="1">
        <f t="shared" ca="1" si="124"/>
        <v>122</v>
      </c>
      <c r="C196" s="1">
        <f t="shared" ca="1" si="125"/>
        <v>6</v>
      </c>
      <c r="D196" s="1">
        <f ca="1">MIN($D$3,VLOOKUP(C196,OP!$S$30:$T$41,2))</f>
        <v>2</v>
      </c>
      <c r="E196" s="1">
        <f t="shared" ca="1" si="126"/>
        <v>71</v>
      </c>
      <c r="F196" s="11" t="str">
        <f t="shared" ca="1" si="92"/>
        <v/>
      </c>
      <c r="G196" s="6">
        <f ca="1">DATEDIF(DATE(B196+1911,C196,D196),DATE(B208+1911,C208,D208),"d")</f>
        <v>365</v>
      </c>
      <c r="H196" s="8">
        <f t="shared" ca="1" si="93"/>
        <v>30</v>
      </c>
      <c r="I196" s="8" t="str">
        <f t="shared" ref="I196:I259" ca="1" si="129">A196&amp;C196</f>
        <v>176</v>
      </c>
      <c r="J196" s="13">
        <f>IF(繳費報酬率資料!$A$1=1,VALUE(OP!$C$121),VLOOKUP(A196,MP,2,0))</f>
        <v>0.05</v>
      </c>
      <c r="K196" s="14">
        <f ca="1">IF(SUM($K$4:K195,IF(繳費報酬率資料!$A$1=1,$AU196+$AV196,$BB196+$BC196))&gt;OP!$L$58,0,IF(繳費報酬率資料!$A$1=1,$AU196+$AV196,$BB196+$BC196))</f>
        <v>0</v>
      </c>
      <c r="L196" s="2"/>
      <c r="M196" s="2"/>
      <c r="N196" s="2"/>
      <c r="O196" s="261">
        <f t="shared" ca="1" si="94"/>
        <v>0</v>
      </c>
      <c r="P196" s="261">
        <f t="shared" ca="1" si="112"/>
        <v>0</v>
      </c>
      <c r="Q196" s="3">
        <f ca="1">IF(A196&gt;MAX(OP!$R$17:$R$26),0,VLOOKUP(A196,fees,3,FALSE))</f>
        <v>0</v>
      </c>
      <c r="R196" s="200" t="str">
        <f t="shared" ca="1" si="95"/>
        <v/>
      </c>
      <c r="S196" s="9" t="str">
        <f ca="1">IF(COUNTIF(($T$4:T195),"F")&gt;=1,"",IF(OR(C197&lt;&gt;$C$3,E196=""),"",A196))</f>
        <v/>
      </c>
      <c r="T196" s="20" t="str">
        <f t="shared" ca="1" si="127"/>
        <v/>
      </c>
      <c r="U196" s="2">
        <f ca="1">IF(IF(OP!$C$83=1,$Z195,IF(OP!$C$83=2,$AA195,IF(OP!$C$83=3,$AB195,)))+$K196-$O196-$P196-$AS196&lt;OP!$C$142,0,$AS196)</f>
        <v>0</v>
      </c>
      <c r="V196" s="9"/>
      <c r="W196" s="19">
        <f ca="1">MAX(SUM($K$4:K196),0)</f>
        <v>2000000</v>
      </c>
      <c r="X196" s="19"/>
      <c r="Y196" s="19">
        <f t="shared" ca="1" si="113"/>
        <v>1920000</v>
      </c>
      <c r="Z196" s="2">
        <f ca="1">IF(MIN($Z$4:Z195)=0,0,MAX(0,($Z195+$K196-$O196-$P196)*IF(AND(F196="F",$D$3&lt;&gt;$G$3),((1+(-J196))^(H196/MIN(G196,365))),((1+(-J196))^(1/12)))-$U196))</f>
        <v>841438.82516632753</v>
      </c>
      <c r="AA196" s="2">
        <f ca="1">IF(MIN($AA$4:AA195)=0,0,MAX(0,($AA195+$K196-$O196-$P196)*IF(AND(F196="F",$D$3&lt;&gt;$G$3),((1+$AA$1)^(H196/MIN(G196,365))),((1+$AA$1)^(1/12)))-$U196))</f>
        <v>1920000</v>
      </c>
      <c r="AB196" s="2">
        <f ca="1">IF(MIN($AB$4:AB195)=0,0,MAX(0,($AB195+$K196-$O196-$P196)*IF(AND(F196="F",$D$3&lt;&gt;$G$3),((1+(J196))^(H196/MIN(G196,365))),((1+(J196))^(1/12)))-$U196))</f>
        <v>4208194.3481456712</v>
      </c>
      <c r="AC196" s="21"/>
      <c r="AD196" s="21"/>
      <c r="AE196" s="21"/>
      <c r="AF196" s="282">
        <f t="shared" ca="1" si="96"/>
        <v>841439</v>
      </c>
      <c r="AG196" s="282">
        <f t="shared" ca="1" si="97"/>
        <v>1920000</v>
      </c>
      <c r="AH196" s="282">
        <f t="shared" ca="1" si="98"/>
        <v>4208194</v>
      </c>
      <c r="AI196" s="23" t="str">
        <f t="shared" ca="1" si="119"/>
        <v>17-2</v>
      </c>
      <c r="AJ196" s="281">
        <f ca="1">IF(E196&gt;111,,IF(AND(OP!$C$99=1,T196="F"),Z196,IF(AND(OP!$C$99=2,COUNTIF($T$4:T196,"F")=1),OP!$C$97+IF(F196="F",OP!$C$98,0),"")))</f>
        <v>54527</v>
      </c>
      <c r="AK196" s="281">
        <f ca="1">IF(E196&gt;111,,IF(AND(OP!$D$99=1,T196="F"),AA196,IF(AND(OP!$D$99=2,COUNTIF($T$4:T196,"F")=1),OP!$D$97+IF(F196="F",OP!$D$98,0),"")))</f>
        <v>74177</v>
      </c>
      <c r="AL196" s="281">
        <f ca="1">IF(E196&gt;111,,IF(AND(OP!$E$99=1,T196="F"),AB196,IF(AND(OP!$E$99=2,COUNTIF($T$4:T196,"F")=1),OP!$E$97+IF(F196="F",OP!$E$98,0),"")))</f>
        <v>99404</v>
      </c>
      <c r="AM196" s="1">
        <f t="shared" ca="1" si="128"/>
        <v>2</v>
      </c>
      <c r="AN196" s="1">
        <f ca="1">IF(OR(VLOOKUP($A196,MP,5,0)="年繳",VLOOKUP($A196,MP,5,0)="半年繳",VLOOKUP($A196,MP,5,0)="季繳",VLOOKUP($A196,MP,5,0)="月繳"),1,"")</f>
        <v>1</v>
      </c>
      <c r="AO196" s="1">
        <f t="shared" ca="1" si="99"/>
        <v>0</v>
      </c>
      <c r="AP196" s="1" t="str">
        <f ca="1">IF(AND(A196&lt;=OP!$C$120,COUNTIF(PAY,C196)=1),1,"")</f>
        <v/>
      </c>
      <c r="AR196" s="301">
        <f ca="1">IF(繳費報酬率資料!$A$1=1,$AY196+$AZ196,$BF196+$BG196)</f>
        <v>0</v>
      </c>
      <c r="AS196" s="1">
        <f ca="1">IF(C196&lt;&gt;IF($C$3=1,12,$C$3-1),0,IF(繳費報酬率資料!$A$1&lt;&gt;1,VLOOKUP($A196,MP,8,0),IF(AND($A196&gt;=OP!$C$79,$A196&lt;=OP!$C$80),OP!$C$78,)))</f>
        <v>0</v>
      </c>
      <c r="AT196" s="298">
        <f t="shared" ca="1" si="100"/>
        <v>0</v>
      </c>
      <c r="AU196" s="298">
        <f ca="1">IF(AND(A196&lt;=OP!$C$120,COUNTIF(PAY,C196)=1),OP!$C$123,0)</f>
        <v>0</v>
      </c>
      <c r="AV196" s="298">
        <f ca="1">IF(AND(A196&gt;=OP!$C$132,A196&lt;=OP!$C$133,$C$3=C196),OP!$C$135,0)</f>
        <v>0</v>
      </c>
      <c r="AW196" s="180">
        <f t="shared" ca="1" si="101"/>
        <v>0.05</v>
      </c>
      <c r="AX196" s="180">
        <f t="shared" ca="1" si="102"/>
        <v>0.05</v>
      </c>
      <c r="AY196" s="286">
        <f t="shared" ca="1" si="103"/>
        <v>0</v>
      </c>
      <c r="AZ196" s="286">
        <f t="shared" ca="1" si="104"/>
        <v>0</v>
      </c>
      <c r="BA196" s="286">
        <f t="shared" ca="1" si="105"/>
        <v>0</v>
      </c>
      <c r="BB196" s="286">
        <f t="shared" ca="1" si="106"/>
        <v>0</v>
      </c>
      <c r="BC196" s="286">
        <f t="shared" ca="1" si="107"/>
        <v>0</v>
      </c>
      <c r="BD196" s="180">
        <f t="shared" ca="1" si="108"/>
        <v>0.05</v>
      </c>
      <c r="BE196" s="180">
        <f t="shared" ca="1" si="109"/>
        <v>0.05</v>
      </c>
      <c r="BF196" s="286">
        <f t="shared" ca="1" si="110"/>
        <v>0</v>
      </c>
      <c r="BG196" s="286">
        <f t="shared" ca="1" si="111"/>
        <v>0</v>
      </c>
    </row>
    <row r="197" spans="1:59">
      <c r="A197" s="1">
        <f t="shared" ref="A197:A260" ca="1" si="130">IF(C197=$C$4,A196+1,A196)</f>
        <v>17</v>
      </c>
      <c r="B197" s="1">
        <f t="shared" ca="1" si="124"/>
        <v>122</v>
      </c>
      <c r="C197" s="1">
        <f t="shared" ca="1" si="125"/>
        <v>7</v>
      </c>
      <c r="D197" s="1">
        <f ca="1">MIN($D$3,VLOOKUP(C197,OP!$S$30:$T$41,2))</f>
        <v>2</v>
      </c>
      <c r="E197" s="1">
        <f t="shared" ca="1" si="126"/>
        <v>71</v>
      </c>
      <c r="F197" s="11" t="str">
        <f t="shared" ref="F197:F260" ca="1" si="131">IF(AND(DATE($E$3+1911,$F$3,$G$3)&gt;DATE(B197+1911,C197,D197),DATE($E$3+1911,$F$3,$G$3)&lt;=DATE(B198+1911,C198,D198)),"F","")</f>
        <v/>
      </c>
      <c r="G197" s="8">
        <f t="shared" ref="G197:G207" ca="1" si="132">G196</f>
        <v>365</v>
      </c>
      <c r="H197" s="8">
        <f t="shared" ref="H197:H260" ca="1" si="133">DATEDIF(DATE(B197+1911,C197,D197),IF(F197="F",DATE($E$3+1911,$F$3,$G$3),DATE(B198+1911,C198,D198)),"d")</f>
        <v>31</v>
      </c>
      <c r="I197" s="8" t="str">
        <f t="shared" ca="1" si="129"/>
        <v>177</v>
      </c>
      <c r="J197" s="13">
        <f>IF(繳費報酬率資料!$A$1=1,VALUE(OP!$C$121),VLOOKUP(A197,MP,2,0))</f>
        <v>0.05</v>
      </c>
      <c r="K197" s="14">
        <f ca="1">IF(SUM($K$4:K196,IF(繳費報酬率資料!$A$1=1,$AU197+$AV197,$BB197+$BC197))&gt;OP!$L$58,0,IF(繳費報酬率資料!$A$1=1,$AU197+$AV197,$BB197+$BC197))</f>
        <v>0</v>
      </c>
      <c r="L197" s="2"/>
      <c r="M197" s="2"/>
      <c r="N197" s="2"/>
      <c r="O197" s="261">
        <f t="shared" ref="O197:O260" ca="1" si="134">IF(K197=0,0,$AR197)</f>
        <v>0</v>
      </c>
      <c r="P197" s="261">
        <f t="shared" ca="1" si="112"/>
        <v>0</v>
      </c>
      <c r="Q197" s="3">
        <f ca="1">IF(A197&gt;MAX(OP!$R$17:$R$26),0,VLOOKUP(A197,fees,3,FALSE))</f>
        <v>0</v>
      </c>
      <c r="R197" s="200" t="str">
        <f t="shared" ref="R197:R260" ca="1" si="135">IF(OR(C198&lt;&gt;$C$3,E197=""),"",A197)</f>
        <v/>
      </c>
      <c r="S197" s="9" t="str">
        <f ca="1">IF(COUNTIF(($T$4:T196),"F")&gt;=1,"",IF(OR(C198&lt;&gt;$C$3,E197=""),"",A197))</f>
        <v/>
      </c>
      <c r="T197" s="20" t="str">
        <f t="shared" ca="1" si="127"/>
        <v/>
      </c>
      <c r="U197" s="2">
        <f ca="1">IF(IF(OP!$C$83=1,$Z196,IF(OP!$C$83=2,$AA196,IF(OP!$C$83=3,$AB196,)))+$K197-$O197-$P197-$AS197&lt;OP!$C$142,0,$AS197)</f>
        <v>0</v>
      </c>
      <c r="V197" s="9"/>
      <c r="W197" s="19">
        <f ca="1">MAX(SUM($K$4:K197),0)</f>
        <v>2000000</v>
      </c>
      <c r="X197" s="19"/>
      <c r="Y197" s="19">
        <f t="shared" ca="1" si="113"/>
        <v>1920000</v>
      </c>
      <c r="Z197" s="2">
        <f ca="1">IF(MIN($Z$4:Z196)=0,0,MAX(0,($Z196+$K197-$O197-$P197)*IF(AND(F197="F",$D$3&lt;&gt;$G$3),((1+(-J197))^(H197/MIN(G197,365))),((1+(-J197))^(1/12)))-$U197))</f>
        <v>837849.82034517708</v>
      </c>
      <c r="AA197" s="2">
        <f ca="1">IF(MIN($AA$4:AA196)=0,0,MAX(0,($AA196+$K197-$O197-$P197)*IF(AND(F197="F",$D$3&lt;&gt;$G$3),((1+$AA$1)^(H197/MIN(G197,365))),((1+$AA$1)^(1/12)))-$U197))</f>
        <v>1920000</v>
      </c>
      <c r="AB197" s="2">
        <f ca="1">IF(MIN($AB$4:AB196)=0,0,MAX(0,($AB196+$K197-$O197-$P197)*IF(AND(F197="F",$D$3&lt;&gt;$G$3),((1+(J197))^(H197/MIN(G197,365))),((1+(J197))^(1/12)))-$U197))</f>
        <v>4225339.052825666</v>
      </c>
      <c r="AC197" s="5"/>
      <c r="AD197" s="5"/>
      <c r="AE197" s="5"/>
      <c r="AF197" s="282">
        <f t="shared" ref="AF197:AF260" ca="1" si="136">ROUND(Z197*(1-$Q197),$AF$1)</f>
        <v>837850</v>
      </c>
      <c r="AG197" s="282">
        <f t="shared" ref="AG197:AG260" ca="1" si="137">ROUND(AA197*(1-$Q197),$AF$1)</f>
        <v>1920000</v>
      </c>
      <c r="AH197" s="282">
        <f t="shared" ref="AH197:AH260" ca="1" si="138">ROUND(AB197*(1-$Q197),$AF$1)</f>
        <v>4225339</v>
      </c>
      <c r="AI197" s="23" t="str">
        <f t="shared" ca="1" si="119"/>
        <v>17-3</v>
      </c>
      <c r="AJ197" s="282">
        <f ca="1">IF(E197&gt;111,,IF(AND(OP!$C$99=1,T197="F"),Z197,IF(AND(OP!$C$99=2,COUNTIF($T$4:T197,"F")=1),OP!$C$97+IF(F197="F",OP!$C$98,0),"")))</f>
        <v>54527</v>
      </c>
      <c r="AK197" s="282">
        <f ca="1">IF(E197&gt;111,,IF(AND(OP!$D$99=1,T197="F"),AA197,IF(AND(OP!$D$99=2,COUNTIF($T$4:T197,"F")=1),OP!$D$97+IF(F197="F",OP!$D$98,0),"")))</f>
        <v>74177</v>
      </c>
      <c r="AL197" s="282">
        <f ca="1">IF(E197&gt;111,,IF(AND(OP!$E$99=1,T197="F"),AB197,IF(AND(OP!$E$99=2,COUNTIF($T$4:T197,"F")=1),OP!$E$97+IF(F197="F",OP!$E$98,0),"")))</f>
        <v>99404</v>
      </c>
      <c r="AM197" s="1">
        <f t="shared" ca="1" si="128"/>
        <v>3</v>
      </c>
      <c r="AN197" s="1" t="str">
        <f ca="1">IF(OR(VLOOKUP($A197,MP,5,0)="月繳"),1,"")</f>
        <v/>
      </c>
      <c r="AO197" s="1">
        <f t="shared" ref="AO197:AO260" ca="1" si="139">IF(ISNA(VLOOKUP(A197,MP,2,0)),,IF(C197=$C$3,ROUND(VLOOKUP(A197,MP,4,0),0),0)+IF(AN197=1,ROUND(VLOOKUP(A197,MP,6,0),0),0))</f>
        <v>0</v>
      </c>
      <c r="AP197" s="1" t="str">
        <f ca="1">IF(AND(A197&lt;=OP!$C$120,COUNTIF(PAY,C197)=1),1,"")</f>
        <v/>
      </c>
      <c r="AR197" s="301">
        <f ca="1">IF(繳費報酬率資料!$A$1=1,$AY197+$AZ197,$BF197+$BG197)</f>
        <v>0</v>
      </c>
      <c r="AS197" s="1">
        <f ca="1">IF(C197&lt;&gt;IF($C$3=1,12,$C$3-1),0,IF(繳費報酬率資料!$A$1&lt;&gt;1,VLOOKUP($A197,MP,8,0),IF(AND($A197&gt;=OP!$C$79,$A197&lt;=OP!$C$80),OP!$C$78,)))</f>
        <v>0</v>
      </c>
      <c r="AT197" s="298">
        <f t="shared" ref="AT197:AT260" ca="1" si="140">AU197+AV197</f>
        <v>0</v>
      </c>
      <c r="AU197" s="298">
        <f ca="1">IF(AND(A197&lt;=OP!$C$120,COUNTIF(PAY,C197)=1),OP!$C$123,0)</f>
        <v>0</v>
      </c>
      <c r="AV197" s="298">
        <f ca="1">IF(AND(A197&gt;=OP!$C$132,A197&lt;=OP!$C$133,$C$3=C197),OP!$C$135,0)</f>
        <v>0</v>
      </c>
      <c r="AW197" s="180">
        <f t="shared" ref="AW197:AW260" ca="1" si="141">HLOOKUP(IF($AU197&lt;$AY$1,1,IF(AND($AU197&gt;=$AY$1,$AU197&lt;$AZ$1),2,IF(AND($AU197&gt;=$AZ$1,$AU197&lt;$BA$1),3,IF(AND($AU197&gt;=$BA$1),4,1)))),PR,2,0)</f>
        <v>0.05</v>
      </c>
      <c r="AX197" s="180">
        <f t="shared" ref="AX197:AX260" ca="1" si="142">HLOOKUP(IF($AV197&lt;$AY$1,1,IF(AND($AV197&gt;=$AY$1,$AV197&lt;$AZ$1),2,IF(AND($AV197&gt;=$AZ$1,$AV197&lt;$BA$1),3,IF(AND($AV197&gt;=$BA$1),4,1)))),PR,2,0)</f>
        <v>0.05</v>
      </c>
      <c r="AY197" s="286">
        <f t="shared" ref="AY197:AY260" ca="1" si="143">ROUND(AU197*AW197,0)</f>
        <v>0</v>
      </c>
      <c r="AZ197" s="286">
        <f t="shared" ref="AZ197:AZ260" ca="1" si="144">ROUND(AV197*AX197,0)</f>
        <v>0</v>
      </c>
      <c r="BA197" s="286">
        <f t="shared" ref="BA197:BA260" ca="1" si="145">BB197+BC197</f>
        <v>0</v>
      </c>
      <c r="BB197" s="286">
        <f t="shared" ref="BB197:BB260" ca="1" si="146">IF(ISNA(VLOOKUP(A197,MP,2,0)),,IF(C197=$C$3,ROUND(VLOOKUP(A197,MP,6,0),0),0))</f>
        <v>0</v>
      </c>
      <c r="BC197" s="286">
        <f t="shared" ref="BC197:BC260" ca="1" si="147">IF(ISNA(VLOOKUP(A197,MP,4,0)),,IF(AND(C197=$C$3,AN197=1),ROUND(VLOOKUP(A197,MP,4,0),0),0))</f>
        <v>0</v>
      </c>
      <c r="BD197" s="180">
        <f t="shared" ref="BD197:BD260" ca="1" si="148">HLOOKUP(IF($BB197&lt;$AY$1,1,IF(AND($BB197&gt;=$AY$1,$BB197&lt;$AZ$1),2,IF(AND($BB197&gt;=$AZ$1,$BB197&lt;$BA$1),3,IF(AND($BB197&gt;=$BA$1),4,1)))),PR,2,0)</f>
        <v>0.05</v>
      </c>
      <c r="BE197" s="180">
        <f t="shared" ref="BE197:BE260" ca="1" si="149">HLOOKUP(IF($BC197&lt;$AY$1,1,IF(AND($BC197&gt;=$AY$1,$BC197&lt;$AZ$1),2,IF(AND($BC197&gt;=$AZ$1,$BC197&lt;$BA$1),3,IF(AND($BC197&gt;=$BA$1),4,1)))),PR,2,0)</f>
        <v>0.05</v>
      </c>
      <c r="BF197" s="286">
        <f t="shared" ref="BF197:BF260" ca="1" si="150">ROUND(BB197*BD197,0)</f>
        <v>0</v>
      </c>
      <c r="BG197" s="286">
        <f t="shared" ref="BG197:BG260" ca="1" si="151">ROUND(BC197*BE197,0)</f>
        <v>0</v>
      </c>
    </row>
    <row r="198" spans="1:59">
      <c r="A198" s="1">
        <f t="shared" ca="1" si="130"/>
        <v>17</v>
      </c>
      <c r="B198" s="1">
        <f t="shared" ca="1" si="124"/>
        <v>122</v>
      </c>
      <c r="C198" s="1">
        <f t="shared" ca="1" si="125"/>
        <v>8</v>
      </c>
      <c r="D198" s="1">
        <f ca="1">MIN($D$3,VLOOKUP(C198,OP!$S$30:$T$41,2))</f>
        <v>2</v>
      </c>
      <c r="E198" s="1">
        <f t="shared" ca="1" si="126"/>
        <v>71</v>
      </c>
      <c r="F198" s="11" t="str">
        <f t="shared" ca="1" si="131"/>
        <v/>
      </c>
      <c r="G198" s="8">
        <f t="shared" ca="1" si="132"/>
        <v>365</v>
      </c>
      <c r="H198" s="8">
        <f t="shared" ca="1" si="133"/>
        <v>31</v>
      </c>
      <c r="I198" s="8" t="str">
        <f t="shared" ca="1" si="129"/>
        <v>178</v>
      </c>
      <c r="J198" s="13">
        <f>IF(繳費報酬率資料!$A$1=1,VALUE(OP!$C$121),VLOOKUP(A198,MP,2,0))</f>
        <v>0.05</v>
      </c>
      <c r="K198" s="14">
        <f ca="1">IF(SUM($K$4:K197,IF(繳費報酬率資料!$A$1=1,$AU198+$AV198,$BB198+$BC198))&gt;OP!$L$58,0,IF(繳費報酬率資料!$A$1=1,$AU198+$AV198,$BB198+$BC198))</f>
        <v>0</v>
      </c>
      <c r="L198" s="2"/>
      <c r="M198" s="2"/>
      <c r="N198" s="2"/>
      <c r="O198" s="261">
        <f t="shared" ca="1" si="134"/>
        <v>0</v>
      </c>
      <c r="P198" s="261">
        <f t="shared" ref="P198:P261" ca="1" si="152">IF(MAX(Z197:AB197)=0,0,P197)</f>
        <v>0</v>
      </c>
      <c r="Q198" s="3">
        <f ca="1">IF(A198&gt;MAX(OP!$R$17:$R$26),0,VLOOKUP(A198,fees,3,FALSE))</f>
        <v>0</v>
      </c>
      <c r="R198" s="200" t="str">
        <f t="shared" ca="1" si="135"/>
        <v/>
      </c>
      <c r="S198" s="9" t="str">
        <f ca="1">IF(COUNTIF(($T$4:T197),"F")&gt;=1,"",IF(OR(C199&lt;&gt;$C$3,E198=""),"",A198))</f>
        <v/>
      </c>
      <c r="T198" s="20" t="str">
        <f t="shared" ca="1" si="127"/>
        <v/>
      </c>
      <c r="U198" s="2">
        <f ca="1">IF(IF(OP!$C$83=1,$Z197,IF(OP!$C$83=2,$AA197,IF(OP!$C$83=3,$AB197,)))+$K198-$O198-$P198-$AS198&lt;OP!$C$142,0,$AS198)</f>
        <v>0</v>
      </c>
      <c r="V198" s="9"/>
      <c r="W198" s="19">
        <f ca="1">MAX(SUM($K$4:K198),0)</f>
        <v>2000000</v>
      </c>
      <c r="X198" s="19"/>
      <c r="Y198" s="19">
        <f t="shared" ref="Y198:Y261" ca="1" si="153">Y197+K198-O198</f>
        <v>1920000</v>
      </c>
      <c r="Z198" s="2">
        <f ca="1">IF(MIN($Z$4:Z197)=0,0,MAX(0,($Z197+$K198-$O198-$P198)*IF(AND(F198="F",$D$3&lt;&gt;$G$3),((1+(-J198))^(H198/MIN(G198,365))),((1+(-J198))^(1/12)))-$U198))</f>
        <v>834276.12377368298</v>
      </c>
      <c r="AA198" s="2">
        <f ca="1">IF(MIN($AA$4:AA197)=0,0,MAX(0,($AA197+$K198-$O198-$P198)*IF(AND(F198="F",$D$3&lt;&gt;$G$3),((1+$AA$1)^(H198/MIN(G198,365))),((1+$AA$1)^(1/12)))-$U198))</f>
        <v>1920000</v>
      </c>
      <c r="AB198" s="2">
        <f ca="1">IF(MIN($AB$4:AB197)=0,0,MAX(0,($AB197+$K198-$O198-$P198)*IF(AND(F198="F",$D$3&lt;&gt;$G$3),((1+(J198))^(H198/MIN(G198,365))),((1+(J198))^(1/12)))-$U198))</f>
        <v>4242553.6071547614</v>
      </c>
      <c r="AC198" s="5"/>
      <c r="AD198" s="5"/>
      <c r="AE198" s="5"/>
      <c r="AF198" s="282">
        <f t="shared" ca="1" si="136"/>
        <v>834276</v>
      </c>
      <c r="AG198" s="282">
        <f t="shared" ca="1" si="137"/>
        <v>1920000</v>
      </c>
      <c r="AH198" s="282">
        <f t="shared" ca="1" si="138"/>
        <v>4242554</v>
      </c>
      <c r="AI198" s="23" t="str">
        <f t="shared" ca="1" si="119"/>
        <v>17-4</v>
      </c>
      <c r="AJ198" s="282">
        <f ca="1">IF(E198&gt;111,,IF(AND(OP!$C$99=1,T198="F"),Z198,IF(AND(OP!$C$99=2,COUNTIF($T$4:T198,"F")=1),OP!$C$97+IF(F198="F",OP!$C$98,0),"")))</f>
        <v>54527</v>
      </c>
      <c r="AK198" s="282">
        <f ca="1">IF(E198&gt;111,,IF(AND(OP!$D$99=1,T198="F"),AA198,IF(AND(OP!$D$99=2,COUNTIF($T$4:T198,"F")=1),OP!$D$97+IF(F198="F",OP!$D$98,0),"")))</f>
        <v>74177</v>
      </c>
      <c r="AL198" s="282">
        <f ca="1">IF(E198&gt;111,,IF(AND(OP!$E$99=1,T198="F"),AB198,IF(AND(OP!$E$99=2,COUNTIF($T$4:T198,"F")=1),OP!$E$97+IF(F198="F",OP!$E$98,0),"")))</f>
        <v>99404</v>
      </c>
      <c r="AM198" s="1">
        <f t="shared" ca="1" si="128"/>
        <v>4</v>
      </c>
      <c r="AN198" s="1" t="str">
        <f ca="1">IF(OR(VLOOKUP($A198,MP,5,0)="月繳"),1,"")</f>
        <v/>
      </c>
      <c r="AO198" s="1">
        <f t="shared" ca="1" si="139"/>
        <v>0</v>
      </c>
      <c r="AP198" s="1" t="str">
        <f ca="1">IF(AND(A198&lt;=OP!$C$120,COUNTIF(PAY,C198)=1),1,"")</f>
        <v/>
      </c>
      <c r="AR198" s="301">
        <f ca="1">IF(繳費報酬率資料!$A$1=1,$AY198+$AZ198,$BF198+$BG198)</f>
        <v>0</v>
      </c>
      <c r="AS198" s="1">
        <f ca="1">IF(C198&lt;&gt;IF($C$3=1,12,$C$3-1),0,IF(繳費報酬率資料!$A$1&lt;&gt;1,VLOOKUP($A198,MP,8,0),IF(AND($A198&gt;=OP!$C$79,$A198&lt;=OP!$C$80),OP!$C$78,)))</f>
        <v>0</v>
      </c>
      <c r="AT198" s="298">
        <f t="shared" ca="1" si="140"/>
        <v>0</v>
      </c>
      <c r="AU198" s="298">
        <f ca="1">IF(AND(A198&lt;=OP!$C$120,COUNTIF(PAY,C198)=1),OP!$C$123,0)</f>
        <v>0</v>
      </c>
      <c r="AV198" s="298">
        <f ca="1">IF(AND(A198&gt;=OP!$C$132,A198&lt;=OP!$C$133,$C$3=C198),OP!$C$135,0)</f>
        <v>0</v>
      </c>
      <c r="AW198" s="180">
        <f t="shared" ca="1" si="141"/>
        <v>0.05</v>
      </c>
      <c r="AX198" s="180">
        <f t="shared" ca="1" si="142"/>
        <v>0.05</v>
      </c>
      <c r="AY198" s="286">
        <f t="shared" ca="1" si="143"/>
        <v>0</v>
      </c>
      <c r="AZ198" s="286">
        <f t="shared" ca="1" si="144"/>
        <v>0</v>
      </c>
      <c r="BA198" s="286">
        <f t="shared" ca="1" si="145"/>
        <v>0</v>
      </c>
      <c r="BB198" s="286">
        <f t="shared" ca="1" si="146"/>
        <v>0</v>
      </c>
      <c r="BC198" s="286">
        <f t="shared" ca="1" si="147"/>
        <v>0</v>
      </c>
      <c r="BD198" s="180">
        <f t="shared" ca="1" si="148"/>
        <v>0.05</v>
      </c>
      <c r="BE198" s="180">
        <f t="shared" ca="1" si="149"/>
        <v>0.05</v>
      </c>
      <c r="BF198" s="286">
        <f t="shared" ca="1" si="150"/>
        <v>0</v>
      </c>
      <c r="BG198" s="286">
        <f t="shared" ca="1" si="151"/>
        <v>0</v>
      </c>
    </row>
    <row r="199" spans="1:59">
      <c r="A199" s="1">
        <f t="shared" ca="1" si="130"/>
        <v>17</v>
      </c>
      <c r="B199" s="1">
        <f t="shared" ca="1" si="124"/>
        <v>122</v>
      </c>
      <c r="C199" s="1">
        <f t="shared" ca="1" si="125"/>
        <v>9</v>
      </c>
      <c r="D199" s="1">
        <f ca="1">MIN($D$3,VLOOKUP(C199,OP!$S$30:$T$41,2))</f>
        <v>2</v>
      </c>
      <c r="E199" s="1">
        <f t="shared" ca="1" si="126"/>
        <v>71</v>
      </c>
      <c r="F199" s="11" t="str">
        <f t="shared" ca="1" si="131"/>
        <v/>
      </c>
      <c r="G199" s="8">
        <f t="shared" ca="1" si="132"/>
        <v>365</v>
      </c>
      <c r="H199" s="8">
        <f t="shared" ca="1" si="133"/>
        <v>30</v>
      </c>
      <c r="I199" s="8" t="str">
        <f t="shared" ca="1" si="129"/>
        <v>179</v>
      </c>
      <c r="J199" s="13">
        <f>IF(繳費報酬率資料!$A$1=1,VALUE(OP!$C$121),VLOOKUP(A199,MP,2,0))</f>
        <v>0.05</v>
      </c>
      <c r="K199" s="14">
        <f ca="1">IF(SUM($K$4:K198,IF(繳費報酬率資料!$A$1=1,$AU199+$AV199,$BB199+$BC199))&gt;OP!$L$58,0,IF(繳費報酬率資料!$A$1=1,$AU199+$AV199,$BB199+$BC199))</f>
        <v>0</v>
      </c>
      <c r="L199" s="2"/>
      <c r="M199" s="2"/>
      <c r="N199" s="2"/>
      <c r="O199" s="261">
        <f t="shared" ca="1" si="134"/>
        <v>0</v>
      </c>
      <c r="P199" s="261">
        <f t="shared" ca="1" si="152"/>
        <v>0</v>
      </c>
      <c r="Q199" s="3">
        <f ca="1">IF(A199&gt;MAX(OP!$R$17:$R$26),0,VLOOKUP(A199,fees,3,FALSE))</f>
        <v>0</v>
      </c>
      <c r="R199" s="200" t="str">
        <f t="shared" ca="1" si="135"/>
        <v/>
      </c>
      <c r="S199" s="9" t="str">
        <f ca="1">IF(COUNTIF(($T$4:T198),"F")&gt;=1,"",IF(OR(C200&lt;&gt;$C$3,E199=""),"",A199))</f>
        <v/>
      </c>
      <c r="T199" s="20" t="str">
        <f t="shared" ca="1" si="127"/>
        <v/>
      </c>
      <c r="U199" s="2">
        <f ca="1">IF(IF(OP!$C$83=1,$Z198,IF(OP!$C$83=2,$AA198,IF(OP!$C$83=3,$AB198,)))+$K199-$O199-$P199-$AS199&lt;OP!$C$142,0,$AS199)</f>
        <v>0</v>
      </c>
      <c r="V199" s="9"/>
      <c r="W199" s="19">
        <f ca="1">MAX(SUM($K$4:K199),0)</f>
        <v>2000000</v>
      </c>
      <c r="X199" s="19"/>
      <c r="Y199" s="19">
        <f t="shared" ca="1" si="153"/>
        <v>1920000</v>
      </c>
      <c r="Z199" s="2">
        <f ca="1">IF(MIN($Z$4:Z198)=0,0,MAX(0,($Z198+$K199-$O199-$P199)*IF(AND(F199="F",$D$3&lt;&gt;$G$3),((1+(-J199))^(H199/MIN(G199,365))),((1+(-J199))^(1/12)))-$U199))</f>
        <v>830717.67015728063</v>
      </c>
      <c r="AA199" s="2">
        <f ca="1">IF(MIN($AA$4:AA198)=0,0,MAX(0,($AA198+$K199-$O199-$P199)*IF(AND(F199="F",$D$3&lt;&gt;$G$3),((1+$AA$1)^(H199/MIN(G199,365))),((1+$AA$1)^(1/12)))-$U199))</f>
        <v>1920000</v>
      </c>
      <c r="AB199" s="2">
        <f ca="1">IF(MIN($AB$4:AB198)=0,0,MAX(0,($AB198+$K199-$O199-$P199)*IF(AND(F199="F",$D$3&lt;&gt;$G$3),((1+(J199))^(H199/MIN(G199,365))),((1+(J199))^(1/12)))-$U199))</f>
        <v>4259838.2957090735</v>
      </c>
      <c r="AC199" s="5"/>
      <c r="AD199" s="5"/>
      <c r="AE199" s="5"/>
      <c r="AF199" s="282">
        <f t="shared" ca="1" si="136"/>
        <v>830718</v>
      </c>
      <c r="AG199" s="282">
        <f t="shared" ca="1" si="137"/>
        <v>1920000</v>
      </c>
      <c r="AH199" s="282">
        <f t="shared" ca="1" si="138"/>
        <v>4259838</v>
      </c>
      <c r="AI199" s="23" t="str">
        <f t="shared" ca="1" si="119"/>
        <v>17-5</v>
      </c>
      <c r="AJ199" s="282">
        <f ca="1">IF(E199&gt;111,,IF(AND(OP!$C$99=1,T199="F"),Z199,IF(AND(OP!$C$99=2,COUNTIF($T$4:T199,"F")=1),OP!$C$97+IF(F199="F",OP!$C$98,0),"")))</f>
        <v>54527</v>
      </c>
      <c r="AK199" s="282">
        <f ca="1">IF(E199&gt;111,,IF(AND(OP!$D$99=1,T199="F"),AA199,IF(AND(OP!$D$99=2,COUNTIF($T$4:T199,"F")=1),OP!$D$97+IF(F199="F",OP!$D$98,0),"")))</f>
        <v>74177</v>
      </c>
      <c r="AL199" s="282">
        <f ca="1">IF(E199&gt;111,,IF(AND(OP!$E$99=1,T199="F"),AB199,IF(AND(OP!$E$99=2,COUNTIF($T$4:T199,"F")=1),OP!$E$97+IF(F199="F",OP!$E$98,0),"")))</f>
        <v>99404</v>
      </c>
      <c r="AM199" s="1">
        <f t="shared" ca="1" si="128"/>
        <v>5</v>
      </c>
      <c r="AN199" s="1" t="str">
        <f ca="1">IF(OR(VLOOKUP($A199,MP,5,0)="季繳",VLOOKUP($A199,MP,5,0)="月繳"),1,"")</f>
        <v/>
      </c>
      <c r="AO199" s="1">
        <f t="shared" ca="1" si="139"/>
        <v>0</v>
      </c>
      <c r="AP199" s="1" t="str">
        <f ca="1">IF(AND(A199&lt;=OP!$C$120,COUNTIF(PAY,C199)=1),1,"")</f>
        <v/>
      </c>
      <c r="AR199" s="301">
        <f ca="1">IF(繳費報酬率資料!$A$1=1,$AY199+$AZ199,$BF199+$BG199)</f>
        <v>0</v>
      </c>
      <c r="AS199" s="1">
        <f ca="1">IF(C199&lt;&gt;IF($C$3=1,12,$C$3-1),0,IF(繳費報酬率資料!$A$1&lt;&gt;1,VLOOKUP($A199,MP,8,0),IF(AND($A199&gt;=OP!$C$79,$A199&lt;=OP!$C$80),OP!$C$78,)))</f>
        <v>0</v>
      </c>
      <c r="AT199" s="298">
        <f t="shared" ca="1" si="140"/>
        <v>0</v>
      </c>
      <c r="AU199" s="298">
        <f ca="1">IF(AND(A199&lt;=OP!$C$120,COUNTIF(PAY,C199)=1),OP!$C$123,0)</f>
        <v>0</v>
      </c>
      <c r="AV199" s="298">
        <f ca="1">IF(AND(A199&gt;=OP!$C$132,A199&lt;=OP!$C$133,$C$3=C199),OP!$C$135,0)</f>
        <v>0</v>
      </c>
      <c r="AW199" s="180">
        <f t="shared" ca="1" si="141"/>
        <v>0.05</v>
      </c>
      <c r="AX199" s="180">
        <f t="shared" ca="1" si="142"/>
        <v>0.05</v>
      </c>
      <c r="AY199" s="286">
        <f t="shared" ca="1" si="143"/>
        <v>0</v>
      </c>
      <c r="AZ199" s="286">
        <f t="shared" ca="1" si="144"/>
        <v>0</v>
      </c>
      <c r="BA199" s="286">
        <f t="shared" ca="1" si="145"/>
        <v>0</v>
      </c>
      <c r="BB199" s="286">
        <f t="shared" ca="1" si="146"/>
        <v>0</v>
      </c>
      <c r="BC199" s="286">
        <f t="shared" ca="1" si="147"/>
        <v>0</v>
      </c>
      <c r="BD199" s="180">
        <f t="shared" ca="1" si="148"/>
        <v>0.05</v>
      </c>
      <c r="BE199" s="180">
        <f t="shared" ca="1" si="149"/>
        <v>0.05</v>
      </c>
      <c r="BF199" s="286">
        <f t="shared" ca="1" si="150"/>
        <v>0</v>
      </c>
      <c r="BG199" s="286">
        <f t="shared" ca="1" si="151"/>
        <v>0</v>
      </c>
    </row>
    <row r="200" spans="1:59">
      <c r="A200" s="1">
        <f t="shared" ca="1" si="130"/>
        <v>17</v>
      </c>
      <c r="B200" s="1">
        <f t="shared" ca="1" si="124"/>
        <v>122</v>
      </c>
      <c r="C200" s="1">
        <f t="shared" ca="1" si="125"/>
        <v>10</v>
      </c>
      <c r="D200" s="1">
        <f ca="1">MIN($D$3,VLOOKUP(C200,OP!$S$30:$T$41,2))</f>
        <v>2</v>
      </c>
      <c r="E200" s="1">
        <f t="shared" ca="1" si="126"/>
        <v>71</v>
      </c>
      <c r="F200" s="11" t="str">
        <f t="shared" ca="1" si="131"/>
        <v/>
      </c>
      <c r="G200" s="8">
        <f t="shared" ca="1" si="132"/>
        <v>365</v>
      </c>
      <c r="H200" s="8">
        <f t="shared" ca="1" si="133"/>
        <v>31</v>
      </c>
      <c r="I200" s="8" t="str">
        <f t="shared" ca="1" si="129"/>
        <v>1710</v>
      </c>
      <c r="J200" s="13">
        <f>IF(繳費報酬率資料!$A$1=1,VALUE(OP!$C$121),VLOOKUP(A200,MP,2,0))</f>
        <v>0.05</v>
      </c>
      <c r="K200" s="14">
        <f ca="1">IF(SUM($K$4:K199,IF(繳費報酬率資料!$A$1=1,$AU200+$AV200,$BB200+$BC200))&gt;OP!$L$58,0,IF(繳費報酬率資料!$A$1=1,$AU200+$AV200,$BB200+$BC200))</f>
        <v>0</v>
      </c>
      <c r="L200" s="2"/>
      <c r="M200" s="2"/>
      <c r="N200" s="2"/>
      <c r="O200" s="261">
        <f t="shared" ca="1" si="134"/>
        <v>0</v>
      </c>
      <c r="P200" s="261">
        <f t="shared" ca="1" si="152"/>
        <v>0</v>
      </c>
      <c r="Q200" s="3">
        <f ca="1">IF(A200&gt;MAX(OP!$R$17:$R$26),0,VLOOKUP(A200,fees,3,FALSE))</f>
        <v>0</v>
      </c>
      <c r="R200" s="200" t="str">
        <f t="shared" ca="1" si="135"/>
        <v/>
      </c>
      <c r="S200" s="9" t="str">
        <f ca="1">IF(COUNTIF(($T$4:T199),"F")&gt;=1,"",IF(OR(C201&lt;&gt;$C$3,E200=""),"",A200))</f>
        <v/>
      </c>
      <c r="T200" s="20" t="str">
        <f t="shared" ca="1" si="127"/>
        <v/>
      </c>
      <c r="U200" s="2">
        <f ca="1">IF(IF(OP!$C$83=1,$Z199,IF(OP!$C$83=2,$AA199,IF(OP!$C$83=3,$AB199,)))+$K200-$O200-$P200-$AS200&lt;OP!$C$142,0,$AS200)</f>
        <v>0</v>
      </c>
      <c r="V200" s="9"/>
      <c r="W200" s="19">
        <f ca="1">MAX(SUM($K$4:K200),0)</f>
        <v>2000000</v>
      </c>
      <c r="X200" s="19"/>
      <c r="Y200" s="19">
        <f t="shared" ca="1" si="153"/>
        <v>1920000</v>
      </c>
      <c r="Z200" s="2">
        <f ca="1">IF(MIN($Z$4:Z199)=0,0,MAX(0,($Z199+$K200-$O200-$P200)*IF(AND(F200="F",$D$3&lt;&gt;$G$3),((1+(-J200))^(H200/MIN(G200,365))),((1+(-J200))^(1/12)))-$U200))</f>
        <v>827174.39447990735</v>
      </c>
      <c r="AA200" s="2">
        <f ca="1">IF(MIN($AA$4:AA199)=0,0,MAX(0,($AA199+$K200-$O200-$P200)*IF(AND(F200="F",$D$3&lt;&gt;$G$3),((1+$AA$1)^(H200/MIN(G200,365))),((1+$AA$1)^(1/12)))-$U200))</f>
        <v>1920000</v>
      </c>
      <c r="AB200" s="2">
        <f ca="1">IF(MIN($AB$4:AB199)=0,0,MAX(0,($AB199+$K200-$O200-$P200)*IF(AND(F200="F",$D$3&lt;&gt;$G$3),((1+(J200))^(H200/MIN(G200,365))),((1+(J200))^(1/12)))-$U200))</f>
        <v>4277193.4042241182</v>
      </c>
      <c r="AC200" s="5"/>
      <c r="AD200" s="5"/>
      <c r="AE200" s="5"/>
      <c r="AF200" s="282">
        <f t="shared" ca="1" si="136"/>
        <v>827174</v>
      </c>
      <c r="AG200" s="282">
        <f t="shared" ca="1" si="137"/>
        <v>1920000</v>
      </c>
      <c r="AH200" s="282">
        <f t="shared" ca="1" si="138"/>
        <v>4277193</v>
      </c>
      <c r="AI200" s="23" t="str">
        <f t="shared" ca="1" si="119"/>
        <v>17-6</v>
      </c>
      <c r="AJ200" s="282">
        <f ca="1">IF(E200&gt;111,,IF(AND(OP!$C$99=1,T200="F"),Z200,IF(AND(OP!$C$99=2,COUNTIF($T$4:T200,"F")=1),OP!$C$97+IF(F200="F",OP!$C$98,0),"")))</f>
        <v>54527</v>
      </c>
      <c r="AK200" s="282">
        <f ca="1">IF(E200&gt;111,,IF(AND(OP!$D$99=1,T200="F"),AA200,IF(AND(OP!$D$99=2,COUNTIF($T$4:T200,"F")=1),OP!$D$97+IF(F200="F",OP!$D$98,0),"")))</f>
        <v>74177</v>
      </c>
      <c r="AL200" s="282">
        <f ca="1">IF(E200&gt;111,,IF(AND(OP!$E$99=1,T200="F"),AB200,IF(AND(OP!$E$99=2,COUNTIF($T$4:T200,"F")=1),OP!$E$97+IF(F200="F",OP!$E$98,0),"")))</f>
        <v>99404</v>
      </c>
      <c r="AM200" s="1">
        <f t="shared" ca="1" si="128"/>
        <v>6</v>
      </c>
      <c r="AN200" s="1" t="str">
        <f ca="1">IF(OR(VLOOKUP($A200,MP,5,0)="月繳"),1,"")</f>
        <v/>
      </c>
      <c r="AO200" s="1">
        <f t="shared" ca="1" si="139"/>
        <v>0</v>
      </c>
      <c r="AP200" s="1" t="str">
        <f ca="1">IF(AND(A200&lt;=OP!$C$120,COUNTIF(PAY,C200)=1),1,"")</f>
        <v/>
      </c>
      <c r="AR200" s="301">
        <f ca="1">IF(繳費報酬率資料!$A$1=1,$AY200+$AZ200,$BF200+$BG200)</f>
        <v>0</v>
      </c>
      <c r="AS200" s="1">
        <f ca="1">IF(C200&lt;&gt;IF($C$3=1,12,$C$3-1),0,IF(繳費報酬率資料!$A$1&lt;&gt;1,VLOOKUP($A200,MP,8,0),IF(AND($A200&gt;=OP!$C$79,$A200&lt;=OP!$C$80),OP!$C$78,)))</f>
        <v>0</v>
      </c>
      <c r="AT200" s="298">
        <f t="shared" ca="1" si="140"/>
        <v>0</v>
      </c>
      <c r="AU200" s="298">
        <f ca="1">IF(AND(A200&lt;=OP!$C$120,COUNTIF(PAY,C200)=1),OP!$C$123,0)</f>
        <v>0</v>
      </c>
      <c r="AV200" s="298">
        <f ca="1">IF(AND(A200&gt;=OP!$C$132,A200&lt;=OP!$C$133,$C$3=C200),OP!$C$135,0)</f>
        <v>0</v>
      </c>
      <c r="AW200" s="180">
        <f t="shared" ca="1" si="141"/>
        <v>0.05</v>
      </c>
      <c r="AX200" s="180">
        <f t="shared" ca="1" si="142"/>
        <v>0.05</v>
      </c>
      <c r="AY200" s="286">
        <f t="shared" ca="1" si="143"/>
        <v>0</v>
      </c>
      <c r="AZ200" s="286">
        <f t="shared" ca="1" si="144"/>
        <v>0</v>
      </c>
      <c r="BA200" s="286">
        <f t="shared" ca="1" si="145"/>
        <v>0</v>
      </c>
      <c r="BB200" s="286">
        <f t="shared" ca="1" si="146"/>
        <v>0</v>
      </c>
      <c r="BC200" s="286">
        <f t="shared" ca="1" si="147"/>
        <v>0</v>
      </c>
      <c r="BD200" s="180">
        <f t="shared" ca="1" si="148"/>
        <v>0.05</v>
      </c>
      <c r="BE200" s="180">
        <f t="shared" ca="1" si="149"/>
        <v>0.05</v>
      </c>
      <c r="BF200" s="286">
        <f t="shared" ca="1" si="150"/>
        <v>0</v>
      </c>
      <c r="BG200" s="286">
        <f t="shared" ca="1" si="151"/>
        <v>0</v>
      </c>
    </row>
    <row r="201" spans="1:59">
      <c r="A201" s="1">
        <f t="shared" ca="1" si="130"/>
        <v>17</v>
      </c>
      <c r="B201" s="1">
        <f t="shared" ca="1" si="124"/>
        <v>122</v>
      </c>
      <c r="C201" s="1">
        <f t="shared" ca="1" si="125"/>
        <v>11</v>
      </c>
      <c r="D201" s="1">
        <f ca="1">MIN($D$3,VLOOKUP(C201,OP!$S$30:$T$41,2))</f>
        <v>2</v>
      </c>
      <c r="E201" s="1">
        <f t="shared" ca="1" si="126"/>
        <v>71</v>
      </c>
      <c r="F201" s="11" t="str">
        <f t="shared" ca="1" si="131"/>
        <v/>
      </c>
      <c r="G201" s="8">
        <f t="shared" ca="1" si="132"/>
        <v>365</v>
      </c>
      <c r="H201" s="8">
        <f t="shared" ca="1" si="133"/>
        <v>30</v>
      </c>
      <c r="I201" s="8" t="str">
        <f t="shared" ca="1" si="129"/>
        <v>1711</v>
      </c>
      <c r="J201" s="13">
        <f>IF(繳費報酬率資料!$A$1=1,VALUE(OP!$C$121),VLOOKUP(A201,MP,2,0))</f>
        <v>0.05</v>
      </c>
      <c r="K201" s="14">
        <f ca="1">IF(SUM($K$4:K200,IF(繳費報酬率資料!$A$1=1,$AU201+$AV201,$BB201+$BC201))&gt;OP!$L$58,0,IF(繳費報酬率資料!$A$1=1,$AU201+$AV201,$BB201+$BC201))</f>
        <v>0</v>
      </c>
      <c r="L201" s="2"/>
      <c r="M201" s="2"/>
      <c r="N201" s="2"/>
      <c r="O201" s="261">
        <f t="shared" ca="1" si="134"/>
        <v>0</v>
      </c>
      <c r="P201" s="261">
        <f t="shared" ca="1" si="152"/>
        <v>0</v>
      </c>
      <c r="Q201" s="3">
        <f ca="1">IF(A201&gt;MAX(OP!$R$17:$R$26),0,VLOOKUP(A201,fees,3,FALSE))</f>
        <v>0</v>
      </c>
      <c r="R201" s="200" t="str">
        <f t="shared" ca="1" si="135"/>
        <v/>
      </c>
      <c r="S201" s="9" t="str">
        <f ca="1">IF(COUNTIF(($T$4:T200),"F")&gt;=1,"",IF(OR(C202&lt;&gt;$C$3,E201=""),"",A201))</f>
        <v/>
      </c>
      <c r="T201" s="20" t="str">
        <f t="shared" ca="1" si="127"/>
        <v/>
      </c>
      <c r="U201" s="2">
        <f ca="1">IF(IF(OP!$C$83=1,$Z200,IF(OP!$C$83=2,$AA200,IF(OP!$C$83=3,$AB200,)))+$K201-$O201-$P201-$AS201&lt;OP!$C$142,0,$AS201)</f>
        <v>0</v>
      </c>
      <c r="V201" s="9"/>
      <c r="W201" s="19">
        <f ca="1">MAX(SUM($K$4:K201),0)</f>
        <v>2000000</v>
      </c>
      <c r="X201" s="19"/>
      <c r="Y201" s="19">
        <f t="shared" ca="1" si="153"/>
        <v>1920000</v>
      </c>
      <c r="Z201" s="2">
        <f ca="1">IF(MIN($Z$4:Z200)=0,0,MAX(0,($Z200+$K201-$O201-$P201)*IF(AND(F201="F",$D$3&lt;&gt;$G$3),((1+(-J201))^(H201/MIN(G201,365))),((1+(-J201))^(1/12)))-$U201))</f>
        <v>823646.23200281488</v>
      </c>
      <c r="AA201" s="2">
        <f ca="1">IF(MIN($AA$4:AA200)=0,0,MAX(0,($AA200+$K201-$O201-$P201)*IF(AND(F201="F",$D$3&lt;&gt;$G$3),((1+$AA$1)^(H201/MIN(G201,365))),((1+$AA$1)^(1/12)))-$U201))</f>
        <v>1920000</v>
      </c>
      <c r="AB201" s="2">
        <f ca="1">IF(MIN($AB$4:AB200)=0,0,MAX(0,($AB200+$K201-$O201-$P201)*IF(AND(F201="F",$D$3&lt;&gt;$G$3),((1+(J201))^(H201/MIN(G201,365))),((1+(J201))^(1/12)))-$U201))</f>
        <v>4294619.219599532</v>
      </c>
      <c r="AC201" s="5"/>
      <c r="AD201" s="5"/>
      <c r="AE201" s="5"/>
      <c r="AF201" s="282">
        <f t="shared" ca="1" si="136"/>
        <v>823646</v>
      </c>
      <c r="AG201" s="282">
        <f t="shared" ca="1" si="137"/>
        <v>1920000</v>
      </c>
      <c r="AH201" s="282">
        <f t="shared" ca="1" si="138"/>
        <v>4294619</v>
      </c>
      <c r="AI201" s="23" t="str">
        <f t="shared" ca="1" si="119"/>
        <v>17-7</v>
      </c>
      <c r="AJ201" s="282">
        <f ca="1">IF(E201&gt;111,,IF(AND(OP!$C$99=1,T201="F"),Z201,IF(AND(OP!$C$99=2,COUNTIF($T$4:T201,"F")=1),OP!$C$97+IF(F201="F",OP!$C$98,0),"")))</f>
        <v>54527</v>
      </c>
      <c r="AK201" s="282">
        <f ca="1">IF(E201&gt;111,,IF(AND(OP!$D$99=1,T201="F"),AA201,IF(AND(OP!$D$99=2,COUNTIF($T$4:T201,"F")=1),OP!$D$97+IF(F201="F",OP!$D$98,0),"")))</f>
        <v>74177</v>
      </c>
      <c r="AL201" s="282">
        <f ca="1">IF(E201&gt;111,,IF(AND(OP!$E$99=1,T201="F"),AB201,IF(AND(OP!$E$99=2,COUNTIF($T$4:T201,"F")=1),OP!$E$97+IF(F201="F",OP!$E$98,0),"")))</f>
        <v>99404</v>
      </c>
      <c r="AM201" s="1">
        <f t="shared" ca="1" si="128"/>
        <v>7</v>
      </c>
      <c r="AN201" s="1" t="str">
        <f ca="1">IF(OR(VLOOKUP($A201,MP,5,0)="月繳"),1,"")</f>
        <v/>
      </c>
      <c r="AO201" s="1">
        <f t="shared" ca="1" si="139"/>
        <v>0</v>
      </c>
      <c r="AP201" s="1" t="str">
        <f ca="1">IF(AND(A201&lt;=OP!$C$120,COUNTIF(PAY,C201)=1),1,"")</f>
        <v/>
      </c>
      <c r="AR201" s="301">
        <f ca="1">IF(繳費報酬率資料!$A$1=1,$AY201+$AZ201,$BF201+$BG201)</f>
        <v>0</v>
      </c>
      <c r="AS201" s="1">
        <f ca="1">IF(C201&lt;&gt;IF($C$3=1,12,$C$3-1),0,IF(繳費報酬率資料!$A$1&lt;&gt;1,VLOOKUP($A201,MP,8,0),IF(AND($A201&gt;=OP!$C$79,$A201&lt;=OP!$C$80),OP!$C$78,)))</f>
        <v>0</v>
      </c>
      <c r="AT201" s="298">
        <f t="shared" ca="1" si="140"/>
        <v>0</v>
      </c>
      <c r="AU201" s="298">
        <f ca="1">IF(AND(A201&lt;=OP!$C$120,COUNTIF(PAY,C201)=1),OP!$C$123,0)</f>
        <v>0</v>
      </c>
      <c r="AV201" s="298">
        <f ca="1">IF(AND(A201&gt;=OP!$C$132,A201&lt;=OP!$C$133,$C$3=C201),OP!$C$135,0)</f>
        <v>0</v>
      </c>
      <c r="AW201" s="180">
        <f t="shared" ca="1" si="141"/>
        <v>0.05</v>
      </c>
      <c r="AX201" s="180">
        <f t="shared" ca="1" si="142"/>
        <v>0.05</v>
      </c>
      <c r="AY201" s="286">
        <f t="shared" ca="1" si="143"/>
        <v>0</v>
      </c>
      <c r="AZ201" s="286">
        <f t="shared" ca="1" si="144"/>
        <v>0</v>
      </c>
      <c r="BA201" s="286">
        <f t="shared" ca="1" si="145"/>
        <v>0</v>
      </c>
      <c r="BB201" s="286">
        <f t="shared" ca="1" si="146"/>
        <v>0</v>
      </c>
      <c r="BC201" s="286">
        <f t="shared" ca="1" si="147"/>
        <v>0</v>
      </c>
      <c r="BD201" s="180">
        <f t="shared" ca="1" si="148"/>
        <v>0.05</v>
      </c>
      <c r="BE201" s="180">
        <f t="shared" ca="1" si="149"/>
        <v>0.05</v>
      </c>
      <c r="BF201" s="286">
        <f t="shared" ca="1" si="150"/>
        <v>0</v>
      </c>
      <c r="BG201" s="286">
        <f t="shared" ca="1" si="151"/>
        <v>0</v>
      </c>
    </row>
    <row r="202" spans="1:59">
      <c r="A202" s="1">
        <f t="shared" ca="1" si="130"/>
        <v>17</v>
      </c>
      <c r="B202" s="1">
        <f t="shared" ca="1" si="124"/>
        <v>122</v>
      </c>
      <c r="C202" s="1">
        <f t="shared" ca="1" si="125"/>
        <v>12</v>
      </c>
      <c r="D202" s="1">
        <f ca="1">MIN($D$3,VLOOKUP(C202,OP!$S$30:$T$41,2))</f>
        <v>2</v>
      </c>
      <c r="E202" s="1">
        <f t="shared" ca="1" si="126"/>
        <v>71</v>
      </c>
      <c r="F202" s="11" t="str">
        <f t="shared" ca="1" si="131"/>
        <v/>
      </c>
      <c r="G202" s="8">
        <f t="shared" ca="1" si="132"/>
        <v>365</v>
      </c>
      <c r="H202" s="8">
        <f t="shared" ca="1" si="133"/>
        <v>31</v>
      </c>
      <c r="I202" s="8" t="str">
        <f t="shared" ca="1" si="129"/>
        <v>1712</v>
      </c>
      <c r="J202" s="13">
        <f>IF(繳費報酬率資料!$A$1=1,VALUE(OP!$C$121),VLOOKUP(A202,MP,2,0))</f>
        <v>0.05</v>
      </c>
      <c r="K202" s="14">
        <f ca="1">IF(SUM($K$4:K201,IF(繳費報酬率資料!$A$1=1,$AU202+$AV202,$BB202+$BC202))&gt;OP!$L$58,0,IF(繳費報酬率資料!$A$1=1,$AU202+$AV202,$BB202+$BC202))</f>
        <v>0</v>
      </c>
      <c r="L202" s="2"/>
      <c r="M202" s="2"/>
      <c r="N202" s="2"/>
      <c r="O202" s="261">
        <f t="shared" ca="1" si="134"/>
        <v>0</v>
      </c>
      <c r="P202" s="261">
        <f t="shared" ca="1" si="152"/>
        <v>0</v>
      </c>
      <c r="Q202" s="3">
        <f ca="1">IF(A202&gt;MAX(OP!$R$17:$R$26),0,VLOOKUP(A202,fees,3,FALSE))</f>
        <v>0</v>
      </c>
      <c r="R202" s="200" t="str">
        <f t="shared" ca="1" si="135"/>
        <v/>
      </c>
      <c r="S202" s="9" t="str">
        <f ca="1">IF(COUNTIF(($T$4:T201),"F")&gt;=1,"",IF(OR(C203&lt;&gt;$C$3,E202=""),"",A202))</f>
        <v/>
      </c>
      <c r="T202" s="20" t="str">
        <f t="shared" ca="1" si="127"/>
        <v/>
      </c>
      <c r="U202" s="2">
        <f ca="1">IF(IF(OP!$C$83=1,$Z201,IF(OP!$C$83=2,$AA201,IF(OP!$C$83=3,$AB201,)))+$K202-$O202-$P202-$AS202&lt;OP!$C$142,0,$AS202)</f>
        <v>0</v>
      </c>
      <c r="V202" s="9"/>
      <c r="W202" s="19">
        <f ca="1">MAX(SUM($K$4:K202),0)</f>
        <v>2000000</v>
      </c>
      <c r="X202" s="19"/>
      <c r="Y202" s="19">
        <f t="shared" ca="1" si="153"/>
        <v>1920000</v>
      </c>
      <c r="Z202" s="2">
        <f ca="1">IF(MIN($Z$4:Z201)=0,0,MAX(0,($Z201+$K202-$O202-$P202)*IF(AND(F202="F",$D$3&lt;&gt;$G$3),((1+(-J202))^(H202/MIN(G202,365))),((1+(-J202))^(1/12)))-$U202))</f>
        <v>820133.11826338619</v>
      </c>
      <c r="AA202" s="2">
        <f ca="1">IF(MIN($AA$4:AA201)=0,0,MAX(0,($AA201+$K202-$O202-$P202)*IF(AND(F202="F",$D$3&lt;&gt;$G$3),((1+$AA$1)^(H202/MIN(G202,365))),((1+$AA$1)^(1/12)))-$U202))</f>
        <v>1920000</v>
      </c>
      <c r="AB202" s="2">
        <f ca="1">IF(MIN($AB$4:AB201)=0,0,MAX(0,($AB201+$K202-$O202-$P202)*IF(AND(F202="F",$D$3&lt;&gt;$G$3),((1+(J202))^(H202/MIN(G202,365))),((1+(J202))^(1/12)))-$U202))</f>
        <v>4312116.0299038161</v>
      </c>
      <c r="AC202" s="5"/>
      <c r="AD202" s="5"/>
      <c r="AE202" s="5"/>
      <c r="AF202" s="282">
        <f t="shared" ca="1" si="136"/>
        <v>820133</v>
      </c>
      <c r="AG202" s="282">
        <f t="shared" ca="1" si="137"/>
        <v>1920000</v>
      </c>
      <c r="AH202" s="282">
        <f t="shared" ca="1" si="138"/>
        <v>4312116</v>
      </c>
      <c r="AI202" s="23" t="str">
        <f t="shared" ca="1" si="119"/>
        <v>17-8</v>
      </c>
      <c r="AJ202" s="282">
        <f ca="1">IF(E202&gt;111,,IF(AND(OP!$C$99=1,T202="F"),Z202,IF(AND(OP!$C$99=2,COUNTIF($T$4:T202,"F")=1),OP!$C$97+IF(F202="F",OP!$C$98,0),"")))</f>
        <v>54527</v>
      </c>
      <c r="AK202" s="282">
        <f ca="1">IF(E202&gt;111,,IF(AND(OP!$D$99=1,T202="F"),AA202,IF(AND(OP!$D$99=2,COUNTIF($T$4:T202,"F")=1),OP!$D$97+IF(F202="F",OP!$D$98,0),"")))</f>
        <v>74177</v>
      </c>
      <c r="AL202" s="282">
        <f ca="1">IF(E202&gt;111,,IF(AND(OP!$E$99=1,T202="F"),AB202,IF(AND(OP!$E$99=2,COUNTIF($T$4:T202,"F")=1),OP!$E$97+IF(F202="F",OP!$E$98,0),"")))</f>
        <v>99404</v>
      </c>
      <c r="AM202" s="1">
        <f t="shared" ca="1" si="128"/>
        <v>8</v>
      </c>
      <c r="AN202" s="1" t="str">
        <f ca="1">IF(OR(VLOOKUP($A202,MP,5,0)="半年繳",VLOOKUP($A202,MP,5,0)="季繳",VLOOKUP($A202,MP,5,0)="月繳"),1,"")</f>
        <v/>
      </c>
      <c r="AO202" s="1">
        <f t="shared" ca="1" si="139"/>
        <v>0</v>
      </c>
      <c r="AP202" s="1" t="str">
        <f ca="1">IF(AND(A202&lt;=OP!$C$120,COUNTIF(PAY,C202)=1),1,"")</f>
        <v/>
      </c>
      <c r="AR202" s="301">
        <f ca="1">IF(繳費報酬率資料!$A$1=1,$AY202+$AZ202,$BF202+$BG202)</f>
        <v>0</v>
      </c>
      <c r="AS202" s="1">
        <f ca="1">IF(C202&lt;&gt;IF($C$3=1,12,$C$3-1),0,IF(繳費報酬率資料!$A$1&lt;&gt;1,VLOOKUP($A202,MP,8,0),IF(AND($A202&gt;=OP!$C$79,$A202&lt;=OP!$C$80),OP!$C$78,)))</f>
        <v>0</v>
      </c>
      <c r="AT202" s="298">
        <f t="shared" ca="1" si="140"/>
        <v>0</v>
      </c>
      <c r="AU202" s="298">
        <f ca="1">IF(AND(A202&lt;=OP!$C$120,COUNTIF(PAY,C202)=1),OP!$C$123,0)</f>
        <v>0</v>
      </c>
      <c r="AV202" s="298">
        <f ca="1">IF(AND(A202&gt;=OP!$C$132,A202&lt;=OP!$C$133,$C$3=C202),OP!$C$135,0)</f>
        <v>0</v>
      </c>
      <c r="AW202" s="180">
        <f t="shared" ca="1" si="141"/>
        <v>0.05</v>
      </c>
      <c r="AX202" s="180">
        <f t="shared" ca="1" si="142"/>
        <v>0.05</v>
      </c>
      <c r="AY202" s="286">
        <f t="shared" ca="1" si="143"/>
        <v>0</v>
      </c>
      <c r="AZ202" s="286">
        <f t="shared" ca="1" si="144"/>
        <v>0</v>
      </c>
      <c r="BA202" s="286">
        <f t="shared" ca="1" si="145"/>
        <v>0</v>
      </c>
      <c r="BB202" s="286">
        <f t="shared" ca="1" si="146"/>
        <v>0</v>
      </c>
      <c r="BC202" s="286">
        <f t="shared" ca="1" si="147"/>
        <v>0</v>
      </c>
      <c r="BD202" s="180">
        <f t="shared" ca="1" si="148"/>
        <v>0.05</v>
      </c>
      <c r="BE202" s="180">
        <f t="shared" ca="1" si="149"/>
        <v>0.05</v>
      </c>
      <c r="BF202" s="286">
        <f t="shared" ca="1" si="150"/>
        <v>0</v>
      </c>
      <c r="BG202" s="286">
        <f t="shared" ca="1" si="151"/>
        <v>0</v>
      </c>
    </row>
    <row r="203" spans="1:59">
      <c r="A203" s="1">
        <f t="shared" ca="1" si="130"/>
        <v>17</v>
      </c>
      <c r="B203" s="1">
        <f t="shared" ca="1" si="124"/>
        <v>123</v>
      </c>
      <c r="C203" s="1">
        <f t="shared" ca="1" si="125"/>
        <v>1</v>
      </c>
      <c r="D203" s="1">
        <f ca="1">MIN($D$3,VLOOKUP(C203,OP!$S$30:$T$41,2))</f>
        <v>2</v>
      </c>
      <c r="E203" s="1">
        <f t="shared" ca="1" si="126"/>
        <v>71</v>
      </c>
      <c r="F203" s="11" t="str">
        <f t="shared" ca="1" si="131"/>
        <v/>
      </c>
      <c r="G203" s="8">
        <f t="shared" ca="1" si="132"/>
        <v>365</v>
      </c>
      <c r="H203" s="8">
        <f t="shared" ca="1" si="133"/>
        <v>31</v>
      </c>
      <c r="I203" s="8" t="str">
        <f t="shared" ca="1" si="129"/>
        <v>171</v>
      </c>
      <c r="J203" s="13">
        <f>IF(繳費報酬率資料!$A$1=1,VALUE(OP!$C$121),VLOOKUP(A203,MP,2,0))</f>
        <v>0.05</v>
      </c>
      <c r="K203" s="14">
        <f ca="1">IF(SUM($K$4:K202,IF(繳費報酬率資料!$A$1=1,$AU203+$AV203,$BB203+$BC203))&gt;OP!$L$58,0,IF(繳費報酬率資料!$A$1=1,$AU203+$AV203,$BB203+$BC203))</f>
        <v>0</v>
      </c>
      <c r="L203" s="2"/>
      <c r="M203" s="2"/>
      <c r="N203" s="2"/>
      <c r="O203" s="261">
        <f t="shared" ca="1" si="134"/>
        <v>0</v>
      </c>
      <c r="P203" s="261">
        <f t="shared" ca="1" si="152"/>
        <v>0</v>
      </c>
      <c r="Q203" s="3">
        <f ca="1">IF(A203&gt;MAX(OP!$R$17:$R$26),0,VLOOKUP(A203,fees,3,FALSE))</f>
        <v>0</v>
      </c>
      <c r="R203" s="200" t="str">
        <f t="shared" ca="1" si="135"/>
        <v/>
      </c>
      <c r="S203" s="9" t="str">
        <f ca="1">IF(COUNTIF(($T$4:T202),"F")&gt;=1,"",IF(OR(C204&lt;&gt;$C$3,E203=""),"",A203))</f>
        <v/>
      </c>
      <c r="T203" s="20" t="str">
        <f t="shared" ca="1" si="127"/>
        <v/>
      </c>
      <c r="U203" s="2">
        <f ca="1">IF(IF(OP!$C$83=1,$Z202,IF(OP!$C$83=2,$AA202,IF(OP!$C$83=3,$AB202,)))+$K203-$O203-$P203-$AS203&lt;OP!$C$142,0,$AS203)</f>
        <v>0</v>
      </c>
      <c r="V203" s="9"/>
      <c r="W203" s="19">
        <f ca="1">MAX(SUM($K$4:K203),0)</f>
        <v>2000000</v>
      </c>
      <c r="X203" s="19"/>
      <c r="Y203" s="19">
        <f t="shared" ca="1" si="153"/>
        <v>1920000</v>
      </c>
      <c r="Z203" s="2">
        <f ca="1">IF(MIN($Z$4:Z202)=0,0,MAX(0,($Z202+$K203-$O203-$P203)*IF(AND(F203="F",$D$3&lt;&gt;$G$3),((1+(-J203))^(H203/MIN(G203,365))),((1+(-J203))^(1/12)))-$U203))</f>
        <v>816634.98907395802</v>
      </c>
      <c r="AA203" s="2">
        <f ca="1">IF(MIN($AA$4:AA202)=0,0,MAX(0,($AA202+$K203-$O203-$P203)*IF(AND(F203="F",$D$3&lt;&gt;$G$3),((1+$AA$1)^(H203/MIN(G203,365))),((1+$AA$1)^(1/12)))-$U203))</f>
        <v>1920000</v>
      </c>
      <c r="AB203" s="2">
        <f ca="1">IF(MIN($AB$4:AB202)=0,0,MAX(0,($AB202+$K203-$O203-$P203)*IF(AND(F203="F",$D$3&lt;&gt;$G$3),((1+(J203))^(H203/MIN(G203,365))),((1+(J203))^(1/12)))-$U203))</f>
        <v>4329684.1243790984</v>
      </c>
      <c r="AC203" s="5"/>
      <c r="AD203" s="5"/>
      <c r="AE203" s="5"/>
      <c r="AF203" s="282">
        <f t="shared" ca="1" si="136"/>
        <v>816635</v>
      </c>
      <c r="AG203" s="282">
        <f t="shared" ca="1" si="137"/>
        <v>1920000</v>
      </c>
      <c r="AH203" s="282">
        <f t="shared" ca="1" si="138"/>
        <v>4329684</v>
      </c>
      <c r="AI203" s="23" t="str">
        <f t="shared" ca="1" si="119"/>
        <v>17-9</v>
      </c>
      <c r="AJ203" s="282">
        <f ca="1">IF(E203&gt;111,,IF(AND(OP!$C$99=1,T203="F"),Z203,IF(AND(OP!$C$99=2,COUNTIF($T$4:T203,"F")=1),OP!$C$97+IF(F203="F",OP!$C$98,0),"")))</f>
        <v>54527</v>
      </c>
      <c r="AK203" s="282">
        <f ca="1">IF(E203&gt;111,,IF(AND(OP!$D$99=1,T203="F"),AA203,IF(AND(OP!$D$99=2,COUNTIF($T$4:T203,"F")=1),OP!$D$97+IF(F203="F",OP!$D$98,0),"")))</f>
        <v>74177</v>
      </c>
      <c r="AL203" s="282">
        <f ca="1">IF(E203&gt;111,,IF(AND(OP!$E$99=1,T203="F"),AB203,IF(AND(OP!$E$99=2,COUNTIF($T$4:T203,"F")=1),OP!$E$97+IF(F203="F",OP!$E$98,0),"")))</f>
        <v>99404</v>
      </c>
      <c r="AM203" s="1">
        <f t="shared" ca="1" si="128"/>
        <v>9</v>
      </c>
      <c r="AN203" s="1" t="str">
        <f ca="1">IF(OR(VLOOKUP($A203,MP,5,0)="月繳"),1,"")</f>
        <v/>
      </c>
      <c r="AO203" s="1">
        <f t="shared" ca="1" si="139"/>
        <v>0</v>
      </c>
      <c r="AP203" s="1" t="str">
        <f ca="1">IF(AND(A203&lt;=OP!$C$120,COUNTIF(PAY,C203)=1),1,"")</f>
        <v/>
      </c>
      <c r="AR203" s="301">
        <f ca="1">IF(繳費報酬率資料!$A$1=1,$AY203+$AZ203,$BF203+$BG203)</f>
        <v>0</v>
      </c>
      <c r="AS203" s="1">
        <f ca="1">IF(C203&lt;&gt;IF($C$3=1,12,$C$3-1),0,IF(繳費報酬率資料!$A$1&lt;&gt;1,VLOOKUP($A203,MP,8,0),IF(AND($A203&gt;=OP!$C$79,$A203&lt;=OP!$C$80),OP!$C$78,)))</f>
        <v>0</v>
      </c>
      <c r="AT203" s="298">
        <f t="shared" ca="1" si="140"/>
        <v>0</v>
      </c>
      <c r="AU203" s="298">
        <f ca="1">IF(AND(A203&lt;=OP!$C$120,COUNTIF(PAY,C203)=1),OP!$C$123,0)</f>
        <v>0</v>
      </c>
      <c r="AV203" s="298">
        <f ca="1">IF(AND(A203&gt;=OP!$C$132,A203&lt;=OP!$C$133,$C$3=C203),OP!$C$135,0)</f>
        <v>0</v>
      </c>
      <c r="AW203" s="180">
        <f t="shared" ca="1" si="141"/>
        <v>0.05</v>
      </c>
      <c r="AX203" s="180">
        <f t="shared" ca="1" si="142"/>
        <v>0.05</v>
      </c>
      <c r="AY203" s="286">
        <f t="shared" ca="1" si="143"/>
        <v>0</v>
      </c>
      <c r="AZ203" s="286">
        <f t="shared" ca="1" si="144"/>
        <v>0</v>
      </c>
      <c r="BA203" s="286">
        <f t="shared" ca="1" si="145"/>
        <v>0</v>
      </c>
      <c r="BB203" s="286">
        <f t="shared" ca="1" si="146"/>
        <v>0</v>
      </c>
      <c r="BC203" s="286">
        <f t="shared" ca="1" si="147"/>
        <v>0</v>
      </c>
      <c r="BD203" s="180">
        <f t="shared" ca="1" si="148"/>
        <v>0.05</v>
      </c>
      <c r="BE203" s="180">
        <f t="shared" ca="1" si="149"/>
        <v>0.05</v>
      </c>
      <c r="BF203" s="286">
        <f t="shared" ca="1" si="150"/>
        <v>0</v>
      </c>
      <c r="BG203" s="286">
        <f t="shared" ca="1" si="151"/>
        <v>0</v>
      </c>
    </row>
    <row r="204" spans="1:59">
      <c r="A204" s="1">
        <f t="shared" ca="1" si="130"/>
        <v>17</v>
      </c>
      <c r="B204" s="1">
        <f t="shared" ca="1" si="124"/>
        <v>123</v>
      </c>
      <c r="C204" s="1">
        <f t="shared" ca="1" si="125"/>
        <v>2</v>
      </c>
      <c r="D204" s="1">
        <f ca="1">MIN($D$3,VLOOKUP(C204,OP!$S$30:$T$41,2))</f>
        <v>2</v>
      </c>
      <c r="E204" s="1">
        <f t="shared" ca="1" si="126"/>
        <v>71</v>
      </c>
      <c r="F204" s="11" t="str">
        <f t="shared" ca="1" si="131"/>
        <v/>
      </c>
      <c r="G204" s="8">
        <f t="shared" ca="1" si="132"/>
        <v>365</v>
      </c>
      <c r="H204" s="8">
        <f t="shared" ca="1" si="133"/>
        <v>28</v>
      </c>
      <c r="I204" s="8" t="str">
        <f t="shared" ca="1" si="129"/>
        <v>172</v>
      </c>
      <c r="J204" s="13">
        <f>IF(繳費報酬率資料!$A$1=1,VALUE(OP!$C$121),VLOOKUP(A204,MP,2,0))</f>
        <v>0.05</v>
      </c>
      <c r="K204" s="14">
        <f ca="1">IF(SUM($K$4:K203,IF(繳費報酬率資料!$A$1=1,$AU204+$AV204,$BB204+$BC204))&gt;OP!$L$58,0,IF(繳費報酬率資料!$A$1=1,$AU204+$AV204,$BB204+$BC204))</f>
        <v>0</v>
      </c>
      <c r="L204" s="2"/>
      <c r="M204" s="2"/>
      <c r="N204" s="2"/>
      <c r="O204" s="261">
        <f t="shared" ca="1" si="134"/>
        <v>0</v>
      </c>
      <c r="P204" s="261">
        <f t="shared" ca="1" si="152"/>
        <v>0</v>
      </c>
      <c r="Q204" s="3">
        <f ca="1">IF(A204&gt;MAX(OP!$R$17:$R$26),0,VLOOKUP(A204,fees,3,FALSE))</f>
        <v>0</v>
      </c>
      <c r="R204" s="200" t="str">
        <f t="shared" ca="1" si="135"/>
        <v/>
      </c>
      <c r="S204" s="9" t="str">
        <f ca="1">IF(COUNTIF(($T$4:T203),"F")&gt;=1,"",IF(OR(C205&lt;&gt;$C$3,E204=""),"",A204))</f>
        <v/>
      </c>
      <c r="T204" s="20" t="str">
        <f t="shared" ca="1" si="127"/>
        <v/>
      </c>
      <c r="U204" s="2">
        <f ca="1">IF(IF(OP!$C$83=1,$Z203,IF(OP!$C$83=2,$AA203,IF(OP!$C$83=3,$AB203,)))+$K204-$O204-$P204-$AS204&lt;OP!$C$142,0,$AS204)</f>
        <v>0</v>
      </c>
      <c r="V204" s="9"/>
      <c r="W204" s="19">
        <f ca="1">MAX(SUM($K$4:K204),0)</f>
        <v>2000000</v>
      </c>
      <c r="X204" s="19"/>
      <c r="Y204" s="19">
        <f t="shared" ca="1" si="153"/>
        <v>1920000</v>
      </c>
      <c r="Z204" s="2">
        <f ca="1">IF(MIN($Z$4:Z203)=0,0,MAX(0,($Z203+$K204-$O204-$P204)*IF(AND(F204="F",$D$3&lt;&gt;$G$3),((1+(-J204))^(H204/MIN(G204,365))),((1+(-J204))^(1/12)))-$U204))</f>
        <v>813151.78052064788</v>
      </c>
      <c r="AA204" s="2">
        <f ca="1">IF(MIN($AA$4:AA203)=0,0,MAX(0,($AA203+$K204-$O204-$P204)*IF(AND(F204="F",$D$3&lt;&gt;$G$3),((1+$AA$1)^(H204/MIN(G204,365))),((1+$AA$1)^(1/12)))-$U204))</f>
        <v>1920000</v>
      </c>
      <c r="AB204" s="2">
        <f ca="1">IF(MIN($AB$4:AB203)=0,0,MAX(0,($AB203+$K204-$O204-$P204)*IF(AND(F204="F",$D$3&lt;&gt;$G$3),((1+(J204))^(H204/MIN(G204,365))),((1+(J204))^(1/12)))-$U204))</f>
        <v>4347323.7934459159</v>
      </c>
      <c r="AC204" s="5"/>
      <c r="AD204" s="5"/>
      <c r="AE204" s="5"/>
      <c r="AF204" s="282">
        <f t="shared" ca="1" si="136"/>
        <v>813152</v>
      </c>
      <c r="AG204" s="282">
        <f t="shared" ca="1" si="137"/>
        <v>1920000</v>
      </c>
      <c r="AH204" s="282">
        <f t="shared" ca="1" si="138"/>
        <v>4347324</v>
      </c>
      <c r="AI204" s="23" t="str">
        <f t="shared" ref="AI204:AI267" ca="1" si="154">IF($G$3=D205,A205,A204)&amp;"-"&amp;AM204</f>
        <v>17-10</v>
      </c>
      <c r="AJ204" s="282">
        <f ca="1">IF(E204&gt;111,,IF(AND(OP!$C$99=1,T204="F"),Z204,IF(AND(OP!$C$99=2,COUNTIF($T$4:T204,"F")=1),OP!$C$97+IF(F204="F",OP!$C$98,0),"")))</f>
        <v>54527</v>
      </c>
      <c r="AK204" s="282">
        <f ca="1">IF(E204&gt;111,,IF(AND(OP!$D$99=1,T204="F"),AA204,IF(AND(OP!$D$99=2,COUNTIF($T$4:T204,"F")=1),OP!$D$97+IF(F204="F",OP!$D$98,0),"")))</f>
        <v>74177</v>
      </c>
      <c r="AL204" s="282">
        <f ca="1">IF(E204&gt;111,,IF(AND(OP!$E$99=1,T204="F"),AB204,IF(AND(OP!$E$99=2,COUNTIF($T$4:T204,"F")=1),OP!$E$97+IF(F204="F",OP!$E$98,0),"")))</f>
        <v>99404</v>
      </c>
      <c r="AM204" s="1">
        <f t="shared" ca="1" si="128"/>
        <v>10</v>
      </c>
      <c r="AN204" s="1" t="str">
        <f ca="1">IF(OR(VLOOKUP($A204,MP,5,0)="月繳"),1,"")</f>
        <v/>
      </c>
      <c r="AO204" s="1">
        <f t="shared" ca="1" si="139"/>
        <v>0</v>
      </c>
      <c r="AP204" s="1" t="str">
        <f ca="1">IF(AND(A204&lt;=OP!$C$120,COUNTIF(PAY,C204)=1),1,"")</f>
        <v/>
      </c>
      <c r="AR204" s="301">
        <f ca="1">IF(繳費報酬率資料!$A$1=1,$AY204+$AZ204,$BF204+$BG204)</f>
        <v>0</v>
      </c>
      <c r="AS204" s="1">
        <f ca="1">IF(C204&lt;&gt;IF($C$3=1,12,$C$3-1),0,IF(繳費報酬率資料!$A$1&lt;&gt;1,VLOOKUP($A204,MP,8,0),IF(AND($A204&gt;=OP!$C$79,$A204&lt;=OP!$C$80),OP!$C$78,)))</f>
        <v>0</v>
      </c>
      <c r="AT204" s="298">
        <f t="shared" ca="1" si="140"/>
        <v>0</v>
      </c>
      <c r="AU204" s="298">
        <f ca="1">IF(AND(A204&lt;=OP!$C$120,COUNTIF(PAY,C204)=1),OP!$C$123,0)</f>
        <v>0</v>
      </c>
      <c r="AV204" s="298">
        <f ca="1">IF(AND(A204&gt;=OP!$C$132,A204&lt;=OP!$C$133,$C$3=C204),OP!$C$135,0)</f>
        <v>0</v>
      </c>
      <c r="AW204" s="180">
        <f t="shared" ca="1" si="141"/>
        <v>0.05</v>
      </c>
      <c r="AX204" s="180">
        <f t="shared" ca="1" si="142"/>
        <v>0.05</v>
      </c>
      <c r="AY204" s="286">
        <f t="shared" ca="1" si="143"/>
        <v>0</v>
      </c>
      <c r="AZ204" s="286">
        <f t="shared" ca="1" si="144"/>
        <v>0</v>
      </c>
      <c r="BA204" s="286">
        <f t="shared" ca="1" si="145"/>
        <v>0</v>
      </c>
      <c r="BB204" s="286">
        <f t="shared" ca="1" si="146"/>
        <v>0</v>
      </c>
      <c r="BC204" s="286">
        <f t="shared" ca="1" si="147"/>
        <v>0</v>
      </c>
      <c r="BD204" s="180">
        <f t="shared" ca="1" si="148"/>
        <v>0.05</v>
      </c>
      <c r="BE204" s="180">
        <f t="shared" ca="1" si="149"/>
        <v>0.05</v>
      </c>
      <c r="BF204" s="286">
        <f t="shared" ca="1" si="150"/>
        <v>0</v>
      </c>
      <c r="BG204" s="286">
        <f t="shared" ca="1" si="151"/>
        <v>0</v>
      </c>
    </row>
    <row r="205" spans="1:59">
      <c r="A205" s="1">
        <f t="shared" ca="1" si="130"/>
        <v>17</v>
      </c>
      <c r="B205" s="1">
        <f t="shared" ca="1" si="124"/>
        <v>123</v>
      </c>
      <c r="C205" s="1">
        <f t="shared" ca="1" si="125"/>
        <v>3</v>
      </c>
      <c r="D205" s="1">
        <f ca="1">MIN($D$3,VLOOKUP(C205,OP!$S$30:$T$41,2))</f>
        <v>2</v>
      </c>
      <c r="E205" s="1">
        <f t="shared" ca="1" si="126"/>
        <v>71</v>
      </c>
      <c r="F205" s="11" t="str">
        <f t="shared" ca="1" si="131"/>
        <v/>
      </c>
      <c r="G205" s="8">
        <f t="shared" ca="1" si="132"/>
        <v>365</v>
      </c>
      <c r="H205" s="8">
        <f t="shared" ca="1" si="133"/>
        <v>31</v>
      </c>
      <c r="I205" s="8" t="str">
        <f t="shared" ca="1" si="129"/>
        <v>173</v>
      </c>
      <c r="J205" s="13">
        <f>IF(繳費報酬率資料!$A$1=1,VALUE(OP!$C$121),VLOOKUP(A205,MP,2,0))</f>
        <v>0.05</v>
      </c>
      <c r="K205" s="14">
        <f ca="1">IF(SUM($K$4:K204,IF(繳費報酬率資料!$A$1=1,$AU205+$AV205,$BB205+$BC205))&gt;OP!$L$58,0,IF(繳費報酬率資料!$A$1=1,$AU205+$AV205,$BB205+$BC205))</f>
        <v>0</v>
      </c>
      <c r="L205" s="2"/>
      <c r="M205" s="2"/>
      <c r="N205" s="2"/>
      <c r="O205" s="261">
        <f t="shared" ca="1" si="134"/>
        <v>0</v>
      </c>
      <c r="P205" s="261">
        <f t="shared" ca="1" si="152"/>
        <v>0</v>
      </c>
      <c r="Q205" s="3">
        <f ca="1">IF(A205&gt;MAX(OP!$R$17:$R$26),0,VLOOKUP(A205,fees,3,FALSE))</f>
        <v>0</v>
      </c>
      <c r="R205" s="200" t="str">
        <f t="shared" ca="1" si="135"/>
        <v/>
      </c>
      <c r="S205" s="9" t="str">
        <f ca="1">IF(COUNTIF(($T$4:T204),"F")&gt;=1,"",IF(OR(C206&lt;&gt;$C$3,E205=""),"",A205))</f>
        <v/>
      </c>
      <c r="T205" s="20" t="str">
        <f t="shared" ca="1" si="127"/>
        <v/>
      </c>
      <c r="U205" s="2">
        <f ca="1">IF(IF(OP!$C$83=1,$Z204,IF(OP!$C$83=2,$AA204,IF(OP!$C$83=3,$AB204,)))+$K205-$O205-$P205-$AS205&lt;OP!$C$142,0,$AS205)</f>
        <v>0</v>
      </c>
      <c r="V205" s="9"/>
      <c r="W205" s="19">
        <f ca="1">MAX(SUM($K$4:K205),0)</f>
        <v>2000000</v>
      </c>
      <c r="X205" s="19"/>
      <c r="Y205" s="19">
        <f t="shared" ca="1" si="153"/>
        <v>1920000</v>
      </c>
      <c r="Z205" s="2">
        <f ca="1">IF(MIN($Z$4:Z204)=0,0,MAX(0,($Z204+$K205-$O205-$P205)*IF(AND(F205="F",$D$3&lt;&gt;$G$3),((1+(-J205))^(H205/MIN(G205,365))),((1+(-J205))^(1/12)))-$U205))</f>
        <v>809683.42896218633</v>
      </c>
      <c r="AA205" s="2">
        <f ca="1">IF(MIN($AA$4:AA204)=0,0,MAX(0,($AA204+$K205-$O205-$P205)*IF(AND(F205="F",$D$3&lt;&gt;$G$3),((1+$AA$1)^(H205/MIN(G205,365))),((1+$AA$1)^(1/12)))-$U205))</f>
        <v>1920000</v>
      </c>
      <c r="AB205" s="2">
        <f ca="1">IF(MIN($AB$4:AB204)=0,0,MAX(0,($AB204+$K205-$O205-$P205)*IF(AND(F205="F",$D$3&lt;&gt;$G$3),((1+(J205))^(H205/MIN(G205,365))),((1+(J205))^(1/12)))-$U205))</f>
        <v>4365035.3287080145</v>
      </c>
      <c r="AC205" s="5"/>
      <c r="AD205" s="5"/>
      <c r="AE205" s="5"/>
      <c r="AF205" s="282">
        <f t="shared" ca="1" si="136"/>
        <v>809683</v>
      </c>
      <c r="AG205" s="282">
        <f t="shared" ca="1" si="137"/>
        <v>1920000</v>
      </c>
      <c r="AH205" s="282">
        <f t="shared" ca="1" si="138"/>
        <v>4365035</v>
      </c>
      <c r="AI205" s="23" t="str">
        <f t="shared" ca="1" si="154"/>
        <v>17-11</v>
      </c>
      <c r="AJ205" s="282">
        <f ca="1">IF(E205&gt;111,,IF(AND(OP!$C$99=1,T205="F"),Z205,IF(AND(OP!$C$99=2,COUNTIF($T$4:T205,"F")=1),OP!$C$97+IF(F205="F",OP!$C$98,0),"")))</f>
        <v>54527</v>
      </c>
      <c r="AK205" s="282">
        <f ca="1">IF(E205&gt;111,,IF(AND(OP!$D$99=1,T205="F"),AA205,IF(AND(OP!$D$99=2,COUNTIF($T$4:T205,"F")=1),OP!$D$97+IF(F205="F",OP!$D$98,0),"")))</f>
        <v>74177</v>
      </c>
      <c r="AL205" s="282">
        <f ca="1">IF(E205&gt;111,,IF(AND(OP!$E$99=1,T205="F"),AB205,IF(AND(OP!$E$99=2,COUNTIF($T$4:T205,"F")=1),OP!$E$97+IF(F205="F",OP!$E$98,0),"")))</f>
        <v>99404</v>
      </c>
      <c r="AM205" s="1">
        <f t="shared" ca="1" si="128"/>
        <v>11</v>
      </c>
      <c r="AN205" s="1" t="str">
        <f ca="1">IF(OR(VLOOKUP($A205,MP,5,0)="季繳",VLOOKUP($A205,MP,5,0)="月繳"),1,"")</f>
        <v/>
      </c>
      <c r="AO205" s="1">
        <f t="shared" ca="1" si="139"/>
        <v>0</v>
      </c>
      <c r="AP205" s="1" t="str">
        <f ca="1">IF(AND(A205&lt;=OP!$C$120,COUNTIF(PAY,C205)=1),1,"")</f>
        <v/>
      </c>
      <c r="AR205" s="301">
        <f ca="1">IF(繳費報酬率資料!$A$1=1,$AY205+$AZ205,$BF205+$BG205)</f>
        <v>0</v>
      </c>
      <c r="AS205" s="1">
        <f ca="1">IF(C205&lt;&gt;IF($C$3=1,12,$C$3-1),0,IF(繳費報酬率資料!$A$1&lt;&gt;1,VLOOKUP($A205,MP,8,0),IF(AND($A205&gt;=OP!$C$79,$A205&lt;=OP!$C$80),OP!$C$78,)))</f>
        <v>0</v>
      </c>
      <c r="AT205" s="298">
        <f t="shared" ca="1" si="140"/>
        <v>0</v>
      </c>
      <c r="AU205" s="298">
        <f ca="1">IF(AND(A205&lt;=OP!$C$120,COUNTIF(PAY,C205)=1),OP!$C$123,0)</f>
        <v>0</v>
      </c>
      <c r="AV205" s="298">
        <f ca="1">IF(AND(A205&gt;=OP!$C$132,A205&lt;=OP!$C$133,$C$3=C205),OP!$C$135,0)</f>
        <v>0</v>
      </c>
      <c r="AW205" s="180">
        <f t="shared" ca="1" si="141"/>
        <v>0.05</v>
      </c>
      <c r="AX205" s="180">
        <f t="shared" ca="1" si="142"/>
        <v>0.05</v>
      </c>
      <c r="AY205" s="286">
        <f t="shared" ca="1" si="143"/>
        <v>0</v>
      </c>
      <c r="AZ205" s="286">
        <f t="shared" ca="1" si="144"/>
        <v>0</v>
      </c>
      <c r="BA205" s="286">
        <f t="shared" ca="1" si="145"/>
        <v>0</v>
      </c>
      <c r="BB205" s="286">
        <f t="shared" ca="1" si="146"/>
        <v>0</v>
      </c>
      <c r="BC205" s="286">
        <f t="shared" ca="1" si="147"/>
        <v>0</v>
      </c>
      <c r="BD205" s="180">
        <f t="shared" ca="1" si="148"/>
        <v>0.05</v>
      </c>
      <c r="BE205" s="180">
        <f t="shared" ca="1" si="149"/>
        <v>0.05</v>
      </c>
      <c r="BF205" s="286">
        <f t="shared" ca="1" si="150"/>
        <v>0</v>
      </c>
      <c r="BG205" s="286">
        <f t="shared" ca="1" si="151"/>
        <v>0</v>
      </c>
    </row>
    <row r="206" spans="1:59">
      <c r="A206" s="1">
        <f t="shared" ca="1" si="130"/>
        <v>17</v>
      </c>
      <c r="B206" s="1">
        <f t="shared" ca="1" si="124"/>
        <v>123</v>
      </c>
      <c r="C206" s="1">
        <f t="shared" ca="1" si="125"/>
        <v>4</v>
      </c>
      <c r="D206" s="1">
        <f ca="1">MIN($D$3,VLOOKUP(C206,OP!$S$30:$T$41,2))</f>
        <v>2</v>
      </c>
      <c r="E206" s="1">
        <f t="shared" ca="1" si="126"/>
        <v>71</v>
      </c>
      <c r="F206" s="11" t="str">
        <f t="shared" ca="1" si="131"/>
        <v/>
      </c>
      <c r="G206" s="8">
        <f t="shared" ca="1" si="132"/>
        <v>365</v>
      </c>
      <c r="H206" s="8">
        <f t="shared" ca="1" si="133"/>
        <v>30</v>
      </c>
      <c r="I206" s="8" t="str">
        <f t="shared" ca="1" si="129"/>
        <v>174</v>
      </c>
      <c r="J206" s="13">
        <f>IF(繳費報酬率資料!$A$1=1,VALUE(OP!$C$121),VLOOKUP(A206,MP,2,0))</f>
        <v>0.05</v>
      </c>
      <c r="K206" s="14">
        <f ca="1">IF(SUM($K$4:K205,IF(繳費報酬率資料!$A$1=1,$AU206+$AV206,$BB206+$BC206))&gt;OP!$L$58,0,IF(繳費報酬率資料!$A$1=1,$AU206+$AV206,$BB206+$BC206))</f>
        <v>0</v>
      </c>
      <c r="L206" s="2"/>
      <c r="M206" s="2"/>
      <c r="N206" s="2"/>
      <c r="O206" s="261">
        <f t="shared" ca="1" si="134"/>
        <v>0</v>
      </c>
      <c r="P206" s="261">
        <f t="shared" ca="1" si="152"/>
        <v>0</v>
      </c>
      <c r="Q206" s="3">
        <f ca="1">IF(A206&gt;MAX(OP!$R$17:$R$26),0,VLOOKUP(A206,fees,3,FALSE))</f>
        <v>0</v>
      </c>
      <c r="R206" s="200" t="str">
        <f t="shared" ca="1" si="135"/>
        <v/>
      </c>
      <c r="S206" s="9" t="str">
        <f ca="1">IF(COUNTIF(($T$4:T205),"F")&gt;=1,"",IF(OR(C207&lt;&gt;$C$3,E206=""),"",A206))</f>
        <v/>
      </c>
      <c r="T206" s="20" t="str">
        <f t="shared" ca="1" si="127"/>
        <v/>
      </c>
      <c r="U206" s="2">
        <f ca="1">IF(IF(OP!$C$83=1,$Z205,IF(OP!$C$83=2,$AA205,IF(OP!$C$83=3,$AB205,)))+$K206-$O206-$P206-$AS206&lt;OP!$C$142,0,$AS206)</f>
        <v>0</v>
      </c>
      <c r="V206" s="9"/>
      <c r="W206" s="19">
        <f ca="1">MAX(SUM($K$4:K206),0)</f>
        <v>2000000</v>
      </c>
      <c r="X206" s="19"/>
      <c r="Y206" s="19">
        <f t="shared" ca="1" si="153"/>
        <v>1920000</v>
      </c>
      <c r="Z206" s="2">
        <f ca="1">IF(MIN($Z$4:Z205)=0,0,MAX(0,($Z205+$K206-$O206-$P206)*IF(AND(F206="F",$D$3&lt;&gt;$G$3),((1+(-J206))^(H206/MIN(G206,365))),((1+(-J206))^(1/12)))-$U206))</f>
        <v>806229.87102875428</v>
      </c>
      <c r="AA206" s="2">
        <f ca="1">IF(MIN($AA$4:AA205)=0,0,MAX(0,($AA205+$K206-$O206-$P206)*IF(AND(F206="F",$D$3&lt;&gt;$G$3),((1+$AA$1)^(H206/MIN(G206,365))),((1+$AA$1)^(1/12)))-$U206))</f>
        <v>1920000</v>
      </c>
      <c r="AB206" s="2">
        <f ca="1">IF(MIN($AB$4:AB205)=0,0,MAX(0,($AB205+$K206-$O206-$P206)*IF(AND(F206="F",$D$3&lt;&gt;$G$3),((1+(J206))^(H206/MIN(G206,365))),((1+(J206))^(1/12)))-$U206))</f>
        <v>4382819.0229571695</v>
      </c>
      <c r="AC206" s="5"/>
      <c r="AD206" s="5"/>
      <c r="AE206" s="5"/>
      <c r="AF206" s="282">
        <f t="shared" ca="1" si="136"/>
        <v>806230</v>
      </c>
      <c r="AG206" s="282">
        <f t="shared" ca="1" si="137"/>
        <v>1920000</v>
      </c>
      <c r="AH206" s="282">
        <f t="shared" ca="1" si="138"/>
        <v>4382819</v>
      </c>
      <c r="AI206" s="23" t="str">
        <f t="shared" ca="1" si="154"/>
        <v>17-12</v>
      </c>
      <c r="AJ206" s="282">
        <f ca="1">IF(E206&gt;111,,IF(AND(OP!$C$99=1,T206="F"),Z206,IF(AND(OP!$C$99=2,COUNTIF($T$4:T206,"F")=1),OP!$C$97+IF(F206="F",OP!$C$98,0),"")))</f>
        <v>54527</v>
      </c>
      <c r="AK206" s="282">
        <f ca="1">IF(E206&gt;111,,IF(AND(OP!$D$99=1,T206="F"),AA206,IF(AND(OP!$D$99=2,COUNTIF($T$4:T206,"F")=1),OP!$D$97+IF(F206="F",OP!$D$98,0),"")))</f>
        <v>74177</v>
      </c>
      <c r="AL206" s="282">
        <f ca="1">IF(E206&gt;111,,IF(AND(OP!$E$99=1,T206="F"),AB206,IF(AND(OP!$E$99=2,COUNTIF($T$4:T206,"F")=1),OP!$E$97+IF(F206="F",OP!$E$98,0),"")))</f>
        <v>99404</v>
      </c>
      <c r="AM206" s="1">
        <f t="shared" ca="1" si="128"/>
        <v>12</v>
      </c>
      <c r="AN206" s="1" t="str">
        <f ca="1">IF(OR(VLOOKUP($A206,MP,5,0)="月繳"),1,"")</f>
        <v/>
      </c>
      <c r="AO206" s="1">
        <f t="shared" ca="1" si="139"/>
        <v>0</v>
      </c>
      <c r="AP206" s="1" t="str">
        <f ca="1">IF(AND(A206&lt;=OP!$C$120,COUNTIF(PAY,C206)=1),1,"")</f>
        <v/>
      </c>
      <c r="AR206" s="301">
        <f ca="1">IF(繳費報酬率資料!$A$1=1,$AY206+$AZ206,$BF206+$BG206)</f>
        <v>0</v>
      </c>
      <c r="AS206" s="1">
        <f ca="1">IF(C206&lt;&gt;IF($C$3=1,12,$C$3-1),0,IF(繳費報酬率資料!$A$1&lt;&gt;1,VLOOKUP($A206,MP,8,0),IF(AND($A206&gt;=OP!$C$79,$A206&lt;=OP!$C$80),OP!$C$78,)))</f>
        <v>0</v>
      </c>
      <c r="AT206" s="298">
        <f t="shared" ca="1" si="140"/>
        <v>0</v>
      </c>
      <c r="AU206" s="298">
        <f ca="1">IF(AND(A206&lt;=OP!$C$120,COUNTIF(PAY,C206)=1),OP!$C$123,0)</f>
        <v>0</v>
      </c>
      <c r="AV206" s="298">
        <f ca="1">IF(AND(A206&gt;=OP!$C$132,A206&lt;=OP!$C$133,$C$3=C206),OP!$C$135,0)</f>
        <v>0</v>
      </c>
      <c r="AW206" s="180">
        <f t="shared" ca="1" si="141"/>
        <v>0.05</v>
      </c>
      <c r="AX206" s="180">
        <f t="shared" ca="1" si="142"/>
        <v>0.05</v>
      </c>
      <c r="AY206" s="286">
        <f t="shared" ca="1" si="143"/>
        <v>0</v>
      </c>
      <c r="AZ206" s="286">
        <f t="shared" ca="1" si="144"/>
        <v>0</v>
      </c>
      <c r="BA206" s="286">
        <f t="shared" ca="1" si="145"/>
        <v>0</v>
      </c>
      <c r="BB206" s="286">
        <f t="shared" ca="1" si="146"/>
        <v>0</v>
      </c>
      <c r="BC206" s="286">
        <f t="shared" ca="1" si="147"/>
        <v>0</v>
      </c>
      <c r="BD206" s="180">
        <f t="shared" ca="1" si="148"/>
        <v>0.05</v>
      </c>
      <c r="BE206" s="180">
        <f t="shared" ca="1" si="149"/>
        <v>0.05</v>
      </c>
      <c r="BF206" s="286">
        <f t="shared" ca="1" si="150"/>
        <v>0</v>
      </c>
      <c r="BG206" s="286">
        <f t="shared" ca="1" si="151"/>
        <v>0</v>
      </c>
    </row>
    <row r="207" spans="1:59">
      <c r="A207" s="1">
        <f t="shared" ca="1" si="130"/>
        <v>17</v>
      </c>
      <c r="B207" s="1">
        <f t="shared" ca="1" si="124"/>
        <v>123</v>
      </c>
      <c r="C207" s="1">
        <f t="shared" ca="1" si="125"/>
        <v>5</v>
      </c>
      <c r="D207" s="1">
        <f ca="1">MIN($D$3,VLOOKUP(C207,OP!$S$30:$T$41,2))</f>
        <v>2</v>
      </c>
      <c r="E207" s="1">
        <f t="shared" ca="1" si="126"/>
        <v>71</v>
      </c>
      <c r="F207" s="11" t="str">
        <f t="shared" ca="1" si="131"/>
        <v/>
      </c>
      <c r="G207" s="8">
        <f t="shared" ca="1" si="132"/>
        <v>365</v>
      </c>
      <c r="H207" s="8">
        <f t="shared" ca="1" si="133"/>
        <v>31</v>
      </c>
      <c r="I207" s="8" t="str">
        <f t="shared" ca="1" si="129"/>
        <v>175</v>
      </c>
      <c r="J207" s="13">
        <f>IF(繳費報酬率資料!$A$1=1,VALUE(OP!$C$121),VLOOKUP(A207,MP,2,0))</f>
        <v>0.05</v>
      </c>
      <c r="K207" s="14">
        <f ca="1">IF(SUM($K$4:K206,IF(繳費報酬率資料!$A$1=1,$AU207+$AV207,$BB207+$BC207))&gt;OP!$L$58,0,IF(繳費報酬率資料!$A$1=1,$AU207+$AV207,$BB207+$BC207))</f>
        <v>0</v>
      </c>
      <c r="L207" s="2">
        <f ca="1">ROUND(IF(OP!$C$78&lt;(IF(OR($T207="F",$E207&gt;=111),0,Z206+$K207-$O207+IF($C$1=1,OP!$C$78,IF($C208=$C$3,SUM(AC196:AC207,0)))))*5%,0,(OP!$C$78-((IF(OR($T207="F",$E207&gt;=111),0,Z206+$K207-$O207+IF($C$1=1,AC207,IF($C208=$C$3,SUM(AC196:AC207,0)))))*5%))*$Q207),0)</f>
        <v>0</v>
      </c>
      <c r="M207" s="2">
        <f ca="1">ROUND(IF(OP!$C$78&lt;(IF(OR($T207="F",$E207&gt;=111),0,AA206+$K207-$O207+IF($C$1=1,AD207,IF($C208=$C$3,SUM(AD196:AD207,0)))))*5%,0,(OP!$C$78-((IF(OR($T207="F",$E207&gt;=111),0,AA206+$K207-$O207+IF($C$1=1,AD207,IF($C208=$C$3,SUM(AD196:AD207,0)))))*5%))*$Q207),0)</f>
        <v>0</v>
      </c>
      <c r="N207" s="2">
        <f ca="1">ROUND(IF(OP!$C$78&lt;(IF(OR($T207="F",$E207&gt;=111),0,AB206+$K207-$O207+IF($C$1=1,AE207,IF($C208=$C$3,SUM(AE196:AE207,0)))))*5%,0,(OP!$C$78-((IF(OR($T207="F",$E207&gt;=111),0,AB206+$K207-$O207+IF($C$1=1,AE207,IF($C208=$C$3,SUM(AE196:AE207,0)))))*5%))*$Q207),0)</f>
        <v>0</v>
      </c>
      <c r="O207" s="261">
        <f t="shared" ca="1" si="134"/>
        <v>0</v>
      </c>
      <c r="P207" s="261">
        <f t="shared" ca="1" si="152"/>
        <v>0</v>
      </c>
      <c r="Q207" s="3">
        <f ca="1">IF(A207&gt;MAX(OP!$R$17:$R$26),0,VLOOKUP(A207,fees,3,FALSE))</f>
        <v>0</v>
      </c>
      <c r="R207" s="200">
        <f t="shared" ca="1" si="135"/>
        <v>17</v>
      </c>
      <c r="S207" s="9" t="str">
        <f ca="1">IF(COUNTIF(($T$4:T206),"F")&gt;=1,"",IF(OR(C208&lt;&gt;$C$3,E207=""),"",A207))</f>
        <v/>
      </c>
      <c r="T207" s="20" t="str">
        <f t="shared" ca="1" si="127"/>
        <v/>
      </c>
      <c r="U207" s="2">
        <f ca="1">IF(IF(OP!$C$83=1,$Z206,IF(OP!$C$83=2,$AA206,IF(OP!$C$83=3,$AB206,)))+$K207-$O207-$P207-$AS207&lt;OP!$C$142,0,$AS207)</f>
        <v>0</v>
      </c>
      <c r="V207" s="19">
        <f ca="1">SUM(K196:K207)</f>
        <v>0</v>
      </c>
      <c r="W207" s="19">
        <f ca="1">MAX(SUM($K$4:K207),0)</f>
        <v>2000000</v>
      </c>
      <c r="X207" s="19">
        <f ca="1">SUM(O196:P207)</f>
        <v>0</v>
      </c>
      <c r="Y207" s="19">
        <f t="shared" ca="1" si="153"/>
        <v>1920000</v>
      </c>
      <c r="Z207" s="2">
        <f ca="1">IF(MIN($Z$4:Z206)=0,0,MAX(0,($Z206+$K207-$O207-$P207)*IF(AND(F207="F",$D$3&lt;&gt;$G$3),((1+(-J207))^(H207/MIN(G207,365))),((1+(-J207))^(1/12)))-$U207))</f>
        <v>802791.04362082505</v>
      </c>
      <c r="AA207" s="2">
        <f ca="1">IF(MIN($AA$4:AA206)=0,0,MAX(0,($AA206+$K207-$O207-$P207)*IF(AND(F207="F",$D$3&lt;&gt;$G$3),((1+$AA$1)^(H207/MIN(G207,365))),((1+$AA$1)^(1/12)))-$U207))</f>
        <v>1920000</v>
      </c>
      <c r="AB207" s="2">
        <f ca="1">IF(MIN($AB$4:AB206)=0,0,MAX(0,($AB206+$K207-$O207-$P207)*IF(AND(F207="F",$D$3&lt;&gt;$G$3),((1+(J207))^(H207/MIN(G207,365))),((1+(J207))^(1/12)))-$U207))</f>
        <v>4400675.170178026</v>
      </c>
      <c r="AC207" s="5"/>
      <c r="AD207" s="5"/>
      <c r="AE207" s="5"/>
      <c r="AF207" s="282">
        <f t="shared" ca="1" si="136"/>
        <v>802791</v>
      </c>
      <c r="AG207" s="282">
        <f t="shared" ca="1" si="137"/>
        <v>1920000</v>
      </c>
      <c r="AH207" s="282">
        <f t="shared" ca="1" si="138"/>
        <v>4400675</v>
      </c>
      <c r="AI207" s="23" t="str">
        <f t="shared" ca="1" si="154"/>
        <v>18-1</v>
      </c>
      <c r="AJ207" s="282">
        <f ca="1">IF(E207&gt;111,,IF(AND(OP!$C$99=1,T207="F"),Z207,IF(AND(OP!$C$99=2,COUNTIF($T$4:T207,"F")=1),OP!$C$97+IF(F207="F",OP!$C$98,0),"")))</f>
        <v>54527</v>
      </c>
      <c r="AK207" s="282">
        <f ca="1">IF(E207&gt;111,,IF(AND(OP!$D$99=1,T207="F"),AA207,IF(AND(OP!$D$99=2,COUNTIF($T$4:T207,"F")=1),OP!$D$97+IF(F207="F",OP!$D$98,0),"")))</f>
        <v>74177</v>
      </c>
      <c r="AL207" s="282">
        <f ca="1">IF(E207&gt;111,,IF(AND(OP!$E$99=1,T207="F"),AB207,IF(AND(OP!$E$99=2,COUNTIF($T$4:T207,"F")=1),OP!$E$97+IF(F207="F",OP!$E$98,0),"")))</f>
        <v>99404</v>
      </c>
      <c r="AM207" s="1">
        <f t="shared" ca="1" si="128"/>
        <v>1</v>
      </c>
      <c r="AN207" s="1" t="str">
        <f ca="1">IF(OR(VLOOKUP($A207,MP,5,0)="月繳"),1,"")</f>
        <v/>
      </c>
      <c r="AO207" s="1">
        <f t="shared" ca="1" si="139"/>
        <v>0</v>
      </c>
      <c r="AP207" s="1" t="str">
        <f ca="1">IF(AND(A207&lt;=OP!$C$120,COUNTIF(PAY,C207)=1),1,"")</f>
        <v/>
      </c>
      <c r="AR207" s="301">
        <f ca="1">IF(繳費報酬率資料!$A$1=1,$AY207+$AZ207,$BF207+$BG207)</f>
        <v>0</v>
      </c>
      <c r="AS207" s="1">
        <f ca="1">IF(C207&lt;&gt;IF($C$3=1,12,$C$3-1),0,IF(繳費報酬率資料!$A$1&lt;&gt;1,VLOOKUP($A207,MP,8,0),IF(AND($A207&gt;=OP!$C$79,$A207&lt;=OP!$C$80),OP!$C$78,)))</f>
        <v>0</v>
      </c>
      <c r="AT207" s="298">
        <f t="shared" ca="1" si="140"/>
        <v>0</v>
      </c>
      <c r="AU207" s="298">
        <f ca="1">IF(AND(A207&lt;=OP!$C$120,COUNTIF(PAY,C207)=1),OP!$C$123,0)</f>
        <v>0</v>
      </c>
      <c r="AV207" s="298">
        <f ca="1">IF(AND(A207&gt;=OP!$C$132,A207&lt;=OP!$C$133,$C$3=C207),OP!$C$135,0)</f>
        <v>0</v>
      </c>
      <c r="AW207" s="180">
        <f t="shared" ca="1" si="141"/>
        <v>0.05</v>
      </c>
      <c r="AX207" s="180">
        <f t="shared" ca="1" si="142"/>
        <v>0.05</v>
      </c>
      <c r="AY207" s="286">
        <f t="shared" ca="1" si="143"/>
        <v>0</v>
      </c>
      <c r="AZ207" s="286">
        <f t="shared" ca="1" si="144"/>
        <v>0</v>
      </c>
      <c r="BA207" s="286">
        <f t="shared" ca="1" si="145"/>
        <v>0</v>
      </c>
      <c r="BB207" s="286">
        <f t="shared" ca="1" si="146"/>
        <v>0</v>
      </c>
      <c r="BC207" s="286">
        <f t="shared" ca="1" si="147"/>
        <v>0</v>
      </c>
      <c r="BD207" s="180">
        <f t="shared" ca="1" si="148"/>
        <v>0.05</v>
      </c>
      <c r="BE207" s="180">
        <f t="shared" ca="1" si="149"/>
        <v>0.05</v>
      </c>
      <c r="BF207" s="286">
        <f t="shared" ca="1" si="150"/>
        <v>0</v>
      </c>
      <c r="BG207" s="286">
        <f t="shared" ca="1" si="151"/>
        <v>0</v>
      </c>
    </row>
    <row r="208" spans="1:59">
      <c r="A208" s="1">
        <f t="shared" ca="1" si="130"/>
        <v>18</v>
      </c>
      <c r="B208" s="1">
        <f t="shared" ca="1" si="124"/>
        <v>123</v>
      </c>
      <c r="C208" s="1">
        <f t="shared" ca="1" si="125"/>
        <v>6</v>
      </c>
      <c r="D208" s="1">
        <f ca="1">MIN($D$3,VLOOKUP(C208,OP!$S$30:$T$41,2))</f>
        <v>2</v>
      </c>
      <c r="E208" s="1">
        <f t="shared" ca="1" si="126"/>
        <v>72</v>
      </c>
      <c r="F208" s="11" t="str">
        <f t="shared" ca="1" si="131"/>
        <v/>
      </c>
      <c r="G208" s="6">
        <f ca="1">DATEDIF(DATE(B208+1911,C208,D208),DATE(B220+1911,C220,D220),"d")</f>
        <v>365</v>
      </c>
      <c r="H208" s="8">
        <f t="shared" ca="1" si="133"/>
        <v>30</v>
      </c>
      <c r="I208" s="8" t="str">
        <f t="shared" ca="1" si="129"/>
        <v>186</v>
      </c>
      <c r="J208" s="13">
        <f>IF(繳費報酬率資料!$A$1=1,VALUE(OP!$C$121),VLOOKUP(A208,MP,2,0))</f>
        <v>0.05</v>
      </c>
      <c r="K208" s="14">
        <f ca="1">IF(SUM($K$4:K207,IF(繳費報酬率資料!$A$1=1,$AU208+$AV208,$BB208+$BC208))&gt;OP!$L$58,0,IF(繳費報酬率資料!$A$1=1,$AU208+$AV208,$BB208+$BC208))</f>
        <v>0</v>
      </c>
      <c r="L208" s="2"/>
      <c r="M208" s="2"/>
      <c r="N208" s="2"/>
      <c r="O208" s="261">
        <f t="shared" ca="1" si="134"/>
        <v>0</v>
      </c>
      <c r="P208" s="261">
        <f t="shared" ca="1" si="152"/>
        <v>0</v>
      </c>
      <c r="Q208" s="3">
        <f ca="1">IF(A208&gt;MAX(OP!$R$17:$R$26),0,VLOOKUP(A208,fees,3,FALSE))</f>
        <v>0</v>
      </c>
      <c r="R208" s="200" t="str">
        <f t="shared" ca="1" si="135"/>
        <v/>
      </c>
      <c r="S208" s="9" t="str">
        <f ca="1">IF(COUNTIF(($T$4:T207),"F")&gt;=1,"",IF(OR(C209&lt;&gt;$C$3,E208=""),"",A208))</f>
        <v/>
      </c>
      <c r="T208" s="20" t="str">
        <f t="shared" ca="1" si="127"/>
        <v/>
      </c>
      <c r="U208" s="2">
        <f ca="1">IF(IF(OP!$C$83=1,$Z207,IF(OP!$C$83=2,$AA207,IF(OP!$C$83=3,$AB207,)))+$K208-$O208-$P208-$AS208&lt;OP!$C$142,0,$AS208)</f>
        <v>0</v>
      </c>
      <c r="V208" s="9"/>
      <c r="W208" s="19">
        <f ca="1">MAX(SUM($K$4:K208),0)</f>
        <v>2000000</v>
      </c>
      <c r="X208" s="19"/>
      <c r="Y208" s="19">
        <f t="shared" ca="1" si="153"/>
        <v>1920000</v>
      </c>
      <c r="Z208" s="2">
        <f ca="1">IF(MIN($Z$4:Z207)=0,0,MAX(0,($Z207+$K208-$O208-$P208)*IF(AND(F208="F",$D$3&lt;&gt;$G$3),((1+(-J208))^(H208/MIN(G208,365))),((1+(-J208))^(1/12)))-$U208))</f>
        <v>799366.8839080116</v>
      </c>
      <c r="AA208" s="2">
        <f ca="1">IF(MIN($AA$4:AA207)=0,0,MAX(0,($AA207+$K208-$O208-$P208)*IF(AND(F208="F",$D$3&lt;&gt;$G$3),((1+$AA$1)^(H208/MIN(G208,365))),((1+$AA$1)^(1/12)))-$U208))</f>
        <v>1920000</v>
      </c>
      <c r="AB208" s="2">
        <f ca="1">IF(MIN($AB$4:AB207)=0,0,MAX(0,($AB207+$K208-$O208-$P208)*IF(AND(F208="F",$D$3&lt;&gt;$G$3),((1+(J208))^(H208/MIN(G208,365))),((1+(J208))^(1/12)))-$U208))</f>
        <v>4418604.0655529592</v>
      </c>
      <c r="AC208" s="21"/>
      <c r="AD208" s="21"/>
      <c r="AE208" s="21"/>
      <c r="AF208" s="282">
        <f t="shared" ca="1" si="136"/>
        <v>799367</v>
      </c>
      <c r="AG208" s="282">
        <f t="shared" ca="1" si="137"/>
        <v>1920000</v>
      </c>
      <c r="AH208" s="282">
        <f t="shared" ca="1" si="138"/>
        <v>4418604</v>
      </c>
      <c r="AI208" s="23" t="str">
        <f t="shared" ca="1" si="154"/>
        <v>18-2</v>
      </c>
      <c r="AJ208" s="281">
        <f ca="1">IF(E208&gt;111,,IF(AND(OP!$C$99=1,T208="F"),Z208,IF(AND(OP!$C$99=2,COUNTIF($T$4:T208,"F")=1),OP!$C$97+IF(F208="F",OP!$C$98,0),"")))</f>
        <v>54527</v>
      </c>
      <c r="AK208" s="281">
        <f ca="1">IF(E208&gt;111,,IF(AND(OP!$D$99=1,T208="F"),AA208,IF(AND(OP!$D$99=2,COUNTIF($T$4:T208,"F")=1),OP!$D$97+IF(F208="F",OP!$D$98,0),"")))</f>
        <v>74177</v>
      </c>
      <c r="AL208" s="281">
        <f ca="1">IF(E208&gt;111,,IF(AND(OP!$E$99=1,T208="F"),AB208,IF(AND(OP!$E$99=2,COUNTIF($T$4:T208,"F")=1),OP!$E$97+IF(F208="F",OP!$E$98,0),"")))</f>
        <v>99404</v>
      </c>
      <c r="AM208" s="1">
        <f t="shared" ca="1" si="128"/>
        <v>2</v>
      </c>
      <c r="AN208" s="1">
        <f ca="1">IF(OR(VLOOKUP($A208,MP,5,0)="年繳",VLOOKUP($A208,MP,5,0)="半年繳",VLOOKUP($A208,MP,5,0)="季繳",VLOOKUP($A208,MP,5,0)="月繳"),1,"")</f>
        <v>1</v>
      </c>
      <c r="AO208" s="1">
        <f t="shared" ca="1" si="139"/>
        <v>0</v>
      </c>
      <c r="AP208" s="1" t="str">
        <f ca="1">IF(AND(A208&lt;=OP!$C$120,COUNTIF(PAY,C208)=1),1,"")</f>
        <v/>
      </c>
      <c r="AR208" s="301">
        <f ca="1">IF(繳費報酬率資料!$A$1=1,$AY208+$AZ208,$BF208+$BG208)</f>
        <v>0</v>
      </c>
      <c r="AS208" s="1">
        <f ca="1">IF(C208&lt;&gt;IF($C$3=1,12,$C$3-1),0,IF(繳費報酬率資料!$A$1&lt;&gt;1,VLOOKUP($A208,MP,8,0),IF(AND($A208&gt;=OP!$C$79,$A208&lt;=OP!$C$80),OP!$C$78,)))</f>
        <v>0</v>
      </c>
      <c r="AT208" s="298">
        <f t="shared" ca="1" si="140"/>
        <v>0</v>
      </c>
      <c r="AU208" s="298">
        <f ca="1">IF(AND(A208&lt;=OP!$C$120,COUNTIF(PAY,C208)=1),OP!$C$123,0)</f>
        <v>0</v>
      </c>
      <c r="AV208" s="298">
        <f ca="1">IF(AND(A208&gt;=OP!$C$132,A208&lt;=OP!$C$133,$C$3=C208),OP!$C$135,0)</f>
        <v>0</v>
      </c>
      <c r="AW208" s="180">
        <f t="shared" ca="1" si="141"/>
        <v>0.05</v>
      </c>
      <c r="AX208" s="180">
        <f t="shared" ca="1" si="142"/>
        <v>0.05</v>
      </c>
      <c r="AY208" s="286">
        <f t="shared" ca="1" si="143"/>
        <v>0</v>
      </c>
      <c r="AZ208" s="286">
        <f t="shared" ca="1" si="144"/>
        <v>0</v>
      </c>
      <c r="BA208" s="286">
        <f t="shared" ca="1" si="145"/>
        <v>0</v>
      </c>
      <c r="BB208" s="286">
        <f t="shared" ca="1" si="146"/>
        <v>0</v>
      </c>
      <c r="BC208" s="286">
        <f t="shared" ca="1" si="147"/>
        <v>0</v>
      </c>
      <c r="BD208" s="180">
        <f t="shared" ca="1" si="148"/>
        <v>0.05</v>
      </c>
      <c r="BE208" s="180">
        <f t="shared" ca="1" si="149"/>
        <v>0.05</v>
      </c>
      <c r="BF208" s="286">
        <f t="shared" ca="1" si="150"/>
        <v>0</v>
      </c>
      <c r="BG208" s="286">
        <f t="shared" ca="1" si="151"/>
        <v>0</v>
      </c>
    </row>
    <row r="209" spans="1:59">
      <c r="A209" s="1">
        <f t="shared" ca="1" si="130"/>
        <v>18</v>
      </c>
      <c r="B209" s="1">
        <f t="shared" ca="1" si="124"/>
        <v>123</v>
      </c>
      <c r="C209" s="1">
        <f t="shared" ca="1" si="125"/>
        <v>7</v>
      </c>
      <c r="D209" s="1">
        <f ca="1">MIN($D$3,VLOOKUP(C209,OP!$S$30:$T$41,2))</f>
        <v>2</v>
      </c>
      <c r="E209" s="1">
        <f t="shared" ca="1" si="126"/>
        <v>72</v>
      </c>
      <c r="F209" s="11" t="str">
        <f t="shared" ca="1" si="131"/>
        <v/>
      </c>
      <c r="G209" s="8">
        <f t="shared" ref="G209:G219" ca="1" si="155">G208</f>
        <v>365</v>
      </c>
      <c r="H209" s="8">
        <f t="shared" ca="1" si="133"/>
        <v>31</v>
      </c>
      <c r="I209" s="8" t="str">
        <f t="shared" ca="1" si="129"/>
        <v>187</v>
      </c>
      <c r="J209" s="13">
        <f>IF(繳費報酬率資料!$A$1=1,VALUE(OP!$C$121),VLOOKUP(A209,MP,2,0))</f>
        <v>0.05</v>
      </c>
      <c r="K209" s="14">
        <f ca="1">IF(SUM($K$4:K208,IF(繳費報酬率資料!$A$1=1,$AU209+$AV209,$BB209+$BC209))&gt;OP!$L$58,0,IF(繳費報酬率資料!$A$1=1,$AU209+$AV209,$BB209+$BC209))</f>
        <v>0</v>
      </c>
      <c r="L209" s="2"/>
      <c r="M209" s="2"/>
      <c r="N209" s="2"/>
      <c r="O209" s="261">
        <f t="shared" ca="1" si="134"/>
        <v>0</v>
      </c>
      <c r="P209" s="261">
        <f t="shared" ca="1" si="152"/>
        <v>0</v>
      </c>
      <c r="Q209" s="3">
        <f ca="1">IF(A209&gt;MAX(OP!$R$17:$R$26),0,VLOOKUP(A209,fees,3,FALSE))</f>
        <v>0</v>
      </c>
      <c r="R209" s="200" t="str">
        <f t="shared" ca="1" si="135"/>
        <v/>
      </c>
      <c r="S209" s="9" t="str">
        <f ca="1">IF(COUNTIF(($T$4:T208),"F")&gt;=1,"",IF(OR(C210&lt;&gt;$C$3,E209=""),"",A209))</f>
        <v/>
      </c>
      <c r="T209" s="20" t="str">
        <f t="shared" ca="1" si="127"/>
        <v/>
      </c>
      <c r="U209" s="2">
        <f ca="1">IF(IF(OP!$C$83=1,$Z208,IF(OP!$C$83=2,$AA208,IF(OP!$C$83=3,$AB208,)))+$K209-$O209-$P209-$AS209&lt;OP!$C$142,0,$AS209)</f>
        <v>0</v>
      </c>
      <c r="V209" s="9"/>
      <c r="W209" s="19">
        <f ca="1">MAX(SUM($K$4:K209),0)</f>
        <v>2000000</v>
      </c>
      <c r="X209" s="19"/>
      <c r="Y209" s="19">
        <f t="shared" ca="1" si="153"/>
        <v>1920000</v>
      </c>
      <c r="Z209" s="2">
        <f ca="1">IF(MIN($Z$4:Z208)=0,0,MAX(0,($Z208+$K209-$O209-$P209)*IF(AND(F209="F",$D$3&lt;&gt;$G$3),((1+(-J209))^(H209/MIN(G209,365))),((1+(-J209))^(1/12)))-$U209))</f>
        <v>795957.32932791859</v>
      </c>
      <c r="AA209" s="2">
        <f ca="1">IF(MIN($AA$4:AA208)=0,0,MAX(0,($AA208+$K209-$O209-$P209)*IF(AND(F209="F",$D$3&lt;&gt;$G$3),((1+$AA$1)^(H209/MIN(G209,365))),((1+$AA$1)^(1/12)))-$U209))</f>
        <v>1920000</v>
      </c>
      <c r="AB209" s="2">
        <f ca="1">IF(MIN($AB$4:AB208)=0,0,MAX(0,($AB208+$K209-$O209-$P209)*IF(AND(F209="F",$D$3&lt;&gt;$G$3),((1+(J209))^(H209/MIN(G209,365))),((1+(J209))^(1/12)))-$U209))</f>
        <v>4436606.0054669539</v>
      </c>
      <c r="AC209" s="5"/>
      <c r="AD209" s="5"/>
      <c r="AE209" s="5"/>
      <c r="AF209" s="282">
        <f t="shared" ca="1" si="136"/>
        <v>795957</v>
      </c>
      <c r="AG209" s="282">
        <f t="shared" ca="1" si="137"/>
        <v>1920000</v>
      </c>
      <c r="AH209" s="282">
        <f t="shared" ca="1" si="138"/>
        <v>4436606</v>
      </c>
      <c r="AI209" s="23" t="str">
        <f t="shared" ca="1" si="154"/>
        <v>18-3</v>
      </c>
      <c r="AJ209" s="282">
        <f ca="1">IF(E209&gt;111,,IF(AND(OP!$C$99=1,T209="F"),Z209,IF(AND(OP!$C$99=2,COUNTIF($T$4:T209,"F")=1),OP!$C$97+IF(F209="F",OP!$C$98,0),"")))</f>
        <v>54527</v>
      </c>
      <c r="AK209" s="282">
        <f ca="1">IF(E209&gt;111,,IF(AND(OP!$D$99=1,T209="F"),AA209,IF(AND(OP!$D$99=2,COUNTIF($T$4:T209,"F")=1),OP!$D$97+IF(F209="F",OP!$D$98,0),"")))</f>
        <v>74177</v>
      </c>
      <c r="AL209" s="282">
        <f ca="1">IF(E209&gt;111,,IF(AND(OP!$E$99=1,T209="F"),AB209,IF(AND(OP!$E$99=2,COUNTIF($T$4:T209,"F")=1),OP!$E$97+IF(F209="F",OP!$E$98,0),"")))</f>
        <v>99404</v>
      </c>
      <c r="AM209" s="1">
        <f t="shared" ca="1" si="128"/>
        <v>3</v>
      </c>
      <c r="AN209" s="1" t="str">
        <f ca="1">IF(OR(VLOOKUP($A209,MP,5,0)="月繳"),1,"")</f>
        <v/>
      </c>
      <c r="AO209" s="1">
        <f t="shared" ca="1" si="139"/>
        <v>0</v>
      </c>
      <c r="AP209" s="1" t="str">
        <f ca="1">IF(AND(A209&lt;=OP!$C$120,COUNTIF(PAY,C209)=1),1,"")</f>
        <v/>
      </c>
      <c r="AR209" s="301">
        <f ca="1">IF(繳費報酬率資料!$A$1=1,$AY209+$AZ209,$BF209+$BG209)</f>
        <v>0</v>
      </c>
      <c r="AS209" s="1">
        <f ca="1">IF(C209&lt;&gt;IF($C$3=1,12,$C$3-1),0,IF(繳費報酬率資料!$A$1&lt;&gt;1,VLOOKUP($A209,MP,8,0),IF(AND($A209&gt;=OP!$C$79,$A209&lt;=OP!$C$80),OP!$C$78,)))</f>
        <v>0</v>
      </c>
      <c r="AT209" s="298">
        <f t="shared" ca="1" si="140"/>
        <v>0</v>
      </c>
      <c r="AU209" s="298">
        <f ca="1">IF(AND(A209&lt;=OP!$C$120,COUNTIF(PAY,C209)=1),OP!$C$123,0)</f>
        <v>0</v>
      </c>
      <c r="AV209" s="298">
        <f ca="1">IF(AND(A209&gt;=OP!$C$132,A209&lt;=OP!$C$133,$C$3=C209),OP!$C$135,0)</f>
        <v>0</v>
      </c>
      <c r="AW209" s="180">
        <f t="shared" ca="1" si="141"/>
        <v>0.05</v>
      </c>
      <c r="AX209" s="180">
        <f t="shared" ca="1" si="142"/>
        <v>0.05</v>
      </c>
      <c r="AY209" s="286">
        <f t="shared" ca="1" si="143"/>
        <v>0</v>
      </c>
      <c r="AZ209" s="286">
        <f t="shared" ca="1" si="144"/>
        <v>0</v>
      </c>
      <c r="BA209" s="286">
        <f t="shared" ca="1" si="145"/>
        <v>0</v>
      </c>
      <c r="BB209" s="286">
        <f t="shared" ca="1" si="146"/>
        <v>0</v>
      </c>
      <c r="BC209" s="286">
        <f t="shared" ca="1" si="147"/>
        <v>0</v>
      </c>
      <c r="BD209" s="180">
        <f t="shared" ca="1" si="148"/>
        <v>0.05</v>
      </c>
      <c r="BE209" s="180">
        <f t="shared" ca="1" si="149"/>
        <v>0.05</v>
      </c>
      <c r="BF209" s="286">
        <f t="shared" ca="1" si="150"/>
        <v>0</v>
      </c>
      <c r="BG209" s="286">
        <f t="shared" ca="1" si="151"/>
        <v>0</v>
      </c>
    </row>
    <row r="210" spans="1:59">
      <c r="A210" s="1">
        <f t="shared" ca="1" si="130"/>
        <v>18</v>
      </c>
      <c r="B210" s="1">
        <f t="shared" ca="1" si="124"/>
        <v>123</v>
      </c>
      <c r="C210" s="1">
        <f t="shared" ca="1" si="125"/>
        <v>8</v>
      </c>
      <c r="D210" s="1">
        <f ca="1">MIN($D$3,VLOOKUP(C210,OP!$S$30:$T$41,2))</f>
        <v>2</v>
      </c>
      <c r="E210" s="1">
        <f t="shared" ca="1" si="126"/>
        <v>72</v>
      </c>
      <c r="F210" s="11" t="str">
        <f t="shared" ca="1" si="131"/>
        <v/>
      </c>
      <c r="G210" s="8">
        <f t="shared" ca="1" si="155"/>
        <v>365</v>
      </c>
      <c r="H210" s="8">
        <f t="shared" ca="1" si="133"/>
        <v>31</v>
      </c>
      <c r="I210" s="8" t="str">
        <f t="shared" ca="1" si="129"/>
        <v>188</v>
      </c>
      <c r="J210" s="13">
        <f>IF(繳費報酬率資料!$A$1=1,VALUE(OP!$C$121),VLOOKUP(A210,MP,2,0))</f>
        <v>0.05</v>
      </c>
      <c r="K210" s="14">
        <f ca="1">IF(SUM($K$4:K209,IF(繳費報酬率資料!$A$1=1,$AU210+$AV210,$BB210+$BC210))&gt;OP!$L$58,0,IF(繳費報酬率資料!$A$1=1,$AU210+$AV210,$BB210+$BC210))</f>
        <v>0</v>
      </c>
      <c r="L210" s="2"/>
      <c r="M210" s="2"/>
      <c r="N210" s="2"/>
      <c r="O210" s="261">
        <f t="shared" ca="1" si="134"/>
        <v>0</v>
      </c>
      <c r="P210" s="261">
        <f t="shared" ca="1" si="152"/>
        <v>0</v>
      </c>
      <c r="Q210" s="3">
        <f ca="1">IF(A210&gt;MAX(OP!$R$17:$R$26),0,VLOOKUP(A210,fees,3,FALSE))</f>
        <v>0</v>
      </c>
      <c r="R210" s="200" t="str">
        <f t="shared" ca="1" si="135"/>
        <v/>
      </c>
      <c r="S210" s="9" t="str">
        <f ca="1">IF(COUNTIF(($T$4:T209),"F")&gt;=1,"",IF(OR(C211&lt;&gt;$C$3,E210=""),"",A210))</f>
        <v/>
      </c>
      <c r="T210" s="20" t="str">
        <f t="shared" ca="1" si="127"/>
        <v/>
      </c>
      <c r="U210" s="2">
        <f ca="1">IF(IF(OP!$C$83=1,$Z209,IF(OP!$C$83=2,$AA209,IF(OP!$C$83=3,$AB209,)))+$K210-$O210-$P210-$AS210&lt;OP!$C$142,0,$AS210)</f>
        <v>0</v>
      </c>
      <c r="V210" s="9"/>
      <c r="W210" s="19">
        <f ca="1">MAX(SUM($K$4:K210),0)</f>
        <v>2000000</v>
      </c>
      <c r="X210" s="19"/>
      <c r="Y210" s="19">
        <f t="shared" ca="1" si="153"/>
        <v>1920000</v>
      </c>
      <c r="Z210" s="2">
        <f ca="1">IF(MIN($Z$4:Z209)=0,0,MAX(0,($Z209+$K210-$O210-$P210)*IF(AND(F210="F",$D$3&lt;&gt;$G$3),((1+(-J210))^(H210/MIN(G210,365))),((1+(-J210))^(1/12)))-$U210))</f>
        <v>792562.31758499914</v>
      </c>
      <c r="AA210" s="2">
        <f ca="1">IF(MIN($AA$4:AA209)=0,0,MAX(0,($AA209+$K210-$O210-$P210)*IF(AND(F210="F",$D$3&lt;&gt;$G$3),((1+$AA$1)^(H210/MIN(G210,365))),((1+$AA$1)^(1/12)))-$U210))</f>
        <v>1920000</v>
      </c>
      <c r="AB210" s="2">
        <f ca="1">IF(MIN($AB$4:AB209)=0,0,MAX(0,($AB209+$K210-$O210-$P210)*IF(AND(F210="F",$D$3&lt;&gt;$G$3),((1+(J210))^(H210/MIN(G210,365))),((1+(J210))^(1/12)))-$U210))</f>
        <v>4454681.2875125036</v>
      </c>
      <c r="AC210" s="5"/>
      <c r="AD210" s="5"/>
      <c r="AE210" s="5"/>
      <c r="AF210" s="282">
        <f t="shared" ca="1" si="136"/>
        <v>792562</v>
      </c>
      <c r="AG210" s="282">
        <f t="shared" ca="1" si="137"/>
        <v>1920000</v>
      </c>
      <c r="AH210" s="282">
        <f t="shared" ca="1" si="138"/>
        <v>4454681</v>
      </c>
      <c r="AI210" s="23" t="str">
        <f t="shared" ca="1" si="154"/>
        <v>18-4</v>
      </c>
      <c r="AJ210" s="282">
        <f ca="1">IF(E210&gt;111,,IF(AND(OP!$C$99=1,T210="F"),Z210,IF(AND(OP!$C$99=2,COUNTIF($T$4:T210,"F")=1),OP!$C$97+IF(F210="F",OP!$C$98,0),"")))</f>
        <v>54527</v>
      </c>
      <c r="AK210" s="282">
        <f ca="1">IF(E210&gt;111,,IF(AND(OP!$D$99=1,T210="F"),AA210,IF(AND(OP!$D$99=2,COUNTIF($T$4:T210,"F")=1),OP!$D$97+IF(F210="F",OP!$D$98,0),"")))</f>
        <v>74177</v>
      </c>
      <c r="AL210" s="282">
        <f ca="1">IF(E210&gt;111,,IF(AND(OP!$E$99=1,T210="F"),AB210,IF(AND(OP!$E$99=2,COUNTIF($T$4:T210,"F")=1),OP!$E$97+IF(F210="F",OP!$E$98,0),"")))</f>
        <v>99404</v>
      </c>
      <c r="AM210" s="1">
        <f t="shared" ca="1" si="128"/>
        <v>4</v>
      </c>
      <c r="AN210" s="1" t="str">
        <f ca="1">IF(OR(VLOOKUP($A210,MP,5,0)="月繳"),1,"")</f>
        <v/>
      </c>
      <c r="AO210" s="1">
        <f t="shared" ca="1" si="139"/>
        <v>0</v>
      </c>
      <c r="AP210" s="1" t="str">
        <f ca="1">IF(AND(A210&lt;=OP!$C$120,COUNTIF(PAY,C210)=1),1,"")</f>
        <v/>
      </c>
      <c r="AR210" s="301">
        <f ca="1">IF(繳費報酬率資料!$A$1=1,$AY210+$AZ210,$BF210+$BG210)</f>
        <v>0</v>
      </c>
      <c r="AS210" s="1">
        <f ca="1">IF(C210&lt;&gt;IF($C$3=1,12,$C$3-1),0,IF(繳費報酬率資料!$A$1&lt;&gt;1,VLOOKUP($A210,MP,8,0),IF(AND($A210&gt;=OP!$C$79,$A210&lt;=OP!$C$80),OP!$C$78,)))</f>
        <v>0</v>
      </c>
      <c r="AT210" s="298">
        <f t="shared" ca="1" si="140"/>
        <v>0</v>
      </c>
      <c r="AU210" s="298">
        <f ca="1">IF(AND(A210&lt;=OP!$C$120,COUNTIF(PAY,C210)=1),OP!$C$123,0)</f>
        <v>0</v>
      </c>
      <c r="AV210" s="298">
        <f ca="1">IF(AND(A210&gt;=OP!$C$132,A210&lt;=OP!$C$133,$C$3=C210),OP!$C$135,0)</f>
        <v>0</v>
      </c>
      <c r="AW210" s="180">
        <f t="shared" ca="1" si="141"/>
        <v>0.05</v>
      </c>
      <c r="AX210" s="180">
        <f t="shared" ca="1" si="142"/>
        <v>0.05</v>
      </c>
      <c r="AY210" s="286">
        <f t="shared" ca="1" si="143"/>
        <v>0</v>
      </c>
      <c r="AZ210" s="286">
        <f t="shared" ca="1" si="144"/>
        <v>0</v>
      </c>
      <c r="BA210" s="286">
        <f t="shared" ca="1" si="145"/>
        <v>0</v>
      </c>
      <c r="BB210" s="286">
        <f t="shared" ca="1" si="146"/>
        <v>0</v>
      </c>
      <c r="BC210" s="286">
        <f t="shared" ca="1" si="147"/>
        <v>0</v>
      </c>
      <c r="BD210" s="180">
        <f t="shared" ca="1" si="148"/>
        <v>0.05</v>
      </c>
      <c r="BE210" s="180">
        <f t="shared" ca="1" si="149"/>
        <v>0.05</v>
      </c>
      <c r="BF210" s="286">
        <f t="shared" ca="1" si="150"/>
        <v>0</v>
      </c>
      <c r="BG210" s="286">
        <f t="shared" ca="1" si="151"/>
        <v>0</v>
      </c>
    </row>
    <row r="211" spans="1:59">
      <c r="A211" s="1">
        <f t="shared" ca="1" si="130"/>
        <v>18</v>
      </c>
      <c r="B211" s="1">
        <f t="shared" ca="1" si="124"/>
        <v>123</v>
      </c>
      <c r="C211" s="1">
        <f t="shared" ca="1" si="125"/>
        <v>9</v>
      </c>
      <c r="D211" s="1">
        <f ca="1">MIN($D$3,VLOOKUP(C211,OP!$S$30:$T$41,2))</f>
        <v>2</v>
      </c>
      <c r="E211" s="1">
        <f t="shared" ca="1" si="126"/>
        <v>72</v>
      </c>
      <c r="F211" s="11" t="str">
        <f t="shared" ca="1" si="131"/>
        <v/>
      </c>
      <c r="G211" s="8">
        <f t="shared" ca="1" si="155"/>
        <v>365</v>
      </c>
      <c r="H211" s="8">
        <f t="shared" ca="1" si="133"/>
        <v>30</v>
      </c>
      <c r="I211" s="8" t="str">
        <f t="shared" ca="1" si="129"/>
        <v>189</v>
      </c>
      <c r="J211" s="13">
        <f>IF(繳費報酬率資料!$A$1=1,VALUE(OP!$C$121),VLOOKUP(A211,MP,2,0))</f>
        <v>0.05</v>
      </c>
      <c r="K211" s="14">
        <f ca="1">IF(SUM($K$4:K210,IF(繳費報酬率資料!$A$1=1,$AU211+$AV211,$BB211+$BC211))&gt;OP!$L$58,0,IF(繳費報酬率資料!$A$1=1,$AU211+$AV211,$BB211+$BC211))</f>
        <v>0</v>
      </c>
      <c r="L211" s="2"/>
      <c r="M211" s="2"/>
      <c r="N211" s="2"/>
      <c r="O211" s="261">
        <f t="shared" ca="1" si="134"/>
        <v>0</v>
      </c>
      <c r="P211" s="261">
        <f t="shared" ca="1" si="152"/>
        <v>0</v>
      </c>
      <c r="Q211" s="3">
        <f ca="1">IF(A211&gt;MAX(OP!$R$17:$R$26),0,VLOOKUP(A211,fees,3,FALSE))</f>
        <v>0</v>
      </c>
      <c r="R211" s="200" t="str">
        <f t="shared" ca="1" si="135"/>
        <v/>
      </c>
      <c r="S211" s="9" t="str">
        <f ca="1">IF(COUNTIF(($T$4:T210),"F")&gt;=1,"",IF(OR(C212&lt;&gt;$C$3,E211=""),"",A211))</f>
        <v/>
      </c>
      <c r="T211" s="20" t="str">
        <f t="shared" ca="1" si="127"/>
        <v/>
      </c>
      <c r="U211" s="2">
        <f ca="1">IF(IF(OP!$C$83=1,$Z210,IF(OP!$C$83=2,$AA210,IF(OP!$C$83=3,$AB210,)))+$K211-$O211-$P211-$AS211&lt;OP!$C$142,0,$AS211)</f>
        <v>0</v>
      </c>
      <c r="V211" s="9"/>
      <c r="W211" s="19">
        <f ca="1">MAX(SUM($K$4:K211),0)</f>
        <v>2000000</v>
      </c>
      <c r="X211" s="19"/>
      <c r="Y211" s="19">
        <f t="shared" ca="1" si="153"/>
        <v>1920000</v>
      </c>
      <c r="Z211" s="2">
        <f ca="1">IF(MIN($Z$4:Z210)=0,0,MAX(0,($Z210+$K211-$O211-$P211)*IF(AND(F211="F",$D$3&lt;&gt;$G$3),((1+(-J211))^(H211/MIN(G211,365))),((1+(-J211))^(1/12)))-$U211))</f>
        <v>789181.7866494169</v>
      </c>
      <c r="AA211" s="2">
        <f ca="1">IF(MIN($AA$4:AA210)=0,0,MAX(0,($AA210+$K211-$O211-$P211)*IF(AND(F211="F",$D$3&lt;&gt;$G$3),((1+$AA$1)^(H211/MIN(G211,365))),((1+$AA$1)^(1/12)))-$U211))</f>
        <v>1920000</v>
      </c>
      <c r="AB211" s="2">
        <f ca="1">IF(MIN($AB$4:AB210)=0,0,MAX(0,($AB210+$K211-$O211-$P211)*IF(AND(F211="F",$D$3&lt;&gt;$G$3),((1+(J211))^(H211/MIN(G211,365))),((1+(J211))^(1/12)))-$U211))</f>
        <v>4472830.2104945313</v>
      </c>
      <c r="AC211" s="5"/>
      <c r="AD211" s="5"/>
      <c r="AE211" s="5"/>
      <c r="AF211" s="282">
        <f t="shared" ca="1" si="136"/>
        <v>789182</v>
      </c>
      <c r="AG211" s="282">
        <f t="shared" ca="1" si="137"/>
        <v>1920000</v>
      </c>
      <c r="AH211" s="282">
        <f t="shared" ca="1" si="138"/>
        <v>4472830</v>
      </c>
      <c r="AI211" s="23" t="str">
        <f t="shared" ca="1" si="154"/>
        <v>18-5</v>
      </c>
      <c r="AJ211" s="282">
        <f ca="1">IF(E211&gt;111,,IF(AND(OP!$C$99=1,T211="F"),Z211,IF(AND(OP!$C$99=2,COUNTIF($T$4:T211,"F")=1),OP!$C$97+IF(F211="F",OP!$C$98,0),"")))</f>
        <v>54527</v>
      </c>
      <c r="AK211" s="282">
        <f ca="1">IF(E211&gt;111,,IF(AND(OP!$D$99=1,T211="F"),AA211,IF(AND(OP!$D$99=2,COUNTIF($T$4:T211,"F")=1),OP!$D$97+IF(F211="F",OP!$D$98,0),"")))</f>
        <v>74177</v>
      </c>
      <c r="AL211" s="282">
        <f ca="1">IF(E211&gt;111,,IF(AND(OP!$E$99=1,T211="F"),AB211,IF(AND(OP!$E$99=2,COUNTIF($T$4:T211,"F")=1),OP!$E$97+IF(F211="F",OP!$E$98,0),"")))</f>
        <v>99404</v>
      </c>
      <c r="AM211" s="1">
        <f t="shared" ca="1" si="128"/>
        <v>5</v>
      </c>
      <c r="AN211" s="1" t="str">
        <f ca="1">IF(OR(VLOOKUP($A211,MP,5,0)="季繳",VLOOKUP($A211,MP,5,0)="月繳"),1,"")</f>
        <v/>
      </c>
      <c r="AO211" s="1">
        <f t="shared" ca="1" si="139"/>
        <v>0</v>
      </c>
      <c r="AP211" s="1" t="str">
        <f ca="1">IF(AND(A211&lt;=OP!$C$120,COUNTIF(PAY,C211)=1),1,"")</f>
        <v/>
      </c>
      <c r="AR211" s="301">
        <f ca="1">IF(繳費報酬率資料!$A$1=1,$AY211+$AZ211,$BF211+$BG211)</f>
        <v>0</v>
      </c>
      <c r="AS211" s="1">
        <f ca="1">IF(C211&lt;&gt;IF($C$3=1,12,$C$3-1),0,IF(繳費報酬率資料!$A$1&lt;&gt;1,VLOOKUP($A211,MP,8,0),IF(AND($A211&gt;=OP!$C$79,$A211&lt;=OP!$C$80),OP!$C$78,)))</f>
        <v>0</v>
      </c>
      <c r="AT211" s="298">
        <f t="shared" ca="1" si="140"/>
        <v>0</v>
      </c>
      <c r="AU211" s="298">
        <f ca="1">IF(AND(A211&lt;=OP!$C$120,COUNTIF(PAY,C211)=1),OP!$C$123,0)</f>
        <v>0</v>
      </c>
      <c r="AV211" s="298">
        <f ca="1">IF(AND(A211&gt;=OP!$C$132,A211&lt;=OP!$C$133,$C$3=C211),OP!$C$135,0)</f>
        <v>0</v>
      </c>
      <c r="AW211" s="180">
        <f t="shared" ca="1" si="141"/>
        <v>0.05</v>
      </c>
      <c r="AX211" s="180">
        <f t="shared" ca="1" si="142"/>
        <v>0.05</v>
      </c>
      <c r="AY211" s="286">
        <f t="shared" ca="1" si="143"/>
        <v>0</v>
      </c>
      <c r="AZ211" s="286">
        <f t="shared" ca="1" si="144"/>
        <v>0</v>
      </c>
      <c r="BA211" s="286">
        <f t="shared" ca="1" si="145"/>
        <v>0</v>
      </c>
      <c r="BB211" s="286">
        <f t="shared" ca="1" si="146"/>
        <v>0</v>
      </c>
      <c r="BC211" s="286">
        <f t="shared" ca="1" si="147"/>
        <v>0</v>
      </c>
      <c r="BD211" s="180">
        <f t="shared" ca="1" si="148"/>
        <v>0.05</v>
      </c>
      <c r="BE211" s="180">
        <f t="shared" ca="1" si="149"/>
        <v>0.05</v>
      </c>
      <c r="BF211" s="286">
        <f t="shared" ca="1" si="150"/>
        <v>0</v>
      </c>
      <c r="BG211" s="286">
        <f t="shared" ca="1" si="151"/>
        <v>0</v>
      </c>
    </row>
    <row r="212" spans="1:59">
      <c r="A212" s="1">
        <f t="shared" ca="1" si="130"/>
        <v>18</v>
      </c>
      <c r="B212" s="1">
        <f t="shared" ca="1" si="124"/>
        <v>123</v>
      </c>
      <c r="C212" s="1">
        <f t="shared" ca="1" si="125"/>
        <v>10</v>
      </c>
      <c r="D212" s="1">
        <f ca="1">MIN($D$3,VLOOKUP(C212,OP!$S$30:$T$41,2))</f>
        <v>2</v>
      </c>
      <c r="E212" s="1">
        <f t="shared" ca="1" si="126"/>
        <v>72</v>
      </c>
      <c r="F212" s="11" t="str">
        <f t="shared" ca="1" si="131"/>
        <v/>
      </c>
      <c r="G212" s="8">
        <f t="shared" ca="1" si="155"/>
        <v>365</v>
      </c>
      <c r="H212" s="8">
        <f t="shared" ca="1" si="133"/>
        <v>31</v>
      </c>
      <c r="I212" s="8" t="str">
        <f t="shared" ca="1" si="129"/>
        <v>1810</v>
      </c>
      <c r="J212" s="13">
        <f>IF(繳費報酬率資料!$A$1=1,VALUE(OP!$C$121),VLOOKUP(A212,MP,2,0))</f>
        <v>0.05</v>
      </c>
      <c r="K212" s="14">
        <f ca="1">IF(SUM($K$4:K211,IF(繳費報酬率資料!$A$1=1,$AU212+$AV212,$BB212+$BC212))&gt;OP!$L$58,0,IF(繳費報酬率資料!$A$1=1,$AU212+$AV212,$BB212+$BC212))</f>
        <v>0</v>
      </c>
      <c r="L212" s="2"/>
      <c r="M212" s="2"/>
      <c r="N212" s="2"/>
      <c r="O212" s="261">
        <f t="shared" ca="1" si="134"/>
        <v>0</v>
      </c>
      <c r="P212" s="261">
        <f t="shared" ca="1" si="152"/>
        <v>0</v>
      </c>
      <c r="Q212" s="3">
        <f ca="1">IF(A212&gt;MAX(OP!$R$17:$R$26),0,VLOOKUP(A212,fees,3,FALSE))</f>
        <v>0</v>
      </c>
      <c r="R212" s="200" t="str">
        <f t="shared" ca="1" si="135"/>
        <v/>
      </c>
      <c r="S212" s="9" t="str">
        <f ca="1">IF(COUNTIF(($T$4:T211),"F")&gt;=1,"",IF(OR(C213&lt;&gt;$C$3,E212=""),"",A212))</f>
        <v/>
      </c>
      <c r="T212" s="20" t="str">
        <f t="shared" ca="1" si="127"/>
        <v/>
      </c>
      <c r="U212" s="2">
        <f ca="1">IF(IF(OP!$C$83=1,$Z211,IF(OP!$C$83=2,$AA211,IF(OP!$C$83=3,$AB211,)))+$K212-$O212-$P212-$AS212&lt;OP!$C$142,0,$AS212)</f>
        <v>0</v>
      </c>
      <c r="V212" s="9"/>
      <c r="W212" s="19">
        <f ca="1">MAX(SUM($K$4:K212),0)</f>
        <v>2000000</v>
      </c>
      <c r="X212" s="19"/>
      <c r="Y212" s="19">
        <f t="shared" ca="1" si="153"/>
        <v>1920000</v>
      </c>
      <c r="Z212" s="2">
        <f ca="1">IF(MIN($Z$4:Z211)=0,0,MAX(0,($Z211+$K212-$O212-$P212)*IF(AND(F212="F",$D$3&lt;&gt;$G$3),((1+(-J212))^(H212/MIN(G212,365))),((1+(-J212))^(1/12)))-$U212))</f>
        <v>785815.67475591227</v>
      </c>
      <c r="AA212" s="2">
        <f ca="1">IF(MIN($AA$4:AA211)=0,0,MAX(0,($AA211+$K212-$O212-$P212)*IF(AND(F212="F",$D$3&lt;&gt;$G$3),((1+$AA$1)^(H212/MIN(G212,365))),((1+$AA$1)^(1/12)))-$U212))</f>
        <v>1920000</v>
      </c>
      <c r="AB212" s="2">
        <f ca="1">IF(MIN($AB$4:AB211)=0,0,MAX(0,($AB211+$K212-$O212-$P212)*IF(AND(F212="F",$D$3&lt;&gt;$G$3),((1+(J212))^(H212/MIN(G212,365))),((1+(J212))^(1/12)))-$U212))</f>
        <v>4491053.0744353281</v>
      </c>
      <c r="AC212" s="5"/>
      <c r="AD212" s="5"/>
      <c r="AE212" s="5"/>
      <c r="AF212" s="282">
        <f t="shared" ca="1" si="136"/>
        <v>785816</v>
      </c>
      <c r="AG212" s="282">
        <f t="shared" ca="1" si="137"/>
        <v>1920000</v>
      </c>
      <c r="AH212" s="282">
        <f t="shared" ca="1" si="138"/>
        <v>4491053</v>
      </c>
      <c r="AI212" s="23" t="str">
        <f t="shared" ca="1" si="154"/>
        <v>18-6</v>
      </c>
      <c r="AJ212" s="282">
        <f ca="1">IF(E212&gt;111,,IF(AND(OP!$C$99=1,T212="F"),Z212,IF(AND(OP!$C$99=2,COUNTIF($T$4:T212,"F")=1),OP!$C$97+IF(F212="F",OP!$C$98,0),"")))</f>
        <v>54527</v>
      </c>
      <c r="AK212" s="282">
        <f ca="1">IF(E212&gt;111,,IF(AND(OP!$D$99=1,T212="F"),AA212,IF(AND(OP!$D$99=2,COUNTIF($T$4:T212,"F")=1),OP!$D$97+IF(F212="F",OP!$D$98,0),"")))</f>
        <v>74177</v>
      </c>
      <c r="AL212" s="282">
        <f ca="1">IF(E212&gt;111,,IF(AND(OP!$E$99=1,T212="F"),AB212,IF(AND(OP!$E$99=2,COUNTIF($T$4:T212,"F")=1),OP!$E$97+IF(F212="F",OP!$E$98,0),"")))</f>
        <v>99404</v>
      </c>
      <c r="AM212" s="1">
        <f t="shared" ca="1" si="128"/>
        <v>6</v>
      </c>
      <c r="AN212" s="1" t="str">
        <f ca="1">IF(OR(VLOOKUP($A212,MP,5,0)="月繳"),1,"")</f>
        <v/>
      </c>
      <c r="AO212" s="1">
        <f t="shared" ca="1" si="139"/>
        <v>0</v>
      </c>
      <c r="AP212" s="1" t="str">
        <f ca="1">IF(AND(A212&lt;=OP!$C$120,COUNTIF(PAY,C212)=1),1,"")</f>
        <v/>
      </c>
      <c r="AR212" s="301">
        <f ca="1">IF(繳費報酬率資料!$A$1=1,$AY212+$AZ212,$BF212+$BG212)</f>
        <v>0</v>
      </c>
      <c r="AS212" s="1">
        <f ca="1">IF(C212&lt;&gt;IF($C$3=1,12,$C$3-1),0,IF(繳費報酬率資料!$A$1&lt;&gt;1,VLOOKUP($A212,MP,8,0),IF(AND($A212&gt;=OP!$C$79,$A212&lt;=OP!$C$80),OP!$C$78,)))</f>
        <v>0</v>
      </c>
      <c r="AT212" s="298">
        <f t="shared" ca="1" si="140"/>
        <v>0</v>
      </c>
      <c r="AU212" s="298">
        <f ca="1">IF(AND(A212&lt;=OP!$C$120,COUNTIF(PAY,C212)=1),OP!$C$123,0)</f>
        <v>0</v>
      </c>
      <c r="AV212" s="298">
        <f ca="1">IF(AND(A212&gt;=OP!$C$132,A212&lt;=OP!$C$133,$C$3=C212),OP!$C$135,0)</f>
        <v>0</v>
      </c>
      <c r="AW212" s="180">
        <f t="shared" ca="1" si="141"/>
        <v>0.05</v>
      </c>
      <c r="AX212" s="180">
        <f t="shared" ca="1" si="142"/>
        <v>0.05</v>
      </c>
      <c r="AY212" s="286">
        <f t="shared" ca="1" si="143"/>
        <v>0</v>
      </c>
      <c r="AZ212" s="286">
        <f t="shared" ca="1" si="144"/>
        <v>0</v>
      </c>
      <c r="BA212" s="286">
        <f t="shared" ca="1" si="145"/>
        <v>0</v>
      </c>
      <c r="BB212" s="286">
        <f t="shared" ca="1" si="146"/>
        <v>0</v>
      </c>
      <c r="BC212" s="286">
        <f t="shared" ca="1" si="147"/>
        <v>0</v>
      </c>
      <c r="BD212" s="180">
        <f t="shared" ca="1" si="148"/>
        <v>0.05</v>
      </c>
      <c r="BE212" s="180">
        <f t="shared" ca="1" si="149"/>
        <v>0.05</v>
      </c>
      <c r="BF212" s="286">
        <f t="shared" ca="1" si="150"/>
        <v>0</v>
      </c>
      <c r="BG212" s="286">
        <f t="shared" ca="1" si="151"/>
        <v>0</v>
      </c>
    </row>
    <row r="213" spans="1:59">
      <c r="A213" s="1">
        <f t="shared" ca="1" si="130"/>
        <v>18</v>
      </c>
      <c r="B213" s="1">
        <f t="shared" ca="1" si="124"/>
        <v>123</v>
      </c>
      <c r="C213" s="1">
        <f t="shared" ca="1" si="125"/>
        <v>11</v>
      </c>
      <c r="D213" s="1">
        <f ca="1">MIN($D$3,VLOOKUP(C213,OP!$S$30:$T$41,2))</f>
        <v>2</v>
      </c>
      <c r="E213" s="1">
        <f t="shared" ca="1" si="126"/>
        <v>72</v>
      </c>
      <c r="F213" s="11" t="str">
        <f t="shared" ca="1" si="131"/>
        <v/>
      </c>
      <c r="G213" s="8">
        <f t="shared" ca="1" si="155"/>
        <v>365</v>
      </c>
      <c r="H213" s="8">
        <f t="shared" ca="1" si="133"/>
        <v>30</v>
      </c>
      <c r="I213" s="8" t="str">
        <f t="shared" ca="1" si="129"/>
        <v>1811</v>
      </c>
      <c r="J213" s="13">
        <f>IF(繳費報酬率資料!$A$1=1,VALUE(OP!$C$121),VLOOKUP(A213,MP,2,0))</f>
        <v>0.05</v>
      </c>
      <c r="K213" s="14">
        <f ca="1">IF(SUM($K$4:K212,IF(繳費報酬率資料!$A$1=1,$AU213+$AV213,$BB213+$BC213))&gt;OP!$L$58,0,IF(繳費報酬率資料!$A$1=1,$AU213+$AV213,$BB213+$BC213))</f>
        <v>0</v>
      </c>
      <c r="L213" s="2"/>
      <c r="M213" s="2"/>
      <c r="N213" s="2"/>
      <c r="O213" s="261">
        <f t="shared" ca="1" si="134"/>
        <v>0</v>
      </c>
      <c r="P213" s="261">
        <f t="shared" ca="1" si="152"/>
        <v>0</v>
      </c>
      <c r="Q213" s="3">
        <f ca="1">IF(A213&gt;MAX(OP!$R$17:$R$26),0,VLOOKUP(A213,fees,3,FALSE))</f>
        <v>0</v>
      </c>
      <c r="R213" s="200" t="str">
        <f t="shared" ca="1" si="135"/>
        <v/>
      </c>
      <c r="S213" s="9" t="str">
        <f ca="1">IF(COUNTIF(($T$4:T212),"F")&gt;=1,"",IF(OR(C214&lt;&gt;$C$3,E213=""),"",A213))</f>
        <v/>
      </c>
      <c r="T213" s="20" t="str">
        <f t="shared" ca="1" si="127"/>
        <v/>
      </c>
      <c r="U213" s="2">
        <f ca="1">IF(IF(OP!$C$83=1,$Z212,IF(OP!$C$83=2,$AA212,IF(OP!$C$83=3,$AB212,)))+$K213-$O213-$P213-$AS213&lt;OP!$C$142,0,$AS213)</f>
        <v>0</v>
      </c>
      <c r="V213" s="9"/>
      <c r="W213" s="19">
        <f ca="1">MAX(SUM($K$4:K213),0)</f>
        <v>2000000</v>
      </c>
      <c r="X213" s="19"/>
      <c r="Y213" s="19">
        <f t="shared" ca="1" si="153"/>
        <v>1920000</v>
      </c>
      <c r="Z213" s="2">
        <f ca="1">IF(MIN($Z$4:Z212)=0,0,MAX(0,($Z212+$K213-$O213-$P213)*IF(AND(F213="F",$D$3&lt;&gt;$G$3),((1+(-J213))^(H213/MIN(G213,365))),((1+(-J213))^(1/12)))-$U213))</f>
        <v>782463.92040267435</v>
      </c>
      <c r="AA213" s="2">
        <f ca="1">IF(MIN($AA$4:AA212)=0,0,MAX(0,($AA212+$K213-$O213-$P213)*IF(AND(F213="F",$D$3&lt;&gt;$G$3),((1+$AA$1)^(H213/MIN(G213,365))),((1+$AA$1)^(1/12)))-$U213))</f>
        <v>1920000</v>
      </c>
      <c r="AB213" s="2">
        <f ca="1">IF(MIN($AB$4:AB212)=0,0,MAX(0,($AB212+$K213-$O213-$P213)*IF(AND(F213="F",$D$3&lt;&gt;$G$3),((1+(J213))^(H213/MIN(G213,365))),((1+(J213))^(1/12)))-$U213))</f>
        <v>4509350.1805795124</v>
      </c>
      <c r="AC213" s="5"/>
      <c r="AD213" s="5"/>
      <c r="AE213" s="5"/>
      <c r="AF213" s="282">
        <f t="shared" ca="1" si="136"/>
        <v>782464</v>
      </c>
      <c r="AG213" s="282">
        <f t="shared" ca="1" si="137"/>
        <v>1920000</v>
      </c>
      <c r="AH213" s="282">
        <f t="shared" ca="1" si="138"/>
        <v>4509350</v>
      </c>
      <c r="AI213" s="23" t="str">
        <f t="shared" ca="1" si="154"/>
        <v>18-7</v>
      </c>
      <c r="AJ213" s="282">
        <f ca="1">IF(E213&gt;111,,IF(AND(OP!$C$99=1,T213="F"),Z213,IF(AND(OP!$C$99=2,COUNTIF($T$4:T213,"F")=1),OP!$C$97+IF(F213="F",OP!$C$98,0),"")))</f>
        <v>54527</v>
      </c>
      <c r="AK213" s="282">
        <f ca="1">IF(E213&gt;111,,IF(AND(OP!$D$99=1,T213="F"),AA213,IF(AND(OP!$D$99=2,COUNTIF($T$4:T213,"F")=1),OP!$D$97+IF(F213="F",OP!$D$98,0),"")))</f>
        <v>74177</v>
      </c>
      <c r="AL213" s="282">
        <f ca="1">IF(E213&gt;111,,IF(AND(OP!$E$99=1,T213="F"),AB213,IF(AND(OP!$E$99=2,COUNTIF($T$4:T213,"F")=1),OP!$E$97+IF(F213="F",OP!$E$98,0),"")))</f>
        <v>99404</v>
      </c>
      <c r="AM213" s="1">
        <f t="shared" ca="1" si="128"/>
        <v>7</v>
      </c>
      <c r="AN213" s="1" t="str">
        <f ca="1">IF(OR(VLOOKUP($A213,MP,5,0)="月繳"),1,"")</f>
        <v/>
      </c>
      <c r="AO213" s="1">
        <f t="shared" ca="1" si="139"/>
        <v>0</v>
      </c>
      <c r="AP213" s="1" t="str">
        <f ca="1">IF(AND(A213&lt;=OP!$C$120,COUNTIF(PAY,C213)=1),1,"")</f>
        <v/>
      </c>
      <c r="AR213" s="301">
        <f ca="1">IF(繳費報酬率資料!$A$1=1,$AY213+$AZ213,$BF213+$BG213)</f>
        <v>0</v>
      </c>
      <c r="AS213" s="1">
        <f ca="1">IF(C213&lt;&gt;IF($C$3=1,12,$C$3-1),0,IF(繳費報酬率資料!$A$1&lt;&gt;1,VLOOKUP($A213,MP,8,0),IF(AND($A213&gt;=OP!$C$79,$A213&lt;=OP!$C$80),OP!$C$78,)))</f>
        <v>0</v>
      </c>
      <c r="AT213" s="298">
        <f t="shared" ca="1" si="140"/>
        <v>0</v>
      </c>
      <c r="AU213" s="298">
        <f ca="1">IF(AND(A213&lt;=OP!$C$120,COUNTIF(PAY,C213)=1),OP!$C$123,0)</f>
        <v>0</v>
      </c>
      <c r="AV213" s="298">
        <f ca="1">IF(AND(A213&gt;=OP!$C$132,A213&lt;=OP!$C$133,$C$3=C213),OP!$C$135,0)</f>
        <v>0</v>
      </c>
      <c r="AW213" s="180">
        <f t="shared" ca="1" si="141"/>
        <v>0.05</v>
      </c>
      <c r="AX213" s="180">
        <f t="shared" ca="1" si="142"/>
        <v>0.05</v>
      </c>
      <c r="AY213" s="286">
        <f t="shared" ca="1" si="143"/>
        <v>0</v>
      </c>
      <c r="AZ213" s="286">
        <f t="shared" ca="1" si="144"/>
        <v>0</v>
      </c>
      <c r="BA213" s="286">
        <f t="shared" ca="1" si="145"/>
        <v>0</v>
      </c>
      <c r="BB213" s="286">
        <f t="shared" ca="1" si="146"/>
        <v>0</v>
      </c>
      <c r="BC213" s="286">
        <f t="shared" ca="1" si="147"/>
        <v>0</v>
      </c>
      <c r="BD213" s="180">
        <f t="shared" ca="1" si="148"/>
        <v>0.05</v>
      </c>
      <c r="BE213" s="180">
        <f t="shared" ca="1" si="149"/>
        <v>0.05</v>
      </c>
      <c r="BF213" s="286">
        <f t="shared" ca="1" si="150"/>
        <v>0</v>
      </c>
      <c r="BG213" s="286">
        <f t="shared" ca="1" si="151"/>
        <v>0</v>
      </c>
    </row>
    <row r="214" spans="1:59">
      <c r="A214" s="1">
        <f t="shared" ca="1" si="130"/>
        <v>18</v>
      </c>
      <c r="B214" s="1">
        <f t="shared" ca="1" si="124"/>
        <v>123</v>
      </c>
      <c r="C214" s="1">
        <f t="shared" ca="1" si="125"/>
        <v>12</v>
      </c>
      <c r="D214" s="1">
        <f ca="1">MIN($D$3,VLOOKUP(C214,OP!$S$30:$T$41,2))</f>
        <v>2</v>
      </c>
      <c r="E214" s="1">
        <f t="shared" ca="1" si="126"/>
        <v>72</v>
      </c>
      <c r="F214" s="11" t="str">
        <f t="shared" ca="1" si="131"/>
        <v/>
      </c>
      <c r="G214" s="8">
        <f t="shared" ca="1" si="155"/>
        <v>365</v>
      </c>
      <c r="H214" s="8">
        <f t="shared" ca="1" si="133"/>
        <v>31</v>
      </c>
      <c r="I214" s="8" t="str">
        <f t="shared" ca="1" si="129"/>
        <v>1812</v>
      </c>
      <c r="J214" s="13">
        <f>IF(繳費報酬率資料!$A$1=1,VALUE(OP!$C$121),VLOOKUP(A214,MP,2,0))</f>
        <v>0.05</v>
      </c>
      <c r="K214" s="14">
        <f ca="1">IF(SUM($K$4:K213,IF(繳費報酬率資料!$A$1=1,$AU214+$AV214,$BB214+$BC214))&gt;OP!$L$58,0,IF(繳費報酬率資料!$A$1=1,$AU214+$AV214,$BB214+$BC214))</f>
        <v>0</v>
      </c>
      <c r="L214" s="2"/>
      <c r="M214" s="2"/>
      <c r="N214" s="2"/>
      <c r="O214" s="261">
        <f t="shared" ca="1" si="134"/>
        <v>0</v>
      </c>
      <c r="P214" s="261">
        <f t="shared" ca="1" si="152"/>
        <v>0</v>
      </c>
      <c r="Q214" s="3">
        <f ca="1">IF(A214&gt;MAX(OP!$R$17:$R$26),0,VLOOKUP(A214,fees,3,FALSE))</f>
        <v>0</v>
      </c>
      <c r="R214" s="200" t="str">
        <f t="shared" ca="1" si="135"/>
        <v/>
      </c>
      <c r="S214" s="9" t="str">
        <f ca="1">IF(COUNTIF(($T$4:T213),"F")&gt;=1,"",IF(OR(C215&lt;&gt;$C$3,E214=""),"",A214))</f>
        <v/>
      </c>
      <c r="T214" s="20" t="str">
        <f t="shared" ca="1" si="127"/>
        <v/>
      </c>
      <c r="U214" s="2">
        <f ca="1">IF(IF(OP!$C$83=1,$Z213,IF(OP!$C$83=2,$AA213,IF(OP!$C$83=3,$AB213,)))+$K214-$O214-$P214-$AS214&lt;OP!$C$142,0,$AS214)</f>
        <v>0</v>
      </c>
      <c r="V214" s="9"/>
      <c r="W214" s="19">
        <f ca="1">MAX(SUM($K$4:K214),0)</f>
        <v>2000000</v>
      </c>
      <c r="X214" s="19"/>
      <c r="Y214" s="19">
        <f t="shared" ca="1" si="153"/>
        <v>1920000</v>
      </c>
      <c r="Z214" s="2">
        <f ca="1">IF(MIN($Z$4:Z213)=0,0,MAX(0,($Z213+$K214-$O214-$P214)*IF(AND(F214="F",$D$3&lt;&gt;$G$3),((1+(-J214))^(H214/MIN(G214,365))),((1+(-J214))^(1/12)))-$U214))</f>
        <v>779126.46235021716</v>
      </c>
      <c r="AA214" s="2">
        <f ca="1">IF(MIN($AA$4:AA213)=0,0,MAX(0,($AA213+$K214-$O214-$P214)*IF(AND(F214="F",$D$3&lt;&gt;$G$3),((1+$AA$1)^(H214/MIN(G214,365))),((1+$AA$1)^(1/12)))-$U214))</f>
        <v>1920000</v>
      </c>
      <c r="AB214" s="2">
        <f ca="1">IF(MIN($AB$4:AB213)=0,0,MAX(0,($AB213+$K214-$O214-$P214)*IF(AND(F214="F",$D$3&lt;&gt;$G$3),((1+(J214))^(H214/MIN(G214,365))),((1+(J214))^(1/12)))-$U214))</f>
        <v>4527721.8313990105</v>
      </c>
      <c r="AC214" s="5"/>
      <c r="AD214" s="5"/>
      <c r="AE214" s="5"/>
      <c r="AF214" s="282">
        <f t="shared" ca="1" si="136"/>
        <v>779126</v>
      </c>
      <c r="AG214" s="282">
        <f t="shared" ca="1" si="137"/>
        <v>1920000</v>
      </c>
      <c r="AH214" s="282">
        <f t="shared" ca="1" si="138"/>
        <v>4527722</v>
      </c>
      <c r="AI214" s="23" t="str">
        <f t="shared" ca="1" si="154"/>
        <v>18-8</v>
      </c>
      <c r="AJ214" s="282">
        <f ca="1">IF(E214&gt;111,,IF(AND(OP!$C$99=1,T214="F"),Z214,IF(AND(OP!$C$99=2,COUNTIF($T$4:T214,"F")=1),OP!$C$97+IF(F214="F",OP!$C$98,0),"")))</f>
        <v>54527</v>
      </c>
      <c r="AK214" s="282">
        <f ca="1">IF(E214&gt;111,,IF(AND(OP!$D$99=1,T214="F"),AA214,IF(AND(OP!$D$99=2,COUNTIF($T$4:T214,"F")=1),OP!$D$97+IF(F214="F",OP!$D$98,0),"")))</f>
        <v>74177</v>
      </c>
      <c r="AL214" s="282">
        <f ca="1">IF(E214&gt;111,,IF(AND(OP!$E$99=1,T214="F"),AB214,IF(AND(OP!$E$99=2,COUNTIF($T$4:T214,"F")=1),OP!$E$97+IF(F214="F",OP!$E$98,0),"")))</f>
        <v>99404</v>
      </c>
      <c r="AM214" s="1">
        <f t="shared" ca="1" si="128"/>
        <v>8</v>
      </c>
      <c r="AN214" s="1" t="str">
        <f ca="1">IF(OR(VLOOKUP($A214,MP,5,0)="半年繳",VLOOKUP($A214,MP,5,0)="季繳",VLOOKUP($A214,MP,5,0)="月繳"),1,"")</f>
        <v/>
      </c>
      <c r="AO214" s="1">
        <f t="shared" ca="1" si="139"/>
        <v>0</v>
      </c>
      <c r="AP214" s="1" t="str">
        <f ca="1">IF(AND(A214&lt;=OP!$C$120,COUNTIF(PAY,C214)=1),1,"")</f>
        <v/>
      </c>
      <c r="AR214" s="301">
        <f ca="1">IF(繳費報酬率資料!$A$1=1,$AY214+$AZ214,$BF214+$BG214)</f>
        <v>0</v>
      </c>
      <c r="AS214" s="1">
        <f ca="1">IF(C214&lt;&gt;IF($C$3=1,12,$C$3-1),0,IF(繳費報酬率資料!$A$1&lt;&gt;1,VLOOKUP($A214,MP,8,0),IF(AND($A214&gt;=OP!$C$79,$A214&lt;=OP!$C$80),OP!$C$78,)))</f>
        <v>0</v>
      </c>
      <c r="AT214" s="298">
        <f t="shared" ca="1" si="140"/>
        <v>0</v>
      </c>
      <c r="AU214" s="298">
        <f ca="1">IF(AND(A214&lt;=OP!$C$120,COUNTIF(PAY,C214)=1),OP!$C$123,0)</f>
        <v>0</v>
      </c>
      <c r="AV214" s="298">
        <f ca="1">IF(AND(A214&gt;=OP!$C$132,A214&lt;=OP!$C$133,$C$3=C214),OP!$C$135,0)</f>
        <v>0</v>
      </c>
      <c r="AW214" s="180">
        <f t="shared" ca="1" si="141"/>
        <v>0.05</v>
      </c>
      <c r="AX214" s="180">
        <f t="shared" ca="1" si="142"/>
        <v>0.05</v>
      </c>
      <c r="AY214" s="286">
        <f t="shared" ca="1" si="143"/>
        <v>0</v>
      </c>
      <c r="AZ214" s="286">
        <f t="shared" ca="1" si="144"/>
        <v>0</v>
      </c>
      <c r="BA214" s="286">
        <f t="shared" ca="1" si="145"/>
        <v>0</v>
      </c>
      <c r="BB214" s="286">
        <f t="shared" ca="1" si="146"/>
        <v>0</v>
      </c>
      <c r="BC214" s="286">
        <f t="shared" ca="1" si="147"/>
        <v>0</v>
      </c>
      <c r="BD214" s="180">
        <f t="shared" ca="1" si="148"/>
        <v>0.05</v>
      </c>
      <c r="BE214" s="180">
        <f t="shared" ca="1" si="149"/>
        <v>0.05</v>
      </c>
      <c r="BF214" s="286">
        <f t="shared" ca="1" si="150"/>
        <v>0</v>
      </c>
      <c r="BG214" s="286">
        <f t="shared" ca="1" si="151"/>
        <v>0</v>
      </c>
    </row>
    <row r="215" spans="1:59">
      <c r="A215" s="1">
        <f t="shared" ca="1" si="130"/>
        <v>18</v>
      </c>
      <c r="B215" s="1">
        <f t="shared" ca="1" si="124"/>
        <v>124</v>
      </c>
      <c r="C215" s="1">
        <f t="shared" ca="1" si="125"/>
        <v>1</v>
      </c>
      <c r="D215" s="1">
        <f ca="1">MIN($D$3,VLOOKUP(C215,OP!$S$30:$T$41,2))</f>
        <v>2</v>
      </c>
      <c r="E215" s="1">
        <f t="shared" ca="1" si="126"/>
        <v>72</v>
      </c>
      <c r="F215" s="11" t="str">
        <f t="shared" ca="1" si="131"/>
        <v/>
      </c>
      <c r="G215" s="8">
        <f t="shared" ca="1" si="155"/>
        <v>365</v>
      </c>
      <c r="H215" s="8">
        <f t="shared" ca="1" si="133"/>
        <v>31</v>
      </c>
      <c r="I215" s="8" t="str">
        <f t="shared" ca="1" si="129"/>
        <v>181</v>
      </c>
      <c r="J215" s="13">
        <f>IF(繳費報酬率資料!$A$1=1,VALUE(OP!$C$121),VLOOKUP(A215,MP,2,0))</f>
        <v>0.05</v>
      </c>
      <c r="K215" s="14">
        <f ca="1">IF(SUM($K$4:K214,IF(繳費報酬率資料!$A$1=1,$AU215+$AV215,$BB215+$BC215))&gt;OP!$L$58,0,IF(繳費報酬率資料!$A$1=1,$AU215+$AV215,$BB215+$BC215))</f>
        <v>0</v>
      </c>
      <c r="L215" s="2"/>
      <c r="M215" s="2"/>
      <c r="N215" s="2"/>
      <c r="O215" s="261">
        <f t="shared" ca="1" si="134"/>
        <v>0</v>
      </c>
      <c r="P215" s="261">
        <f t="shared" ca="1" si="152"/>
        <v>0</v>
      </c>
      <c r="Q215" s="3">
        <f ca="1">IF(A215&gt;MAX(OP!$R$17:$R$26),0,VLOOKUP(A215,fees,3,FALSE))</f>
        <v>0</v>
      </c>
      <c r="R215" s="200" t="str">
        <f t="shared" ca="1" si="135"/>
        <v/>
      </c>
      <c r="S215" s="9" t="str">
        <f ca="1">IF(COUNTIF(($T$4:T214),"F")&gt;=1,"",IF(OR(C216&lt;&gt;$C$3,E215=""),"",A215))</f>
        <v/>
      </c>
      <c r="T215" s="20" t="str">
        <f t="shared" ca="1" si="127"/>
        <v/>
      </c>
      <c r="U215" s="2">
        <f ca="1">IF(IF(OP!$C$83=1,$Z214,IF(OP!$C$83=2,$AA214,IF(OP!$C$83=3,$AB214,)))+$K215-$O215-$P215-$AS215&lt;OP!$C$142,0,$AS215)</f>
        <v>0</v>
      </c>
      <c r="V215" s="9"/>
      <c r="W215" s="19">
        <f ca="1">MAX(SUM($K$4:K215),0)</f>
        <v>2000000</v>
      </c>
      <c r="X215" s="19"/>
      <c r="Y215" s="19">
        <f t="shared" ca="1" si="153"/>
        <v>1920000</v>
      </c>
      <c r="Z215" s="2">
        <f ca="1">IF(MIN($Z$4:Z214)=0,0,MAX(0,($Z214+$K215-$O215-$P215)*IF(AND(F215="F",$D$3&lt;&gt;$G$3),((1+(-J215))^(H215/MIN(G215,365))),((1+(-J215))^(1/12)))-$U215))</f>
        <v>775803.23962026043</v>
      </c>
      <c r="AA215" s="2">
        <f ca="1">IF(MIN($AA$4:AA214)=0,0,MAX(0,($AA214+$K215-$O215-$P215)*IF(AND(F215="F",$D$3&lt;&gt;$G$3),((1+$AA$1)^(H215/MIN(G215,365))),((1+$AA$1)^(1/12)))-$U215))</f>
        <v>1920000</v>
      </c>
      <c r="AB215" s="2">
        <f ca="1">IF(MIN($AB$4:AB214)=0,0,MAX(0,($AB214+$K215-$O215-$P215)*IF(AND(F215="F",$D$3&lt;&gt;$G$3),((1+(J215))^(H215/MIN(G215,365))),((1+(J215))^(1/12)))-$U215))</f>
        <v>4546168.3305980572</v>
      </c>
      <c r="AC215" s="5"/>
      <c r="AD215" s="5"/>
      <c r="AE215" s="5"/>
      <c r="AF215" s="282">
        <f t="shared" ca="1" si="136"/>
        <v>775803</v>
      </c>
      <c r="AG215" s="282">
        <f t="shared" ca="1" si="137"/>
        <v>1920000</v>
      </c>
      <c r="AH215" s="282">
        <f t="shared" ca="1" si="138"/>
        <v>4546168</v>
      </c>
      <c r="AI215" s="23" t="str">
        <f t="shared" ca="1" si="154"/>
        <v>18-9</v>
      </c>
      <c r="AJ215" s="282">
        <f ca="1">IF(E215&gt;111,,IF(AND(OP!$C$99=1,T215="F"),Z215,IF(AND(OP!$C$99=2,COUNTIF($T$4:T215,"F")=1),OP!$C$97+IF(F215="F",OP!$C$98,0),"")))</f>
        <v>54527</v>
      </c>
      <c r="AK215" s="282">
        <f ca="1">IF(E215&gt;111,,IF(AND(OP!$D$99=1,T215="F"),AA215,IF(AND(OP!$D$99=2,COUNTIF($T$4:T215,"F")=1),OP!$D$97+IF(F215="F",OP!$D$98,0),"")))</f>
        <v>74177</v>
      </c>
      <c r="AL215" s="282">
        <f ca="1">IF(E215&gt;111,,IF(AND(OP!$E$99=1,T215="F"),AB215,IF(AND(OP!$E$99=2,COUNTIF($T$4:T215,"F")=1),OP!$E$97+IF(F215="F",OP!$E$98,0),"")))</f>
        <v>99404</v>
      </c>
      <c r="AM215" s="1">
        <f t="shared" ca="1" si="128"/>
        <v>9</v>
      </c>
      <c r="AN215" s="1" t="str">
        <f ca="1">IF(OR(VLOOKUP($A215,MP,5,0)="月繳"),1,"")</f>
        <v/>
      </c>
      <c r="AO215" s="1">
        <f t="shared" ca="1" si="139"/>
        <v>0</v>
      </c>
      <c r="AP215" s="1" t="str">
        <f ca="1">IF(AND(A215&lt;=OP!$C$120,COUNTIF(PAY,C215)=1),1,"")</f>
        <v/>
      </c>
      <c r="AR215" s="301">
        <f ca="1">IF(繳費報酬率資料!$A$1=1,$AY215+$AZ215,$BF215+$BG215)</f>
        <v>0</v>
      </c>
      <c r="AS215" s="1">
        <f ca="1">IF(C215&lt;&gt;IF($C$3=1,12,$C$3-1),0,IF(繳費報酬率資料!$A$1&lt;&gt;1,VLOOKUP($A215,MP,8,0),IF(AND($A215&gt;=OP!$C$79,$A215&lt;=OP!$C$80),OP!$C$78,)))</f>
        <v>0</v>
      </c>
      <c r="AT215" s="298">
        <f t="shared" ca="1" si="140"/>
        <v>0</v>
      </c>
      <c r="AU215" s="298">
        <f ca="1">IF(AND(A215&lt;=OP!$C$120,COUNTIF(PAY,C215)=1),OP!$C$123,0)</f>
        <v>0</v>
      </c>
      <c r="AV215" s="298">
        <f ca="1">IF(AND(A215&gt;=OP!$C$132,A215&lt;=OP!$C$133,$C$3=C215),OP!$C$135,0)</f>
        <v>0</v>
      </c>
      <c r="AW215" s="180">
        <f t="shared" ca="1" si="141"/>
        <v>0.05</v>
      </c>
      <c r="AX215" s="180">
        <f t="shared" ca="1" si="142"/>
        <v>0.05</v>
      </c>
      <c r="AY215" s="286">
        <f t="shared" ca="1" si="143"/>
        <v>0</v>
      </c>
      <c r="AZ215" s="286">
        <f t="shared" ca="1" si="144"/>
        <v>0</v>
      </c>
      <c r="BA215" s="286">
        <f t="shared" ca="1" si="145"/>
        <v>0</v>
      </c>
      <c r="BB215" s="286">
        <f t="shared" ca="1" si="146"/>
        <v>0</v>
      </c>
      <c r="BC215" s="286">
        <f t="shared" ca="1" si="147"/>
        <v>0</v>
      </c>
      <c r="BD215" s="180">
        <f t="shared" ca="1" si="148"/>
        <v>0.05</v>
      </c>
      <c r="BE215" s="180">
        <f t="shared" ca="1" si="149"/>
        <v>0.05</v>
      </c>
      <c r="BF215" s="286">
        <f t="shared" ca="1" si="150"/>
        <v>0</v>
      </c>
      <c r="BG215" s="286">
        <f t="shared" ca="1" si="151"/>
        <v>0</v>
      </c>
    </row>
    <row r="216" spans="1:59">
      <c r="A216" s="1">
        <f t="shared" ca="1" si="130"/>
        <v>18</v>
      </c>
      <c r="B216" s="1">
        <f t="shared" ca="1" si="124"/>
        <v>124</v>
      </c>
      <c r="C216" s="1">
        <f t="shared" ca="1" si="125"/>
        <v>2</v>
      </c>
      <c r="D216" s="1">
        <f ca="1">MIN($D$3,VLOOKUP(C216,OP!$S$30:$T$41,2))</f>
        <v>2</v>
      </c>
      <c r="E216" s="1">
        <f t="shared" ca="1" si="126"/>
        <v>72</v>
      </c>
      <c r="F216" s="11" t="str">
        <f t="shared" ca="1" si="131"/>
        <v/>
      </c>
      <c r="G216" s="8">
        <f t="shared" ca="1" si="155"/>
        <v>365</v>
      </c>
      <c r="H216" s="8">
        <f t="shared" ca="1" si="133"/>
        <v>28</v>
      </c>
      <c r="I216" s="8" t="str">
        <f t="shared" ca="1" si="129"/>
        <v>182</v>
      </c>
      <c r="J216" s="13">
        <f>IF(繳費報酬率資料!$A$1=1,VALUE(OP!$C$121),VLOOKUP(A216,MP,2,0))</f>
        <v>0.05</v>
      </c>
      <c r="K216" s="14">
        <f ca="1">IF(SUM($K$4:K215,IF(繳費報酬率資料!$A$1=1,$AU216+$AV216,$BB216+$BC216))&gt;OP!$L$58,0,IF(繳費報酬率資料!$A$1=1,$AU216+$AV216,$BB216+$BC216))</f>
        <v>0</v>
      </c>
      <c r="L216" s="2"/>
      <c r="M216" s="2"/>
      <c r="N216" s="2"/>
      <c r="O216" s="261">
        <f t="shared" ca="1" si="134"/>
        <v>0</v>
      </c>
      <c r="P216" s="261">
        <f t="shared" ca="1" si="152"/>
        <v>0</v>
      </c>
      <c r="Q216" s="3">
        <f ca="1">IF(A216&gt;MAX(OP!$R$17:$R$26),0,VLOOKUP(A216,fees,3,FALSE))</f>
        <v>0</v>
      </c>
      <c r="R216" s="200" t="str">
        <f t="shared" ca="1" si="135"/>
        <v/>
      </c>
      <c r="S216" s="9" t="str">
        <f ca="1">IF(COUNTIF(($T$4:T215),"F")&gt;=1,"",IF(OR(C217&lt;&gt;$C$3,E216=""),"",A216))</f>
        <v/>
      </c>
      <c r="T216" s="20" t="str">
        <f t="shared" ca="1" si="127"/>
        <v/>
      </c>
      <c r="U216" s="2">
        <f ca="1">IF(IF(OP!$C$83=1,$Z215,IF(OP!$C$83=2,$AA215,IF(OP!$C$83=3,$AB215,)))+$K216-$O216-$P216-$AS216&lt;OP!$C$142,0,$AS216)</f>
        <v>0</v>
      </c>
      <c r="V216" s="9"/>
      <c r="W216" s="19">
        <f ca="1">MAX(SUM($K$4:K216),0)</f>
        <v>2000000</v>
      </c>
      <c r="X216" s="19"/>
      <c r="Y216" s="19">
        <f t="shared" ca="1" si="153"/>
        <v>1920000</v>
      </c>
      <c r="Z216" s="2">
        <f ca="1">IF(MIN($Z$4:Z215)=0,0,MAX(0,($Z215+$K216-$O216-$P216)*IF(AND(F216="F",$D$3&lt;&gt;$G$3),((1+(-J216))^(H216/MIN(G216,365))),((1+(-J216))^(1/12)))-$U216))</f>
        <v>772494.19149461575</v>
      </c>
      <c r="AA216" s="2">
        <f ca="1">IF(MIN($AA$4:AA215)=0,0,MAX(0,($AA215+$K216-$O216-$P216)*IF(AND(F216="F",$D$3&lt;&gt;$G$3),((1+$AA$1)^(H216/MIN(G216,365))),((1+$AA$1)^(1/12)))-$U216))</f>
        <v>1920000</v>
      </c>
      <c r="AB216" s="2">
        <f ca="1">IF(MIN($AB$4:AB215)=0,0,MAX(0,($AB215+$K216-$O216-$P216)*IF(AND(F216="F",$D$3&lt;&gt;$G$3),((1+(J216))^(H216/MIN(G216,365))),((1+(J216))^(1/12)))-$U216))</f>
        <v>4564689.9831182156</v>
      </c>
      <c r="AC216" s="5"/>
      <c r="AD216" s="5"/>
      <c r="AE216" s="5"/>
      <c r="AF216" s="282">
        <f t="shared" ca="1" si="136"/>
        <v>772494</v>
      </c>
      <c r="AG216" s="282">
        <f t="shared" ca="1" si="137"/>
        <v>1920000</v>
      </c>
      <c r="AH216" s="282">
        <f t="shared" ca="1" si="138"/>
        <v>4564690</v>
      </c>
      <c r="AI216" s="23" t="str">
        <f t="shared" ca="1" si="154"/>
        <v>18-10</v>
      </c>
      <c r="AJ216" s="282">
        <f ca="1">IF(E216&gt;111,,IF(AND(OP!$C$99=1,T216="F"),Z216,IF(AND(OP!$C$99=2,COUNTIF($T$4:T216,"F")=1),OP!$C$97+IF(F216="F",OP!$C$98,0),"")))</f>
        <v>54527</v>
      </c>
      <c r="AK216" s="282">
        <f ca="1">IF(E216&gt;111,,IF(AND(OP!$D$99=1,T216="F"),AA216,IF(AND(OP!$D$99=2,COUNTIF($T$4:T216,"F")=1),OP!$D$97+IF(F216="F",OP!$D$98,0),"")))</f>
        <v>74177</v>
      </c>
      <c r="AL216" s="282">
        <f ca="1">IF(E216&gt;111,,IF(AND(OP!$E$99=1,T216="F"),AB216,IF(AND(OP!$E$99=2,COUNTIF($T$4:T216,"F")=1),OP!$E$97+IF(F216="F",OP!$E$98,0),"")))</f>
        <v>99404</v>
      </c>
      <c r="AM216" s="1">
        <f t="shared" ca="1" si="128"/>
        <v>10</v>
      </c>
      <c r="AN216" s="1" t="str">
        <f ca="1">IF(OR(VLOOKUP($A216,MP,5,0)="月繳"),1,"")</f>
        <v/>
      </c>
      <c r="AO216" s="1">
        <f t="shared" ca="1" si="139"/>
        <v>0</v>
      </c>
      <c r="AP216" s="1" t="str">
        <f ca="1">IF(AND(A216&lt;=OP!$C$120,COUNTIF(PAY,C216)=1),1,"")</f>
        <v/>
      </c>
      <c r="AR216" s="301">
        <f ca="1">IF(繳費報酬率資料!$A$1=1,$AY216+$AZ216,$BF216+$BG216)</f>
        <v>0</v>
      </c>
      <c r="AS216" s="1">
        <f ca="1">IF(C216&lt;&gt;IF($C$3=1,12,$C$3-1),0,IF(繳費報酬率資料!$A$1&lt;&gt;1,VLOOKUP($A216,MP,8,0),IF(AND($A216&gt;=OP!$C$79,$A216&lt;=OP!$C$80),OP!$C$78,)))</f>
        <v>0</v>
      </c>
      <c r="AT216" s="298">
        <f t="shared" ca="1" si="140"/>
        <v>0</v>
      </c>
      <c r="AU216" s="298">
        <f ca="1">IF(AND(A216&lt;=OP!$C$120,COUNTIF(PAY,C216)=1),OP!$C$123,0)</f>
        <v>0</v>
      </c>
      <c r="AV216" s="298">
        <f ca="1">IF(AND(A216&gt;=OP!$C$132,A216&lt;=OP!$C$133,$C$3=C216),OP!$C$135,0)</f>
        <v>0</v>
      </c>
      <c r="AW216" s="180">
        <f t="shared" ca="1" si="141"/>
        <v>0.05</v>
      </c>
      <c r="AX216" s="180">
        <f t="shared" ca="1" si="142"/>
        <v>0.05</v>
      </c>
      <c r="AY216" s="286">
        <f t="shared" ca="1" si="143"/>
        <v>0</v>
      </c>
      <c r="AZ216" s="286">
        <f t="shared" ca="1" si="144"/>
        <v>0</v>
      </c>
      <c r="BA216" s="286">
        <f t="shared" ca="1" si="145"/>
        <v>0</v>
      </c>
      <c r="BB216" s="286">
        <f t="shared" ca="1" si="146"/>
        <v>0</v>
      </c>
      <c r="BC216" s="286">
        <f t="shared" ca="1" si="147"/>
        <v>0</v>
      </c>
      <c r="BD216" s="180">
        <f t="shared" ca="1" si="148"/>
        <v>0.05</v>
      </c>
      <c r="BE216" s="180">
        <f t="shared" ca="1" si="149"/>
        <v>0.05</v>
      </c>
      <c r="BF216" s="286">
        <f t="shared" ca="1" si="150"/>
        <v>0</v>
      </c>
      <c r="BG216" s="286">
        <f t="shared" ca="1" si="151"/>
        <v>0</v>
      </c>
    </row>
    <row r="217" spans="1:59">
      <c r="A217" s="1">
        <f t="shared" ca="1" si="130"/>
        <v>18</v>
      </c>
      <c r="B217" s="1">
        <f t="shared" ca="1" si="124"/>
        <v>124</v>
      </c>
      <c r="C217" s="1">
        <f t="shared" ca="1" si="125"/>
        <v>3</v>
      </c>
      <c r="D217" s="1">
        <f ca="1">MIN($D$3,VLOOKUP(C217,OP!$S$30:$T$41,2))</f>
        <v>2</v>
      </c>
      <c r="E217" s="1">
        <f t="shared" ca="1" si="126"/>
        <v>72</v>
      </c>
      <c r="F217" s="11" t="str">
        <f t="shared" ca="1" si="131"/>
        <v/>
      </c>
      <c r="G217" s="8">
        <f t="shared" ca="1" si="155"/>
        <v>365</v>
      </c>
      <c r="H217" s="8">
        <f t="shared" ca="1" si="133"/>
        <v>31</v>
      </c>
      <c r="I217" s="8" t="str">
        <f t="shared" ca="1" si="129"/>
        <v>183</v>
      </c>
      <c r="J217" s="13">
        <f>IF(繳費報酬率資料!$A$1=1,VALUE(OP!$C$121),VLOOKUP(A217,MP,2,0))</f>
        <v>0.05</v>
      </c>
      <c r="K217" s="14">
        <f ca="1">IF(SUM($K$4:K216,IF(繳費報酬率資料!$A$1=1,$AU217+$AV217,$BB217+$BC217))&gt;OP!$L$58,0,IF(繳費報酬率資料!$A$1=1,$AU217+$AV217,$BB217+$BC217))</f>
        <v>0</v>
      </c>
      <c r="L217" s="2"/>
      <c r="M217" s="2"/>
      <c r="N217" s="2"/>
      <c r="O217" s="261">
        <f t="shared" ca="1" si="134"/>
        <v>0</v>
      </c>
      <c r="P217" s="261">
        <f t="shared" ca="1" si="152"/>
        <v>0</v>
      </c>
      <c r="Q217" s="3">
        <f ca="1">IF(A217&gt;MAX(OP!$R$17:$R$26),0,VLOOKUP(A217,fees,3,FALSE))</f>
        <v>0</v>
      </c>
      <c r="R217" s="200" t="str">
        <f t="shared" ca="1" si="135"/>
        <v/>
      </c>
      <c r="S217" s="9" t="str">
        <f ca="1">IF(COUNTIF(($T$4:T216),"F")&gt;=1,"",IF(OR(C218&lt;&gt;$C$3,E217=""),"",A217))</f>
        <v/>
      </c>
      <c r="T217" s="20" t="str">
        <f t="shared" ca="1" si="127"/>
        <v/>
      </c>
      <c r="U217" s="2">
        <f ca="1">IF(IF(OP!$C$83=1,$Z216,IF(OP!$C$83=2,$AA216,IF(OP!$C$83=3,$AB216,)))+$K217-$O217-$P217-$AS217&lt;OP!$C$142,0,$AS217)</f>
        <v>0</v>
      </c>
      <c r="V217" s="9"/>
      <c r="W217" s="19">
        <f ca="1">MAX(SUM($K$4:K217),0)</f>
        <v>2000000</v>
      </c>
      <c r="X217" s="19"/>
      <c r="Y217" s="19">
        <f t="shared" ca="1" si="153"/>
        <v>1920000</v>
      </c>
      <c r="Z217" s="2">
        <f ca="1">IF(MIN($Z$4:Z216)=0,0,MAX(0,($Z216+$K217-$O217-$P217)*IF(AND(F217="F",$D$3&lt;&gt;$G$3),((1+(-J217))^(H217/MIN(G217,365))),((1+(-J217))^(1/12)))-$U217))</f>
        <v>769199.25751407724</v>
      </c>
      <c r="AA217" s="2">
        <f ca="1">IF(MIN($AA$4:AA216)=0,0,MAX(0,($AA216+$K217-$O217-$P217)*IF(AND(F217="F",$D$3&lt;&gt;$G$3),((1+$AA$1)^(H217/MIN(G217,365))),((1+$AA$1)^(1/12)))-$U217))</f>
        <v>1920000</v>
      </c>
      <c r="AB217" s="2">
        <f ca="1">IF(MIN($AB$4:AB216)=0,0,MAX(0,($AB216+$K217-$O217-$P217)*IF(AND(F217="F",$D$3&lt;&gt;$G$3),((1+(J217))^(H217/MIN(G217,365))),((1+(J217))^(1/12)))-$U217))</f>
        <v>4583287.0951434188</v>
      </c>
      <c r="AC217" s="5"/>
      <c r="AD217" s="5"/>
      <c r="AE217" s="5"/>
      <c r="AF217" s="282">
        <f t="shared" ca="1" si="136"/>
        <v>769199</v>
      </c>
      <c r="AG217" s="282">
        <f t="shared" ca="1" si="137"/>
        <v>1920000</v>
      </c>
      <c r="AH217" s="282">
        <f t="shared" ca="1" si="138"/>
        <v>4583287</v>
      </c>
      <c r="AI217" s="23" t="str">
        <f t="shared" ca="1" si="154"/>
        <v>18-11</v>
      </c>
      <c r="AJ217" s="282">
        <f ca="1">IF(E217&gt;111,,IF(AND(OP!$C$99=1,T217="F"),Z217,IF(AND(OP!$C$99=2,COUNTIF($T$4:T217,"F")=1),OP!$C$97+IF(F217="F",OP!$C$98,0),"")))</f>
        <v>54527</v>
      </c>
      <c r="AK217" s="282">
        <f ca="1">IF(E217&gt;111,,IF(AND(OP!$D$99=1,T217="F"),AA217,IF(AND(OP!$D$99=2,COUNTIF($T$4:T217,"F")=1),OP!$D$97+IF(F217="F",OP!$D$98,0),"")))</f>
        <v>74177</v>
      </c>
      <c r="AL217" s="282">
        <f ca="1">IF(E217&gt;111,,IF(AND(OP!$E$99=1,T217="F"),AB217,IF(AND(OP!$E$99=2,COUNTIF($T$4:T217,"F")=1),OP!$E$97+IF(F217="F",OP!$E$98,0),"")))</f>
        <v>99404</v>
      </c>
      <c r="AM217" s="1">
        <f t="shared" ca="1" si="128"/>
        <v>11</v>
      </c>
      <c r="AN217" s="1" t="str">
        <f ca="1">IF(OR(VLOOKUP($A217,MP,5,0)="季繳",VLOOKUP($A217,MP,5,0)="月繳"),1,"")</f>
        <v/>
      </c>
      <c r="AO217" s="1">
        <f t="shared" ca="1" si="139"/>
        <v>0</v>
      </c>
      <c r="AP217" s="1" t="str">
        <f ca="1">IF(AND(A217&lt;=OP!$C$120,COUNTIF(PAY,C217)=1),1,"")</f>
        <v/>
      </c>
      <c r="AR217" s="301">
        <f ca="1">IF(繳費報酬率資料!$A$1=1,$AY217+$AZ217,$BF217+$BG217)</f>
        <v>0</v>
      </c>
      <c r="AS217" s="1">
        <f ca="1">IF(C217&lt;&gt;IF($C$3=1,12,$C$3-1),0,IF(繳費報酬率資料!$A$1&lt;&gt;1,VLOOKUP($A217,MP,8,0),IF(AND($A217&gt;=OP!$C$79,$A217&lt;=OP!$C$80),OP!$C$78,)))</f>
        <v>0</v>
      </c>
      <c r="AT217" s="298">
        <f t="shared" ca="1" si="140"/>
        <v>0</v>
      </c>
      <c r="AU217" s="298">
        <f ca="1">IF(AND(A217&lt;=OP!$C$120,COUNTIF(PAY,C217)=1),OP!$C$123,0)</f>
        <v>0</v>
      </c>
      <c r="AV217" s="298">
        <f ca="1">IF(AND(A217&gt;=OP!$C$132,A217&lt;=OP!$C$133,$C$3=C217),OP!$C$135,0)</f>
        <v>0</v>
      </c>
      <c r="AW217" s="180">
        <f t="shared" ca="1" si="141"/>
        <v>0.05</v>
      </c>
      <c r="AX217" s="180">
        <f t="shared" ca="1" si="142"/>
        <v>0.05</v>
      </c>
      <c r="AY217" s="286">
        <f t="shared" ca="1" si="143"/>
        <v>0</v>
      </c>
      <c r="AZ217" s="286">
        <f t="shared" ca="1" si="144"/>
        <v>0</v>
      </c>
      <c r="BA217" s="286">
        <f t="shared" ca="1" si="145"/>
        <v>0</v>
      </c>
      <c r="BB217" s="286">
        <f t="shared" ca="1" si="146"/>
        <v>0</v>
      </c>
      <c r="BC217" s="286">
        <f t="shared" ca="1" si="147"/>
        <v>0</v>
      </c>
      <c r="BD217" s="180">
        <f t="shared" ca="1" si="148"/>
        <v>0.05</v>
      </c>
      <c r="BE217" s="180">
        <f t="shared" ca="1" si="149"/>
        <v>0.05</v>
      </c>
      <c r="BF217" s="286">
        <f t="shared" ca="1" si="150"/>
        <v>0</v>
      </c>
      <c r="BG217" s="286">
        <f t="shared" ca="1" si="151"/>
        <v>0</v>
      </c>
    </row>
    <row r="218" spans="1:59">
      <c r="A218" s="1">
        <f t="shared" ca="1" si="130"/>
        <v>18</v>
      </c>
      <c r="B218" s="1">
        <f t="shared" ca="1" si="124"/>
        <v>124</v>
      </c>
      <c r="C218" s="1">
        <f t="shared" ca="1" si="125"/>
        <v>4</v>
      </c>
      <c r="D218" s="1">
        <f ca="1">MIN($D$3,VLOOKUP(C218,OP!$S$30:$T$41,2))</f>
        <v>2</v>
      </c>
      <c r="E218" s="1">
        <f t="shared" ca="1" si="126"/>
        <v>72</v>
      </c>
      <c r="F218" s="11" t="str">
        <f t="shared" ca="1" si="131"/>
        <v/>
      </c>
      <c r="G218" s="8">
        <f t="shared" ca="1" si="155"/>
        <v>365</v>
      </c>
      <c r="H218" s="8">
        <f t="shared" ca="1" si="133"/>
        <v>30</v>
      </c>
      <c r="I218" s="8" t="str">
        <f t="shared" ca="1" si="129"/>
        <v>184</v>
      </c>
      <c r="J218" s="13">
        <f>IF(繳費報酬率資料!$A$1=1,VALUE(OP!$C$121),VLOOKUP(A218,MP,2,0))</f>
        <v>0.05</v>
      </c>
      <c r="K218" s="14">
        <f ca="1">IF(SUM($K$4:K217,IF(繳費報酬率資料!$A$1=1,$AU218+$AV218,$BB218+$BC218))&gt;OP!$L$58,0,IF(繳費報酬率資料!$A$1=1,$AU218+$AV218,$BB218+$BC218))</f>
        <v>0</v>
      </c>
      <c r="L218" s="2"/>
      <c r="M218" s="2"/>
      <c r="N218" s="2"/>
      <c r="O218" s="261">
        <f t="shared" ca="1" si="134"/>
        <v>0</v>
      </c>
      <c r="P218" s="261">
        <f t="shared" ca="1" si="152"/>
        <v>0</v>
      </c>
      <c r="Q218" s="3">
        <f ca="1">IF(A218&gt;MAX(OP!$R$17:$R$26),0,VLOOKUP(A218,fees,3,FALSE))</f>
        <v>0</v>
      </c>
      <c r="R218" s="200" t="str">
        <f t="shared" ca="1" si="135"/>
        <v/>
      </c>
      <c r="S218" s="9" t="str">
        <f ca="1">IF(COUNTIF(($T$4:T217),"F")&gt;=1,"",IF(OR(C219&lt;&gt;$C$3,E218=""),"",A218))</f>
        <v/>
      </c>
      <c r="T218" s="20" t="str">
        <f t="shared" ca="1" si="127"/>
        <v/>
      </c>
      <c r="U218" s="2">
        <f ca="1">IF(IF(OP!$C$83=1,$Z217,IF(OP!$C$83=2,$AA217,IF(OP!$C$83=3,$AB217,)))+$K218-$O218-$P218-$AS218&lt;OP!$C$142,0,$AS218)</f>
        <v>0</v>
      </c>
      <c r="V218" s="9"/>
      <c r="W218" s="19">
        <f ca="1">MAX(SUM($K$4:K218),0)</f>
        <v>2000000</v>
      </c>
      <c r="X218" s="19"/>
      <c r="Y218" s="19">
        <f t="shared" ca="1" si="153"/>
        <v>1920000</v>
      </c>
      <c r="Z218" s="2">
        <f ca="1">IF(MIN($Z$4:Z217)=0,0,MAX(0,($Z217+$K218-$O218-$P218)*IF(AND(F218="F",$D$3&lt;&gt;$G$3),((1+(-J218))^(H218/MIN(G218,365))),((1+(-J218))^(1/12)))-$U218))</f>
        <v>765918.37747731677</v>
      </c>
      <c r="AA218" s="2">
        <f ca="1">IF(MIN($AA$4:AA217)=0,0,MAX(0,($AA217+$K218-$O218-$P218)*IF(AND(F218="F",$D$3&lt;&gt;$G$3),((1+$AA$1)^(H218/MIN(G218,365))),((1+$AA$1)^(1/12)))-$U218))</f>
        <v>1920000</v>
      </c>
      <c r="AB218" s="2">
        <f ca="1">IF(MIN($AB$4:AB217)=0,0,MAX(0,($AB217+$K218-$O218-$P218)*IF(AND(F218="F",$D$3&lt;&gt;$G$3),((1+(J218))^(H218/MIN(G218,365))),((1+(J218))^(1/12)))-$U218))</f>
        <v>4601959.9741050312</v>
      </c>
      <c r="AC218" s="5"/>
      <c r="AD218" s="5"/>
      <c r="AE218" s="5"/>
      <c r="AF218" s="282">
        <f t="shared" ca="1" si="136"/>
        <v>765918</v>
      </c>
      <c r="AG218" s="282">
        <f t="shared" ca="1" si="137"/>
        <v>1920000</v>
      </c>
      <c r="AH218" s="282">
        <f t="shared" ca="1" si="138"/>
        <v>4601960</v>
      </c>
      <c r="AI218" s="23" t="str">
        <f t="shared" ca="1" si="154"/>
        <v>18-12</v>
      </c>
      <c r="AJ218" s="282">
        <f ca="1">IF(E218&gt;111,,IF(AND(OP!$C$99=1,T218="F"),Z218,IF(AND(OP!$C$99=2,COUNTIF($T$4:T218,"F")=1),OP!$C$97+IF(F218="F",OP!$C$98,0),"")))</f>
        <v>54527</v>
      </c>
      <c r="AK218" s="282">
        <f ca="1">IF(E218&gt;111,,IF(AND(OP!$D$99=1,T218="F"),AA218,IF(AND(OP!$D$99=2,COUNTIF($T$4:T218,"F")=1),OP!$D$97+IF(F218="F",OP!$D$98,0),"")))</f>
        <v>74177</v>
      </c>
      <c r="AL218" s="282">
        <f ca="1">IF(E218&gt;111,,IF(AND(OP!$E$99=1,T218="F"),AB218,IF(AND(OP!$E$99=2,COUNTIF($T$4:T218,"F")=1),OP!$E$97+IF(F218="F",OP!$E$98,0),"")))</f>
        <v>99404</v>
      </c>
      <c r="AM218" s="1">
        <f t="shared" ca="1" si="128"/>
        <v>12</v>
      </c>
      <c r="AN218" s="1" t="str">
        <f ca="1">IF(OR(VLOOKUP($A218,MP,5,0)="月繳"),1,"")</f>
        <v/>
      </c>
      <c r="AO218" s="1">
        <f t="shared" ca="1" si="139"/>
        <v>0</v>
      </c>
      <c r="AP218" s="1" t="str">
        <f ca="1">IF(AND(A218&lt;=OP!$C$120,COUNTIF(PAY,C218)=1),1,"")</f>
        <v/>
      </c>
      <c r="AR218" s="301">
        <f ca="1">IF(繳費報酬率資料!$A$1=1,$AY218+$AZ218,$BF218+$BG218)</f>
        <v>0</v>
      </c>
      <c r="AS218" s="1">
        <f ca="1">IF(C218&lt;&gt;IF($C$3=1,12,$C$3-1),0,IF(繳費報酬率資料!$A$1&lt;&gt;1,VLOOKUP($A218,MP,8,0),IF(AND($A218&gt;=OP!$C$79,$A218&lt;=OP!$C$80),OP!$C$78,)))</f>
        <v>0</v>
      </c>
      <c r="AT218" s="298">
        <f t="shared" ca="1" si="140"/>
        <v>0</v>
      </c>
      <c r="AU218" s="298">
        <f ca="1">IF(AND(A218&lt;=OP!$C$120,COUNTIF(PAY,C218)=1),OP!$C$123,0)</f>
        <v>0</v>
      </c>
      <c r="AV218" s="298">
        <f ca="1">IF(AND(A218&gt;=OP!$C$132,A218&lt;=OP!$C$133,$C$3=C218),OP!$C$135,0)</f>
        <v>0</v>
      </c>
      <c r="AW218" s="180">
        <f t="shared" ca="1" si="141"/>
        <v>0.05</v>
      </c>
      <c r="AX218" s="180">
        <f t="shared" ca="1" si="142"/>
        <v>0.05</v>
      </c>
      <c r="AY218" s="286">
        <f t="shared" ca="1" si="143"/>
        <v>0</v>
      </c>
      <c r="AZ218" s="286">
        <f t="shared" ca="1" si="144"/>
        <v>0</v>
      </c>
      <c r="BA218" s="286">
        <f t="shared" ca="1" si="145"/>
        <v>0</v>
      </c>
      <c r="BB218" s="286">
        <f t="shared" ca="1" si="146"/>
        <v>0</v>
      </c>
      <c r="BC218" s="286">
        <f t="shared" ca="1" si="147"/>
        <v>0</v>
      </c>
      <c r="BD218" s="180">
        <f t="shared" ca="1" si="148"/>
        <v>0.05</v>
      </c>
      <c r="BE218" s="180">
        <f t="shared" ca="1" si="149"/>
        <v>0.05</v>
      </c>
      <c r="BF218" s="286">
        <f t="shared" ca="1" si="150"/>
        <v>0</v>
      </c>
      <c r="BG218" s="286">
        <f t="shared" ca="1" si="151"/>
        <v>0</v>
      </c>
    </row>
    <row r="219" spans="1:59">
      <c r="A219" s="1">
        <f t="shared" ca="1" si="130"/>
        <v>18</v>
      </c>
      <c r="B219" s="1">
        <f t="shared" ca="1" si="124"/>
        <v>124</v>
      </c>
      <c r="C219" s="1">
        <f t="shared" ca="1" si="125"/>
        <v>5</v>
      </c>
      <c r="D219" s="1">
        <f ca="1">MIN($D$3,VLOOKUP(C219,OP!$S$30:$T$41,2))</f>
        <v>2</v>
      </c>
      <c r="E219" s="1">
        <f t="shared" ca="1" si="126"/>
        <v>72</v>
      </c>
      <c r="F219" s="11" t="str">
        <f t="shared" ca="1" si="131"/>
        <v/>
      </c>
      <c r="G219" s="8">
        <f t="shared" ca="1" si="155"/>
        <v>365</v>
      </c>
      <c r="H219" s="8">
        <f t="shared" ca="1" si="133"/>
        <v>31</v>
      </c>
      <c r="I219" s="8" t="str">
        <f t="shared" ca="1" si="129"/>
        <v>185</v>
      </c>
      <c r="J219" s="13">
        <f>IF(繳費報酬率資料!$A$1=1,VALUE(OP!$C$121),VLOOKUP(A219,MP,2,0))</f>
        <v>0.05</v>
      </c>
      <c r="K219" s="14">
        <f ca="1">IF(SUM($K$4:K218,IF(繳費報酬率資料!$A$1=1,$AU219+$AV219,$BB219+$BC219))&gt;OP!$L$58,0,IF(繳費報酬率資料!$A$1=1,$AU219+$AV219,$BB219+$BC219))</f>
        <v>0</v>
      </c>
      <c r="L219" s="2">
        <f ca="1">ROUND(IF(OP!$C$78&lt;(IF(OR($T219="F",$E219&gt;=111),0,Z218+$K219-$O219+IF($C$1=1,OP!$C$78,IF($C220=$C$3,SUM(AC208:AC219,0)))))*5%,0,(OP!$C$78-((IF(OR($T219="F",$E219&gt;=111),0,Z218+$K219-$O219+IF($C$1=1,AC219,IF($C220=$C$3,SUM(AC208:AC219,0)))))*5%))*$Q219),0)</f>
        <v>0</v>
      </c>
      <c r="M219" s="2">
        <f ca="1">ROUND(IF(OP!$C$78&lt;(IF(OR($T219="F",$E219&gt;=111),0,AA218+$K219-$O219+IF($C$1=1,AD219,IF($C220=$C$3,SUM(AD208:AD219,0)))))*5%,0,(OP!$C$78-((IF(OR($T219="F",$E219&gt;=111),0,AA218+$K219-$O219+IF($C$1=1,AD219,IF($C220=$C$3,SUM(AD208:AD219,0)))))*5%))*$Q219),0)</f>
        <v>0</v>
      </c>
      <c r="N219" s="2">
        <f ca="1">ROUND(IF(OP!$C$78&lt;(IF(OR($T219="F",$E219&gt;=111),0,AB218+$K219-$O219+IF($C$1=1,AE219,IF($C220=$C$3,SUM(AE208:AE219,0)))))*5%,0,(OP!$C$78-((IF(OR($T219="F",$E219&gt;=111),0,AB218+$K219-$O219+IF($C$1=1,AE219,IF($C220=$C$3,SUM(AE208:AE219,0)))))*5%))*$Q219),0)</f>
        <v>0</v>
      </c>
      <c r="O219" s="261">
        <f t="shared" ca="1" si="134"/>
        <v>0</v>
      </c>
      <c r="P219" s="261">
        <f t="shared" ca="1" si="152"/>
        <v>0</v>
      </c>
      <c r="Q219" s="3">
        <f ca="1">IF(A219&gt;MAX(OP!$R$17:$R$26),0,VLOOKUP(A219,fees,3,FALSE))</f>
        <v>0</v>
      </c>
      <c r="R219" s="200">
        <f t="shared" ca="1" si="135"/>
        <v>18</v>
      </c>
      <c r="S219" s="9" t="str">
        <f ca="1">IF(COUNTIF(($T$4:T218),"F")&gt;=1,"",IF(OR(C220&lt;&gt;$C$3,E219=""),"",A219))</f>
        <v/>
      </c>
      <c r="T219" s="20" t="str">
        <f t="shared" ca="1" si="127"/>
        <v/>
      </c>
      <c r="U219" s="2">
        <f ca="1">IF(IF(OP!$C$83=1,$Z218,IF(OP!$C$83=2,$AA218,IF(OP!$C$83=3,$AB218,)))+$K219-$O219-$P219-$AS219&lt;OP!$C$142,0,$AS219)</f>
        <v>0</v>
      </c>
      <c r="V219" s="19">
        <f ca="1">SUM(K208:K219)</f>
        <v>0</v>
      </c>
      <c r="W219" s="19">
        <f ca="1">MAX(SUM($K$4:K219),0)</f>
        <v>2000000</v>
      </c>
      <c r="X219" s="19">
        <f ca="1">SUM(O208:P219)</f>
        <v>0</v>
      </c>
      <c r="Y219" s="19">
        <f t="shared" ca="1" si="153"/>
        <v>1920000</v>
      </c>
      <c r="Z219" s="2">
        <f ca="1">IF(MIN($Z$4:Z218)=0,0,MAX(0,($Z218+$K219-$O219-$P219)*IF(AND(F219="F",$D$3&lt;&gt;$G$3),((1+(-J219))^(H219/MIN(G219,365))),((1+(-J219))^(1/12)))-$U219))</f>
        <v>762651.49143978395</v>
      </c>
      <c r="AA219" s="2">
        <f ca="1">IF(MIN($AA$4:AA218)=0,0,MAX(0,($AA218+$K219-$O219-$P219)*IF(AND(F219="F",$D$3&lt;&gt;$G$3),((1+$AA$1)^(H219/MIN(G219,365))),((1+$AA$1)^(1/12)))-$U219))</f>
        <v>1920000</v>
      </c>
      <c r="AB219" s="2">
        <f ca="1">IF(MIN($AB$4:AB218)=0,0,MAX(0,($AB218+$K219-$O219-$P219)*IF(AND(F219="F",$D$3&lt;&gt;$G$3),((1+(J219))^(H219/MIN(G219,365))),((1+(J219))^(1/12)))-$U219))</f>
        <v>4620708.9286869299</v>
      </c>
      <c r="AC219" s="5"/>
      <c r="AD219" s="5"/>
      <c r="AE219" s="5"/>
      <c r="AF219" s="282">
        <f t="shared" ca="1" si="136"/>
        <v>762651</v>
      </c>
      <c r="AG219" s="282">
        <f t="shared" ca="1" si="137"/>
        <v>1920000</v>
      </c>
      <c r="AH219" s="282">
        <f t="shared" ca="1" si="138"/>
        <v>4620709</v>
      </c>
      <c r="AI219" s="23" t="str">
        <f t="shared" ca="1" si="154"/>
        <v>19-1</v>
      </c>
      <c r="AJ219" s="282">
        <f ca="1">IF(E219&gt;111,,IF(AND(OP!$C$99=1,T219="F"),Z219,IF(AND(OP!$C$99=2,COUNTIF($T$4:T219,"F")=1),OP!$C$97+IF(F219="F",OP!$C$98,0),"")))</f>
        <v>54527</v>
      </c>
      <c r="AK219" s="282">
        <f ca="1">IF(E219&gt;111,,IF(AND(OP!$D$99=1,T219="F"),AA219,IF(AND(OP!$D$99=2,COUNTIF($T$4:T219,"F")=1),OP!$D$97+IF(F219="F",OP!$D$98,0),"")))</f>
        <v>74177</v>
      </c>
      <c r="AL219" s="282">
        <f ca="1">IF(E219&gt;111,,IF(AND(OP!$E$99=1,T219="F"),AB219,IF(AND(OP!$E$99=2,COUNTIF($T$4:T219,"F")=1),OP!$E$97+IF(F219="F",OP!$E$98,0),"")))</f>
        <v>99404</v>
      </c>
      <c r="AM219" s="1">
        <f t="shared" ca="1" si="128"/>
        <v>1</v>
      </c>
      <c r="AN219" s="1" t="str">
        <f ca="1">IF(OR(VLOOKUP($A219,MP,5,0)="月繳"),1,"")</f>
        <v/>
      </c>
      <c r="AO219" s="1">
        <f t="shared" ca="1" si="139"/>
        <v>0</v>
      </c>
      <c r="AP219" s="1" t="str">
        <f ca="1">IF(AND(A219&lt;=OP!$C$120,COUNTIF(PAY,C219)=1),1,"")</f>
        <v/>
      </c>
      <c r="AR219" s="301">
        <f ca="1">IF(繳費報酬率資料!$A$1=1,$AY219+$AZ219,$BF219+$BG219)</f>
        <v>0</v>
      </c>
      <c r="AS219" s="1">
        <f ca="1">IF(C219&lt;&gt;IF($C$3=1,12,$C$3-1),0,IF(繳費報酬率資料!$A$1&lt;&gt;1,VLOOKUP($A219,MP,8,0),IF(AND($A219&gt;=OP!$C$79,$A219&lt;=OP!$C$80),OP!$C$78,)))</f>
        <v>0</v>
      </c>
      <c r="AT219" s="298">
        <f t="shared" ca="1" si="140"/>
        <v>0</v>
      </c>
      <c r="AU219" s="298">
        <f ca="1">IF(AND(A219&lt;=OP!$C$120,COUNTIF(PAY,C219)=1),OP!$C$123,0)</f>
        <v>0</v>
      </c>
      <c r="AV219" s="298">
        <f ca="1">IF(AND(A219&gt;=OP!$C$132,A219&lt;=OP!$C$133,$C$3=C219),OP!$C$135,0)</f>
        <v>0</v>
      </c>
      <c r="AW219" s="180">
        <f t="shared" ca="1" si="141"/>
        <v>0.05</v>
      </c>
      <c r="AX219" s="180">
        <f t="shared" ca="1" si="142"/>
        <v>0.05</v>
      </c>
      <c r="AY219" s="286">
        <f t="shared" ca="1" si="143"/>
        <v>0</v>
      </c>
      <c r="AZ219" s="286">
        <f t="shared" ca="1" si="144"/>
        <v>0</v>
      </c>
      <c r="BA219" s="286">
        <f t="shared" ca="1" si="145"/>
        <v>0</v>
      </c>
      <c r="BB219" s="286">
        <f t="shared" ca="1" si="146"/>
        <v>0</v>
      </c>
      <c r="BC219" s="286">
        <f t="shared" ca="1" si="147"/>
        <v>0</v>
      </c>
      <c r="BD219" s="180">
        <f t="shared" ca="1" si="148"/>
        <v>0.05</v>
      </c>
      <c r="BE219" s="180">
        <f t="shared" ca="1" si="149"/>
        <v>0.05</v>
      </c>
      <c r="BF219" s="286">
        <f t="shared" ca="1" si="150"/>
        <v>0</v>
      </c>
      <c r="BG219" s="286">
        <f t="shared" ca="1" si="151"/>
        <v>0</v>
      </c>
    </row>
    <row r="220" spans="1:59">
      <c r="A220" s="1">
        <f t="shared" ca="1" si="130"/>
        <v>19</v>
      </c>
      <c r="B220" s="1">
        <f t="shared" ca="1" si="124"/>
        <v>124</v>
      </c>
      <c r="C220" s="1">
        <f t="shared" ca="1" si="125"/>
        <v>6</v>
      </c>
      <c r="D220" s="1">
        <f ca="1">MIN($D$3,VLOOKUP(C220,OP!$S$30:$T$41,2))</f>
        <v>2</v>
      </c>
      <c r="E220" s="1">
        <f t="shared" ca="1" si="126"/>
        <v>73</v>
      </c>
      <c r="F220" s="11" t="str">
        <f t="shared" ca="1" si="131"/>
        <v/>
      </c>
      <c r="G220" s="6">
        <f ca="1">DATEDIF(DATE(B220+1911,C220,D220),DATE(B232+1911,C232,D232),"d")</f>
        <v>366</v>
      </c>
      <c r="H220" s="8">
        <f t="shared" ca="1" si="133"/>
        <v>30</v>
      </c>
      <c r="I220" s="8" t="str">
        <f t="shared" ca="1" si="129"/>
        <v>196</v>
      </c>
      <c r="J220" s="13">
        <f>IF(繳費報酬率資料!$A$1=1,VALUE(OP!$C$121),VLOOKUP(A220,MP,2,0))</f>
        <v>0.05</v>
      </c>
      <c r="K220" s="14">
        <f ca="1">IF(SUM($K$4:K219,IF(繳費報酬率資料!$A$1=1,$AU220+$AV220,$BB220+$BC220))&gt;OP!$L$58,0,IF(繳費報酬率資料!$A$1=1,$AU220+$AV220,$BB220+$BC220))</f>
        <v>0</v>
      </c>
      <c r="L220" s="2"/>
      <c r="M220" s="2"/>
      <c r="N220" s="2"/>
      <c r="O220" s="261">
        <f t="shared" ca="1" si="134"/>
        <v>0</v>
      </c>
      <c r="P220" s="261">
        <f t="shared" ca="1" si="152"/>
        <v>0</v>
      </c>
      <c r="Q220" s="3">
        <f ca="1">IF(A220&gt;MAX(OP!$R$17:$R$26),0,VLOOKUP(A220,fees,3,FALSE))</f>
        <v>0</v>
      </c>
      <c r="R220" s="200" t="str">
        <f t="shared" ca="1" si="135"/>
        <v/>
      </c>
      <c r="S220" s="9" t="str">
        <f ca="1">IF(COUNTIF(($T$4:T219),"F")&gt;=1,"",IF(OR(C221&lt;&gt;$C$3,E220=""),"",A220))</f>
        <v/>
      </c>
      <c r="T220" s="20" t="str">
        <f t="shared" ca="1" si="127"/>
        <v/>
      </c>
      <c r="U220" s="2">
        <f ca="1">IF(IF(OP!$C$83=1,$Z219,IF(OP!$C$83=2,$AA219,IF(OP!$C$83=3,$AB219,)))+$K220-$O220-$P220-$AS220&lt;OP!$C$142,0,$AS220)</f>
        <v>0</v>
      </c>
      <c r="V220" s="9"/>
      <c r="W220" s="19">
        <f ca="1">MAX(SUM($K$4:K220),0)</f>
        <v>2000000</v>
      </c>
      <c r="X220" s="19"/>
      <c r="Y220" s="19">
        <f t="shared" ca="1" si="153"/>
        <v>1920000</v>
      </c>
      <c r="Z220" s="2">
        <f ca="1">IF(MIN($Z$4:Z219)=0,0,MAX(0,($Z219+$K220-$O220-$P220)*IF(AND(F220="F",$D$3&lt;&gt;$G$3),((1+(-J220))^(H220/MIN(G220,365))),((1+(-J220))^(1/12)))-$U220))</f>
        <v>759398.53971261124</v>
      </c>
      <c r="AA220" s="2">
        <f ca="1">IF(MIN($AA$4:AA219)=0,0,MAX(0,($AA219+$K220-$O220-$P220)*IF(AND(F220="F",$D$3&lt;&gt;$G$3),((1+$AA$1)^(H220/MIN(G220,365))),((1+$AA$1)^(1/12)))-$U220))</f>
        <v>1920000</v>
      </c>
      <c r="AB220" s="2">
        <f ca="1">IF(MIN($AB$4:AB219)=0,0,MAX(0,($AB219+$K220-$O220-$P220)*IF(AND(F220="F",$D$3&lt;&gt;$G$3),((1+(J220))^(H220/MIN(G220,365))),((1+(J220))^(1/12)))-$U220))</f>
        <v>4639534.2688306095</v>
      </c>
      <c r="AC220" s="21"/>
      <c r="AD220" s="21"/>
      <c r="AE220" s="21"/>
      <c r="AF220" s="282">
        <f t="shared" ca="1" si="136"/>
        <v>759399</v>
      </c>
      <c r="AG220" s="282">
        <f t="shared" ca="1" si="137"/>
        <v>1920000</v>
      </c>
      <c r="AH220" s="282">
        <f t="shared" ca="1" si="138"/>
        <v>4639534</v>
      </c>
      <c r="AI220" s="23" t="str">
        <f t="shared" ca="1" si="154"/>
        <v>19-2</v>
      </c>
      <c r="AJ220" s="281">
        <f ca="1">IF(E220&gt;111,,IF(AND(OP!$C$99=1,T220="F"),Z220,IF(AND(OP!$C$99=2,COUNTIF($T$4:T220,"F")=1),OP!$C$97+IF(F220="F",OP!$C$98,0),"")))</f>
        <v>54527</v>
      </c>
      <c r="AK220" s="281">
        <f ca="1">IF(E220&gt;111,,IF(AND(OP!$D$99=1,T220="F"),AA220,IF(AND(OP!$D$99=2,COUNTIF($T$4:T220,"F")=1),OP!$D$97+IF(F220="F",OP!$D$98,0),"")))</f>
        <v>74177</v>
      </c>
      <c r="AL220" s="281">
        <f ca="1">IF(E220&gt;111,,IF(AND(OP!$E$99=1,T220="F"),AB220,IF(AND(OP!$E$99=2,COUNTIF($T$4:T220,"F")=1),OP!$E$97+IF(F220="F",OP!$E$98,0),"")))</f>
        <v>99404</v>
      </c>
      <c r="AM220" s="1">
        <f t="shared" ca="1" si="128"/>
        <v>2</v>
      </c>
      <c r="AN220" s="1">
        <f ca="1">IF(OR(VLOOKUP($A220,MP,5,0)="年繳",VLOOKUP($A220,MP,5,0)="半年繳",VLOOKUP($A220,MP,5,0)="季繳",VLOOKUP($A220,MP,5,0)="月繳"),1,"")</f>
        <v>1</v>
      </c>
      <c r="AO220" s="1">
        <f t="shared" ca="1" si="139"/>
        <v>0</v>
      </c>
      <c r="AP220" s="1" t="str">
        <f ca="1">IF(AND(A220&lt;=OP!$C$120,COUNTIF(PAY,C220)=1),1,"")</f>
        <v/>
      </c>
      <c r="AR220" s="301">
        <f ca="1">IF(繳費報酬率資料!$A$1=1,$AY220+$AZ220,$BF220+$BG220)</f>
        <v>0</v>
      </c>
      <c r="AS220" s="1">
        <f ca="1">IF(C220&lt;&gt;IF($C$3=1,12,$C$3-1),0,IF(繳費報酬率資料!$A$1&lt;&gt;1,VLOOKUP($A220,MP,8,0),IF(AND($A220&gt;=OP!$C$79,$A220&lt;=OP!$C$80),OP!$C$78,)))</f>
        <v>0</v>
      </c>
      <c r="AT220" s="298">
        <f t="shared" ca="1" si="140"/>
        <v>0</v>
      </c>
      <c r="AU220" s="298">
        <f ca="1">IF(AND(A220&lt;=OP!$C$120,COUNTIF(PAY,C220)=1),OP!$C$123,0)</f>
        <v>0</v>
      </c>
      <c r="AV220" s="298">
        <f ca="1">IF(AND(A220&gt;=OP!$C$132,A220&lt;=OP!$C$133,$C$3=C220),OP!$C$135,0)</f>
        <v>0</v>
      </c>
      <c r="AW220" s="180">
        <f t="shared" ca="1" si="141"/>
        <v>0.05</v>
      </c>
      <c r="AX220" s="180">
        <f t="shared" ca="1" si="142"/>
        <v>0.05</v>
      </c>
      <c r="AY220" s="286">
        <f t="shared" ca="1" si="143"/>
        <v>0</v>
      </c>
      <c r="AZ220" s="286">
        <f t="shared" ca="1" si="144"/>
        <v>0</v>
      </c>
      <c r="BA220" s="286">
        <f t="shared" ca="1" si="145"/>
        <v>0</v>
      </c>
      <c r="BB220" s="286">
        <f t="shared" ca="1" si="146"/>
        <v>0</v>
      </c>
      <c r="BC220" s="286">
        <f t="shared" ca="1" si="147"/>
        <v>0</v>
      </c>
      <c r="BD220" s="180">
        <f t="shared" ca="1" si="148"/>
        <v>0.05</v>
      </c>
      <c r="BE220" s="180">
        <f t="shared" ca="1" si="149"/>
        <v>0.05</v>
      </c>
      <c r="BF220" s="286">
        <f t="shared" ca="1" si="150"/>
        <v>0</v>
      </c>
      <c r="BG220" s="286">
        <f t="shared" ca="1" si="151"/>
        <v>0</v>
      </c>
    </row>
    <row r="221" spans="1:59">
      <c r="A221" s="1">
        <f t="shared" ca="1" si="130"/>
        <v>19</v>
      </c>
      <c r="B221" s="1">
        <f t="shared" ca="1" si="124"/>
        <v>124</v>
      </c>
      <c r="C221" s="1">
        <f t="shared" ca="1" si="125"/>
        <v>7</v>
      </c>
      <c r="D221" s="1">
        <f ca="1">MIN($D$3,VLOOKUP(C221,OP!$S$30:$T$41,2))</f>
        <v>2</v>
      </c>
      <c r="E221" s="1">
        <f t="shared" ca="1" si="126"/>
        <v>73</v>
      </c>
      <c r="F221" s="11" t="str">
        <f t="shared" ca="1" si="131"/>
        <v/>
      </c>
      <c r="G221" s="8">
        <f t="shared" ref="G221:G231" ca="1" si="156">G220</f>
        <v>366</v>
      </c>
      <c r="H221" s="8">
        <f t="shared" ca="1" si="133"/>
        <v>31</v>
      </c>
      <c r="I221" s="8" t="str">
        <f t="shared" ca="1" si="129"/>
        <v>197</v>
      </c>
      <c r="J221" s="13">
        <f>IF(繳費報酬率資料!$A$1=1,VALUE(OP!$C$121),VLOOKUP(A221,MP,2,0))</f>
        <v>0.05</v>
      </c>
      <c r="K221" s="14">
        <f ca="1">IF(SUM($K$4:K220,IF(繳費報酬率資料!$A$1=1,$AU221+$AV221,$BB221+$BC221))&gt;OP!$L$58,0,IF(繳費報酬率資料!$A$1=1,$AU221+$AV221,$BB221+$BC221))</f>
        <v>0</v>
      </c>
      <c r="L221" s="2"/>
      <c r="M221" s="2"/>
      <c r="N221" s="2"/>
      <c r="O221" s="261">
        <f t="shared" ca="1" si="134"/>
        <v>0</v>
      </c>
      <c r="P221" s="261">
        <f t="shared" ca="1" si="152"/>
        <v>0</v>
      </c>
      <c r="Q221" s="3">
        <f ca="1">IF(A221&gt;MAX(OP!$R$17:$R$26),0,VLOOKUP(A221,fees,3,FALSE))</f>
        <v>0</v>
      </c>
      <c r="R221" s="200" t="str">
        <f t="shared" ca="1" si="135"/>
        <v/>
      </c>
      <c r="S221" s="9" t="str">
        <f ca="1">IF(COUNTIF(($T$4:T220),"F")&gt;=1,"",IF(OR(C222&lt;&gt;$C$3,E221=""),"",A221))</f>
        <v/>
      </c>
      <c r="T221" s="20" t="str">
        <f t="shared" ca="1" si="127"/>
        <v/>
      </c>
      <c r="U221" s="2">
        <f ca="1">IF(IF(OP!$C$83=1,$Z220,IF(OP!$C$83=2,$AA220,IF(OP!$C$83=3,$AB220,)))+$K221-$O221-$P221-$AS221&lt;OP!$C$142,0,$AS221)</f>
        <v>0</v>
      </c>
      <c r="V221" s="9"/>
      <c r="W221" s="19">
        <f ca="1">MAX(SUM($K$4:K221),0)</f>
        <v>2000000</v>
      </c>
      <c r="X221" s="19"/>
      <c r="Y221" s="19">
        <f t="shared" ca="1" si="153"/>
        <v>1920000</v>
      </c>
      <c r="Z221" s="2">
        <f ca="1">IF(MIN($Z$4:Z220)=0,0,MAX(0,($Z220+$K221-$O221-$P221)*IF(AND(F221="F",$D$3&lt;&gt;$G$3),((1+(-J221))^(H221/MIN(G221,365))),((1+(-J221))^(1/12)))-$U221))</f>
        <v>756159.46286152292</v>
      </c>
      <c r="AA221" s="2">
        <f ca="1">IF(MIN($AA$4:AA220)=0,0,MAX(0,($AA220+$K221-$O221-$P221)*IF(AND(F221="F",$D$3&lt;&gt;$G$3),((1+$AA$1)^(H221/MIN(G221,365))),((1+$AA$1)^(1/12)))-$U221))</f>
        <v>1920000</v>
      </c>
      <c r="AB221" s="2">
        <f ca="1">IF(MIN($AB$4:AB220)=0,0,MAX(0,($AB220+$K221-$O221-$P221)*IF(AND(F221="F",$D$3&lt;&gt;$G$3),((1+(J221))^(H221/MIN(G221,365))),((1+(J221))^(1/12)))-$U221))</f>
        <v>4658436.3057403043</v>
      </c>
      <c r="AC221" s="5"/>
      <c r="AD221" s="5"/>
      <c r="AE221" s="5"/>
      <c r="AF221" s="282">
        <f t="shared" ca="1" si="136"/>
        <v>756159</v>
      </c>
      <c r="AG221" s="282">
        <f t="shared" ca="1" si="137"/>
        <v>1920000</v>
      </c>
      <c r="AH221" s="282">
        <f t="shared" ca="1" si="138"/>
        <v>4658436</v>
      </c>
      <c r="AI221" s="23" t="str">
        <f t="shared" ca="1" si="154"/>
        <v>19-3</v>
      </c>
      <c r="AJ221" s="282">
        <f ca="1">IF(E221&gt;111,,IF(AND(OP!$C$99=1,T221="F"),Z221,IF(AND(OP!$C$99=2,COUNTIF($T$4:T221,"F")=1),OP!$C$97+IF(F221="F",OP!$C$98,0),"")))</f>
        <v>54527</v>
      </c>
      <c r="AK221" s="282">
        <f ca="1">IF(E221&gt;111,,IF(AND(OP!$D$99=1,T221="F"),AA221,IF(AND(OP!$D$99=2,COUNTIF($T$4:T221,"F")=1),OP!$D$97+IF(F221="F",OP!$D$98,0),"")))</f>
        <v>74177</v>
      </c>
      <c r="AL221" s="282">
        <f ca="1">IF(E221&gt;111,,IF(AND(OP!$E$99=1,T221="F"),AB221,IF(AND(OP!$E$99=2,COUNTIF($T$4:T221,"F")=1),OP!$E$97+IF(F221="F",OP!$E$98,0),"")))</f>
        <v>99404</v>
      </c>
      <c r="AM221" s="1">
        <f t="shared" ca="1" si="128"/>
        <v>3</v>
      </c>
      <c r="AN221" s="1" t="str">
        <f ca="1">IF(OR(VLOOKUP($A221,MP,5,0)="月繳"),1,"")</f>
        <v/>
      </c>
      <c r="AO221" s="1">
        <f t="shared" ca="1" si="139"/>
        <v>0</v>
      </c>
      <c r="AP221" s="1" t="str">
        <f ca="1">IF(AND(A221&lt;=OP!$C$120,COUNTIF(PAY,C221)=1),1,"")</f>
        <v/>
      </c>
      <c r="AR221" s="301">
        <f ca="1">IF(繳費報酬率資料!$A$1=1,$AY221+$AZ221,$BF221+$BG221)</f>
        <v>0</v>
      </c>
      <c r="AS221" s="1">
        <f ca="1">IF(C221&lt;&gt;IF($C$3=1,12,$C$3-1),0,IF(繳費報酬率資料!$A$1&lt;&gt;1,VLOOKUP($A221,MP,8,0),IF(AND($A221&gt;=OP!$C$79,$A221&lt;=OP!$C$80),OP!$C$78,)))</f>
        <v>0</v>
      </c>
      <c r="AT221" s="298">
        <f t="shared" ca="1" si="140"/>
        <v>0</v>
      </c>
      <c r="AU221" s="298">
        <f ca="1">IF(AND(A221&lt;=OP!$C$120,COUNTIF(PAY,C221)=1),OP!$C$123,0)</f>
        <v>0</v>
      </c>
      <c r="AV221" s="298">
        <f ca="1">IF(AND(A221&gt;=OP!$C$132,A221&lt;=OP!$C$133,$C$3=C221),OP!$C$135,0)</f>
        <v>0</v>
      </c>
      <c r="AW221" s="180">
        <f t="shared" ca="1" si="141"/>
        <v>0.05</v>
      </c>
      <c r="AX221" s="180">
        <f t="shared" ca="1" si="142"/>
        <v>0.05</v>
      </c>
      <c r="AY221" s="286">
        <f t="shared" ca="1" si="143"/>
        <v>0</v>
      </c>
      <c r="AZ221" s="286">
        <f t="shared" ca="1" si="144"/>
        <v>0</v>
      </c>
      <c r="BA221" s="286">
        <f t="shared" ca="1" si="145"/>
        <v>0</v>
      </c>
      <c r="BB221" s="286">
        <f t="shared" ca="1" si="146"/>
        <v>0</v>
      </c>
      <c r="BC221" s="286">
        <f t="shared" ca="1" si="147"/>
        <v>0</v>
      </c>
      <c r="BD221" s="180">
        <f t="shared" ca="1" si="148"/>
        <v>0.05</v>
      </c>
      <c r="BE221" s="180">
        <f t="shared" ca="1" si="149"/>
        <v>0.05</v>
      </c>
      <c r="BF221" s="286">
        <f t="shared" ca="1" si="150"/>
        <v>0</v>
      </c>
      <c r="BG221" s="286">
        <f t="shared" ca="1" si="151"/>
        <v>0</v>
      </c>
    </row>
    <row r="222" spans="1:59">
      <c r="A222" s="1">
        <f t="shared" ca="1" si="130"/>
        <v>19</v>
      </c>
      <c r="B222" s="1">
        <f t="shared" ca="1" si="124"/>
        <v>124</v>
      </c>
      <c r="C222" s="1">
        <f t="shared" ca="1" si="125"/>
        <v>8</v>
      </c>
      <c r="D222" s="1">
        <f ca="1">MIN($D$3,VLOOKUP(C222,OP!$S$30:$T$41,2))</f>
        <v>2</v>
      </c>
      <c r="E222" s="1">
        <f t="shared" ca="1" si="126"/>
        <v>73</v>
      </c>
      <c r="F222" s="11" t="str">
        <f t="shared" ca="1" si="131"/>
        <v/>
      </c>
      <c r="G222" s="8">
        <f t="shared" ca="1" si="156"/>
        <v>366</v>
      </c>
      <c r="H222" s="8">
        <f t="shared" ca="1" si="133"/>
        <v>31</v>
      </c>
      <c r="I222" s="8" t="str">
        <f t="shared" ca="1" si="129"/>
        <v>198</v>
      </c>
      <c r="J222" s="13">
        <f>IF(繳費報酬率資料!$A$1=1,VALUE(OP!$C$121),VLOOKUP(A222,MP,2,0))</f>
        <v>0.05</v>
      </c>
      <c r="K222" s="14">
        <f ca="1">IF(SUM($K$4:K221,IF(繳費報酬率資料!$A$1=1,$AU222+$AV222,$BB222+$BC222))&gt;OP!$L$58,0,IF(繳費報酬率資料!$A$1=1,$AU222+$AV222,$BB222+$BC222))</f>
        <v>0</v>
      </c>
      <c r="L222" s="2"/>
      <c r="M222" s="2"/>
      <c r="N222" s="2"/>
      <c r="O222" s="261">
        <f t="shared" ca="1" si="134"/>
        <v>0</v>
      </c>
      <c r="P222" s="261">
        <f t="shared" ca="1" si="152"/>
        <v>0</v>
      </c>
      <c r="Q222" s="3">
        <f ca="1">IF(A222&gt;MAX(OP!$R$17:$R$26),0,VLOOKUP(A222,fees,3,FALSE))</f>
        <v>0</v>
      </c>
      <c r="R222" s="200" t="str">
        <f t="shared" ca="1" si="135"/>
        <v/>
      </c>
      <c r="S222" s="9" t="str">
        <f ca="1">IF(COUNTIF(($T$4:T221),"F")&gt;=1,"",IF(OR(C223&lt;&gt;$C$3,E222=""),"",A222))</f>
        <v/>
      </c>
      <c r="T222" s="20" t="str">
        <f t="shared" ca="1" si="127"/>
        <v/>
      </c>
      <c r="U222" s="2">
        <f ca="1">IF(IF(OP!$C$83=1,$Z221,IF(OP!$C$83=2,$AA221,IF(OP!$C$83=3,$AB221,)))+$K222-$O222-$P222-$AS222&lt;OP!$C$142,0,$AS222)</f>
        <v>0</v>
      </c>
      <c r="V222" s="9"/>
      <c r="W222" s="19">
        <f ca="1">MAX(SUM($K$4:K222),0)</f>
        <v>2000000</v>
      </c>
      <c r="X222" s="19"/>
      <c r="Y222" s="19">
        <f t="shared" ca="1" si="153"/>
        <v>1920000</v>
      </c>
      <c r="Z222" s="2">
        <f ca="1">IF(MIN($Z$4:Z221)=0,0,MAX(0,($Z221+$K222-$O222-$P222)*IF(AND(F222="F",$D$3&lt;&gt;$G$3),((1+(-J222))^(H222/MIN(G222,365))),((1+(-J222))^(1/12)))-$U222))</f>
        <v>752934.2017057495</v>
      </c>
      <c r="AA222" s="2">
        <f ca="1">IF(MIN($AA$4:AA221)=0,0,MAX(0,($AA221+$K222-$O222-$P222)*IF(AND(F222="F",$D$3&lt;&gt;$G$3),((1+$AA$1)^(H222/MIN(G222,365))),((1+$AA$1)^(1/12)))-$U222))</f>
        <v>1920000</v>
      </c>
      <c r="AB222" s="2">
        <f ca="1">IF(MIN($AB$4:AB221)=0,0,MAX(0,($AB221+$K222-$O222-$P222)*IF(AND(F222="F",$D$3&lt;&gt;$G$3),((1+(J222))^(H222/MIN(G222,365))),((1+(J222))^(1/12)))-$U222))</f>
        <v>4677415.3518881323</v>
      </c>
      <c r="AC222" s="5"/>
      <c r="AD222" s="5"/>
      <c r="AE222" s="5"/>
      <c r="AF222" s="282">
        <f t="shared" ca="1" si="136"/>
        <v>752934</v>
      </c>
      <c r="AG222" s="282">
        <f t="shared" ca="1" si="137"/>
        <v>1920000</v>
      </c>
      <c r="AH222" s="282">
        <f t="shared" ca="1" si="138"/>
        <v>4677415</v>
      </c>
      <c r="AI222" s="23" t="str">
        <f t="shared" ca="1" si="154"/>
        <v>19-4</v>
      </c>
      <c r="AJ222" s="282">
        <f ca="1">IF(E222&gt;111,,IF(AND(OP!$C$99=1,T222="F"),Z222,IF(AND(OP!$C$99=2,COUNTIF($T$4:T222,"F")=1),OP!$C$97+IF(F222="F",OP!$C$98,0),"")))</f>
        <v>54527</v>
      </c>
      <c r="AK222" s="282">
        <f ca="1">IF(E222&gt;111,,IF(AND(OP!$D$99=1,T222="F"),AA222,IF(AND(OP!$D$99=2,COUNTIF($T$4:T222,"F")=1),OP!$D$97+IF(F222="F",OP!$D$98,0),"")))</f>
        <v>74177</v>
      </c>
      <c r="AL222" s="282">
        <f ca="1">IF(E222&gt;111,,IF(AND(OP!$E$99=1,T222="F"),AB222,IF(AND(OP!$E$99=2,COUNTIF($T$4:T222,"F")=1),OP!$E$97+IF(F222="F",OP!$E$98,0),"")))</f>
        <v>99404</v>
      </c>
      <c r="AM222" s="1">
        <f t="shared" ca="1" si="128"/>
        <v>4</v>
      </c>
      <c r="AN222" s="1" t="str">
        <f ca="1">IF(OR(VLOOKUP($A222,MP,5,0)="月繳"),1,"")</f>
        <v/>
      </c>
      <c r="AO222" s="1">
        <f t="shared" ca="1" si="139"/>
        <v>0</v>
      </c>
      <c r="AP222" s="1" t="str">
        <f ca="1">IF(AND(A222&lt;=OP!$C$120,COUNTIF(PAY,C222)=1),1,"")</f>
        <v/>
      </c>
      <c r="AR222" s="301">
        <f ca="1">IF(繳費報酬率資料!$A$1=1,$AY222+$AZ222,$BF222+$BG222)</f>
        <v>0</v>
      </c>
      <c r="AS222" s="1">
        <f ca="1">IF(C222&lt;&gt;IF($C$3=1,12,$C$3-1),0,IF(繳費報酬率資料!$A$1&lt;&gt;1,VLOOKUP($A222,MP,8,0),IF(AND($A222&gt;=OP!$C$79,$A222&lt;=OP!$C$80),OP!$C$78,)))</f>
        <v>0</v>
      </c>
      <c r="AT222" s="298">
        <f t="shared" ca="1" si="140"/>
        <v>0</v>
      </c>
      <c r="AU222" s="298">
        <f ca="1">IF(AND(A222&lt;=OP!$C$120,COUNTIF(PAY,C222)=1),OP!$C$123,0)</f>
        <v>0</v>
      </c>
      <c r="AV222" s="298">
        <f ca="1">IF(AND(A222&gt;=OP!$C$132,A222&lt;=OP!$C$133,$C$3=C222),OP!$C$135,0)</f>
        <v>0</v>
      </c>
      <c r="AW222" s="180">
        <f t="shared" ca="1" si="141"/>
        <v>0.05</v>
      </c>
      <c r="AX222" s="180">
        <f t="shared" ca="1" si="142"/>
        <v>0.05</v>
      </c>
      <c r="AY222" s="286">
        <f t="shared" ca="1" si="143"/>
        <v>0</v>
      </c>
      <c r="AZ222" s="286">
        <f t="shared" ca="1" si="144"/>
        <v>0</v>
      </c>
      <c r="BA222" s="286">
        <f t="shared" ca="1" si="145"/>
        <v>0</v>
      </c>
      <c r="BB222" s="286">
        <f t="shared" ca="1" si="146"/>
        <v>0</v>
      </c>
      <c r="BC222" s="286">
        <f t="shared" ca="1" si="147"/>
        <v>0</v>
      </c>
      <c r="BD222" s="180">
        <f t="shared" ca="1" si="148"/>
        <v>0.05</v>
      </c>
      <c r="BE222" s="180">
        <f t="shared" ca="1" si="149"/>
        <v>0.05</v>
      </c>
      <c r="BF222" s="286">
        <f t="shared" ca="1" si="150"/>
        <v>0</v>
      </c>
      <c r="BG222" s="286">
        <f t="shared" ca="1" si="151"/>
        <v>0</v>
      </c>
    </row>
    <row r="223" spans="1:59">
      <c r="A223" s="1">
        <f t="shared" ca="1" si="130"/>
        <v>19</v>
      </c>
      <c r="B223" s="1">
        <f t="shared" ca="1" si="124"/>
        <v>124</v>
      </c>
      <c r="C223" s="1">
        <f t="shared" ca="1" si="125"/>
        <v>9</v>
      </c>
      <c r="D223" s="1">
        <f ca="1">MIN($D$3,VLOOKUP(C223,OP!$S$30:$T$41,2))</f>
        <v>2</v>
      </c>
      <c r="E223" s="1">
        <f t="shared" ca="1" si="126"/>
        <v>73</v>
      </c>
      <c r="F223" s="11" t="str">
        <f t="shared" ca="1" si="131"/>
        <v/>
      </c>
      <c r="G223" s="8">
        <f t="shared" ca="1" si="156"/>
        <v>366</v>
      </c>
      <c r="H223" s="8">
        <f t="shared" ca="1" si="133"/>
        <v>30</v>
      </c>
      <c r="I223" s="8" t="str">
        <f t="shared" ca="1" si="129"/>
        <v>199</v>
      </c>
      <c r="J223" s="13">
        <f>IF(繳費報酬率資料!$A$1=1,VALUE(OP!$C$121),VLOOKUP(A223,MP,2,0))</f>
        <v>0.05</v>
      </c>
      <c r="K223" s="14">
        <f ca="1">IF(SUM($K$4:K222,IF(繳費報酬率資料!$A$1=1,$AU223+$AV223,$BB223+$BC223))&gt;OP!$L$58,0,IF(繳費報酬率資料!$A$1=1,$AU223+$AV223,$BB223+$BC223))</f>
        <v>0</v>
      </c>
      <c r="L223" s="2"/>
      <c r="M223" s="2"/>
      <c r="N223" s="2"/>
      <c r="O223" s="261">
        <f t="shared" ca="1" si="134"/>
        <v>0</v>
      </c>
      <c r="P223" s="261">
        <f t="shared" ca="1" si="152"/>
        <v>0</v>
      </c>
      <c r="Q223" s="3">
        <f ca="1">IF(A223&gt;MAX(OP!$R$17:$R$26),0,VLOOKUP(A223,fees,3,FALSE))</f>
        <v>0</v>
      </c>
      <c r="R223" s="200" t="str">
        <f t="shared" ca="1" si="135"/>
        <v/>
      </c>
      <c r="S223" s="9" t="str">
        <f ca="1">IF(COUNTIF(($T$4:T222),"F")&gt;=1,"",IF(OR(C224&lt;&gt;$C$3,E223=""),"",A223))</f>
        <v/>
      </c>
      <c r="T223" s="20" t="str">
        <f t="shared" ca="1" si="127"/>
        <v/>
      </c>
      <c r="U223" s="2">
        <f ca="1">IF(IF(OP!$C$83=1,$Z222,IF(OP!$C$83=2,$AA222,IF(OP!$C$83=3,$AB222,)))+$K223-$O223-$P223-$AS223&lt;OP!$C$142,0,$AS223)</f>
        <v>0</v>
      </c>
      <c r="V223" s="9"/>
      <c r="W223" s="19">
        <f ca="1">MAX(SUM($K$4:K223),0)</f>
        <v>2000000</v>
      </c>
      <c r="X223" s="19"/>
      <c r="Y223" s="19">
        <f t="shared" ca="1" si="153"/>
        <v>1920000</v>
      </c>
      <c r="Z223" s="2">
        <f ca="1">IF(MIN($Z$4:Z222)=0,0,MAX(0,($Z222+$K223-$O223-$P223)*IF(AND(F223="F",$D$3&lt;&gt;$G$3),((1+(-J223))^(H223/MIN(G223,365))),((1+(-J223))^(1/12)))-$U223))</f>
        <v>749722.69731694635</v>
      </c>
      <c r="AA223" s="2">
        <f ca="1">IF(MIN($AA$4:AA222)=0,0,MAX(0,($AA222+$K223-$O223-$P223)*IF(AND(F223="F",$D$3&lt;&gt;$G$3),((1+$AA$1)^(H223/MIN(G223,365))),((1+$AA$1)^(1/12)))-$U223))</f>
        <v>1920000</v>
      </c>
      <c r="AB223" s="2">
        <f ca="1">IF(MIN($AB$4:AB222)=0,0,MAX(0,($AB222+$K223-$O223-$P223)*IF(AND(F223="F",$D$3&lt;&gt;$G$3),((1+(J223))^(H223/MIN(G223,365))),((1+(J223))^(1/12)))-$U223))</f>
        <v>4696471.7210192615</v>
      </c>
      <c r="AC223" s="5"/>
      <c r="AD223" s="5"/>
      <c r="AE223" s="5"/>
      <c r="AF223" s="282">
        <f t="shared" ca="1" si="136"/>
        <v>749723</v>
      </c>
      <c r="AG223" s="282">
        <f t="shared" ca="1" si="137"/>
        <v>1920000</v>
      </c>
      <c r="AH223" s="282">
        <f t="shared" ca="1" si="138"/>
        <v>4696472</v>
      </c>
      <c r="AI223" s="23" t="str">
        <f t="shared" ca="1" si="154"/>
        <v>19-5</v>
      </c>
      <c r="AJ223" s="282">
        <f ca="1">IF(E223&gt;111,,IF(AND(OP!$C$99=1,T223="F"),Z223,IF(AND(OP!$C$99=2,COUNTIF($T$4:T223,"F")=1),OP!$C$97+IF(F223="F",OP!$C$98,0),"")))</f>
        <v>54527</v>
      </c>
      <c r="AK223" s="282">
        <f ca="1">IF(E223&gt;111,,IF(AND(OP!$D$99=1,T223="F"),AA223,IF(AND(OP!$D$99=2,COUNTIF($T$4:T223,"F")=1),OP!$D$97+IF(F223="F",OP!$D$98,0),"")))</f>
        <v>74177</v>
      </c>
      <c r="AL223" s="282">
        <f ca="1">IF(E223&gt;111,,IF(AND(OP!$E$99=1,T223="F"),AB223,IF(AND(OP!$E$99=2,COUNTIF($T$4:T223,"F")=1),OP!$E$97+IF(F223="F",OP!$E$98,0),"")))</f>
        <v>99404</v>
      </c>
      <c r="AM223" s="1">
        <f t="shared" ca="1" si="128"/>
        <v>5</v>
      </c>
      <c r="AN223" s="1" t="str">
        <f ca="1">IF(OR(VLOOKUP($A223,MP,5,0)="季繳",VLOOKUP($A223,MP,5,0)="月繳"),1,"")</f>
        <v/>
      </c>
      <c r="AO223" s="1">
        <f t="shared" ca="1" si="139"/>
        <v>0</v>
      </c>
      <c r="AP223" s="1" t="str">
        <f ca="1">IF(AND(A223&lt;=OP!$C$120,COUNTIF(PAY,C223)=1),1,"")</f>
        <v/>
      </c>
      <c r="AR223" s="301">
        <f ca="1">IF(繳費報酬率資料!$A$1=1,$AY223+$AZ223,$BF223+$BG223)</f>
        <v>0</v>
      </c>
      <c r="AS223" s="1">
        <f ca="1">IF(C223&lt;&gt;IF($C$3=1,12,$C$3-1),0,IF(繳費報酬率資料!$A$1&lt;&gt;1,VLOOKUP($A223,MP,8,0),IF(AND($A223&gt;=OP!$C$79,$A223&lt;=OP!$C$80),OP!$C$78,)))</f>
        <v>0</v>
      </c>
      <c r="AT223" s="298">
        <f t="shared" ca="1" si="140"/>
        <v>0</v>
      </c>
      <c r="AU223" s="298">
        <f ca="1">IF(AND(A223&lt;=OP!$C$120,COUNTIF(PAY,C223)=1),OP!$C$123,0)</f>
        <v>0</v>
      </c>
      <c r="AV223" s="298">
        <f ca="1">IF(AND(A223&gt;=OP!$C$132,A223&lt;=OP!$C$133,$C$3=C223),OP!$C$135,0)</f>
        <v>0</v>
      </c>
      <c r="AW223" s="180">
        <f t="shared" ca="1" si="141"/>
        <v>0.05</v>
      </c>
      <c r="AX223" s="180">
        <f t="shared" ca="1" si="142"/>
        <v>0.05</v>
      </c>
      <c r="AY223" s="286">
        <f t="shared" ca="1" si="143"/>
        <v>0</v>
      </c>
      <c r="AZ223" s="286">
        <f t="shared" ca="1" si="144"/>
        <v>0</v>
      </c>
      <c r="BA223" s="286">
        <f t="shared" ca="1" si="145"/>
        <v>0</v>
      </c>
      <c r="BB223" s="286">
        <f t="shared" ca="1" si="146"/>
        <v>0</v>
      </c>
      <c r="BC223" s="286">
        <f t="shared" ca="1" si="147"/>
        <v>0</v>
      </c>
      <c r="BD223" s="180">
        <f t="shared" ca="1" si="148"/>
        <v>0.05</v>
      </c>
      <c r="BE223" s="180">
        <f t="shared" ca="1" si="149"/>
        <v>0.05</v>
      </c>
      <c r="BF223" s="286">
        <f t="shared" ca="1" si="150"/>
        <v>0</v>
      </c>
      <c r="BG223" s="286">
        <f t="shared" ca="1" si="151"/>
        <v>0</v>
      </c>
    </row>
    <row r="224" spans="1:59">
      <c r="A224" s="1">
        <f t="shared" ca="1" si="130"/>
        <v>19</v>
      </c>
      <c r="B224" s="1">
        <f t="shared" ca="1" si="124"/>
        <v>124</v>
      </c>
      <c r="C224" s="1">
        <f t="shared" ca="1" si="125"/>
        <v>10</v>
      </c>
      <c r="D224" s="1">
        <f ca="1">MIN($D$3,VLOOKUP(C224,OP!$S$30:$T$41,2))</f>
        <v>2</v>
      </c>
      <c r="E224" s="1">
        <f t="shared" ca="1" si="126"/>
        <v>73</v>
      </c>
      <c r="F224" s="11" t="str">
        <f t="shared" ca="1" si="131"/>
        <v/>
      </c>
      <c r="G224" s="8">
        <f t="shared" ca="1" si="156"/>
        <v>366</v>
      </c>
      <c r="H224" s="8">
        <f t="shared" ca="1" si="133"/>
        <v>31</v>
      </c>
      <c r="I224" s="8" t="str">
        <f t="shared" ca="1" si="129"/>
        <v>1910</v>
      </c>
      <c r="J224" s="13">
        <f>IF(繳費報酬率資料!$A$1=1,VALUE(OP!$C$121),VLOOKUP(A224,MP,2,0))</f>
        <v>0.05</v>
      </c>
      <c r="K224" s="14">
        <f ca="1">IF(SUM($K$4:K223,IF(繳費報酬率資料!$A$1=1,$AU224+$AV224,$BB224+$BC224))&gt;OP!$L$58,0,IF(繳費報酬率資料!$A$1=1,$AU224+$AV224,$BB224+$BC224))</f>
        <v>0</v>
      </c>
      <c r="L224" s="2"/>
      <c r="M224" s="2"/>
      <c r="N224" s="2"/>
      <c r="O224" s="261">
        <f t="shared" ca="1" si="134"/>
        <v>0</v>
      </c>
      <c r="P224" s="261">
        <f t="shared" ca="1" si="152"/>
        <v>0</v>
      </c>
      <c r="Q224" s="3">
        <f ca="1">IF(A224&gt;MAX(OP!$R$17:$R$26),0,VLOOKUP(A224,fees,3,FALSE))</f>
        <v>0</v>
      </c>
      <c r="R224" s="200" t="str">
        <f t="shared" ca="1" si="135"/>
        <v/>
      </c>
      <c r="S224" s="9" t="str">
        <f ca="1">IF(COUNTIF(($T$4:T223),"F")&gt;=1,"",IF(OR(C225&lt;&gt;$C$3,E224=""),"",A224))</f>
        <v/>
      </c>
      <c r="T224" s="20" t="str">
        <f t="shared" ca="1" si="127"/>
        <v/>
      </c>
      <c r="U224" s="2">
        <f ca="1">IF(IF(OP!$C$83=1,$Z223,IF(OP!$C$83=2,$AA223,IF(OP!$C$83=3,$AB223,)))+$K224-$O224-$P224-$AS224&lt;OP!$C$142,0,$AS224)</f>
        <v>0</v>
      </c>
      <c r="V224" s="9"/>
      <c r="W224" s="19">
        <f ca="1">MAX(SUM($K$4:K224),0)</f>
        <v>2000000</v>
      </c>
      <c r="X224" s="19"/>
      <c r="Y224" s="19">
        <f t="shared" ca="1" si="153"/>
        <v>1920000</v>
      </c>
      <c r="Z224" s="2">
        <f ca="1">IF(MIN($Z$4:Z223)=0,0,MAX(0,($Z223+$K224-$O224-$P224)*IF(AND(F224="F",$D$3&lt;&gt;$G$3),((1+(-J224))^(H224/MIN(G224,365))),((1+(-J224))^(1/12)))-$U224))</f>
        <v>746524.89101811696</v>
      </c>
      <c r="AA224" s="2">
        <f ca="1">IF(MIN($AA$4:AA223)=0,0,MAX(0,($AA223+$K224-$O224-$P224)*IF(AND(F224="F",$D$3&lt;&gt;$G$3),((1+$AA$1)^(H224/MIN(G224,365))),((1+$AA$1)^(1/12)))-$U224))</f>
        <v>1920000</v>
      </c>
      <c r="AB224" s="2">
        <f ca="1">IF(MIN($AB$4:AB223)=0,0,MAX(0,($AB223+$K224-$O224-$P224)*IF(AND(F224="F",$D$3&lt;&gt;$G$3),((1+(J224))^(H224/MIN(G224,365))),((1+(J224))^(1/12)))-$U224))</f>
        <v>4715605.7281570984</v>
      </c>
      <c r="AC224" s="5"/>
      <c r="AD224" s="5"/>
      <c r="AE224" s="5"/>
      <c r="AF224" s="282">
        <f t="shared" ca="1" si="136"/>
        <v>746525</v>
      </c>
      <c r="AG224" s="282">
        <f t="shared" ca="1" si="137"/>
        <v>1920000</v>
      </c>
      <c r="AH224" s="282">
        <f t="shared" ca="1" si="138"/>
        <v>4715606</v>
      </c>
      <c r="AI224" s="23" t="str">
        <f t="shared" ca="1" si="154"/>
        <v>19-6</v>
      </c>
      <c r="AJ224" s="282">
        <f ca="1">IF(E224&gt;111,,IF(AND(OP!$C$99=1,T224="F"),Z224,IF(AND(OP!$C$99=2,COUNTIF($T$4:T224,"F")=1),OP!$C$97+IF(F224="F",OP!$C$98,0),"")))</f>
        <v>54527</v>
      </c>
      <c r="AK224" s="282">
        <f ca="1">IF(E224&gt;111,,IF(AND(OP!$D$99=1,T224="F"),AA224,IF(AND(OP!$D$99=2,COUNTIF($T$4:T224,"F")=1),OP!$D$97+IF(F224="F",OP!$D$98,0),"")))</f>
        <v>74177</v>
      </c>
      <c r="AL224" s="282">
        <f ca="1">IF(E224&gt;111,,IF(AND(OP!$E$99=1,T224="F"),AB224,IF(AND(OP!$E$99=2,COUNTIF($T$4:T224,"F")=1),OP!$E$97+IF(F224="F",OP!$E$98,0),"")))</f>
        <v>99404</v>
      </c>
      <c r="AM224" s="1">
        <f t="shared" ca="1" si="128"/>
        <v>6</v>
      </c>
      <c r="AN224" s="1" t="str">
        <f ca="1">IF(OR(VLOOKUP($A224,MP,5,0)="月繳"),1,"")</f>
        <v/>
      </c>
      <c r="AO224" s="1">
        <f t="shared" ca="1" si="139"/>
        <v>0</v>
      </c>
      <c r="AP224" s="1" t="str">
        <f ca="1">IF(AND(A224&lt;=OP!$C$120,COUNTIF(PAY,C224)=1),1,"")</f>
        <v/>
      </c>
      <c r="AR224" s="301">
        <f ca="1">IF(繳費報酬率資料!$A$1=1,$AY224+$AZ224,$BF224+$BG224)</f>
        <v>0</v>
      </c>
      <c r="AS224" s="1">
        <f ca="1">IF(C224&lt;&gt;IF($C$3=1,12,$C$3-1),0,IF(繳費報酬率資料!$A$1&lt;&gt;1,VLOOKUP($A224,MP,8,0),IF(AND($A224&gt;=OP!$C$79,$A224&lt;=OP!$C$80),OP!$C$78,)))</f>
        <v>0</v>
      </c>
      <c r="AT224" s="298">
        <f t="shared" ca="1" si="140"/>
        <v>0</v>
      </c>
      <c r="AU224" s="298">
        <f ca="1">IF(AND(A224&lt;=OP!$C$120,COUNTIF(PAY,C224)=1),OP!$C$123,0)</f>
        <v>0</v>
      </c>
      <c r="AV224" s="298">
        <f ca="1">IF(AND(A224&gt;=OP!$C$132,A224&lt;=OP!$C$133,$C$3=C224),OP!$C$135,0)</f>
        <v>0</v>
      </c>
      <c r="AW224" s="180">
        <f t="shared" ca="1" si="141"/>
        <v>0.05</v>
      </c>
      <c r="AX224" s="180">
        <f t="shared" ca="1" si="142"/>
        <v>0.05</v>
      </c>
      <c r="AY224" s="286">
        <f t="shared" ca="1" si="143"/>
        <v>0</v>
      </c>
      <c r="AZ224" s="286">
        <f t="shared" ca="1" si="144"/>
        <v>0</v>
      </c>
      <c r="BA224" s="286">
        <f t="shared" ca="1" si="145"/>
        <v>0</v>
      </c>
      <c r="BB224" s="286">
        <f t="shared" ca="1" si="146"/>
        <v>0</v>
      </c>
      <c r="BC224" s="286">
        <f t="shared" ca="1" si="147"/>
        <v>0</v>
      </c>
      <c r="BD224" s="180">
        <f t="shared" ca="1" si="148"/>
        <v>0.05</v>
      </c>
      <c r="BE224" s="180">
        <f t="shared" ca="1" si="149"/>
        <v>0.05</v>
      </c>
      <c r="BF224" s="286">
        <f t="shared" ca="1" si="150"/>
        <v>0</v>
      </c>
      <c r="BG224" s="286">
        <f t="shared" ca="1" si="151"/>
        <v>0</v>
      </c>
    </row>
    <row r="225" spans="1:59">
      <c r="A225" s="1">
        <f t="shared" ca="1" si="130"/>
        <v>19</v>
      </c>
      <c r="B225" s="1">
        <f t="shared" ca="1" si="124"/>
        <v>124</v>
      </c>
      <c r="C225" s="1">
        <f t="shared" ca="1" si="125"/>
        <v>11</v>
      </c>
      <c r="D225" s="1">
        <f ca="1">MIN($D$3,VLOOKUP(C225,OP!$S$30:$T$41,2))</f>
        <v>2</v>
      </c>
      <c r="E225" s="1">
        <f t="shared" ca="1" si="126"/>
        <v>73</v>
      </c>
      <c r="F225" s="11" t="str">
        <f t="shared" ca="1" si="131"/>
        <v/>
      </c>
      <c r="G225" s="8">
        <f t="shared" ca="1" si="156"/>
        <v>366</v>
      </c>
      <c r="H225" s="8">
        <f t="shared" ca="1" si="133"/>
        <v>30</v>
      </c>
      <c r="I225" s="8" t="str">
        <f t="shared" ca="1" si="129"/>
        <v>1911</v>
      </c>
      <c r="J225" s="13">
        <f>IF(繳費報酬率資料!$A$1=1,VALUE(OP!$C$121),VLOOKUP(A225,MP,2,0))</f>
        <v>0.05</v>
      </c>
      <c r="K225" s="14">
        <f ca="1">IF(SUM($K$4:K224,IF(繳費報酬率資料!$A$1=1,$AU225+$AV225,$BB225+$BC225))&gt;OP!$L$58,0,IF(繳費報酬率資料!$A$1=1,$AU225+$AV225,$BB225+$BC225))</f>
        <v>0</v>
      </c>
      <c r="L225" s="2"/>
      <c r="M225" s="2"/>
      <c r="N225" s="2"/>
      <c r="O225" s="261">
        <f t="shared" ca="1" si="134"/>
        <v>0</v>
      </c>
      <c r="P225" s="261">
        <f t="shared" ca="1" si="152"/>
        <v>0</v>
      </c>
      <c r="Q225" s="3">
        <f ca="1">IF(A225&gt;MAX(OP!$R$17:$R$26),0,VLOOKUP(A225,fees,3,FALSE))</f>
        <v>0</v>
      </c>
      <c r="R225" s="200" t="str">
        <f t="shared" ca="1" si="135"/>
        <v/>
      </c>
      <c r="S225" s="9" t="str">
        <f ca="1">IF(COUNTIF(($T$4:T224),"F")&gt;=1,"",IF(OR(C226&lt;&gt;$C$3,E225=""),"",A225))</f>
        <v/>
      </c>
      <c r="T225" s="20" t="str">
        <f t="shared" ca="1" si="127"/>
        <v/>
      </c>
      <c r="U225" s="2">
        <f ca="1">IF(IF(OP!$C$83=1,$Z224,IF(OP!$C$83=2,$AA224,IF(OP!$C$83=3,$AB224,)))+$K225-$O225-$P225-$AS225&lt;OP!$C$142,0,$AS225)</f>
        <v>0</v>
      </c>
      <c r="V225" s="9"/>
      <c r="W225" s="19">
        <f ca="1">MAX(SUM($K$4:K225),0)</f>
        <v>2000000</v>
      </c>
      <c r="X225" s="19"/>
      <c r="Y225" s="19">
        <f t="shared" ca="1" si="153"/>
        <v>1920000</v>
      </c>
      <c r="Z225" s="2">
        <f ca="1">IF(MIN($Z$4:Z224)=0,0,MAX(0,($Z224+$K225-$O225-$P225)*IF(AND(F225="F",$D$3&lt;&gt;$G$3),((1+(-J225))^(H225/MIN(G225,365))),((1+(-J225))^(1/12)))-$U225))</f>
        <v>743340.72438254103</v>
      </c>
      <c r="AA225" s="2">
        <f ca="1">IF(MIN($AA$4:AA224)=0,0,MAX(0,($AA224+$K225-$O225-$P225)*IF(AND(F225="F",$D$3&lt;&gt;$G$3),((1+$AA$1)^(H225/MIN(G225,365))),((1+$AA$1)^(1/12)))-$U225))</f>
        <v>1920000</v>
      </c>
      <c r="AB225" s="2">
        <f ca="1">IF(MIN($AB$4:AB224)=0,0,MAX(0,($AB224+$K225-$O225-$P225)*IF(AND(F225="F",$D$3&lt;&gt;$G$3),((1+(J225))^(H225/MIN(G225,365))),((1+(J225))^(1/12)))-$U225))</f>
        <v>4734817.689608492</v>
      </c>
      <c r="AC225" s="5"/>
      <c r="AD225" s="5"/>
      <c r="AE225" s="5"/>
      <c r="AF225" s="282">
        <f t="shared" ca="1" si="136"/>
        <v>743341</v>
      </c>
      <c r="AG225" s="282">
        <f t="shared" ca="1" si="137"/>
        <v>1920000</v>
      </c>
      <c r="AH225" s="282">
        <f t="shared" ca="1" si="138"/>
        <v>4734818</v>
      </c>
      <c r="AI225" s="23" t="str">
        <f t="shared" ca="1" si="154"/>
        <v>19-7</v>
      </c>
      <c r="AJ225" s="282">
        <f ca="1">IF(E225&gt;111,,IF(AND(OP!$C$99=1,T225="F"),Z225,IF(AND(OP!$C$99=2,COUNTIF($T$4:T225,"F")=1),OP!$C$97+IF(F225="F",OP!$C$98,0),"")))</f>
        <v>54527</v>
      </c>
      <c r="AK225" s="282">
        <f ca="1">IF(E225&gt;111,,IF(AND(OP!$D$99=1,T225="F"),AA225,IF(AND(OP!$D$99=2,COUNTIF($T$4:T225,"F")=1),OP!$D$97+IF(F225="F",OP!$D$98,0),"")))</f>
        <v>74177</v>
      </c>
      <c r="AL225" s="282">
        <f ca="1">IF(E225&gt;111,,IF(AND(OP!$E$99=1,T225="F"),AB225,IF(AND(OP!$E$99=2,COUNTIF($T$4:T225,"F")=1),OP!$E$97+IF(F225="F",OP!$E$98,0),"")))</f>
        <v>99404</v>
      </c>
      <c r="AM225" s="1">
        <f t="shared" ca="1" si="128"/>
        <v>7</v>
      </c>
      <c r="AN225" s="1" t="str">
        <f ca="1">IF(OR(VLOOKUP($A225,MP,5,0)="月繳"),1,"")</f>
        <v/>
      </c>
      <c r="AO225" s="1">
        <f t="shared" ca="1" si="139"/>
        <v>0</v>
      </c>
      <c r="AP225" s="1" t="str">
        <f ca="1">IF(AND(A225&lt;=OP!$C$120,COUNTIF(PAY,C225)=1),1,"")</f>
        <v/>
      </c>
      <c r="AR225" s="301">
        <f ca="1">IF(繳費報酬率資料!$A$1=1,$AY225+$AZ225,$BF225+$BG225)</f>
        <v>0</v>
      </c>
      <c r="AS225" s="1">
        <f ca="1">IF(C225&lt;&gt;IF($C$3=1,12,$C$3-1),0,IF(繳費報酬率資料!$A$1&lt;&gt;1,VLOOKUP($A225,MP,8,0),IF(AND($A225&gt;=OP!$C$79,$A225&lt;=OP!$C$80),OP!$C$78,)))</f>
        <v>0</v>
      </c>
      <c r="AT225" s="298">
        <f t="shared" ca="1" si="140"/>
        <v>0</v>
      </c>
      <c r="AU225" s="298">
        <f ca="1">IF(AND(A225&lt;=OP!$C$120,COUNTIF(PAY,C225)=1),OP!$C$123,0)</f>
        <v>0</v>
      </c>
      <c r="AV225" s="298">
        <f ca="1">IF(AND(A225&gt;=OP!$C$132,A225&lt;=OP!$C$133,$C$3=C225),OP!$C$135,0)</f>
        <v>0</v>
      </c>
      <c r="AW225" s="180">
        <f t="shared" ca="1" si="141"/>
        <v>0.05</v>
      </c>
      <c r="AX225" s="180">
        <f t="shared" ca="1" si="142"/>
        <v>0.05</v>
      </c>
      <c r="AY225" s="286">
        <f t="shared" ca="1" si="143"/>
        <v>0</v>
      </c>
      <c r="AZ225" s="286">
        <f t="shared" ca="1" si="144"/>
        <v>0</v>
      </c>
      <c r="BA225" s="286">
        <f t="shared" ca="1" si="145"/>
        <v>0</v>
      </c>
      <c r="BB225" s="286">
        <f t="shared" ca="1" si="146"/>
        <v>0</v>
      </c>
      <c r="BC225" s="286">
        <f t="shared" ca="1" si="147"/>
        <v>0</v>
      </c>
      <c r="BD225" s="180">
        <f t="shared" ca="1" si="148"/>
        <v>0.05</v>
      </c>
      <c r="BE225" s="180">
        <f t="shared" ca="1" si="149"/>
        <v>0.05</v>
      </c>
      <c r="BF225" s="286">
        <f t="shared" ca="1" si="150"/>
        <v>0</v>
      </c>
      <c r="BG225" s="286">
        <f t="shared" ca="1" si="151"/>
        <v>0</v>
      </c>
    </row>
    <row r="226" spans="1:59">
      <c r="A226" s="1">
        <f t="shared" ca="1" si="130"/>
        <v>19</v>
      </c>
      <c r="B226" s="1">
        <f t="shared" ca="1" si="124"/>
        <v>124</v>
      </c>
      <c r="C226" s="1">
        <f t="shared" ca="1" si="125"/>
        <v>12</v>
      </c>
      <c r="D226" s="1">
        <f ca="1">MIN($D$3,VLOOKUP(C226,OP!$S$30:$T$41,2))</f>
        <v>2</v>
      </c>
      <c r="E226" s="1">
        <f t="shared" ca="1" si="126"/>
        <v>73</v>
      </c>
      <c r="F226" s="11" t="str">
        <f t="shared" ca="1" si="131"/>
        <v/>
      </c>
      <c r="G226" s="8">
        <f t="shared" ca="1" si="156"/>
        <v>366</v>
      </c>
      <c r="H226" s="8">
        <f t="shared" ca="1" si="133"/>
        <v>31</v>
      </c>
      <c r="I226" s="8" t="str">
        <f t="shared" ca="1" si="129"/>
        <v>1912</v>
      </c>
      <c r="J226" s="13">
        <f>IF(繳費報酬率資料!$A$1=1,VALUE(OP!$C$121),VLOOKUP(A226,MP,2,0))</f>
        <v>0.05</v>
      </c>
      <c r="K226" s="14">
        <f ca="1">IF(SUM($K$4:K225,IF(繳費報酬率資料!$A$1=1,$AU226+$AV226,$BB226+$BC226))&gt;OP!$L$58,0,IF(繳費報酬率資料!$A$1=1,$AU226+$AV226,$BB226+$BC226))</f>
        <v>0</v>
      </c>
      <c r="L226" s="2"/>
      <c r="M226" s="2"/>
      <c r="N226" s="2"/>
      <c r="O226" s="261">
        <f t="shared" ca="1" si="134"/>
        <v>0</v>
      </c>
      <c r="P226" s="261">
        <f t="shared" ca="1" si="152"/>
        <v>0</v>
      </c>
      <c r="Q226" s="3">
        <f ca="1">IF(A226&gt;MAX(OP!$R$17:$R$26),0,VLOOKUP(A226,fees,3,FALSE))</f>
        <v>0</v>
      </c>
      <c r="R226" s="200" t="str">
        <f t="shared" ca="1" si="135"/>
        <v/>
      </c>
      <c r="S226" s="9" t="str">
        <f ca="1">IF(COUNTIF(($T$4:T225),"F")&gt;=1,"",IF(OR(C227&lt;&gt;$C$3,E226=""),"",A226))</f>
        <v/>
      </c>
      <c r="T226" s="20" t="str">
        <f t="shared" ca="1" si="127"/>
        <v/>
      </c>
      <c r="U226" s="2">
        <f ca="1">IF(IF(OP!$C$83=1,$Z225,IF(OP!$C$83=2,$AA225,IF(OP!$C$83=3,$AB225,)))+$K226-$O226-$P226-$AS226&lt;OP!$C$142,0,$AS226)</f>
        <v>0</v>
      </c>
      <c r="V226" s="9"/>
      <c r="W226" s="19">
        <f ca="1">MAX(SUM($K$4:K226),0)</f>
        <v>2000000</v>
      </c>
      <c r="X226" s="19"/>
      <c r="Y226" s="19">
        <f t="shared" ca="1" si="153"/>
        <v>1920000</v>
      </c>
      <c r="Z226" s="2">
        <f ca="1">IF(MIN($Z$4:Z225)=0,0,MAX(0,($Z225+$K226-$O226-$P226)*IF(AND(F226="F",$D$3&lt;&gt;$G$3),((1+(-J226))^(H226/MIN(G226,365))),((1+(-J226))^(1/12)))-$U226))</f>
        <v>740170.13923270663</v>
      </c>
      <c r="AA226" s="2">
        <f ca="1">IF(MIN($AA$4:AA225)=0,0,MAX(0,($AA225+$K226-$O226-$P226)*IF(AND(F226="F",$D$3&lt;&gt;$G$3),((1+$AA$1)^(H226/MIN(G226,365))),((1+$AA$1)^(1/12)))-$U226))</f>
        <v>1920000</v>
      </c>
      <c r="AB226" s="2">
        <f ca="1">IF(MIN($AB$4:AB225)=0,0,MAX(0,($AB225+$K226-$O226-$P226)*IF(AND(F226="F",$D$3&lt;&gt;$G$3),((1+(J226))^(H226/MIN(G226,365))),((1+(J226))^(1/12)))-$U226))</f>
        <v>4754107.922968965</v>
      </c>
      <c r="AC226" s="5"/>
      <c r="AD226" s="5"/>
      <c r="AE226" s="5"/>
      <c r="AF226" s="282">
        <f t="shared" ca="1" si="136"/>
        <v>740170</v>
      </c>
      <c r="AG226" s="282">
        <f t="shared" ca="1" si="137"/>
        <v>1920000</v>
      </c>
      <c r="AH226" s="282">
        <f t="shared" ca="1" si="138"/>
        <v>4754108</v>
      </c>
      <c r="AI226" s="23" t="str">
        <f t="shared" ca="1" si="154"/>
        <v>19-8</v>
      </c>
      <c r="AJ226" s="282">
        <f ca="1">IF(E226&gt;111,,IF(AND(OP!$C$99=1,T226="F"),Z226,IF(AND(OP!$C$99=2,COUNTIF($T$4:T226,"F")=1),OP!$C$97+IF(F226="F",OP!$C$98,0),"")))</f>
        <v>54527</v>
      </c>
      <c r="AK226" s="282">
        <f ca="1">IF(E226&gt;111,,IF(AND(OP!$D$99=1,T226="F"),AA226,IF(AND(OP!$D$99=2,COUNTIF($T$4:T226,"F")=1),OP!$D$97+IF(F226="F",OP!$D$98,0),"")))</f>
        <v>74177</v>
      </c>
      <c r="AL226" s="282">
        <f ca="1">IF(E226&gt;111,,IF(AND(OP!$E$99=1,T226="F"),AB226,IF(AND(OP!$E$99=2,COUNTIF($T$4:T226,"F")=1),OP!$E$97+IF(F226="F",OP!$E$98,0),"")))</f>
        <v>99404</v>
      </c>
      <c r="AM226" s="1">
        <f t="shared" ca="1" si="128"/>
        <v>8</v>
      </c>
      <c r="AN226" s="1" t="str">
        <f ca="1">IF(OR(VLOOKUP($A226,MP,5,0)="半年繳",VLOOKUP($A226,MP,5,0)="季繳",VLOOKUP($A226,MP,5,0)="月繳"),1,"")</f>
        <v/>
      </c>
      <c r="AO226" s="1">
        <f t="shared" ca="1" si="139"/>
        <v>0</v>
      </c>
      <c r="AP226" s="1" t="str">
        <f ca="1">IF(AND(A226&lt;=OP!$C$120,COUNTIF(PAY,C226)=1),1,"")</f>
        <v/>
      </c>
      <c r="AR226" s="301">
        <f ca="1">IF(繳費報酬率資料!$A$1=1,$AY226+$AZ226,$BF226+$BG226)</f>
        <v>0</v>
      </c>
      <c r="AS226" s="1">
        <f ca="1">IF(C226&lt;&gt;IF($C$3=1,12,$C$3-1),0,IF(繳費報酬率資料!$A$1&lt;&gt;1,VLOOKUP($A226,MP,8,0),IF(AND($A226&gt;=OP!$C$79,$A226&lt;=OP!$C$80),OP!$C$78,)))</f>
        <v>0</v>
      </c>
      <c r="AT226" s="298">
        <f t="shared" ca="1" si="140"/>
        <v>0</v>
      </c>
      <c r="AU226" s="298">
        <f ca="1">IF(AND(A226&lt;=OP!$C$120,COUNTIF(PAY,C226)=1),OP!$C$123,0)</f>
        <v>0</v>
      </c>
      <c r="AV226" s="298">
        <f ca="1">IF(AND(A226&gt;=OP!$C$132,A226&lt;=OP!$C$133,$C$3=C226),OP!$C$135,0)</f>
        <v>0</v>
      </c>
      <c r="AW226" s="180">
        <f t="shared" ca="1" si="141"/>
        <v>0.05</v>
      </c>
      <c r="AX226" s="180">
        <f t="shared" ca="1" si="142"/>
        <v>0.05</v>
      </c>
      <c r="AY226" s="286">
        <f t="shared" ca="1" si="143"/>
        <v>0</v>
      </c>
      <c r="AZ226" s="286">
        <f t="shared" ca="1" si="144"/>
        <v>0</v>
      </c>
      <c r="BA226" s="286">
        <f t="shared" ca="1" si="145"/>
        <v>0</v>
      </c>
      <c r="BB226" s="286">
        <f t="shared" ca="1" si="146"/>
        <v>0</v>
      </c>
      <c r="BC226" s="286">
        <f t="shared" ca="1" si="147"/>
        <v>0</v>
      </c>
      <c r="BD226" s="180">
        <f t="shared" ca="1" si="148"/>
        <v>0.05</v>
      </c>
      <c r="BE226" s="180">
        <f t="shared" ca="1" si="149"/>
        <v>0.05</v>
      </c>
      <c r="BF226" s="286">
        <f t="shared" ca="1" si="150"/>
        <v>0</v>
      </c>
      <c r="BG226" s="286">
        <f t="shared" ca="1" si="151"/>
        <v>0</v>
      </c>
    </row>
    <row r="227" spans="1:59">
      <c r="A227" s="1">
        <f t="shared" ca="1" si="130"/>
        <v>19</v>
      </c>
      <c r="B227" s="1">
        <f t="shared" ca="1" si="124"/>
        <v>125</v>
      </c>
      <c r="C227" s="1">
        <f t="shared" ca="1" si="125"/>
        <v>1</v>
      </c>
      <c r="D227" s="1">
        <f ca="1">MIN($D$3,VLOOKUP(C227,OP!$S$30:$T$41,2))</f>
        <v>2</v>
      </c>
      <c r="E227" s="1">
        <f t="shared" ca="1" si="126"/>
        <v>73</v>
      </c>
      <c r="F227" s="11" t="str">
        <f t="shared" ca="1" si="131"/>
        <v/>
      </c>
      <c r="G227" s="8">
        <f t="shared" ca="1" si="156"/>
        <v>366</v>
      </c>
      <c r="H227" s="8">
        <f t="shared" ca="1" si="133"/>
        <v>31</v>
      </c>
      <c r="I227" s="8" t="str">
        <f t="shared" ca="1" si="129"/>
        <v>191</v>
      </c>
      <c r="J227" s="13">
        <f>IF(繳費報酬率資料!$A$1=1,VALUE(OP!$C$121),VLOOKUP(A227,MP,2,0))</f>
        <v>0.05</v>
      </c>
      <c r="K227" s="14">
        <f ca="1">IF(SUM($K$4:K226,IF(繳費報酬率資料!$A$1=1,$AU227+$AV227,$BB227+$BC227))&gt;OP!$L$58,0,IF(繳費報酬率資料!$A$1=1,$AU227+$AV227,$BB227+$BC227))</f>
        <v>0</v>
      </c>
      <c r="L227" s="2"/>
      <c r="M227" s="2"/>
      <c r="N227" s="2"/>
      <c r="O227" s="261">
        <f t="shared" ca="1" si="134"/>
        <v>0</v>
      </c>
      <c r="P227" s="261">
        <f t="shared" ca="1" si="152"/>
        <v>0</v>
      </c>
      <c r="Q227" s="3">
        <f ca="1">IF(A227&gt;MAX(OP!$R$17:$R$26),0,VLOOKUP(A227,fees,3,FALSE))</f>
        <v>0</v>
      </c>
      <c r="R227" s="200" t="str">
        <f t="shared" ca="1" si="135"/>
        <v/>
      </c>
      <c r="S227" s="9" t="str">
        <f ca="1">IF(COUNTIF(($T$4:T226),"F")&gt;=1,"",IF(OR(C228&lt;&gt;$C$3,E227=""),"",A227))</f>
        <v/>
      </c>
      <c r="T227" s="20" t="str">
        <f t="shared" ca="1" si="127"/>
        <v/>
      </c>
      <c r="U227" s="2">
        <f ca="1">IF(IF(OP!$C$83=1,$Z226,IF(OP!$C$83=2,$AA226,IF(OP!$C$83=3,$AB226,)))+$K227-$O227-$P227-$AS227&lt;OP!$C$142,0,$AS227)</f>
        <v>0</v>
      </c>
      <c r="V227" s="9"/>
      <c r="W227" s="19">
        <f ca="1">MAX(SUM($K$4:K227),0)</f>
        <v>2000000</v>
      </c>
      <c r="X227" s="19"/>
      <c r="Y227" s="19">
        <f t="shared" ca="1" si="153"/>
        <v>1920000</v>
      </c>
      <c r="Z227" s="2">
        <f ca="1">IF(MIN($Z$4:Z226)=0,0,MAX(0,($Z226+$K227-$O227-$P227)*IF(AND(F227="F",$D$3&lt;&gt;$G$3),((1+(-J227))^(H227/MIN(G227,365))),((1+(-J227))^(1/12)))-$U227))</f>
        <v>737013.07763924764</v>
      </c>
      <c r="AA227" s="2">
        <f ca="1">IF(MIN($AA$4:AA226)=0,0,MAX(0,($AA226+$K227-$O227-$P227)*IF(AND(F227="F",$D$3&lt;&gt;$G$3),((1+$AA$1)^(H227/MIN(G227,365))),((1+$AA$1)^(1/12)))-$U227))</f>
        <v>1920000</v>
      </c>
      <c r="AB227" s="2">
        <f ca="1">IF(MIN($AB$4:AB226)=0,0,MAX(0,($AB226+$K227-$O227-$P227)*IF(AND(F227="F",$D$3&lt;&gt;$G$3),((1+(J227))^(H227/MIN(G227,365))),((1+(J227))^(1/12)))-$U227))</f>
        <v>4773476.7471279642</v>
      </c>
      <c r="AC227" s="5"/>
      <c r="AD227" s="5"/>
      <c r="AE227" s="5"/>
      <c r="AF227" s="282">
        <f t="shared" ca="1" si="136"/>
        <v>737013</v>
      </c>
      <c r="AG227" s="282">
        <f t="shared" ca="1" si="137"/>
        <v>1920000</v>
      </c>
      <c r="AH227" s="282">
        <f t="shared" ca="1" si="138"/>
        <v>4773477</v>
      </c>
      <c r="AI227" s="23" t="str">
        <f t="shared" ca="1" si="154"/>
        <v>19-9</v>
      </c>
      <c r="AJ227" s="282">
        <f ca="1">IF(E227&gt;111,,IF(AND(OP!$C$99=1,T227="F"),Z227,IF(AND(OP!$C$99=2,COUNTIF($T$4:T227,"F")=1),OP!$C$97+IF(F227="F",OP!$C$98,0),"")))</f>
        <v>54527</v>
      </c>
      <c r="AK227" s="282">
        <f ca="1">IF(E227&gt;111,,IF(AND(OP!$D$99=1,T227="F"),AA227,IF(AND(OP!$D$99=2,COUNTIF($T$4:T227,"F")=1),OP!$D$97+IF(F227="F",OP!$D$98,0),"")))</f>
        <v>74177</v>
      </c>
      <c r="AL227" s="282">
        <f ca="1">IF(E227&gt;111,,IF(AND(OP!$E$99=1,T227="F"),AB227,IF(AND(OP!$E$99=2,COUNTIF($T$4:T227,"F")=1),OP!$E$97+IF(F227="F",OP!$E$98,0),"")))</f>
        <v>99404</v>
      </c>
      <c r="AM227" s="1">
        <f t="shared" ca="1" si="128"/>
        <v>9</v>
      </c>
      <c r="AN227" s="1" t="str">
        <f ca="1">IF(OR(VLOOKUP($A227,MP,5,0)="月繳"),1,"")</f>
        <v/>
      </c>
      <c r="AO227" s="1">
        <f t="shared" ca="1" si="139"/>
        <v>0</v>
      </c>
      <c r="AP227" s="1" t="str">
        <f ca="1">IF(AND(A227&lt;=OP!$C$120,COUNTIF(PAY,C227)=1),1,"")</f>
        <v/>
      </c>
      <c r="AR227" s="301">
        <f ca="1">IF(繳費報酬率資料!$A$1=1,$AY227+$AZ227,$BF227+$BG227)</f>
        <v>0</v>
      </c>
      <c r="AS227" s="1">
        <f ca="1">IF(C227&lt;&gt;IF($C$3=1,12,$C$3-1),0,IF(繳費報酬率資料!$A$1&lt;&gt;1,VLOOKUP($A227,MP,8,0),IF(AND($A227&gt;=OP!$C$79,$A227&lt;=OP!$C$80),OP!$C$78,)))</f>
        <v>0</v>
      </c>
      <c r="AT227" s="298">
        <f t="shared" ca="1" si="140"/>
        <v>0</v>
      </c>
      <c r="AU227" s="298">
        <f ca="1">IF(AND(A227&lt;=OP!$C$120,COUNTIF(PAY,C227)=1),OP!$C$123,0)</f>
        <v>0</v>
      </c>
      <c r="AV227" s="298">
        <f ca="1">IF(AND(A227&gt;=OP!$C$132,A227&lt;=OP!$C$133,$C$3=C227),OP!$C$135,0)</f>
        <v>0</v>
      </c>
      <c r="AW227" s="180">
        <f t="shared" ca="1" si="141"/>
        <v>0.05</v>
      </c>
      <c r="AX227" s="180">
        <f t="shared" ca="1" si="142"/>
        <v>0.05</v>
      </c>
      <c r="AY227" s="286">
        <f t="shared" ca="1" si="143"/>
        <v>0</v>
      </c>
      <c r="AZ227" s="286">
        <f t="shared" ca="1" si="144"/>
        <v>0</v>
      </c>
      <c r="BA227" s="286">
        <f t="shared" ca="1" si="145"/>
        <v>0</v>
      </c>
      <c r="BB227" s="286">
        <f t="shared" ca="1" si="146"/>
        <v>0</v>
      </c>
      <c r="BC227" s="286">
        <f t="shared" ca="1" si="147"/>
        <v>0</v>
      </c>
      <c r="BD227" s="180">
        <f t="shared" ca="1" si="148"/>
        <v>0.05</v>
      </c>
      <c r="BE227" s="180">
        <f t="shared" ca="1" si="149"/>
        <v>0.05</v>
      </c>
      <c r="BF227" s="286">
        <f t="shared" ca="1" si="150"/>
        <v>0</v>
      </c>
      <c r="BG227" s="286">
        <f t="shared" ca="1" si="151"/>
        <v>0</v>
      </c>
    </row>
    <row r="228" spans="1:59">
      <c r="A228" s="1">
        <f t="shared" ca="1" si="130"/>
        <v>19</v>
      </c>
      <c r="B228" s="1">
        <f t="shared" ca="1" si="124"/>
        <v>125</v>
      </c>
      <c r="C228" s="1">
        <f t="shared" ca="1" si="125"/>
        <v>2</v>
      </c>
      <c r="D228" s="1">
        <f ca="1">MIN($D$3,VLOOKUP(C228,OP!$S$30:$T$41,2))</f>
        <v>2</v>
      </c>
      <c r="E228" s="1">
        <f t="shared" ca="1" si="126"/>
        <v>73</v>
      </c>
      <c r="F228" s="11" t="str">
        <f t="shared" ca="1" si="131"/>
        <v/>
      </c>
      <c r="G228" s="8">
        <f t="shared" ca="1" si="156"/>
        <v>366</v>
      </c>
      <c r="H228" s="8">
        <f t="shared" ca="1" si="133"/>
        <v>29</v>
      </c>
      <c r="I228" s="8" t="str">
        <f t="shared" ca="1" si="129"/>
        <v>192</v>
      </c>
      <c r="J228" s="13">
        <f>IF(繳費報酬率資料!$A$1=1,VALUE(OP!$C$121),VLOOKUP(A228,MP,2,0))</f>
        <v>0.05</v>
      </c>
      <c r="K228" s="14">
        <f ca="1">IF(SUM($K$4:K227,IF(繳費報酬率資料!$A$1=1,$AU228+$AV228,$BB228+$BC228))&gt;OP!$L$58,0,IF(繳費報酬率資料!$A$1=1,$AU228+$AV228,$BB228+$BC228))</f>
        <v>0</v>
      </c>
      <c r="L228" s="2"/>
      <c r="M228" s="2"/>
      <c r="N228" s="2"/>
      <c r="O228" s="261">
        <f t="shared" ca="1" si="134"/>
        <v>0</v>
      </c>
      <c r="P228" s="261">
        <f t="shared" ca="1" si="152"/>
        <v>0</v>
      </c>
      <c r="Q228" s="3">
        <f ca="1">IF(A228&gt;MAX(OP!$R$17:$R$26),0,VLOOKUP(A228,fees,3,FALSE))</f>
        <v>0</v>
      </c>
      <c r="R228" s="200" t="str">
        <f t="shared" ca="1" si="135"/>
        <v/>
      </c>
      <c r="S228" s="9" t="str">
        <f ca="1">IF(COUNTIF(($T$4:T227),"F")&gt;=1,"",IF(OR(C229&lt;&gt;$C$3,E228=""),"",A228))</f>
        <v/>
      </c>
      <c r="T228" s="20" t="str">
        <f t="shared" ca="1" si="127"/>
        <v/>
      </c>
      <c r="U228" s="2">
        <f ca="1">IF(IF(OP!$C$83=1,$Z227,IF(OP!$C$83=2,$AA227,IF(OP!$C$83=3,$AB227,)))+$K228-$O228-$P228-$AS228&lt;OP!$C$142,0,$AS228)</f>
        <v>0</v>
      </c>
      <c r="V228" s="9"/>
      <c r="W228" s="19">
        <f ca="1">MAX(SUM($K$4:K228),0)</f>
        <v>2000000</v>
      </c>
      <c r="X228" s="19"/>
      <c r="Y228" s="19">
        <f t="shared" ca="1" si="153"/>
        <v>1920000</v>
      </c>
      <c r="Z228" s="2">
        <f ca="1">IF(MIN($Z$4:Z227)=0,0,MAX(0,($Z227+$K228-$O228-$P228)*IF(AND(F228="F",$D$3&lt;&gt;$G$3),((1+(-J228))^(H228/MIN(G228,365))),((1+(-J228))^(1/12)))-$U228))</f>
        <v>733869.48191988515</v>
      </c>
      <c r="AA228" s="2">
        <f ca="1">IF(MIN($AA$4:AA227)=0,0,MAX(0,($AA227+$K228-$O228-$P228)*IF(AND(F228="F",$D$3&lt;&gt;$G$3),((1+$AA$1)^(H228/MIN(G228,365))),((1+$AA$1)^(1/12)))-$U228))</f>
        <v>1920000</v>
      </c>
      <c r="AB228" s="2">
        <f ca="1">IF(MIN($AB$4:AB227)=0,0,MAX(0,($AB227+$K228-$O228-$P228)*IF(AND(F228="F",$D$3&lt;&gt;$G$3),((1+(J228))^(H228/MIN(G228,365))),((1+(J228))^(1/12)))-$U228))</f>
        <v>4792924.4822741309</v>
      </c>
      <c r="AC228" s="5"/>
      <c r="AD228" s="5"/>
      <c r="AE228" s="5"/>
      <c r="AF228" s="282">
        <f t="shared" ca="1" si="136"/>
        <v>733869</v>
      </c>
      <c r="AG228" s="282">
        <f t="shared" ca="1" si="137"/>
        <v>1920000</v>
      </c>
      <c r="AH228" s="282">
        <f t="shared" ca="1" si="138"/>
        <v>4792924</v>
      </c>
      <c r="AI228" s="23" t="str">
        <f t="shared" ca="1" si="154"/>
        <v>19-10</v>
      </c>
      <c r="AJ228" s="282">
        <f ca="1">IF(E228&gt;111,,IF(AND(OP!$C$99=1,T228="F"),Z228,IF(AND(OP!$C$99=2,COUNTIF($T$4:T228,"F")=1),OP!$C$97+IF(F228="F",OP!$C$98,0),"")))</f>
        <v>54527</v>
      </c>
      <c r="AK228" s="282">
        <f ca="1">IF(E228&gt;111,,IF(AND(OP!$D$99=1,T228="F"),AA228,IF(AND(OP!$D$99=2,COUNTIF($T$4:T228,"F")=1),OP!$D$97+IF(F228="F",OP!$D$98,0),"")))</f>
        <v>74177</v>
      </c>
      <c r="AL228" s="282">
        <f ca="1">IF(E228&gt;111,,IF(AND(OP!$E$99=1,T228="F"),AB228,IF(AND(OP!$E$99=2,COUNTIF($T$4:T228,"F")=1),OP!$E$97+IF(F228="F",OP!$E$98,0),"")))</f>
        <v>99404</v>
      </c>
      <c r="AM228" s="1">
        <f t="shared" ca="1" si="128"/>
        <v>10</v>
      </c>
      <c r="AN228" s="1" t="str">
        <f ca="1">IF(OR(VLOOKUP($A228,MP,5,0)="月繳"),1,"")</f>
        <v/>
      </c>
      <c r="AO228" s="1">
        <f t="shared" ca="1" si="139"/>
        <v>0</v>
      </c>
      <c r="AP228" s="1" t="str">
        <f ca="1">IF(AND(A228&lt;=OP!$C$120,COUNTIF(PAY,C228)=1),1,"")</f>
        <v/>
      </c>
      <c r="AR228" s="301">
        <f ca="1">IF(繳費報酬率資料!$A$1=1,$AY228+$AZ228,$BF228+$BG228)</f>
        <v>0</v>
      </c>
      <c r="AS228" s="1">
        <f ca="1">IF(C228&lt;&gt;IF($C$3=1,12,$C$3-1),0,IF(繳費報酬率資料!$A$1&lt;&gt;1,VLOOKUP($A228,MP,8,0),IF(AND($A228&gt;=OP!$C$79,$A228&lt;=OP!$C$80),OP!$C$78,)))</f>
        <v>0</v>
      </c>
      <c r="AT228" s="298">
        <f t="shared" ca="1" si="140"/>
        <v>0</v>
      </c>
      <c r="AU228" s="298">
        <f ca="1">IF(AND(A228&lt;=OP!$C$120,COUNTIF(PAY,C228)=1),OP!$C$123,0)</f>
        <v>0</v>
      </c>
      <c r="AV228" s="298">
        <f ca="1">IF(AND(A228&gt;=OP!$C$132,A228&lt;=OP!$C$133,$C$3=C228),OP!$C$135,0)</f>
        <v>0</v>
      </c>
      <c r="AW228" s="180">
        <f t="shared" ca="1" si="141"/>
        <v>0.05</v>
      </c>
      <c r="AX228" s="180">
        <f t="shared" ca="1" si="142"/>
        <v>0.05</v>
      </c>
      <c r="AY228" s="286">
        <f t="shared" ca="1" si="143"/>
        <v>0</v>
      </c>
      <c r="AZ228" s="286">
        <f t="shared" ca="1" si="144"/>
        <v>0</v>
      </c>
      <c r="BA228" s="286">
        <f t="shared" ca="1" si="145"/>
        <v>0</v>
      </c>
      <c r="BB228" s="286">
        <f t="shared" ca="1" si="146"/>
        <v>0</v>
      </c>
      <c r="BC228" s="286">
        <f t="shared" ca="1" si="147"/>
        <v>0</v>
      </c>
      <c r="BD228" s="180">
        <f t="shared" ca="1" si="148"/>
        <v>0.05</v>
      </c>
      <c r="BE228" s="180">
        <f t="shared" ca="1" si="149"/>
        <v>0.05</v>
      </c>
      <c r="BF228" s="286">
        <f t="shared" ca="1" si="150"/>
        <v>0</v>
      </c>
      <c r="BG228" s="286">
        <f t="shared" ca="1" si="151"/>
        <v>0</v>
      </c>
    </row>
    <row r="229" spans="1:59">
      <c r="A229" s="1">
        <f t="shared" ca="1" si="130"/>
        <v>19</v>
      </c>
      <c r="B229" s="1">
        <f t="shared" ca="1" si="124"/>
        <v>125</v>
      </c>
      <c r="C229" s="1">
        <f t="shared" ca="1" si="125"/>
        <v>3</v>
      </c>
      <c r="D229" s="1">
        <f ca="1">MIN($D$3,VLOOKUP(C229,OP!$S$30:$T$41,2))</f>
        <v>2</v>
      </c>
      <c r="E229" s="1">
        <f t="shared" ca="1" si="126"/>
        <v>73</v>
      </c>
      <c r="F229" s="11" t="str">
        <f t="shared" ca="1" si="131"/>
        <v/>
      </c>
      <c r="G229" s="8">
        <f t="shared" ca="1" si="156"/>
        <v>366</v>
      </c>
      <c r="H229" s="8">
        <f t="shared" ca="1" si="133"/>
        <v>31</v>
      </c>
      <c r="I229" s="8" t="str">
        <f t="shared" ca="1" si="129"/>
        <v>193</v>
      </c>
      <c r="J229" s="13">
        <f>IF(繳費報酬率資料!$A$1=1,VALUE(OP!$C$121),VLOOKUP(A229,MP,2,0))</f>
        <v>0.05</v>
      </c>
      <c r="K229" s="14">
        <f ca="1">IF(SUM($K$4:K228,IF(繳費報酬率資料!$A$1=1,$AU229+$AV229,$BB229+$BC229))&gt;OP!$L$58,0,IF(繳費報酬率資料!$A$1=1,$AU229+$AV229,$BB229+$BC229))</f>
        <v>0</v>
      </c>
      <c r="L229" s="2"/>
      <c r="M229" s="2"/>
      <c r="N229" s="2"/>
      <c r="O229" s="261">
        <f t="shared" ca="1" si="134"/>
        <v>0</v>
      </c>
      <c r="P229" s="261">
        <f t="shared" ca="1" si="152"/>
        <v>0</v>
      </c>
      <c r="Q229" s="3">
        <f ca="1">IF(A229&gt;MAX(OP!$R$17:$R$26),0,VLOOKUP(A229,fees,3,FALSE))</f>
        <v>0</v>
      </c>
      <c r="R229" s="200" t="str">
        <f t="shared" ca="1" si="135"/>
        <v/>
      </c>
      <c r="S229" s="9" t="str">
        <f ca="1">IF(COUNTIF(($T$4:T228),"F")&gt;=1,"",IF(OR(C230&lt;&gt;$C$3,E229=""),"",A229))</f>
        <v/>
      </c>
      <c r="T229" s="20" t="str">
        <f t="shared" ca="1" si="127"/>
        <v/>
      </c>
      <c r="U229" s="2">
        <f ca="1">IF(IF(OP!$C$83=1,$Z228,IF(OP!$C$83=2,$AA228,IF(OP!$C$83=3,$AB228,)))+$K229-$O229-$P229-$AS229&lt;OP!$C$142,0,$AS229)</f>
        <v>0</v>
      </c>
      <c r="V229" s="9"/>
      <c r="W229" s="19">
        <f ca="1">MAX(SUM($K$4:K229),0)</f>
        <v>2000000</v>
      </c>
      <c r="X229" s="19"/>
      <c r="Y229" s="19">
        <f t="shared" ca="1" si="153"/>
        <v>1920000</v>
      </c>
      <c r="Z229" s="2">
        <f ca="1">IF(MIN($Z$4:Z228)=0,0,MAX(0,($Z228+$K229-$O229-$P229)*IF(AND(F229="F",$D$3&lt;&gt;$G$3),((1+(-J229))^(H229/MIN(G229,365))),((1+(-J229))^(1/12)))-$U229))</f>
        <v>730739.29463837354</v>
      </c>
      <c r="AA229" s="2">
        <f ca="1">IF(MIN($AA$4:AA228)=0,0,MAX(0,($AA228+$K229-$O229-$P229)*IF(AND(F229="F",$D$3&lt;&gt;$G$3),((1+$AA$1)^(H229/MIN(G229,365))),((1+$AA$1)^(1/12)))-$U229))</f>
        <v>1920000</v>
      </c>
      <c r="AB229" s="2">
        <f ca="1">IF(MIN($AB$4:AB228)=0,0,MAX(0,($AB228+$K229-$O229-$P229)*IF(AND(F229="F",$D$3&lt;&gt;$G$3),((1+(J229))^(H229/MIN(G229,365))),((1+(J229))^(1/12)))-$U229))</f>
        <v>4812451.4499005945</v>
      </c>
      <c r="AC229" s="5"/>
      <c r="AD229" s="5"/>
      <c r="AE229" s="5"/>
      <c r="AF229" s="282">
        <f t="shared" ca="1" si="136"/>
        <v>730739</v>
      </c>
      <c r="AG229" s="282">
        <f t="shared" ca="1" si="137"/>
        <v>1920000</v>
      </c>
      <c r="AH229" s="282">
        <f t="shared" ca="1" si="138"/>
        <v>4812451</v>
      </c>
      <c r="AI229" s="23" t="str">
        <f t="shared" ca="1" si="154"/>
        <v>19-11</v>
      </c>
      <c r="AJ229" s="282">
        <f ca="1">IF(E229&gt;111,,IF(AND(OP!$C$99=1,T229="F"),Z229,IF(AND(OP!$C$99=2,COUNTIF($T$4:T229,"F")=1),OP!$C$97+IF(F229="F",OP!$C$98,0),"")))</f>
        <v>54527</v>
      </c>
      <c r="AK229" s="282">
        <f ca="1">IF(E229&gt;111,,IF(AND(OP!$D$99=1,T229="F"),AA229,IF(AND(OP!$D$99=2,COUNTIF($T$4:T229,"F")=1),OP!$D$97+IF(F229="F",OP!$D$98,0),"")))</f>
        <v>74177</v>
      </c>
      <c r="AL229" s="282">
        <f ca="1">IF(E229&gt;111,,IF(AND(OP!$E$99=1,T229="F"),AB229,IF(AND(OP!$E$99=2,COUNTIF($T$4:T229,"F")=1),OP!$E$97+IF(F229="F",OP!$E$98,0),"")))</f>
        <v>99404</v>
      </c>
      <c r="AM229" s="1">
        <f t="shared" ca="1" si="128"/>
        <v>11</v>
      </c>
      <c r="AN229" s="1" t="str">
        <f ca="1">IF(OR(VLOOKUP($A229,MP,5,0)="季繳",VLOOKUP($A229,MP,5,0)="月繳"),1,"")</f>
        <v/>
      </c>
      <c r="AO229" s="1">
        <f t="shared" ca="1" si="139"/>
        <v>0</v>
      </c>
      <c r="AP229" s="1" t="str">
        <f ca="1">IF(AND(A229&lt;=OP!$C$120,COUNTIF(PAY,C229)=1),1,"")</f>
        <v/>
      </c>
      <c r="AR229" s="301">
        <f ca="1">IF(繳費報酬率資料!$A$1=1,$AY229+$AZ229,$BF229+$BG229)</f>
        <v>0</v>
      </c>
      <c r="AS229" s="1">
        <f ca="1">IF(C229&lt;&gt;IF($C$3=1,12,$C$3-1),0,IF(繳費報酬率資料!$A$1&lt;&gt;1,VLOOKUP($A229,MP,8,0),IF(AND($A229&gt;=OP!$C$79,$A229&lt;=OP!$C$80),OP!$C$78,)))</f>
        <v>0</v>
      </c>
      <c r="AT229" s="298">
        <f t="shared" ca="1" si="140"/>
        <v>0</v>
      </c>
      <c r="AU229" s="298">
        <f ca="1">IF(AND(A229&lt;=OP!$C$120,COUNTIF(PAY,C229)=1),OP!$C$123,0)</f>
        <v>0</v>
      </c>
      <c r="AV229" s="298">
        <f ca="1">IF(AND(A229&gt;=OP!$C$132,A229&lt;=OP!$C$133,$C$3=C229),OP!$C$135,0)</f>
        <v>0</v>
      </c>
      <c r="AW229" s="180">
        <f t="shared" ca="1" si="141"/>
        <v>0.05</v>
      </c>
      <c r="AX229" s="180">
        <f t="shared" ca="1" si="142"/>
        <v>0.05</v>
      </c>
      <c r="AY229" s="286">
        <f t="shared" ca="1" si="143"/>
        <v>0</v>
      </c>
      <c r="AZ229" s="286">
        <f t="shared" ca="1" si="144"/>
        <v>0</v>
      </c>
      <c r="BA229" s="286">
        <f t="shared" ca="1" si="145"/>
        <v>0</v>
      </c>
      <c r="BB229" s="286">
        <f t="shared" ca="1" si="146"/>
        <v>0</v>
      </c>
      <c r="BC229" s="286">
        <f t="shared" ca="1" si="147"/>
        <v>0</v>
      </c>
      <c r="BD229" s="180">
        <f t="shared" ca="1" si="148"/>
        <v>0.05</v>
      </c>
      <c r="BE229" s="180">
        <f t="shared" ca="1" si="149"/>
        <v>0.05</v>
      </c>
      <c r="BF229" s="286">
        <f t="shared" ca="1" si="150"/>
        <v>0</v>
      </c>
      <c r="BG229" s="286">
        <f t="shared" ca="1" si="151"/>
        <v>0</v>
      </c>
    </row>
    <row r="230" spans="1:59">
      <c r="A230" s="1">
        <f t="shared" ca="1" si="130"/>
        <v>19</v>
      </c>
      <c r="B230" s="1">
        <f t="shared" ca="1" si="124"/>
        <v>125</v>
      </c>
      <c r="C230" s="1">
        <f t="shared" ca="1" si="125"/>
        <v>4</v>
      </c>
      <c r="D230" s="1">
        <f ca="1">MIN($D$3,VLOOKUP(C230,OP!$S$30:$T$41,2))</f>
        <v>2</v>
      </c>
      <c r="E230" s="1">
        <f t="shared" ca="1" si="126"/>
        <v>73</v>
      </c>
      <c r="F230" s="11" t="str">
        <f t="shared" ca="1" si="131"/>
        <v/>
      </c>
      <c r="G230" s="8">
        <f t="shared" ca="1" si="156"/>
        <v>366</v>
      </c>
      <c r="H230" s="8">
        <f t="shared" ca="1" si="133"/>
        <v>30</v>
      </c>
      <c r="I230" s="8" t="str">
        <f t="shared" ca="1" si="129"/>
        <v>194</v>
      </c>
      <c r="J230" s="13">
        <f>IF(繳費報酬率資料!$A$1=1,VALUE(OP!$C$121),VLOOKUP(A230,MP,2,0))</f>
        <v>0.05</v>
      </c>
      <c r="K230" s="14">
        <f ca="1">IF(SUM($K$4:K229,IF(繳費報酬率資料!$A$1=1,$AU230+$AV230,$BB230+$BC230))&gt;OP!$L$58,0,IF(繳費報酬率資料!$A$1=1,$AU230+$AV230,$BB230+$BC230))</f>
        <v>0</v>
      </c>
      <c r="L230" s="2"/>
      <c r="M230" s="2"/>
      <c r="N230" s="2"/>
      <c r="O230" s="261">
        <f t="shared" ca="1" si="134"/>
        <v>0</v>
      </c>
      <c r="P230" s="261">
        <f t="shared" ca="1" si="152"/>
        <v>0</v>
      </c>
      <c r="Q230" s="3">
        <f ca="1">IF(A230&gt;MAX(OP!$R$17:$R$26),0,VLOOKUP(A230,fees,3,FALSE))</f>
        <v>0</v>
      </c>
      <c r="R230" s="200" t="str">
        <f t="shared" ca="1" si="135"/>
        <v/>
      </c>
      <c r="S230" s="9" t="str">
        <f ca="1">IF(COUNTIF(($T$4:T229),"F")&gt;=1,"",IF(OR(C231&lt;&gt;$C$3,E230=""),"",A230))</f>
        <v/>
      </c>
      <c r="T230" s="20" t="str">
        <f t="shared" ca="1" si="127"/>
        <v/>
      </c>
      <c r="U230" s="2">
        <f ca="1">IF(IF(OP!$C$83=1,$Z229,IF(OP!$C$83=2,$AA229,IF(OP!$C$83=3,$AB229,)))+$K230-$O230-$P230-$AS230&lt;OP!$C$142,0,$AS230)</f>
        <v>0</v>
      </c>
      <c r="V230" s="9"/>
      <c r="W230" s="19">
        <f ca="1">MAX(SUM($K$4:K230),0)</f>
        <v>2000000</v>
      </c>
      <c r="X230" s="19"/>
      <c r="Y230" s="19">
        <f t="shared" ca="1" si="153"/>
        <v>1920000</v>
      </c>
      <c r="Z230" s="2">
        <f ca="1">IF(MIN($Z$4:Z229)=0,0,MAX(0,($Z229+$K230-$O230-$P230)*IF(AND(F230="F",$D$3&lt;&gt;$G$3),((1+(-J230))^(H230/MIN(G230,365))),((1+(-J230))^(1/12)))-$U230))</f>
        <v>727622.45860345103</v>
      </c>
      <c r="AA230" s="2">
        <f ca="1">IF(MIN($AA$4:AA229)=0,0,MAX(0,($AA229+$K230-$O230-$P230)*IF(AND(F230="F",$D$3&lt;&gt;$G$3),((1+$AA$1)^(H230/MIN(G230,365))),((1+$AA$1)^(1/12)))-$U230))</f>
        <v>1920000</v>
      </c>
      <c r="AB230" s="2">
        <f ca="1">IF(MIN($AB$4:AB229)=0,0,MAX(0,($AB229+$K230-$O230-$P230)*IF(AND(F230="F",$D$3&lt;&gt;$G$3),((1+(J230))^(H230/MIN(G230,365))),((1+(J230))^(1/12)))-$U230))</f>
        <v>4832057.972810288</v>
      </c>
      <c r="AC230" s="5"/>
      <c r="AD230" s="5"/>
      <c r="AE230" s="5"/>
      <c r="AF230" s="282">
        <f t="shared" ca="1" si="136"/>
        <v>727622</v>
      </c>
      <c r="AG230" s="282">
        <f t="shared" ca="1" si="137"/>
        <v>1920000</v>
      </c>
      <c r="AH230" s="282">
        <f t="shared" ca="1" si="138"/>
        <v>4832058</v>
      </c>
      <c r="AI230" s="23" t="str">
        <f t="shared" ca="1" si="154"/>
        <v>19-12</v>
      </c>
      <c r="AJ230" s="282">
        <f ca="1">IF(E230&gt;111,,IF(AND(OP!$C$99=1,T230="F"),Z230,IF(AND(OP!$C$99=2,COUNTIF($T$4:T230,"F")=1),OP!$C$97+IF(F230="F",OP!$C$98,0),"")))</f>
        <v>54527</v>
      </c>
      <c r="AK230" s="282">
        <f ca="1">IF(E230&gt;111,,IF(AND(OP!$D$99=1,T230="F"),AA230,IF(AND(OP!$D$99=2,COUNTIF($T$4:T230,"F")=1),OP!$D$97+IF(F230="F",OP!$D$98,0),"")))</f>
        <v>74177</v>
      </c>
      <c r="AL230" s="282">
        <f ca="1">IF(E230&gt;111,,IF(AND(OP!$E$99=1,T230="F"),AB230,IF(AND(OP!$E$99=2,COUNTIF($T$4:T230,"F")=1),OP!$E$97+IF(F230="F",OP!$E$98,0),"")))</f>
        <v>99404</v>
      </c>
      <c r="AM230" s="1">
        <f t="shared" ca="1" si="128"/>
        <v>12</v>
      </c>
      <c r="AN230" s="1" t="str">
        <f ca="1">IF(OR(VLOOKUP($A230,MP,5,0)="月繳"),1,"")</f>
        <v/>
      </c>
      <c r="AO230" s="1">
        <f t="shared" ca="1" si="139"/>
        <v>0</v>
      </c>
      <c r="AP230" s="1" t="str">
        <f ca="1">IF(AND(A230&lt;=OP!$C$120,COUNTIF(PAY,C230)=1),1,"")</f>
        <v/>
      </c>
      <c r="AR230" s="301">
        <f ca="1">IF(繳費報酬率資料!$A$1=1,$AY230+$AZ230,$BF230+$BG230)</f>
        <v>0</v>
      </c>
      <c r="AS230" s="1">
        <f ca="1">IF(C230&lt;&gt;IF($C$3=1,12,$C$3-1),0,IF(繳費報酬率資料!$A$1&lt;&gt;1,VLOOKUP($A230,MP,8,0),IF(AND($A230&gt;=OP!$C$79,$A230&lt;=OP!$C$80),OP!$C$78,)))</f>
        <v>0</v>
      </c>
      <c r="AT230" s="298">
        <f t="shared" ca="1" si="140"/>
        <v>0</v>
      </c>
      <c r="AU230" s="298">
        <f ca="1">IF(AND(A230&lt;=OP!$C$120,COUNTIF(PAY,C230)=1),OP!$C$123,0)</f>
        <v>0</v>
      </c>
      <c r="AV230" s="298">
        <f ca="1">IF(AND(A230&gt;=OP!$C$132,A230&lt;=OP!$C$133,$C$3=C230),OP!$C$135,0)</f>
        <v>0</v>
      </c>
      <c r="AW230" s="180">
        <f t="shared" ca="1" si="141"/>
        <v>0.05</v>
      </c>
      <c r="AX230" s="180">
        <f t="shared" ca="1" si="142"/>
        <v>0.05</v>
      </c>
      <c r="AY230" s="286">
        <f t="shared" ca="1" si="143"/>
        <v>0</v>
      </c>
      <c r="AZ230" s="286">
        <f t="shared" ca="1" si="144"/>
        <v>0</v>
      </c>
      <c r="BA230" s="286">
        <f t="shared" ca="1" si="145"/>
        <v>0</v>
      </c>
      <c r="BB230" s="286">
        <f t="shared" ca="1" si="146"/>
        <v>0</v>
      </c>
      <c r="BC230" s="286">
        <f t="shared" ca="1" si="147"/>
        <v>0</v>
      </c>
      <c r="BD230" s="180">
        <f t="shared" ca="1" si="148"/>
        <v>0.05</v>
      </c>
      <c r="BE230" s="180">
        <f t="shared" ca="1" si="149"/>
        <v>0.05</v>
      </c>
      <c r="BF230" s="286">
        <f t="shared" ca="1" si="150"/>
        <v>0</v>
      </c>
      <c r="BG230" s="286">
        <f t="shared" ca="1" si="151"/>
        <v>0</v>
      </c>
    </row>
    <row r="231" spans="1:59">
      <c r="A231" s="1">
        <f t="shared" ca="1" si="130"/>
        <v>19</v>
      </c>
      <c r="B231" s="1">
        <f t="shared" ca="1" si="124"/>
        <v>125</v>
      </c>
      <c r="C231" s="1">
        <f t="shared" ca="1" si="125"/>
        <v>5</v>
      </c>
      <c r="D231" s="1">
        <f ca="1">MIN($D$3,VLOOKUP(C231,OP!$S$30:$T$41,2))</f>
        <v>2</v>
      </c>
      <c r="E231" s="1">
        <f t="shared" ca="1" si="126"/>
        <v>73</v>
      </c>
      <c r="F231" s="11" t="str">
        <f t="shared" ca="1" si="131"/>
        <v/>
      </c>
      <c r="G231" s="8">
        <f t="shared" ca="1" si="156"/>
        <v>366</v>
      </c>
      <c r="H231" s="8">
        <f t="shared" ca="1" si="133"/>
        <v>31</v>
      </c>
      <c r="I231" s="8" t="str">
        <f t="shared" ca="1" si="129"/>
        <v>195</v>
      </c>
      <c r="J231" s="13">
        <f>IF(繳費報酬率資料!$A$1=1,VALUE(OP!$C$121),VLOOKUP(A231,MP,2,0))</f>
        <v>0.05</v>
      </c>
      <c r="K231" s="14">
        <f ca="1">IF(SUM($K$4:K230,IF(繳費報酬率資料!$A$1=1,$AU231+$AV231,$BB231+$BC231))&gt;OP!$L$58,0,IF(繳費報酬率資料!$A$1=1,$AU231+$AV231,$BB231+$BC231))</f>
        <v>0</v>
      </c>
      <c r="L231" s="2">
        <f ca="1">ROUND(IF(OP!$C$78&lt;(IF(OR($T231="F",$E231&gt;=111),0,Z230+$K231-$O231+IF($C$1=1,OP!$C$78,IF($C232=$C$3,SUM(AC220:AC231,0)))))*5%,0,(OP!$C$78-((IF(OR($T231="F",$E231&gt;=111),0,Z230+$K231-$O231+IF($C$1=1,AC231,IF($C232=$C$3,SUM(AC220:AC231,0)))))*5%))*$Q231),0)</f>
        <v>0</v>
      </c>
      <c r="M231" s="2">
        <f ca="1">ROUND(IF(OP!$C$78&lt;(IF(OR($T231="F",$E231&gt;=111),0,AA230+$K231-$O231+IF($C$1=1,AD231,IF($C232=$C$3,SUM(AD220:AD231,0)))))*5%,0,(OP!$C$78-((IF(OR($T231="F",$E231&gt;=111),0,AA230+$K231-$O231+IF($C$1=1,AD231,IF($C232=$C$3,SUM(AD220:AD231,0)))))*5%))*$Q231),0)</f>
        <v>0</v>
      </c>
      <c r="N231" s="2">
        <f ca="1">ROUND(IF(OP!$C$78&lt;(IF(OR($T231="F",$E231&gt;=111),0,AB230+$K231-$O231+IF($C$1=1,AE231,IF($C232=$C$3,SUM(AE220:AE231,0)))))*5%,0,(OP!$C$78-((IF(OR($T231="F",$E231&gt;=111),0,AB230+$K231-$O231+IF($C$1=1,AE231,IF($C232=$C$3,SUM(AE220:AE231,0)))))*5%))*$Q231),0)</f>
        <v>0</v>
      </c>
      <c r="O231" s="261">
        <f t="shared" ca="1" si="134"/>
        <v>0</v>
      </c>
      <c r="P231" s="261">
        <f t="shared" ca="1" si="152"/>
        <v>0</v>
      </c>
      <c r="Q231" s="3">
        <f ca="1">IF(A231&gt;MAX(OP!$R$17:$R$26),0,VLOOKUP(A231,fees,3,FALSE))</f>
        <v>0</v>
      </c>
      <c r="R231" s="200">
        <f t="shared" ca="1" si="135"/>
        <v>19</v>
      </c>
      <c r="S231" s="9" t="str">
        <f ca="1">IF(COUNTIF(($T$4:T230),"F")&gt;=1,"",IF(OR(C232&lt;&gt;$C$3,E231=""),"",A231))</f>
        <v/>
      </c>
      <c r="T231" s="20" t="str">
        <f t="shared" ca="1" si="127"/>
        <v/>
      </c>
      <c r="U231" s="2">
        <f ca="1">IF(IF(OP!$C$83=1,$Z230,IF(OP!$C$83=2,$AA230,IF(OP!$C$83=3,$AB230,)))+$K231-$O231-$P231-$AS231&lt;OP!$C$142,0,$AS231)</f>
        <v>0</v>
      </c>
      <c r="V231" s="19">
        <f ca="1">SUM(K220:K231)</f>
        <v>0</v>
      </c>
      <c r="W231" s="19">
        <f ca="1">MAX(SUM($K$4:K231),0)</f>
        <v>2000000</v>
      </c>
      <c r="X231" s="19">
        <f ca="1">SUM(O220:P231)</f>
        <v>0</v>
      </c>
      <c r="Y231" s="19">
        <f t="shared" ca="1" si="153"/>
        <v>1920000</v>
      </c>
      <c r="Z231" s="2">
        <f ca="1">IF(MIN($Z$4:Z230)=0,0,MAX(0,($Z230+$K231-$O231-$P231)*IF(AND(F231="F",$D$3&lt;&gt;$G$3),((1+(-J231))^(H231/MIN(G231,365))),((1+(-J231))^(1/12)))-$U231))</f>
        <v>724518.91686779493</v>
      </c>
      <c r="AA231" s="2">
        <f ca="1">IF(MIN($AA$4:AA230)=0,0,MAX(0,($AA230+$K231-$O231-$P231)*IF(AND(F231="F",$D$3&lt;&gt;$G$3),((1+$AA$1)^(H231/MIN(G231,365))),((1+$AA$1)^(1/12)))-$U231))</f>
        <v>1920000</v>
      </c>
      <c r="AB231" s="2">
        <f ca="1">IF(MIN($AB$4:AB230)=0,0,MAX(0,($AB230+$K231-$O231-$P231)*IF(AND(F231="F",$D$3&lt;&gt;$G$3),((1+(J231))^(H231/MIN(G231,365))),((1+(J231))^(1/12)))-$U231))</f>
        <v>4851744.3751212824</v>
      </c>
      <c r="AC231" s="5"/>
      <c r="AD231" s="5"/>
      <c r="AE231" s="5"/>
      <c r="AF231" s="282">
        <f t="shared" ca="1" si="136"/>
        <v>724519</v>
      </c>
      <c r="AG231" s="282">
        <f t="shared" ca="1" si="137"/>
        <v>1920000</v>
      </c>
      <c r="AH231" s="282">
        <f t="shared" ca="1" si="138"/>
        <v>4851744</v>
      </c>
      <c r="AI231" s="23" t="str">
        <f t="shared" ca="1" si="154"/>
        <v>20-1</v>
      </c>
      <c r="AJ231" s="282">
        <f ca="1">IF(E231&gt;111,,IF(AND(OP!$C$99=1,T231="F"),Z231,IF(AND(OP!$C$99=2,COUNTIF($T$4:T231,"F")=1),OP!$C$97+IF(F231="F",OP!$C$98,0),"")))</f>
        <v>54527</v>
      </c>
      <c r="AK231" s="282">
        <f ca="1">IF(E231&gt;111,,IF(AND(OP!$D$99=1,T231="F"),AA231,IF(AND(OP!$D$99=2,COUNTIF($T$4:T231,"F")=1),OP!$D$97+IF(F231="F",OP!$D$98,0),"")))</f>
        <v>74177</v>
      </c>
      <c r="AL231" s="282">
        <f ca="1">IF(E231&gt;111,,IF(AND(OP!$E$99=1,T231="F"),AB231,IF(AND(OP!$E$99=2,COUNTIF($T$4:T231,"F")=1),OP!$E$97+IF(F231="F",OP!$E$98,0),"")))</f>
        <v>99404</v>
      </c>
      <c r="AM231" s="1">
        <f t="shared" ca="1" si="128"/>
        <v>1</v>
      </c>
      <c r="AN231" s="1" t="str">
        <f ca="1">IF(OR(VLOOKUP($A231,MP,5,0)="月繳"),1,"")</f>
        <v/>
      </c>
      <c r="AO231" s="1">
        <f t="shared" ca="1" si="139"/>
        <v>0</v>
      </c>
      <c r="AP231" s="1" t="str">
        <f ca="1">IF(AND(A231&lt;=OP!$C$120,COUNTIF(PAY,C231)=1),1,"")</f>
        <v/>
      </c>
      <c r="AR231" s="301">
        <f ca="1">IF(繳費報酬率資料!$A$1=1,$AY231+$AZ231,$BF231+$BG231)</f>
        <v>0</v>
      </c>
      <c r="AS231" s="1">
        <f ca="1">IF(C231&lt;&gt;IF($C$3=1,12,$C$3-1),0,IF(繳費報酬率資料!$A$1&lt;&gt;1,VLOOKUP($A231,MP,8,0),IF(AND($A231&gt;=OP!$C$79,$A231&lt;=OP!$C$80),OP!$C$78,)))</f>
        <v>0</v>
      </c>
      <c r="AT231" s="298">
        <f t="shared" ca="1" si="140"/>
        <v>0</v>
      </c>
      <c r="AU231" s="298">
        <f ca="1">IF(AND(A231&lt;=OP!$C$120,COUNTIF(PAY,C231)=1),OP!$C$123,0)</f>
        <v>0</v>
      </c>
      <c r="AV231" s="298">
        <f ca="1">IF(AND(A231&gt;=OP!$C$132,A231&lt;=OP!$C$133,$C$3=C231),OP!$C$135,0)</f>
        <v>0</v>
      </c>
      <c r="AW231" s="180">
        <f t="shared" ca="1" si="141"/>
        <v>0.05</v>
      </c>
      <c r="AX231" s="180">
        <f t="shared" ca="1" si="142"/>
        <v>0.05</v>
      </c>
      <c r="AY231" s="286">
        <f t="shared" ca="1" si="143"/>
        <v>0</v>
      </c>
      <c r="AZ231" s="286">
        <f t="shared" ca="1" si="144"/>
        <v>0</v>
      </c>
      <c r="BA231" s="286">
        <f t="shared" ca="1" si="145"/>
        <v>0</v>
      </c>
      <c r="BB231" s="286">
        <f t="shared" ca="1" si="146"/>
        <v>0</v>
      </c>
      <c r="BC231" s="286">
        <f t="shared" ca="1" si="147"/>
        <v>0</v>
      </c>
      <c r="BD231" s="180">
        <f t="shared" ca="1" si="148"/>
        <v>0.05</v>
      </c>
      <c r="BE231" s="180">
        <f t="shared" ca="1" si="149"/>
        <v>0.05</v>
      </c>
      <c r="BF231" s="286">
        <f t="shared" ca="1" si="150"/>
        <v>0</v>
      </c>
      <c r="BG231" s="286">
        <f t="shared" ca="1" si="151"/>
        <v>0</v>
      </c>
    </row>
    <row r="232" spans="1:59">
      <c r="A232" s="1">
        <f t="shared" ca="1" si="130"/>
        <v>20</v>
      </c>
      <c r="B232" s="1">
        <f t="shared" ca="1" si="124"/>
        <v>125</v>
      </c>
      <c r="C232" s="1">
        <f t="shared" ca="1" si="125"/>
        <v>6</v>
      </c>
      <c r="D232" s="1">
        <f ca="1">MIN($D$3,VLOOKUP(C232,OP!$S$30:$T$41,2))</f>
        <v>2</v>
      </c>
      <c r="E232" s="1">
        <f t="shared" ca="1" si="126"/>
        <v>74</v>
      </c>
      <c r="F232" s="11" t="str">
        <f t="shared" ca="1" si="131"/>
        <v/>
      </c>
      <c r="G232" s="6">
        <f ca="1">DATEDIF(DATE(B232+1911,C232,D232),DATE(B244+1911,C244,D244),"d")</f>
        <v>365</v>
      </c>
      <c r="H232" s="8">
        <f t="shared" ca="1" si="133"/>
        <v>30</v>
      </c>
      <c r="I232" s="8" t="str">
        <f t="shared" ca="1" si="129"/>
        <v>206</v>
      </c>
      <c r="J232" s="13">
        <f>IF(繳費報酬率資料!$A$1=1,VALUE(OP!$C$121),VLOOKUP(A232,MP,2,0))</f>
        <v>0.05</v>
      </c>
      <c r="K232" s="14">
        <f ca="1">IF(SUM($K$4:K231,IF(繳費報酬率資料!$A$1=1,$AU232+$AV232,$BB232+$BC232))&gt;OP!$L$58,0,IF(繳費報酬率資料!$A$1=1,$AU232+$AV232,$BB232+$BC232))</f>
        <v>0</v>
      </c>
      <c r="L232" s="2"/>
      <c r="M232" s="2"/>
      <c r="N232" s="2"/>
      <c r="O232" s="261">
        <f t="shared" ca="1" si="134"/>
        <v>0</v>
      </c>
      <c r="P232" s="261">
        <f t="shared" ca="1" si="152"/>
        <v>0</v>
      </c>
      <c r="Q232" s="3">
        <f ca="1">IF(A232&gt;MAX(OP!$R$17:$R$26),0,VLOOKUP(A232,fees,3,FALSE))</f>
        <v>0</v>
      </c>
      <c r="R232" s="200" t="str">
        <f t="shared" ca="1" si="135"/>
        <v/>
      </c>
      <c r="S232" s="9" t="str">
        <f ca="1">IF(COUNTIF(($T$4:T231),"F")&gt;=1,"",IF(OR(C233&lt;&gt;$C$3,E232=""),"",A232))</f>
        <v/>
      </c>
      <c r="T232" s="20" t="str">
        <f t="shared" ca="1" si="127"/>
        <v/>
      </c>
      <c r="U232" s="2">
        <f ca="1">IF(IF(OP!$C$83=1,$Z231,IF(OP!$C$83=2,$AA231,IF(OP!$C$83=3,$AB231,)))+$K232-$O232-$P232-$AS232&lt;OP!$C$142,0,$AS232)</f>
        <v>0</v>
      </c>
      <c r="V232" s="9"/>
      <c r="W232" s="19">
        <f ca="1">MAX(SUM($K$4:K232),0)</f>
        <v>2000000</v>
      </c>
      <c r="X232" s="19"/>
      <c r="Y232" s="19">
        <f t="shared" ca="1" si="153"/>
        <v>1920000</v>
      </c>
      <c r="Z232" s="2">
        <f ca="1">IF(MIN($Z$4:Z231)=0,0,MAX(0,($Z231+$K232-$O232-$P232)*IF(AND(F232="F",$D$3&lt;&gt;$G$3),((1+(-J232))^(H232/MIN(G232,365))),((1+(-J232))^(1/12)))-$U232))</f>
        <v>721428.61272698082</v>
      </c>
      <c r="AA232" s="2">
        <f ca="1">IF(MIN($AA$4:AA231)=0,0,MAX(0,($AA231+$K232-$O232-$P232)*IF(AND(F232="F",$D$3&lt;&gt;$G$3),((1+$AA$1)^(H232/MIN(G232,365))),((1+$AA$1)^(1/12)))-$U232))</f>
        <v>1920000</v>
      </c>
      <c r="AB232" s="2">
        <f ca="1">IF(MIN($AB$4:AB231)=0,0,MAX(0,($AB231+$K232-$O232-$P232)*IF(AND(F232="F",$D$3&lt;&gt;$G$3),((1+(J232))^(H232/MIN(G232,365))),((1+(J232))^(1/12)))-$U232))</f>
        <v>4871510.9822721463</v>
      </c>
      <c r="AC232" s="21"/>
      <c r="AD232" s="21"/>
      <c r="AE232" s="21"/>
      <c r="AF232" s="282">
        <f t="shared" ca="1" si="136"/>
        <v>721429</v>
      </c>
      <c r="AG232" s="282">
        <f t="shared" ca="1" si="137"/>
        <v>1920000</v>
      </c>
      <c r="AH232" s="282">
        <f t="shared" ca="1" si="138"/>
        <v>4871511</v>
      </c>
      <c r="AI232" s="23" t="str">
        <f t="shared" ca="1" si="154"/>
        <v>20-2</v>
      </c>
      <c r="AJ232" s="281">
        <f ca="1">IF(E232&gt;111,,IF(AND(OP!$C$99=1,T232="F"),Z232,IF(AND(OP!$C$99=2,COUNTIF($T$4:T232,"F")=1),OP!$C$97+IF(F232="F",OP!$C$98,0),"")))</f>
        <v>54527</v>
      </c>
      <c r="AK232" s="281">
        <f ca="1">IF(E232&gt;111,,IF(AND(OP!$D$99=1,T232="F"),AA232,IF(AND(OP!$D$99=2,COUNTIF($T$4:T232,"F")=1),OP!$D$97+IF(F232="F",OP!$D$98,0),"")))</f>
        <v>74177</v>
      </c>
      <c r="AL232" s="281">
        <f ca="1">IF(E232&gt;111,,IF(AND(OP!$E$99=1,T232="F"),AB232,IF(AND(OP!$E$99=2,COUNTIF($T$4:T232,"F")=1),OP!$E$97+IF(F232="F",OP!$E$98,0),"")))</f>
        <v>99404</v>
      </c>
      <c r="AM232" s="1">
        <f t="shared" ca="1" si="128"/>
        <v>2</v>
      </c>
      <c r="AN232" s="1">
        <f ca="1">IF(OR(VLOOKUP($A232,MP,5,0)="年繳",VLOOKUP($A232,MP,5,0)="半年繳",VLOOKUP($A232,MP,5,0)="季繳",VLOOKUP($A232,MP,5,0)="月繳"),1,"")</f>
        <v>1</v>
      </c>
      <c r="AO232" s="1">
        <f t="shared" ca="1" si="139"/>
        <v>0</v>
      </c>
      <c r="AP232" s="1" t="str">
        <f ca="1">IF(AND(A232&lt;=OP!$C$120,COUNTIF(PAY,C232)=1),1,"")</f>
        <v/>
      </c>
      <c r="AR232" s="301">
        <f ca="1">IF(繳費報酬率資料!$A$1=1,$AY232+$AZ232,$BF232+$BG232)</f>
        <v>0</v>
      </c>
      <c r="AS232" s="1">
        <f ca="1">IF(C232&lt;&gt;IF($C$3=1,12,$C$3-1),0,IF(繳費報酬率資料!$A$1&lt;&gt;1,VLOOKUP($A232,MP,8,0),IF(AND($A232&gt;=OP!$C$79,$A232&lt;=OP!$C$80),OP!$C$78,)))</f>
        <v>0</v>
      </c>
      <c r="AT232" s="298">
        <f t="shared" ca="1" si="140"/>
        <v>0</v>
      </c>
      <c r="AU232" s="298">
        <f ca="1">IF(AND(A232&lt;=OP!$C$120,COUNTIF(PAY,C232)=1),OP!$C$123,0)</f>
        <v>0</v>
      </c>
      <c r="AV232" s="298">
        <f ca="1">IF(AND(A232&gt;=OP!$C$132,A232&lt;=OP!$C$133,$C$3=C232),OP!$C$135,0)</f>
        <v>0</v>
      </c>
      <c r="AW232" s="180">
        <f t="shared" ca="1" si="141"/>
        <v>0.05</v>
      </c>
      <c r="AX232" s="180">
        <f t="shared" ca="1" si="142"/>
        <v>0.05</v>
      </c>
      <c r="AY232" s="286">
        <f t="shared" ca="1" si="143"/>
        <v>0</v>
      </c>
      <c r="AZ232" s="286">
        <f t="shared" ca="1" si="144"/>
        <v>0</v>
      </c>
      <c r="BA232" s="286">
        <f t="shared" ca="1" si="145"/>
        <v>0</v>
      </c>
      <c r="BB232" s="286">
        <f t="shared" ca="1" si="146"/>
        <v>0</v>
      </c>
      <c r="BC232" s="286">
        <f t="shared" ca="1" si="147"/>
        <v>0</v>
      </c>
      <c r="BD232" s="180">
        <f t="shared" ca="1" si="148"/>
        <v>0.05</v>
      </c>
      <c r="BE232" s="180">
        <f t="shared" ca="1" si="149"/>
        <v>0.05</v>
      </c>
      <c r="BF232" s="286">
        <f t="shared" ca="1" si="150"/>
        <v>0</v>
      </c>
      <c r="BG232" s="286">
        <f t="shared" ca="1" si="151"/>
        <v>0</v>
      </c>
    </row>
    <row r="233" spans="1:59">
      <c r="A233" s="1">
        <f t="shared" ca="1" si="130"/>
        <v>20</v>
      </c>
      <c r="B233" s="1">
        <f t="shared" ca="1" si="124"/>
        <v>125</v>
      </c>
      <c r="C233" s="1">
        <f t="shared" ca="1" si="125"/>
        <v>7</v>
      </c>
      <c r="D233" s="1">
        <f ca="1">MIN($D$3,VLOOKUP(C233,OP!$S$30:$T$41,2))</f>
        <v>2</v>
      </c>
      <c r="E233" s="1">
        <f t="shared" ca="1" si="126"/>
        <v>74</v>
      </c>
      <c r="F233" s="11" t="str">
        <f t="shared" ca="1" si="131"/>
        <v/>
      </c>
      <c r="G233" s="8">
        <f t="shared" ref="G233:G243" ca="1" si="157">G232</f>
        <v>365</v>
      </c>
      <c r="H233" s="8">
        <f t="shared" ca="1" si="133"/>
        <v>31</v>
      </c>
      <c r="I233" s="8" t="str">
        <f t="shared" ca="1" si="129"/>
        <v>207</v>
      </c>
      <c r="J233" s="13">
        <f>IF(繳費報酬率資料!$A$1=1,VALUE(OP!$C$121),VLOOKUP(A233,MP,2,0))</f>
        <v>0.05</v>
      </c>
      <c r="K233" s="14">
        <f ca="1">IF(SUM($K$4:K232,IF(繳費報酬率資料!$A$1=1,$AU233+$AV233,$BB233+$BC233))&gt;OP!$L$58,0,IF(繳費報酬率資料!$A$1=1,$AU233+$AV233,$BB233+$BC233))</f>
        <v>0</v>
      </c>
      <c r="L233" s="2"/>
      <c r="M233" s="2"/>
      <c r="N233" s="2"/>
      <c r="O233" s="261">
        <f t="shared" ca="1" si="134"/>
        <v>0</v>
      </c>
      <c r="P233" s="261">
        <f t="shared" ca="1" si="152"/>
        <v>0</v>
      </c>
      <c r="Q233" s="3">
        <f ca="1">IF(A233&gt;MAX(OP!$R$17:$R$26),0,VLOOKUP(A233,fees,3,FALSE))</f>
        <v>0</v>
      </c>
      <c r="R233" s="200" t="str">
        <f t="shared" ca="1" si="135"/>
        <v/>
      </c>
      <c r="S233" s="9" t="str">
        <f ca="1">IF(COUNTIF(($T$4:T232),"F")&gt;=1,"",IF(OR(C234&lt;&gt;$C$3,E233=""),"",A233))</f>
        <v/>
      </c>
      <c r="T233" s="20" t="str">
        <f t="shared" ca="1" si="127"/>
        <v/>
      </c>
      <c r="U233" s="2">
        <f ca="1">IF(IF(OP!$C$83=1,$Z232,IF(OP!$C$83=2,$AA232,IF(OP!$C$83=3,$AB232,)))+$K233-$O233-$P233-$AS233&lt;OP!$C$142,0,$AS233)</f>
        <v>0</v>
      </c>
      <c r="V233" s="9"/>
      <c r="W233" s="19">
        <f ca="1">MAX(SUM($K$4:K233),0)</f>
        <v>2000000</v>
      </c>
      <c r="X233" s="19"/>
      <c r="Y233" s="19">
        <f t="shared" ca="1" si="153"/>
        <v>1920000</v>
      </c>
      <c r="Z233" s="2">
        <f ca="1">IF(MIN($Z$4:Z232)=0,0,MAX(0,($Z232+$K233-$O233-$P233)*IF(AND(F233="F",$D$3&lt;&gt;$G$3),((1+(-J233))^(H233/MIN(G233,365))),((1+(-J233))^(1/12)))-$U233))</f>
        <v>718351.48971844686</v>
      </c>
      <c r="AA233" s="2">
        <f ca="1">IF(MIN($AA$4:AA232)=0,0,MAX(0,($AA232+$K233-$O233-$P233)*IF(AND(F233="F",$D$3&lt;&gt;$G$3),((1+$AA$1)^(H233/MIN(G233,365))),((1+$AA$1)^(1/12)))-$U233))</f>
        <v>1920000</v>
      </c>
      <c r="AB233" s="2">
        <f ca="1">IF(MIN($AB$4:AB232)=0,0,MAX(0,($AB232+$K233-$O233-$P233)*IF(AND(F233="F",$D$3&lt;&gt;$G$3),((1+(J233))^(H233/MIN(G233,365))),((1+(J233))^(1/12)))-$U233))</f>
        <v>4891358.1210273253</v>
      </c>
      <c r="AC233" s="5"/>
      <c r="AD233" s="5"/>
      <c r="AE233" s="5"/>
      <c r="AF233" s="282">
        <f t="shared" ca="1" si="136"/>
        <v>718351</v>
      </c>
      <c r="AG233" s="282">
        <f t="shared" ca="1" si="137"/>
        <v>1920000</v>
      </c>
      <c r="AH233" s="282">
        <f t="shared" ca="1" si="138"/>
        <v>4891358</v>
      </c>
      <c r="AI233" s="23" t="str">
        <f t="shared" ca="1" si="154"/>
        <v>20-3</v>
      </c>
      <c r="AJ233" s="282">
        <f ca="1">IF(E233&gt;111,,IF(AND(OP!$C$99=1,T233="F"),Z233,IF(AND(OP!$C$99=2,COUNTIF($T$4:T233,"F")=1),OP!$C$97+IF(F233="F",OP!$C$98,0),"")))</f>
        <v>54527</v>
      </c>
      <c r="AK233" s="282">
        <f ca="1">IF(E233&gt;111,,IF(AND(OP!$D$99=1,T233="F"),AA233,IF(AND(OP!$D$99=2,COUNTIF($T$4:T233,"F")=1),OP!$D$97+IF(F233="F",OP!$D$98,0),"")))</f>
        <v>74177</v>
      </c>
      <c r="AL233" s="282">
        <f ca="1">IF(E233&gt;111,,IF(AND(OP!$E$99=1,T233="F"),AB233,IF(AND(OP!$E$99=2,COUNTIF($T$4:T233,"F")=1),OP!$E$97+IF(F233="F",OP!$E$98,0),"")))</f>
        <v>99404</v>
      </c>
      <c r="AM233" s="1">
        <f t="shared" ca="1" si="128"/>
        <v>3</v>
      </c>
      <c r="AN233" s="1" t="str">
        <f ca="1">IF(OR(VLOOKUP($A233,MP,5,0)="月繳"),1,"")</f>
        <v/>
      </c>
      <c r="AO233" s="1">
        <f t="shared" ca="1" si="139"/>
        <v>0</v>
      </c>
      <c r="AP233" s="1" t="str">
        <f ca="1">IF(AND(A233&lt;=OP!$C$120,COUNTIF(PAY,C233)=1),1,"")</f>
        <v/>
      </c>
      <c r="AR233" s="301">
        <f ca="1">IF(繳費報酬率資料!$A$1=1,$AY233+$AZ233,$BF233+$BG233)</f>
        <v>0</v>
      </c>
      <c r="AS233" s="1">
        <f ca="1">IF(C233&lt;&gt;IF($C$3=1,12,$C$3-1),0,IF(繳費報酬率資料!$A$1&lt;&gt;1,VLOOKUP($A233,MP,8,0),IF(AND($A233&gt;=OP!$C$79,$A233&lt;=OP!$C$80),OP!$C$78,)))</f>
        <v>0</v>
      </c>
      <c r="AT233" s="298">
        <f t="shared" ca="1" si="140"/>
        <v>0</v>
      </c>
      <c r="AU233" s="298">
        <f ca="1">IF(AND(A233&lt;=OP!$C$120,COUNTIF(PAY,C233)=1),OP!$C$123,0)</f>
        <v>0</v>
      </c>
      <c r="AV233" s="298">
        <f ca="1">IF(AND(A233&gt;=OP!$C$132,A233&lt;=OP!$C$133,$C$3=C233),OP!$C$135,0)</f>
        <v>0</v>
      </c>
      <c r="AW233" s="180">
        <f t="shared" ca="1" si="141"/>
        <v>0.05</v>
      </c>
      <c r="AX233" s="180">
        <f t="shared" ca="1" si="142"/>
        <v>0.05</v>
      </c>
      <c r="AY233" s="286">
        <f t="shared" ca="1" si="143"/>
        <v>0</v>
      </c>
      <c r="AZ233" s="286">
        <f t="shared" ca="1" si="144"/>
        <v>0</v>
      </c>
      <c r="BA233" s="286">
        <f t="shared" ca="1" si="145"/>
        <v>0</v>
      </c>
      <c r="BB233" s="286">
        <f t="shared" ca="1" si="146"/>
        <v>0</v>
      </c>
      <c r="BC233" s="286">
        <f t="shared" ca="1" si="147"/>
        <v>0</v>
      </c>
      <c r="BD233" s="180">
        <f t="shared" ca="1" si="148"/>
        <v>0.05</v>
      </c>
      <c r="BE233" s="180">
        <f t="shared" ca="1" si="149"/>
        <v>0.05</v>
      </c>
      <c r="BF233" s="286">
        <f t="shared" ca="1" si="150"/>
        <v>0</v>
      </c>
      <c r="BG233" s="286">
        <f t="shared" ca="1" si="151"/>
        <v>0</v>
      </c>
    </row>
    <row r="234" spans="1:59">
      <c r="A234" s="1">
        <f t="shared" ca="1" si="130"/>
        <v>20</v>
      </c>
      <c r="B234" s="1">
        <f t="shared" ca="1" si="124"/>
        <v>125</v>
      </c>
      <c r="C234" s="1">
        <f t="shared" ca="1" si="125"/>
        <v>8</v>
      </c>
      <c r="D234" s="1">
        <f ca="1">MIN($D$3,VLOOKUP(C234,OP!$S$30:$T$41,2))</f>
        <v>2</v>
      </c>
      <c r="E234" s="1">
        <f t="shared" ca="1" si="126"/>
        <v>74</v>
      </c>
      <c r="F234" s="11" t="str">
        <f t="shared" ca="1" si="131"/>
        <v/>
      </c>
      <c r="G234" s="8">
        <f t="shared" ca="1" si="157"/>
        <v>365</v>
      </c>
      <c r="H234" s="8">
        <f t="shared" ca="1" si="133"/>
        <v>31</v>
      </c>
      <c r="I234" s="8" t="str">
        <f t="shared" ca="1" si="129"/>
        <v>208</v>
      </c>
      <c r="J234" s="13">
        <f>IF(繳費報酬率資料!$A$1=1,VALUE(OP!$C$121),VLOOKUP(A234,MP,2,0))</f>
        <v>0.05</v>
      </c>
      <c r="K234" s="14">
        <f ca="1">IF(SUM($K$4:K233,IF(繳費報酬率資料!$A$1=1,$AU234+$AV234,$BB234+$BC234))&gt;OP!$L$58,0,IF(繳費報酬率資料!$A$1=1,$AU234+$AV234,$BB234+$BC234))</f>
        <v>0</v>
      </c>
      <c r="L234" s="2"/>
      <c r="M234" s="2"/>
      <c r="N234" s="2"/>
      <c r="O234" s="261">
        <f t="shared" ca="1" si="134"/>
        <v>0</v>
      </c>
      <c r="P234" s="261">
        <f t="shared" ca="1" si="152"/>
        <v>0</v>
      </c>
      <c r="Q234" s="3">
        <f ca="1">IF(A234&gt;MAX(OP!$R$17:$R$26),0,VLOOKUP(A234,fees,3,FALSE))</f>
        <v>0</v>
      </c>
      <c r="R234" s="200" t="str">
        <f t="shared" ca="1" si="135"/>
        <v/>
      </c>
      <c r="S234" s="9" t="str">
        <f ca="1">IF(COUNTIF(($T$4:T233),"F")&gt;=1,"",IF(OR(C235&lt;&gt;$C$3,E234=""),"",A234))</f>
        <v/>
      </c>
      <c r="T234" s="20" t="str">
        <f t="shared" ca="1" si="127"/>
        <v/>
      </c>
      <c r="U234" s="2">
        <f ca="1">IF(IF(OP!$C$83=1,$Z233,IF(OP!$C$83=2,$AA233,IF(OP!$C$83=3,$AB233,)))+$K234-$O234-$P234-$AS234&lt;OP!$C$142,0,$AS234)</f>
        <v>0</v>
      </c>
      <c r="V234" s="9"/>
      <c r="W234" s="19">
        <f ca="1">MAX(SUM($K$4:K234),0)</f>
        <v>2000000</v>
      </c>
      <c r="X234" s="19"/>
      <c r="Y234" s="19">
        <f t="shared" ca="1" si="153"/>
        <v>1920000</v>
      </c>
      <c r="Z234" s="2">
        <f ca="1">IF(MIN($Z$4:Z233)=0,0,MAX(0,($Z233+$K234-$O234-$P234)*IF(AND(F234="F",$D$3&lt;&gt;$G$3),((1+(-J234))^(H234/MIN(G234,365))),((1+(-J234))^(1/12)))-$U234))</f>
        <v>715287.49162046215</v>
      </c>
      <c r="AA234" s="2">
        <f ca="1">IF(MIN($AA$4:AA233)=0,0,MAX(0,($AA233+$K234-$O234-$P234)*IF(AND(F234="F",$D$3&lt;&gt;$G$3),((1+$AA$1)^(H234/MIN(G234,365))),((1+$AA$1)^(1/12)))-$U234))</f>
        <v>1920000</v>
      </c>
      <c r="AB234" s="2">
        <f ca="1">IF(MIN($AB$4:AB233)=0,0,MAX(0,($AB233+$K234-$O234-$P234)*IF(AND(F234="F",$D$3&lt;&gt;$G$3),((1+(J234))^(H234/MIN(G234,365))),((1+(J234))^(1/12)))-$U234))</f>
        <v>4911286.1194825443</v>
      </c>
      <c r="AC234" s="5"/>
      <c r="AD234" s="5"/>
      <c r="AE234" s="5"/>
      <c r="AF234" s="282">
        <f t="shared" ca="1" si="136"/>
        <v>715287</v>
      </c>
      <c r="AG234" s="282">
        <f t="shared" ca="1" si="137"/>
        <v>1920000</v>
      </c>
      <c r="AH234" s="282">
        <f t="shared" ca="1" si="138"/>
        <v>4911286</v>
      </c>
      <c r="AI234" s="23" t="str">
        <f t="shared" ca="1" si="154"/>
        <v>20-4</v>
      </c>
      <c r="AJ234" s="282">
        <f ca="1">IF(E234&gt;111,,IF(AND(OP!$C$99=1,T234="F"),Z234,IF(AND(OP!$C$99=2,COUNTIF($T$4:T234,"F")=1),OP!$C$97+IF(F234="F",OP!$C$98,0),"")))</f>
        <v>54527</v>
      </c>
      <c r="AK234" s="282">
        <f ca="1">IF(E234&gt;111,,IF(AND(OP!$D$99=1,T234="F"),AA234,IF(AND(OP!$D$99=2,COUNTIF($T$4:T234,"F")=1),OP!$D$97+IF(F234="F",OP!$D$98,0),"")))</f>
        <v>74177</v>
      </c>
      <c r="AL234" s="282">
        <f ca="1">IF(E234&gt;111,,IF(AND(OP!$E$99=1,T234="F"),AB234,IF(AND(OP!$E$99=2,COUNTIF($T$4:T234,"F")=1),OP!$E$97+IF(F234="F",OP!$E$98,0),"")))</f>
        <v>99404</v>
      </c>
      <c r="AM234" s="1">
        <f t="shared" ca="1" si="128"/>
        <v>4</v>
      </c>
      <c r="AN234" s="1" t="str">
        <f ca="1">IF(OR(VLOOKUP($A234,MP,5,0)="月繳"),1,"")</f>
        <v/>
      </c>
      <c r="AO234" s="1">
        <f t="shared" ca="1" si="139"/>
        <v>0</v>
      </c>
      <c r="AP234" s="1" t="str">
        <f ca="1">IF(AND(A234&lt;=OP!$C$120,COUNTIF(PAY,C234)=1),1,"")</f>
        <v/>
      </c>
      <c r="AR234" s="301">
        <f ca="1">IF(繳費報酬率資料!$A$1=1,$AY234+$AZ234,$BF234+$BG234)</f>
        <v>0</v>
      </c>
      <c r="AS234" s="1">
        <f ca="1">IF(C234&lt;&gt;IF($C$3=1,12,$C$3-1),0,IF(繳費報酬率資料!$A$1&lt;&gt;1,VLOOKUP($A234,MP,8,0),IF(AND($A234&gt;=OP!$C$79,$A234&lt;=OP!$C$80),OP!$C$78,)))</f>
        <v>0</v>
      </c>
      <c r="AT234" s="298">
        <f t="shared" ca="1" si="140"/>
        <v>0</v>
      </c>
      <c r="AU234" s="298">
        <f ca="1">IF(AND(A234&lt;=OP!$C$120,COUNTIF(PAY,C234)=1),OP!$C$123,0)</f>
        <v>0</v>
      </c>
      <c r="AV234" s="298">
        <f ca="1">IF(AND(A234&gt;=OP!$C$132,A234&lt;=OP!$C$133,$C$3=C234),OP!$C$135,0)</f>
        <v>0</v>
      </c>
      <c r="AW234" s="180">
        <f t="shared" ca="1" si="141"/>
        <v>0.05</v>
      </c>
      <c r="AX234" s="180">
        <f t="shared" ca="1" si="142"/>
        <v>0.05</v>
      </c>
      <c r="AY234" s="286">
        <f t="shared" ca="1" si="143"/>
        <v>0</v>
      </c>
      <c r="AZ234" s="286">
        <f t="shared" ca="1" si="144"/>
        <v>0</v>
      </c>
      <c r="BA234" s="286">
        <f t="shared" ca="1" si="145"/>
        <v>0</v>
      </c>
      <c r="BB234" s="286">
        <f t="shared" ca="1" si="146"/>
        <v>0</v>
      </c>
      <c r="BC234" s="286">
        <f t="shared" ca="1" si="147"/>
        <v>0</v>
      </c>
      <c r="BD234" s="180">
        <f t="shared" ca="1" si="148"/>
        <v>0.05</v>
      </c>
      <c r="BE234" s="180">
        <f t="shared" ca="1" si="149"/>
        <v>0.05</v>
      </c>
      <c r="BF234" s="286">
        <f t="shared" ca="1" si="150"/>
        <v>0</v>
      </c>
      <c r="BG234" s="286">
        <f t="shared" ca="1" si="151"/>
        <v>0</v>
      </c>
    </row>
    <row r="235" spans="1:59">
      <c r="A235" s="1">
        <f t="shared" ca="1" si="130"/>
        <v>20</v>
      </c>
      <c r="B235" s="1">
        <f t="shared" ca="1" si="124"/>
        <v>125</v>
      </c>
      <c r="C235" s="1">
        <f t="shared" ca="1" si="125"/>
        <v>9</v>
      </c>
      <c r="D235" s="1">
        <f ca="1">MIN($D$3,VLOOKUP(C235,OP!$S$30:$T$41,2))</f>
        <v>2</v>
      </c>
      <c r="E235" s="1">
        <f t="shared" ca="1" si="126"/>
        <v>74</v>
      </c>
      <c r="F235" s="11" t="str">
        <f t="shared" ca="1" si="131"/>
        <v/>
      </c>
      <c r="G235" s="8">
        <f t="shared" ca="1" si="157"/>
        <v>365</v>
      </c>
      <c r="H235" s="8">
        <f t="shared" ca="1" si="133"/>
        <v>30</v>
      </c>
      <c r="I235" s="8" t="str">
        <f t="shared" ca="1" si="129"/>
        <v>209</v>
      </c>
      <c r="J235" s="13">
        <f>IF(繳費報酬率資料!$A$1=1,VALUE(OP!$C$121),VLOOKUP(A235,MP,2,0))</f>
        <v>0.05</v>
      </c>
      <c r="K235" s="14">
        <f ca="1">IF(SUM($K$4:K234,IF(繳費報酬率資料!$A$1=1,$AU235+$AV235,$BB235+$BC235))&gt;OP!$L$58,0,IF(繳費報酬率資料!$A$1=1,$AU235+$AV235,$BB235+$BC235))</f>
        <v>0</v>
      </c>
      <c r="L235" s="2"/>
      <c r="M235" s="2"/>
      <c r="N235" s="2"/>
      <c r="O235" s="261">
        <f t="shared" ca="1" si="134"/>
        <v>0</v>
      </c>
      <c r="P235" s="261">
        <f t="shared" ca="1" si="152"/>
        <v>0</v>
      </c>
      <c r="Q235" s="3">
        <f ca="1">IF(A235&gt;MAX(OP!$R$17:$R$26),0,VLOOKUP(A235,fees,3,FALSE))</f>
        <v>0</v>
      </c>
      <c r="R235" s="200" t="str">
        <f t="shared" ca="1" si="135"/>
        <v/>
      </c>
      <c r="S235" s="9" t="str">
        <f ca="1">IF(COUNTIF(($T$4:T234),"F")&gt;=1,"",IF(OR(C236&lt;&gt;$C$3,E235=""),"",A235))</f>
        <v/>
      </c>
      <c r="T235" s="20" t="str">
        <f t="shared" ca="1" si="127"/>
        <v/>
      </c>
      <c r="U235" s="2">
        <f ca="1">IF(IF(OP!$C$83=1,$Z234,IF(OP!$C$83=2,$AA234,IF(OP!$C$83=3,$AB234,)))+$K235-$O235-$P235-$AS235&lt;OP!$C$142,0,$AS235)</f>
        <v>0</v>
      </c>
      <c r="V235" s="9"/>
      <c r="W235" s="19">
        <f ca="1">MAX(SUM($K$4:K235),0)</f>
        <v>2000000</v>
      </c>
      <c r="X235" s="19"/>
      <c r="Y235" s="19">
        <f t="shared" ca="1" si="153"/>
        <v>1920000</v>
      </c>
      <c r="Z235" s="2">
        <f ca="1">IF(MIN($Z$4:Z234)=0,0,MAX(0,($Z234+$K235-$O235-$P235)*IF(AND(F235="F",$D$3&lt;&gt;$G$3),((1+(-J235))^(H235/MIN(G235,365))),((1+(-J235))^(1/12)))-$U235))</f>
        <v>712236.56245109916</v>
      </c>
      <c r="AA235" s="2">
        <f ca="1">IF(MIN($AA$4:AA234)=0,0,MAX(0,($AA234+$K235-$O235-$P235)*IF(AND(F235="F",$D$3&lt;&gt;$G$3),((1+$AA$1)^(H235/MIN(G235,365))),((1+$AA$1)^(1/12)))-$U235))</f>
        <v>1920000</v>
      </c>
      <c r="AB235" s="2">
        <f ca="1">IF(MIN($AB$4:AB234)=0,0,MAX(0,($AB234+$K235-$O235-$P235)*IF(AND(F235="F",$D$3&lt;&gt;$G$3),((1+(J235))^(H235/MIN(G235,365))),((1+(J235))^(1/12)))-$U235))</f>
        <v>4931295.3070702301</v>
      </c>
      <c r="AC235" s="5"/>
      <c r="AD235" s="5"/>
      <c r="AE235" s="5"/>
      <c r="AF235" s="282">
        <f t="shared" ca="1" si="136"/>
        <v>712237</v>
      </c>
      <c r="AG235" s="282">
        <f t="shared" ca="1" si="137"/>
        <v>1920000</v>
      </c>
      <c r="AH235" s="282">
        <f t="shared" ca="1" si="138"/>
        <v>4931295</v>
      </c>
      <c r="AI235" s="23" t="str">
        <f t="shared" ca="1" si="154"/>
        <v>20-5</v>
      </c>
      <c r="AJ235" s="282">
        <f ca="1">IF(E235&gt;111,,IF(AND(OP!$C$99=1,T235="F"),Z235,IF(AND(OP!$C$99=2,COUNTIF($T$4:T235,"F")=1),OP!$C$97+IF(F235="F",OP!$C$98,0),"")))</f>
        <v>54527</v>
      </c>
      <c r="AK235" s="282">
        <f ca="1">IF(E235&gt;111,,IF(AND(OP!$D$99=1,T235="F"),AA235,IF(AND(OP!$D$99=2,COUNTIF($T$4:T235,"F")=1),OP!$D$97+IF(F235="F",OP!$D$98,0),"")))</f>
        <v>74177</v>
      </c>
      <c r="AL235" s="282">
        <f ca="1">IF(E235&gt;111,,IF(AND(OP!$E$99=1,T235="F"),AB235,IF(AND(OP!$E$99=2,COUNTIF($T$4:T235,"F")=1),OP!$E$97+IF(F235="F",OP!$E$98,0),"")))</f>
        <v>99404</v>
      </c>
      <c r="AM235" s="1">
        <f t="shared" ca="1" si="128"/>
        <v>5</v>
      </c>
      <c r="AN235" s="1" t="str">
        <f ca="1">IF(OR(VLOOKUP($A235,MP,5,0)="季繳",VLOOKUP($A235,MP,5,0)="月繳"),1,"")</f>
        <v/>
      </c>
      <c r="AO235" s="1">
        <f t="shared" ca="1" si="139"/>
        <v>0</v>
      </c>
      <c r="AP235" s="1" t="str">
        <f ca="1">IF(AND(A235&lt;=OP!$C$120,COUNTIF(PAY,C235)=1),1,"")</f>
        <v/>
      </c>
      <c r="AR235" s="301">
        <f ca="1">IF(繳費報酬率資料!$A$1=1,$AY235+$AZ235,$BF235+$BG235)</f>
        <v>0</v>
      </c>
      <c r="AS235" s="1">
        <f ca="1">IF(C235&lt;&gt;IF($C$3=1,12,$C$3-1),0,IF(繳費報酬率資料!$A$1&lt;&gt;1,VLOOKUP($A235,MP,8,0),IF(AND($A235&gt;=OP!$C$79,$A235&lt;=OP!$C$80),OP!$C$78,)))</f>
        <v>0</v>
      </c>
      <c r="AT235" s="298">
        <f t="shared" ca="1" si="140"/>
        <v>0</v>
      </c>
      <c r="AU235" s="298">
        <f ca="1">IF(AND(A235&lt;=OP!$C$120,COUNTIF(PAY,C235)=1),OP!$C$123,0)</f>
        <v>0</v>
      </c>
      <c r="AV235" s="298">
        <f ca="1">IF(AND(A235&gt;=OP!$C$132,A235&lt;=OP!$C$133,$C$3=C235),OP!$C$135,0)</f>
        <v>0</v>
      </c>
      <c r="AW235" s="180">
        <f t="shared" ca="1" si="141"/>
        <v>0.05</v>
      </c>
      <c r="AX235" s="180">
        <f t="shared" ca="1" si="142"/>
        <v>0.05</v>
      </c>
      <c r="AY235" s="286">
        <f t="shared" ca="1" si="143"/>
        <v>0</v>
      </c>
      <c r="AZ235" s="286">
        <f t="shared" ca="1" si="144"/>
        <v>0</v>
      </c>
      <c r="BA235" s="286">
        <f t="shared" ca="1" si="145"/>
        <v>0</v>
      </c>
      <c r="BB235" s="286">
        <f t="shared" ca="1" si="146"/>
        <v>0</v>
      </c>
      <c r="BC235" s="286">
        <f t="shared" ca="1" si="147"/>
        <v>0</v>
      </c>
      <c r="BD235" s="180">
        <f t="shared" ca="1" si="148"/>
        <v>0.05</v>
      </c>
      <c r="BE235" s="180">
        <f t="shared" ca="1" si="149"/>
        <v>0.05</v>
      </c>
      <c r="BF235" s="286">
        <f t="shared" ca="1" si="150"/>
        <v>0</v>
      </c>
      <c r="BG235" s="286">
        <f t="shared" ca="1" si="151"/>
        <v>0</v>
      </c>
    </row>
    <row r="236" spans="1:59">
      <c r="A236" s="1">
        <f t="shared" ca="1" si="130"/>
        <v>20</v>
      </c>
      <c r="B236" s="1">
        <f t="shared" ca="1" si="124"/>
        <v>125</v>
      </c>
      <c r="C236" s="1">
        <f t="shared" ca="1" si="125"/>
        <v>10</v>
      </c>
      <c r="D236" s="1">
        <f ca="1">MIN($D$3,VLOOKUP(C236,OP!$S$30:$T$41,2))</f>
        <v>2</v>
      </c>
      <c r="E236" s="1">
        <f t="shared" ca="1" si="126"/>
        <v>74</v>
      </c>
      <c r="F236" s="11" t="str">
        <f t="shared" ca="1" si="131"/>
        <v/>
      </c>
      <c r="G236" s="8">
        <f t="shared" ca="1" si="157"/>
        <v>365</v>
      </c>
      <c r="H236" s="8">
        <f t="shared" ca="1" si="133"/>
        <v>31</v>
      </c>
      <c r="I236" s="8" t="str">
        <f t="shared" ca="1" si="129"/>
        <v>2010</v>
      </c>
      <c r="J236" s="13">
        <f>IF(繳費報酬率資料!$A$1=1,VALUE(OP!$C$121),VLOOKUP(A236,MP,2,0))</f>
        <v>0.05</v>
      </c>
      <c r="K236" s="14">
        <f ca="1">IF(SUM($K$4:K235,IF(繳費報酬率資料!$A$1=1,$AU236+$AV236,$BB236+$BC236))&gt;OP!$L$58,0,IF(繳費報酬率資料!$A$1=1,$AU236+$AV236,$BB236+$BC236))</f>
        <v>0</v>
      </c>
      <c r="L236" s="2"/>
      <c r="M236" s="2"/>
      <c r="N236" s="2"/>
      <c r="O236" s="261">
        <f t="shared" ca="1" si="134"/>
        <v>0</v>
      </c>
      <c r="P236" s="261">
        <f t="shared" ca="1" si="152"/>
        <v>0</v>
      </c>
      <c r="Q236" s="3">
        <f ca="1">IF(A236&gt;MAX(OP!$R$17:$R$26),0,VLOOKUP(A236,fees,3,FALSE))</f>
        <v>0</v>
      </c>
      <c r="R236" s="200" t="str">
        <f t="shared" ca="1" si="135"/>
        <v/>
      </c>
      <c r="S236" s="9" t="str">
        <f ca="1">IF(COUNTIF(($T$4:T235),"F")&gt;=1,"",IF(OR(C237&lt;&gt;$C$3,E236=""),"",A236))</f>
        <v/>
      </c>
      <c r="T236" s="20" t="str">
        <f t="shared" ca="1" si="127"/>
        <v/>
      </c>
      <c r="U236" s="2">
        <f ca="1">IF(IF(OP!$C$83=1,$Z235,IF(OP!$C$83=2,$AA235,IF(OP!$C$83=3,$AB235,)))+$K236-$O236-$P236-$AS236&lt;OP!$C$142,0,$AS236)</f>
        <v>0</v>
      </c>
      <c r="V236" s="9"/>
      <c r="W236" s="19">
        <f ca="1">MAX(SUM($K$4:K236),0)</f>
        <v>2000000</v>
      </c>
      <c r="X236" s="19"/>
      <c r="Y236" s="19">
        <f t="shared" ca="1" si="153"/>
        <v>1920000</v>
      </c>
      <c r="Z236" s="2">
        <f ca="1">IF(MIN($Z$4:Z235)=0,0,MAX(0,($Z235+$K236-$O236-$P236)*IF(AND(F236="F",$D$3&lt;&gt;$G$3),((1+(-J236))^(H236/MIN(G236,365))),((1+(-J236))^(1/12)))-$U236))</f>
        <v>709198.64646721119</v>
      </c>
      <c r="AA236" s="2">
        <f ca="1">IF(MIN($AA$4:AA235)=0,0,MAX(0,($AA235+$K236-$O236-$P236)*IF(AND(F236="F",$D$3&lt;&gt;$G$3),((1+$AA$1)^(H236/MIN(G236,365))),((1+$AA$1)^(1/12)))-$U236))</f>
        <v>1920000</v>
      </c>
      <c r="AB236" s="2">
        <f ca="1">IF(MIN($AB$4:AB235)=0,0,MAX(0,($AB235+$K236-$O236-$P236)*IF(AND(F236="F",$D$3&lt;&gt;$G$3),((1+(J236))^(H236/MIN(G236,365))),((1+(J236))^(1/12)))-$U236))</f>
        <v>4951386.0145649584</v>
      </c>
      <c r="AC236" s="5"/>
      <c r="AD236" s="5"/>
      <c r="AE236" s="5"/>
      <c r="AF236" s="282">
        <f t="shared" ca="1" si="136"/>
        <v>709199</v>
      </c>
      <c r="AG236" s="282">
        <f t="shared" ca="1" si="137"/>
        <v>1920000</v>
      </c>
      <c r="AH236" s="282">
        <f t="shared" ca="1" si="138"/>
        <v>4951386</v>
      </c>
      <c r="AI236" s="23" t="str">
        <f t="shared" ca="1" si="154"/>
        <v>20-6</v>
      </c>
      <c r="AJ236" s="282">
        <f ca="1">IF(E236&gt;111,,IF(AND(OP!$C$99=1,T236="F"),Z236,IF(AND(OP!$C$99=2,COUNTIF($T$4:T236,"F")=1),OP!$C$97+IF(F236="F",OP!$C$98,0),"")))</f>
        <v>54527</v>
      </c>
      <c r="AK236" s="282">
        <f ca="1">IF(E236&gt;111,,IF(AND(OP!$D$99=1,T236="F"),AA236,IF(AND(OP!$D$99=2,COUNTIF($T$4:T236,"F")=1),OP!$D$97+IF(F236="F",OP!$D$98,0),"")))</f>
        <v>74177</v>
      </c>
      <c r="AL236" s="282">
        <f ca="1">IF(E236&gt;111,,IF(AND(OP!$E$99=1,T236="F"),AB236,IF(AND(OP!$E$99=2,COUNTIF($T$4:T236,"F")=1),OP!$E$97+IF(F236="F",OP!$E$98,0),"")))</f>
        <v>99404</v>
      </c>
      <c r="AM236" s="1">
        <f t="shared" ca="1" si="128"/>
        <v>6</v>
      </c>
      <c r="AN236" s="1" t="str">
        <f ca="1">IF(OR(VLOOKUP($A236,MP,5,0)="月繳"),1,"")</f>
        <v/>
      </c>
      <c r="AO236" s="1">
        <f t="shared" ca="1" si="139"/>
        <v>0</v>
      </c>
      <c r="AP236" s="1" t="str">
        <f ca="1">IF(AND(A236&lt;=OP!$C$120,COUNTIF(PAY,C236)=1),1,"")</f>
        <v/>
      </c>
      <c r="AR236" s="301">
        <f ca="1">IF(繳費報酬率資料!$A$1=1,$AY236+$AZ236,$BF236+$BG236)</f>
        <v>0</v>
      </c>
      <c r="AS236" s="1">
        <f ca="1">IF(C236&lt;&gt;IF($C$3=1,12,$C$3-1),0,IF(繳費報酬率資料!$A$1&lt;&gt;1,VLOOKUP($A236,MP,8,0),IF(AND($A236&gt;=OP!$C$79,$A236&lt;=OP!$C$80),OP!$C$78,)))</f>
        <v>0</v>
      </c>
      <c r="AT236" s="298">
        <f t="shared" ca="1" si="140"/>
        <v>0</v>
      </c>
      <c r="AU236" s="298">
        <f ca="1">IF(AND(A236&lt;=OP!$C$120,COUNTIF(PAY,C236)=1),OP!$C$123,0)</f>
        <v>0</v>
      </c>
      <c r="AV236" s="298">
        <f ca="1">IF(AND(A236&gt;=OP!$C$132,A236&lt;=OP!$C$133,$C$3=C236),OP!$C$135,0)</f>
        <v>0</v>
      </c>
      <c r="AW236" s="180">
        <f t="shared" ca="1" si="141"/>
        <v>0.05</v>
      </c>
      <c r="AX236" s="180">
        <f t="shared" ca="1" si="142"/>
        <v>0.05</v>
      </c>
      <c r="AY236" s="286">
        <f t="shared" ca="1" si="143"/>
        <v>0</v>
      </c>
      <c r="AZ236" s="286">
        <f t="shared" ca="1" si="144"/>
        <v>0</v>
      </c>
      <c r="BA236" s="286">
        <f t="shared" ca="1" si="145"/>
        <v>0</v>
      </c>
      <c r="BB236" s="286">
        <f t="shared" ca="1" si="146"/>
        <v>0</v>
      </c>
      <c r="BC236" s="286">
        <f t="shared" ca="1" si="147"/>
        <v>0</v>
      </c>
      <c r="BD236" s="180">
        <f t="shared" ca="1" si="148"/>
        <v>0.05</v>
      </c>
      <c r="BE236" s="180">
        <f t="shared" ca="1" si="149"/>
        <v>0.05</v>
      </c>
      <c r="BF236" s="286">
        <f t="shared" ca="1" si="150"/>
        <v>0</v>
      </c>
      <c r="BG236" s="286">
        <f t="shared" ca="1" si="151"/>
        <v>0</v>
      </c>
    </row>
    <row r="237" spans="1:59">
      <c r="A237" s="1">
        <f t="shared" ca="1" si="130"/>
        <v>20</v>
      </c>
      <c r="B237" s="1">
        <f t="shared" ca="1" si="124"/>
        <v>125</v>
      </c>
      <c r="C237" s="1">
        <f t="shared" ca="1" si="125"/>
        <v>11</v>
      </c>
      <c r="D237" s="1">
        <f ca="1">MIN($D$3,VLOOKUP(C237,OP!$S$30:$T$41,2))</f>
        <v>2</v>
      </c>
      <c r="E237" s="1">
        <f t="shared" ca="1" si="126"/>
        <v>74</v>
      </c>
      <c r="F237" s="11" t="str">
        <f t="shared" ca="1" si="131"/>
        <v/>
      </c>
      <c r="G237" s="8">
        <f t="shared" ca="1" si="157"/>
        <v>365</v>
      </c>
      <c r="H237" s="8">
        <f t="shared" ca="1" si="133"/>
        <v>30</v>
      </c>
      <c r="I237" s="8" t="str">
        <f t="shared" ca="1" si="129"/>
        <v>2011</v>
      </c>
      <c r="J237" s="13">
        <f>IF(繳費報酬率資料!$A$1=1,VALUE(OP!$C$121),VLOOKUP(A237,MP,2,0))</f>
        <v>0.05</v>
      </c>
      <c r="K237" s="14">
        <f ca="1">IF(SUM($K$4:K236,IF(繳費報酬率資料!$A$1=1,$AU237+$AV237,$BB237+$BC237))&gt;OP!$L$58,0,IF(繳費報酬率資料!$A$1=1,$AU237+$AV237,$BB237+$BC237))</f>
        <v>0</v>
      </c>
      <c r="L237" s="2"/>
      <c r="M237" s="2"/>
      <c r="N237" s="2"/>
      <c r="O237" s="261">
        <f t="shared" ca="1" si="134"/>
        <v>0</v>
      </c>
      <c r="P237" s="261">
        <f t="shared" ca="1" si="152"/>
        <v>0</v>
      </c>
      <c r="Q237" s="3">
        <f ca="1">IF(A237&gt;MAX(OP!$R$17:$R$26),0,VLOOKUP(A237,fees,3,FALSE))</f>
        <v>0</v>
      </c>
      <c r="R237" s="200" t="str">
        <f t="shared" ca="1" si="135"/>
        <v/>
      </c>
      <c r="S237" s="9" t="str">
        <f ca="1">IF(COUNTIF(($T$4:T236),"F")&gt;=1,"",IF(OR(C238&lt;&gt;$C$3,E237=""),"",A237))</f>
        <v/>
      </c>
      <c r="T237" s="20" t="str">
        <f t="shared" ca="1" si="127"/>
        <v/>
      </c>
      <c r="U237" s="2">
        <f ca="1">IF(IF(OP!$C$83=1,$Z236,IF(OP!$C$83=2,$AA236,IF(OP!$C$83=3,$AB236,)))+$K237-$O237-$P237-$AS237&lt;OP!$C$142,0,$AS237)</f>
        <v>0</v>
      </c>
      <c r="V237" s="9"/>
      <c r="W237" s="19">
        <f ca="1">MAX(SUM($K$4:K237),0)</f>
        <v>2000000</v>
      </c>
      <c r="X237" s="19"/>
      <c r="Y237" s="19">
        <f t="shared" ca="1" si="153"/>
        <v>1920000</v>
      </c>
      <c r="Z237" s="2">
        <f ca="1">IF(MIN($Z$4:Z236)=0,0,MAX(0,($Z236+$K237-$O237-$P237)*IF(AND(F237="F",$D$3&lt;&gt;$G$3),((1+(-J237))^(H237/MIN(G237,365))),((1+(-J237))^(1/12)))-$U237))</f>
        <v>706173.68816341402</v>
      </c>
      <c r="AA237" s="2">
        <f ca="1">IF(MIN($AA$4:AA236)=0,0,MAX(0,($AA236+$K237-$O237-$P237)*IF(AND(F237="F",$D$3&lt;&gt;$G$3),((1+$AA$1)^(H237/MIN(G237,365))),((1+$AA$1)^(1/12)))-$U237))</f>
        <v>1920000</v>
      </c>
      <c r="AB237" s="2">
        <f ca="1">IF(MIN($AB$4:AB236)=0,0,MAX(0,($AB236+$K237-$O237-$P237)*IF(AND(F237="F",$D$3&lt;&gt;$G$3),((1+(J237))^(H237/MIN(G237,365))),((1+(J237))^(1/12)))-$U237))</f>
        <v>4971558.5740889218</v>
      </c>
      <c r="AC237" s="5"/>
      <c r="AD237" s="5"/>
      <c r="AE237" s="5"/>
      <c r="AF237" s="282">
        <f t="shared" ca="1" si="136"/>
        <v>706174</v>
      </c>
      <c r="AG237" s="282">
        <f t="shared" ca="1" si="137"/>
        <v>1920000</v>
      </c>
      <c r="AH237" s="282">
        <f t="shared" ca="1" si="138"/>
        <v>4971559</v>
      </c>
      <c r="AI237" s="23" t="str">
        <f t="shared" ca="1" si="154"/>
        <v>20-7</v>
      </c>
      <c r="AJ237" s="282">
        <f ca="1">IF(E237&gt;111,,IF(AND(OP!$C$99=1,T237="F"),Z237,IF(AND(OP!$C$99=2,COUNTIF($T$4:T237,"F")=1),OP!$C$97+IF(F237="F",OP!$C$98,0),"")))</f>
        <v>54527</v>
      </c>
      <c r="AK237" s="282">
        <f ca="1">IF(E237&gt;111,,IF(AND(OP!$D$99=1,T237="F"),AA237,IF(AND(OP!$D$99=2,COUNTIF($T$4:T237,"F")=1),OP!$D$97+IF(F237="F",OP!$D$98,0),"")))</f>
        <v>74177</v>
      </c>
      <c r="AL237" s="282">
        <f ca="1">IF(E237&gt;111,,IF(AND(OP!$E$99=1,T237="F"),AB237,IF(AND(OP!$E$99=2,COUNTIF($T$4:T237,"F")=1),OP!$E$97+IF(F237="F",OP!$E$98,0),"")))</f>
        <v>99404</v>
      </c>
      <c r="AM237" s="1">
        <f t="shared" ca="1" si="128"/>
        <v>7</v>
      </c>
      <c r="AN237" s="1" t="str">
        <f ca="1">IF(OR(VLOOKUP($A237,MP,5,0)="月繳"),1,"")</f>
        <v/>
      </c>
      <c r="AO237" s="1">
        <f t="shared" ca="1" si="139"/>
        <v>0</v>
      </c>
      <c r="AP237" s="1" t="str">
        <f ca="1">IF(AND(A237&lt;=OP!$C$120,COUNTIF(PAY,C237)=1),1,"")</f>
        <v/>
      </c>
      <c r="AR237" s="301">
        <f ca="1">IF(繳費報酬率資料!$A$1=1,$AY237+$AZ237,$BF237+$BG237)</f>
        <v>0</v>
      </c>
      <c r="AS237" s="1">
        <f ca="1">IF(C237&lt;&gt;IF($C$3=1,12,$C$3-1),0,IF(繳費報酬率資料!$A$1&lt;&gt;1,VLOOKUP($A237,MP,8,0),IF(AND($A237&gt;=OP!$C$79,$A237&lt;=OP!$C$80),OP!$C$78,)))</f>
        <v>0</v>
      </c>
      <c r="AT237" s="298">
        <f t="shared" ca="1" si="140"/>
        <v>0</v>
      </c>
      <c r="AU237" s="298">
        <f ca="1">IF(AND(A237&lt;=OP!$C$120,COUNTIF(PAY,C237)=1),OP!$C$123,0)</f>
        <v>0</v>
      </c>
      <c r="AV237" s="298">
        <f ca="1">IF(AND(A237&gt;=OP!$C$132,A237&lt;=OP!$C$133,$C$3=C237),OP!$C$135,0)</f>
        <v>0</v>
      </c>
      <c r="AW237" s="180">
        <f t="shared" ca="1" si="141"/>
        <v>0.05</v>
      </c>
      <c r="AX237" s="180">
        <f t="shared" ca="1" si="142"/>
        <v>0.05</v>
      </c>
      <c r="AY237" s="286">
        <f t="shared" ca="1" si="143"/>
        <v>0</v>
      </c>
      <c r="AZ237" s="286">
        <f t="shared" ca="1" si="144"/>
        <v>0</v>
      </c>
      <c r="BA237" s="286">
        <f t="shared" ca="1" si="145"/>
        <v>0</v>
      </c>
      <c r="BB237" s="286">
        <f t="shared" ca="1" si="146"/>
        <v>0</v>
      </c>
      <c r="BC237" s="286">
        <f t="shared" ca="1" si="147"/>
        <v>0</v>
      </c>
      <c r="BD237" s="180">
        <f t="shared" ca="1" si="148"/>
        <v>0.05</v>
      </c>
      <c r="BE237" s="180">
        <f t="shared" ca="1" si="149"/>
        <v>0.05</v>
      </c>
      <c r="BF237" s="286">
        <f t="shared" ca="1" si="150"/>
        <v>0</v>
      </c>
      <c r="BG237" s="286">
        <f t="shared" ca="1" si="151"/>
        <v>0</v>
      </c>
    </row>
    <row r="238" spans="1:59">
      <c r="A238" s="1">
        <f t="shared" ca="1" si="130"/>
        <v>20</v>
      </c>
      <c r="B238" s="1">
        <f t="shared" ca="1" si="124"/>
        <v>125</v>
      </c>
      <c r="C238" s="1">
        <f t="shared" ca="1" si="125"/>
        <v>12</v>
      </c>
      <c r="D238" s="1">
        <f ca="1">MIN($D$3,VLOOKUP(C238,OP!$S$30:$T$41,2))</f>
        <v>2</v>
      </c>
      <c r="E238" s="1">
        <f t="shared" ca="1" si="126"/>
        <v>74</v>
      </c>
      <c r="F238" s="11" t="str">
        <f t="shared" ca="1" si="131"/>
        <v/>
      </c>
      <c r="G238" s="8">
        <f t="shared" ca="1" si="157"/>
        <v>365</v>
      </c>
      <c r="H238" s="8">
        <f t="shared" ca="1" si="133"/>
        <v>31</v>
      </c>
      <c r="I238" s="8" t="str">
        <f t="shared" ca="1" si="129"/>
        <v>2012</v>
      </c>
      <c r="J238" s="13">
        <f>IF(繳費報酬率資料!$A$1=1,VALUE(OP!$C$121),VLOOKUP(A238,MP,2,0))</f>
        <v>0.05</v>
      </c>
      <c r="K238" s="14">
        <f ca="1">IF(SUM($K$4:K237,IF(繳費報酬率資料!$A$1=1,$AU238+$AV238,$BB238+$BC238))&gt;OP!$L$58,0,IF(繳費報酬率資料!$A$1=1,$AU238+$AV238,$BB238+$BC238))</f>
        <v>0</v>
      </c>
      <c r="L238" s="2"/>
      <c r="M238" s="2"/>
      <c r="N238" s="2"/>
      <c r="O238" s="261">
        <f t="shared" ca="1" si="134"/>
        <v>0</v>
      </c>
      <c r="P238" s="261">
        <f t="shared" ca="1" si="152"/>
        <v>0</v>
      </c>
      <c r="Q238" s="3">
        <f ca="1">IF(A238&gt;MAX(OP!$R$17:$R$26),0,VLOOKUP(A238,fees,3,FALSE))</f>
        <v>0</v>
      </c>
      <c r="R238" s="200" t="str">
        <f t="shared" ca="1" si="135"/>
        <v/>
      </c>
      <c r="S238" s="9" t="str">
        <f ca="1">IF(COUNTIF(($T$4:T237),"F")&gt;=1,"",IF(OR(C239&lt;&gt;$C$3,E238=""),"",A238))</f>
        <v/>
      </c>
      <c r="T238" s="20" t="str">
        <f t="shared" ca="1" si="127"/>
        <v/>
      </c>
      <c r="U238" s="2">
        <f ca="1">IF(IF(OP!$C$83=1,$Z237,IF(OP!$C$83=2,$AA237,IF(OP!$C$83=3,$AB237,)))+$K238-$O238-$P238-$AS238&lt;OP!$C$142,0,$AS238)</f>
        <v>0</v>
      </c>
      <c r="V238" s="9"/>
      <c r="W238" s="19">
        <f ca="1">MAX(SUM($K$4:K238),0)</f>
        <v>2000000</v>
      </c>
      <c r="X238" s="19"/>
      <c r="Y238" s="19">
        <f t="shared" ca="1" si="153"/>
        <v>1920000</v>
      </c>
      <c r="Z238" s="2">
        <f ca="1">IF(MIN($Z$4:Z237)=0,0,MAX(0,($Z237+$K238-$O238-$P238)*IF(AND(F238="F",$D$3&lt;&gt;$G$3),((1+(-J238))^(H238/MIN(G238,365))),((1+(-J238))^(1/12)))-$U238))</f>
        <v>703161.63227107131</v>
      </c>
      <c r="AA238" s="2">
        <f ca="1">IF(MIN($AA$4:AA237)=0,0,MAX(0,($AA237+$K238-$O238-$P238)*IF(AND(F238="F",$D$3&lt;&gt;$G$3),((1+$AA$1)^(H238/MIN(G238,365))),((1+$AA$1)^(1/12)))-$U238))</f>
        <v>1920000</v>
      </c>
      <c r="AB238" s="2">
        <f ca="1">IF(MIN($AB$4:AB237)=0,0,MAX(0,($AB237+$K238-$O238-$P238)*IF(AND(F238="F",$D$3&lt;&gt;$G$3),((1+(J238))^(H238/MIN(G238,365))),((1+(J238))^(1/12)))-$U238))</f>
        <v>4991813.3191174185</v>
      </c>
      <c r="AC238" s="5"/>
      <c r="AD238" s="5"/>
      <c r="AE238" s="5"/>
      <c r="AF238" s="282">
        <f t="shared" ca="1" si="136"/>
        <v>703162</v>
      </c>
      <c r="AG238" s="282">
        <f t="shared" ca="1" si="137"/>
        <v>1920000</v>
      </c>
      <c r="AH238" s="282">
        <f t="shared" ca="1" si="138"/>
        <v>4991813</v>
      </c>
      <c r="AI238" s="23" t="str">
        <f t="shared" ca="1" si="154"/>
        <v>20-8</v>
      </c>
      <c r="AJ238" s="282">
        <f ca="1">IF(E238&gt;111,,IF(AND(OP!$C$99=1,T238="F"),Z238,IF(AND(OP!$C$99=2,COUNTIF($T$4:T238,"F")=1),OP!$C$97+IF(F238="F",OP!$C$98,0),"")))</f>
        <v>54527</v>
      </c>
      <c r="AK238" s="282">
        <f ca="1">IF(E238&gt;111,,IF(AND(OP!$D$99=1,T238="F"),AA238,IF(AND(OP!$D$99=2,COUNTIF($T$4:T238,"F")=1),OP!$D$97+IF(F238="F",OP!$D$98,0),"")))</f>
        <v>74177</v>
      </c>
      <c r="AL238" s="282">
        <f ca="1">IF(E238&gt;111,,IF(AND(OP!$E$99=1,T238="F"),AB238,IF(AND(OP!$E$99=2,COUNTIF($T$4:T238,"F")=1),OP!$E$97+IF(F238="F",OP!$E$98,0),"")))</f>
        <v>99404</v>
      </c>
      <c r="AM238" s="1">
        <f t="shared" ca="1" si="128"/>
        <v>8</v>
      </c>
      <c r="AN238" s="1" t="str">
        <f ca="1">IF(OR(VLOOKUP($A238,MP,5,0)="半年繳",VLOOKUP($A238,MP,5,0)="季繳",VLOOKUP($A238,MP,5,0)="月繳"),1,"")</f>
        <v/>
      </c>
      <c r="AO238" s="1">
        <f t="shared" ca="1" si="139"/>
        <v>0</v>
      </c>
      <c r="AP238" s="1" t="str">
        <f ca="1">IF(AND(A238&lt;=OP!$C$120,COUNTIF(PAY,C238)=1),1,"")</f>
        <v/>
      </c>
      <c r="AR238" s="301">
        <f ca="1">IF(繳費報酬率資料!$A$1=1,$AY238+$AZ238,$BF238+$BG238)</f>
        <v>0</v>
      </c>
      <c r="AS238" s="1">
        <f ca="1">IF(C238&lt;&gt;IF($C$3=1,12,$C$3-1),0,IF(繳費報酬率資料!$A$1&lt;&gt;1,VLOOKUP($A238,MP,8,0),IF(AND($A238&gt;=OP!$C$79,$A238&lt;=OP!$C$80),OP!$C$78,)))</f>
        <v>0</v>
      </c>
      <c r="AT238" s="298">
        <f t="shared" ca="1" si="140"/>
        <v>0</v>
      </c>
      <c r="AU238" s="298">
        <f ca="1">IF(AND(A238&lt;=OP!$C$120,COUNTIF(PAY,C238)=1),OP!$C$123,0)</f>
        <v>0</v>
      </c>
      <c r="AV238" s="298">
        <f ca="1">IF(AND(A238&gt;=OP!$C$132,A238&lt;=OP!$C$133,$C$3=C238),OP!$C$135,0)</f>
        <v>0</v>
      </c>
      <c r="AW238" s="180">
        <f t="shared" ca="1" si="141"/>
        <v>0.05</v>
      </c>
      <c r="AX238" s="180">
        <f t="shared" ca="1" si="142"/>
        <v>0.05</v>
      </c>
      <c r="AY238" s="286">
        <f t="shared" ca="1" si="143"/>
        <v>0</v>
      </c>
      <c r="AZ238" s="286">
        <f t="shared" ca="1" si="144"/>
        <v>0</v>
      </c>
      <c r="BA238" s="286">
        <f t="shared" ca="1" si="145"/>
        <v>0</v>
      </c>
      <c r="BB238" s="286">
        <f t="shared" ca="1" si="146"/>
        <v>0</v>
      </c>
      <c r="BC238" s="286">
        <f t="shared" ca="1" si="147"/>
        <v>0</v>
      </c>
      <c r="BD238" s="180">
        <f t="shared" ca="1" si="148"/>
        <v>0.05</v>
      </c>
      <c r="BE238" s="180">
        <f t="shared" ca="1" si="149"/>
        <v>0.05</v>
      </c>
      <c r="BF238" s="286">
        <f t="shared" ca="1" si="150"/>
        <v>0</v>
      </c>
      <c r="BG238" s="286">
        <f t="shared" ca="1" si="151"/>
        <v>0</v>
      </c>
    </row>
    <row r="239" spans="1:59">
      <c r="A239" s="1">
        <f t="shared" ca="1" si="130"/>
        <v>20</v>
      </c>
      <c r="B239" s="1">
        <f t="shared" ca="1" si="124"/>
        <v>126</v>
      </c>
      <c r="C239" s="1">
        <f t="shared" ca="1" si="125"/>
        <v>1</v>
      </c>
      <c r="D239" s="1">
        <f ca="1">MIN($D$3,VLOOKUP(C239,OP!$S$30:$T$41,2))</f>
        <v>2</v>
      </c>
      <c r="E239" s="1">
        <f t="shared" ca="1" si="126"/>
        <v>74</v>
      </c>
      <c r="F239" s="11" t="str">
        <f t="shared" ca="1" si="131"/>
        <v/>
      </c>
      <c r="G239" s="8">
        <f t="shared" ca="1" si="157"/>
        <v>365</v>
      </c>
      <c r="H239" s="8">
        <f t="shared" ca="1" si="133"/>
        <v>31</v>
      </c>
      <c r="I239" s="8" t="str">
        <f t="shared" ca="1" si="129"/>
        <v>201</v>
      </c>
      <c r="J239" s="13">
        <f>IF(繳費報酬率資料!$A$1=1,VALUE(OP!$C$121),VLOOKUP(A239,MP,2,0))</f>
        <v>0.05</v>
      </c>
      <c r="K239" s="14">
        <f ca="1">IF(SUM($K$4:K238,IF(繳費報酬率資料!$A$1=1,$AU239+$AV239,$BB239+$BC239))&gt;OP!$L$58,0,IF(繳費報酬率資料!$A$1=1,$AU239+$AV239,$BB239+$BC239))</f>
        <v>0</v>
      </c>
      <c r="L239" s="2"/>
      <c r="M239" s="2"/>
      <c r="N239" s="2"/>
      <c r="O239" s="261">
        <f t="shared" ca="1" si="134"/>
        <v>0</v>
      </c>
      <c r="P239" s="261">
        <f t="shared" ca="1" si="152"/>
        <v>0</v>
      </c>
      <c r="Q239" s="3">
        <f ca="1">IF(A239&gt;MAX(OP!$R$17:$R$26),0,VLOOKUP(A239,fees,3,FALSE))</f>
        <v>0</v>
      </c>
      <c r="R239" s="200" t="str">
        <f t="shared" ca="1" si="135"/>
        <v/>
      </c>
      <c r="S239" s="9" t="str">
        <f ca="1">IF(COUNTIF(($T$4:T238),"F")&gt;=1,"",IF(OR(C240&lt;&gt;$C$3,E239=""),"",A239))</f>
        <v/>
      </c>
      <c r="T239" s="20" t="str">
        <f t="shared" ca="1" si="127"/>
        <v/>
      </c>
      <c r="U239" s="2">
        <f ca="1">IF(IF(OP!$C$83=1,$Z238,IF(OP!$C$83=2,$AA238,IF(OP!$C$83=3,$AB238,)))+$K239-$O239-$P239-$AS239&lt;OP!$C$142,0,$AS239)</f>
        <v>0</v>
      </c>
      <c r="V239" s="9"/>
      <c r="W239" s="19">
        <f ca="1">MAX(SUM($K$4:K239),0)</f>
        <v>2000000</v>
      </c>
      <c r="X239" s="19"/>
      <c r="Y239" s="19">
        <f t="shared" ca="1" si="153"/>
        <v>1920000</v>
      </c>
      <c r="Z239" s="2">
        <f ca="1">IF(MIN($Z$4:Z238)=0,0,MAX(0,($Z238+$K239-$O239-$P239)*IF(AND(F239="F",$D$3&lt;&gt;$G$3),((1+(-J239))^(H239/MIN(G239,365))),((1+(-J239))^(1/12)))-$U239))</f>
        <v>700162.42375728535</v>
      </c>
      <c r="AA239" s="2">
        <f ca="1">IF(MIN($AA$4:AA238)=0,0,MAX(0,($AA238+$K239-$O239-$P239)*IF(AND(F239="F",$D$3&lt;&gt;$G$3),((1+$AA$1)^(H239/MIN(G239,365))),((1+$AA$1)^(1/12)))-$U239))</f>
        <v>1920000</v>
      </c>
      <c r="AB239" s="2">
        <f ca="1">IF(MIN($AB$4:AB238)=0,0,MAX(0,($AB238+$K239-$O239-$P239)*IF(AND(F239="F",$D$3&lt;&gt;$G$3),((1+(J239))^(H239/MIN(G239,365))),((1+(J239))^(1/12)))-$U239))</f>
        <v>5012150.5844843676</v>
      </c>
      <c r="AC239" s="5"/>
      <c r="AD239" s="5"/>
      <c r="AE239" s="5"/>
      <c r="AF239" s="282">
        <f t="shared" ca="1" si="136"/>
        <v>700162</v>
      </c>
      <c r="AG239" s="282">
        <f t="shared" ca="1" si="137"/>
        <v>1920000</v>
      </c>
      <c r="AH239" s="282">
        <f t="shared" ca="1" si="138"/>
        <v>5012151</v>
      </c>
      <c r="AI239" s="23" t="str">
        <f t="shared" ca="1" si="154"/>
        <v>20-9</v>
      </c>
      <c r="AJ239" s="282">
        <f ca="1">IF(E239&gt;111,,IF(AND(OP!$C$99=1,T239="F"),Z239,IF(AND(OP!$C$99=2,COUNTIF($T$4:T239,"F")=1),OP!$C$97+IF(F239="F",OP!$C$98,0),"")))</f>
        <v>54527</v>
      </c>
      <c r="AK239" s="282">
        <f ca="1">IF(E239&gt;111,,IF(AND(OP!$D$99=1,T239="F"),AA239,IF(AND(OP!$D$99=2,COUNTIF($T$4:T239,"F")=1),OP!$D$97+IF(F239="F",OP!$D$98,0),"")))</f>
        <v>74177</v>
      </c>
      <c r="AL239" s="282">
        <f ca="1">IF(E239&gt;111,,IF(AND(OP!$E$99=1,T239="F"),AB239,IF(AND(OP!$E$99=2,COUNTIF($T$4:T239,"F")=1),OP!$E$97+IF(F239="F",OP!$E$98,0),"")))</f>
        <v>99404</v>
      </c>
      <c r="AM239" s="1">
        <f t="shared" ca="1" si="128"/>
        <v>9</v>
      </c>
      <c r="AN239" s="1" t="str">
        <f ca="1">IF(OR(VLOOKUP($A239,MP,5,0)="月繳"),1,"")</f>
        <v/>
      </c>
      <c r="AO239" s="1">
        <f t="shared" ca="1" si="139"/>
        <v>0</v>
      </c>
      <c r="AP239" s="1" t="str">
        <f ca="1">IF(AND(A239&lt;=OP!$C$120,COUNTIF(PAY,C239)=1),1,"")</f>
        <v/>
      </c>
      <c r="AR239" s="301">
        <f ca="1">IF(繳費報酬率資料!$A$1=1,$AY239+$AZ239,$BF239+$BG239)</f>
        <v>0</v>
      </c>
      <c r="AS239" s="1">
        <f ca="1">IF(C239&lt;&gt;IF($C$3=1,12,$C$3-1),0,IF(繳費報酬率資料!$A$1&lt;&gt;1,VLOOKUP($A239,MP,8,0),IF(AND($A239&gt;=OP!$C$79,$A239&lt;=OP!$C$80),OP!$C$78,)))</f>
        <v>0</v>
      </c>
      <c r="AT239" s="298">
        <f t="shared" ca="1" si="140"/>
        <v>0</v>
      </c>
      <c r="AU239" s="298">
        <f ca="1">IF(AND(A239&lt;=OP!$C$120,COUNTIF(PAY,C239)=1),OP!$C$123,0)</f>
        <v>0</v>
      </c>
      <c r="AV239" s="298">
        <f ca="1">IF(AND(A239&gt;=OP!$C$132,A239&lt;=OP!$C$133,$C$3=C239),OP!$C$135,0)</f>
        <v>0</v>
      </c>
      <c r="AW239" s="180">
        <f t="shared" ca="1" si="141"/>
        <v>0.05</v>
      </c>
      <c r="AX239" s="180">
        <f t="shared" ca="1" si="142"/>
        <v>0.05</v>
      </c>
      <c r="AY239" s="286">
        <f t="shared" ca="1" si="143"/>
        <v>0</v>
      </c>
      <c r="AZ239" s="286">
        <f t="shared" ca="1" si="144"/>
        <v>0</v>
      </c>
      <c r="BA239" s="286">
        <f t="shared" ca="1" si="145"/>
        <v>0</v>
      </c>
      <c r="BB239" s="286">
        <f t="shared" ca="1" si="146"/>
        <v>0</v>
      </c>
      <c r="BC239" s="286">
        <f t="shared" ca="1" si="147"/>
        <v>0</v>
      </c>
      <c r="BD239" s="180">
        <f t="shared" ca="1" si="148"/>
        <v>0.05</v>
      </c>
      <c r="BE239" s="180">
        <f t="shared" ca="1" si="149"/>
        <v>0.05</v>
      </c>
      <c r="BF239" s="286">
        <f t="shared" ca="1" si="150"/>
        <v>0</v>
      </c>
      <c r="BG239" s="286">
        <f t="shared" ca="1" si="151"/>
        <v>0</v>
      </c>
    </row>
    <row r="240" spans="1:59">
      <c r="A240" s="1">
        <f t="shared" ca="1" si="130"/>
        <v>20</v>
      </c>
      <c r="B240" s="1">
        <f t="shared" ca="1" si="124"/>
        <v>126</v>
      </c>
      <c r="C240" s="1">
        <f t="shared" ca="1" si="125"/>
        <v>2</v>
      </c>
      <c r="D240" s="1">
        <f ca="1">MIN($D$3,VLOOKUP(C240,OP!$S$30:$T$41,2))</f>
        <v>2</v>
      </c>
      <c r="E240" s="1">
        <f t="shared" ca="1" si="126"/>
        <v>74</v>
      </c>
      <c r="F240" s="11" t="str">
        <f t="shared" ca="1" si="131"/>
        <v/>
      </c>
      <c r="G240" s="8">
        <f t="shared" ca="1" si="157"/>
        <v>365</v>
      </c>
      <c r="H240" s="8">
        <f t="shared" ca="1" si="133"/>
        <v>28</v>
      </c>
      <c r="I240" s="8" t="str">
        <f t="shared" ca="1" si="129"/>
        <v>202</v>
      </c>
      <c r="J240" s="13">
        <f>IF(繳費報酬率資料!$A$1=1,VALUE(OP!$C$121),VLOOKUP(A240,MP,2,0))</f>
        <v>0.05</v>
      </c>
      <c r="K240" s="14">
        <f ca="1">IF(SUM($K$4:K239,IF(繳費報酬率資料!$A$1=1,$AU240+$AV240,$BB240+$BC240))&gt;OP!$L$58,0,IF(繳費報酬率資料!$A$1=1,$AU240+$AV240,$BB240+$BC240))</f>
        <v>0</v>
      </c>
      <c r="L240" s="2"/>
      <c r="M240" s="2"/>
      <c r="N240" s="2"/>
      <c r="O240" s="261">
        <f t="shared" ca="1" si="134"/>
        <v>0</v>
      </c>
      <c r="P240" s="261">
        <f t="shared" ca="1" si="152"/>
        <v>0</v>
      </c>
      <c r="Q240" s="3">
        <f ca="1">IF(A240&gt;MAX(OP!$R$17:$R$26),0,VLOOKUP(A240,fees,3,FALSE))</f>
        <v>0</v>
      </c>
      <c r="R240" s="200" t="str">
        <f t="shared" ca="1" si="135"/>
        <v/>
      </c>
      <c r="S240" s="9" t="str">
        <f ca="1">IF(COUNTIF(($T$4:T239),"F")&gt;=1,"",IF(OR(C241&lt;&gt;$C$3,E240=""),"",A240))</f>
        <v/>
      </c>
      <c r="T240" s="20" t="str">
        <f t="shared" ca="1" si="127"/>
        <v/>
      </c>
      <c r="U240" s="2">
        <f ca="1">IF(IF(OP!$C$83=1,$Z239,IF(OP!$C$83=2,$AA239,IF(OP!$C$83=3,$AB239,)))+$K240-$O240-$P240-$AS240&lt;OP!$C$142,0,$AS240)</f>
        <v>0</v>
      </c>
      <c r="V240" s="9"/>
      <c r="W240" s="19">
        <f ca="1">MAX(SUM($K$4:K240),0)</f>
        <v>2000000</v>
      </c>
      <c r="X240" s="19"/>
      <c r="Y240" s="19">
        <f t="shared" ca="1" si="153"/>
        <v>1920000</v>
      </c>
      <c r="Z240" s="2">
        <f ca="1">IF(MIN($Z$4:Z239)=0,0,MAX(0,($Z239+$K240-$O240-$P240)*IF(AND(F240="F",$D$3&lt;&gt;$G$3),((1+(-J240))^(H240/MIN(G240,365))),((1+(-J240))^(1/12)))-$U240))</f>
        <v>697176.00782389101</v>
      </c>
      <c r="AA240" s="2">
        <f ca="1">IF(MIN($AA$4:AA239)=0,0,MAX(0,($AA239+$K240-$O240-$P240)*IF(AND(F240="F",$D$3&lt;&gt;$G$3),((1+$AA$1)^(H240/MIN(G240,365))),((1+$AA$1)^(1/12)))-$U240))</f>
        <v>1920000</v>
      </c>
      <c r="AB240" s="2">
        <f ca="1">IF(MIN($AB$4:AB239)=0,0,MAX(0,($AB239+$K240-$O240-$P240)*IF(AND(F240="F",$D$3&lt;&gt;$G$3),((1+(J240))^(H240/MIN(G240,365))),((1+(J240))^(1/12)))-$U240))</f>
        <v>5032570.7063878421</v>
      </c>
      <c r="AC240" s="5"/>
      <c r="AD240" s="5"/>
      <c r="AE240" s="5"/>
      <c r="AF240" s="282">
        <f t="shared" ca="1" si="136"/>
        <v>697176</v>
      </c>
      <c r="AG240" s="282">
        <f t="shared" ca="1" si="137"/>
        <v>1920000</v>
      </c>
      <c r="AH240" s="282">
        <f t="shared" ca="1" si="138"/>
        <v>5032571</v>
      </c>
      <c r="AI240" s="23" t="str">
        <f t="shared" ca="1" si="154"/>
        <v>20-10</v>
      </c>
      <c r="AJ240" s="282">
        <f ca="1">IF(E240&gt;111,,IF(AND(OP!$C$99=1,T240="F"),Z240,IF(AND(OP!$C$99=2,COUNTIF($T$4:T240,"F")=1),OP!$C$97+IF(F240="F",OP!$C$98,0),"")))</f>
        <v>54527</v>
      </c>
      <c r="AK240" s="282">
        <f ca="1">IF(E240&gt;111,,IF(AND(OP!$D$99=1,T240="F"),AA240,IF(AND(OP!$D$99=2,COUNTIF($T$4:T240,"F")=1),OP!$D$97+IF(F240="F",OP!$D$98,0),"")))</f>
        <v>74177</v>
      </c>
      <c r="AL240" s="282">
        <f ca="1">IF(E240&gt;111,,IF(AND(OP!$E$99=1,T240="F"),AB240,IF(AND(OP!$E$99=2,COUNTIF($T$4:T240,"F")=1),OP!$E$97+IF(F240="F",OP!$E$98,0),"")))</f>
        <v>99404</v>
      </c>
      <c r="AM240" s="1">
        <f t="shared" ca="1" si="128"/>
        <v>10</v>
      </c>
      <c r="AN240" s="1" t="str">
        <f ca="1">IF(OR(VLOOKUP($A240,MP,5,0)="月繳"),1,"")</f>
        <v/>
      </c>
      <c r="AO240" s="1">
        <f t="shared" ca="1" si="139"/>
        <v>0</v>
      </c>
      <c r="AP240" s="1" t="str">
        <f ca="1">IF(AND(A240&lt;=OP!$C$120,COUNTIF(PAY,C240)=1),1,"")</f>
        <v/>
      </c>
      <c r="AR240" s="301">
        <f ca="1">IF(繳費報酬率資料!$A$1=1,$AY240+$AZ240,$BF240+$BG240)</f>
        <v>0</v>
      </c>
      <c r="AS240" s="1">
        <f ca="1">IF(C240&lt;&gt;IF($C$3=1,12,$C$3-1),0,IF(繳費報酬率資料!$A$1&lt;&gt;1,VLOOKUP($A240,MP,8,0),IF(AND($A240&gt;=OP!$C$79,$A240&lt;=OP!$C$80),OP!$C$78,)))</f>
        <v>0</v>
      </c>
      <c r="AT240" s="298">
        <f t="shared" ca="1" si="140"/>
        <v>0</v>
      </c>
      <c r="AU240" s="298">
        <f ca="1">IF(AND(A240&lt;=OP!$C$120,COUNTIF(PAY,C240)=1),OP!$C$123,0)</f>
        <v>0</v>
      </c>
      <c r="AV240" s="298">
        <f ca="1">IF(AND(A240&gt;=OP!$C$132,A240&lt;=OP!$C$133,$C$3=C240),OP!$C$135,0)</f>
        <v>0</v>
      </c>
      <c r="AW240" s="180">
        <f t="shared" ca="1" si="141"/>
        <v>0.05</v>
      </c>
      <c r="AX240" s="180">
        <f t="shared" ca="1" si="142"/>
        <v>0.05</v>
      </c>
      <c r="AY240" s="286">
        <f t="shared" ca="1" si="143"/>
        <v>0</v>
      </c>
      <c r="AZ240" s="286">
        <f t="shared" ca="1" si="144"/>
        <v>0</v>
      </c>
      <c r="BA240" s="286">
        <f t="shared" ca="1" si="145"/>
        <v>0</v>
      </c>
      <c r="BB240" s="286">
        <f t="shared" ca="1" si="146"/>
        <v>0</v>
      </c>
      <c r="BC240" s="286">
        <f t="shared" ca="1" si="147"/>
        <v>0</v>
      </c>
      <c r="BD240" s="180">
        <f t="shared" ca="1" si="148"/>
        <v>0.05</v>
      </c>
      <c r="BE240" s="180">
        <f t="shared" ca="1" si="149"/>
        <v>0.05</v>
      </c>
      <c r="BF240" s="286">
        <f t="shared" ca="1" si="150"/>
        <v>0</v>
      </c>
      <c r="BG240" s="286">
        <f t="shared" ca="1" si="151"/>
        <v>0</v>
      </c>
    </row>
    <row r="241" spans="1:59">
      <c r="A241" s="1">
        <f t="shared" ca="1" si="130"/>
        <v>20</v>
      </c>
      <c r="B241" s="1">
        <f t="shared" ca="1" si="124"/>
        <v>126</v>
      </c>
      <c r="C241" s="1">
        <f t="shared" ca="1" si="125"/>
        <v>3</v>
      </c>
      <c r="D241" s="1">
        <f ca="1">MIN($D$3,VLOOKUP(C241,OP!$S$30:$T$41,2))</f>
        <v>2</v>
      </c>
      <c r="E241" s="1">
        <f t="shared" ca="1" si="126"/>
        <v>74</v>
      </c>
      <c r="F241" s="11" t="str">
        <f t="shared" ca="1" si="131"/>
        <v/>
      </c>
      <c r="G241" s="8">
        <f t="shared" ca="1" si="157"/>
        <v>365</v>
      </c>
      <c r="H241" s="8">
        <f t="shared" ca="1" si="133"/>
        <v>31</v>
      </c>
      <c r="I241" s="8" t="str">
        <f t="shared" ca="1" si="129"/>
        <v>203</v>
      </c>
      <c r="J241" s="13">
        <f>IF(繳費報酬率資料!$A$1=1,VALUE(OP!$C$121),VLOOKUP(A241,MP,2,0))</f>
        <v>0.05</v>
      </c>
      <c r="K241" s="14">
        <f ca="1">IF(SUM($K$4:K240,IF(繳費報酬率資料!$A$1=1,$AU241+$AV241,$BB241+$BC241))&gt;OP!$L$58,0,IF(繳費報酬率資料!$A$1=1,$AU241+$AV241,$BB241+$BC241))</f>
        <v>0</v>
      </c>
      <c r="L241" s="2"/>
      <c r="M241" s="2"/>
      <c r="N241" s="2"/>
      <c r="O241" s="261">
        <f t="shared" ca="1" si="134"/>
        <v>0</v>
      </c>
      <c r="P241" s="261">
        <f t="shared" ca="1" si="152"/>
        <v>0</v>
      </c>
      <c r="Q241" s="3">
        <f ca="1">IF(A241&gt;MAX(OP!$R$17:$R$26),0,VLOOKUP(A241,fees,3,FALSE))</f>
        <v>0</v>
      </c>
      <c r="R241" s="200" t="str">
        <f t="shared" ca="1" si="135"/>
        <v/>
      </c>
      <c r="S241" s="9" t="str">
        <f ca="1">IF(COUNTIF(($T$4:T240),"F")&gt;=1,"",IF(OR(C242&lt;&gt;$C$3,E241=""),"",A241))</f>
        <v/>
      </c>
      <c r="T241" s="20" t="str">
        <f t="shared" ca="1" si="127"/>
        <v/>
      </c>
      <c r="U241" s="2">
        <f ca="1">IF(IF(OP!$C$83=1,$Z240,IF(OP!$C$83=2,$AA240,IF(OP!$C$83=3,$AB240,)))+$K241-$O241-$P241-$AS241&lt;OP!$C$142,0,$AS241)</f>
        <v>0</v>
      </c>
      <c r="V241" s="9"/>
      <c r="W241" s="19">
        <f ca="1">MAX(SUM($K$4:K241),0)</f>
        <v>2000000</v>
      </c>
      <c r="X241" s="19"/>
      <c r="Y241" s="19">
        <f t="shared" ca="1" si="153"/>
        <v>1920000</v>
      </c>
      <c r="Z241" s="2">
        <f ca="1">IF(MIN($Z$4:Z240)=0,0,MAX(0,($Z240+$K241-$O241-$P241)*IF(AND(F241="F",$D$3&lt;&gt;$G$3),((1+(-J241))^(H241/MIN(G241,365))),((1+(-J241))^(1/12)))-$U241))</f>
        <v>694202.32990645501</v>
      </c>
      <c r="AA241" s="2">
        <f ca="1">IF(MIN($AA$4:AA240)=0,0,MAX(0,($AA240+$K241-$O241-$P241)*IF(AND(F241="F",$D$3&lt;&gt;$G$3),((1+$AA$1)^(H241/MIN(G241,365))),((1+$AA$1)^(1/12)))-$U241))</f>
        <v>1920000</v>
      </c>
      <c r="AB241" s="2">
        <f ca="1">IF(MIN($AB$4:AB240)=0,0,MAX(0,($AB240+$K241-$O241-$P241)*IF(AND(F241="F",$D$3&lt;&gt;$G$3),((1+(J241))^(H241/MIN(G241,365))),((1+(J241))^(1/12)))-$U241))</f>
        <v>5053074.0223956285</v>
      </c>
      <c r="AC241" s="5"/>
      <c r="AD241" s="5"/>
      <c r="AE241" s="5"/>
      <c r="AF241" s="282">
        <f t="shared" ca="1" si="136"/>
        <v>694202</v>
      </c>
      <c r="AG241" s="282">
        <f t="shared" ca="1" si="137"/>
        <v>1920000</v>
      </c>
      <c r="AH241" s="282">
        <f t="shared" ca="1" si="138"/>
        <v>5053074</v>
      </c>
      <c r="AI241" s="23" t="str">
        <f t="shared" ca="1" si="154"/>
        <v>20-11</v>
      </c>
      <c r="AJ241" s="282">
        <f ca="1">IF(E241&gt;111,,IF(AND(OP!$C$99=1,T241="F"),Z241,IF(AND(OP!$C$99=2,COUNTIF($T$4:T241,"F")=1),OP!$C$97+IF(F241="F",OP!$C$98,0),"")))</f>
        <v>54527</v>
      </c>
      <c r="AK241" s="282">
        <f ca="1">IF(E241&gt;111,,IF(AND(OP!$D$99=1,T241="F"),AA241,IF(AND(OP!$D$99=2,COUNTIF($T$4:T241,"F")=1),OP!$D$97+IF(F241="F",OP!$D$98,0),"")))</f>
        <v>74177</v>
      </c>
      <c r="AL241" s="282">
        <f ca="1">IF(E241&gt;111,,IF(AND(OP!$E$99=1,T241="F"),AB241,IF(AND(OP!$E$99=2,COUNTIF($T$4:T241,"F")=1),OP!$E$97+IF(F241="F",OP!$E$98,0),"")))</f>
        <v>99404</v>
      </c>
      <c r="AM241" s="1">
        <f t="shared" ca="1" si="128"/>
        <v>11</v>
      </c>
      <c r="AN241" s="1" t="str">
        <f ca="1">IF(OR(VLOOKUP($A241,MP,5,0)="季繳",VLOOKUP($A241,MP,5,0)="月繳"),1,"")</f>
        <v/>
      </c>
      <c r="AO241" s="1">
        <f t="shared" ca="1" si="139"/>
        <v>0</v>
      </c>
      <c r="AP241" s="1" t="str">
        <f ca="1">IF(AND(A241&lt;=OP!$C$120,COUNTIF(PAY,C241)=1),1,"")</f>
        <v/>
      </c>
      <c r="AR241" s="301">
        <f ca="1">IF(繳費報酬率資料!$A$1=1,$AY241+$AZ241,$BF241+$BG241)</f>
        <v>0</v>
      </c>
      <c r="AS241" s="1">
        <f ca="1">IF(C241&lt;&gt;IF($C$3=1,12,$C$3-1),0,IF(繳費報酬率資料!$A$1&lt;&gt;1,VLOOKUP($A241,MP,8,0),IF(AND($A241&gt;=OP!$C$79,$A241&lt;=OP!$C$80),OP!$C$78,)))</f>
        <v>0</v>
      </c>
      <c r="AT241" s="298">
        <f t="shared" ca="1" si="140"/>
        <v>0</v>
      </c>
      <c r="AU241" s="298">
        <f ca="1">IF(AND(A241&lt;=OP!$C$120,COUNTIF(PAY,C241)=1),OP!$C$123,0)</f>
        <v>0</v>
      </c>
      <c r="AV241" s="298">
        <f ca="1">IF(AND(A241&gt;=OP!$C$132,A241&lt;=OP!$C$133,$C$3=C241),OP!$C$135,0)</f>
        <v>0</v>
      </c>
      <c r="AW241" s="180">
        <f t="shared" ca="1" si="141"/>
        <v>0.05</v>
      </c>
      <c r="AX241" s="180">
        <f t="shared" ca="1" si="142"/>
        <v>0.05</v>
      </c>
      <c r="AY241" s="286">
        <f t="shared" ca="1" si="143"/>
        <v>0</v>
      </c>
      <c r="AZ241" s="286">
        <f t="shared" ca="1" si="144"/>
        <v>0</v>
      </c>
      <c r="BA241" s="286">
        <f t="shared" ca="1" si="145"/>
        <v>0</v>
      </c>
      <c r="BB241" s="286">
        <f t="shared" ca="1" si="146"/>
        <v>0</v>
      </c>
      <c r="BC241" s="286">
        <f t="shared" ca="1" si="147"/>
        <v>0</v>
      </c>
      <c r="BD241" s="180">
        <f t="shared" ca="1" si="148"/>
        <v>0.05</v>
      </c>
      <c r="BE241" s="180">
        <f t="shared" ca="1" si="149"/>
        <v>0.05</v>
      </c>
      <c r="BF241" s="286">
        <f t="shared" ca="1" si="150"/>
        <v>0</v>
      </c>
      <c r="BG241" s="286">
        <f t="shared" ca="1" si="151"/>
        <v>0</v>
      </c>
    </row>
    <row r="242" spans="1:59">
      <c r="A242" s="1">
        <f t="shared" ca="1" si="130"/>
        <v>20</v>
      </c>
      <c r="B242" s="1">
        <f t="shared" ca="1" si="124"/>
        <v>126</v>
      </c>
      <c r="C242" s="1">
        <f t="shared" ca="1" si="125"/>
        <v>4</v>
      </c>
      <c r="D242" s="1">
        <f ca="1">MIN($D$3,VLOOKUP(C242,OP!$S$30:$T$41,2))</f>
        <v>2</v>
      </c>
      <c r="E242" s="1">
        <f t="shared" ca="1" si="126"/>
        <v>74</v>
      </c>
      <c r="F242" s="11" t="str">
        <f t="shared" ca="1" si="131"/>
        <v/>
      </c>
      <c r="G242" s="8">
        <f t="shared" ca="1" si="157"/>
        <v>365</v>
      </c>
      <c r="H242" s="8">
        <f t="shared" ca="1" si="133"/>
        <v>30</v>
      </c>
      <c r="I242" s="8" t="str">
        <f t="shared" ca="1" si="129"/>
        <v>204</v>
      </c>
      <c r="J242" s="13">
        <f>IF(繳費報酬率資料!$A$1=1,VALUE(OP!$C$121),VLOOKUP(A242,MP,2,0))</f>
        <v>0.05</v>
      </c>
      <c r="K242" s="14">
        <f ca="1">IF(SUM($K$4:K241,IF(繳費報酬率資料!$A$1=1,$AU242+$AV242,$BB242+$BC242))&gt;OP!$L$58,0,IF(繳費報酬率資料!$A$1=1,$AU242+$AV242,$BB242+$BC242))</f>
        <v>0</v>
      </c>
      <c r="L242" s="2"/>
      <c r="M242" s="2"/>
      <c r="N242" s="2"/>
      <c r="O242" s="261">
        <f t="shared" ca="1" si="134"/>
        <v>0</v>
      </c>
      <c r="P242" s="261">
        <f t="shared" ca="1" si="152"/>
        <v>0</v>
      </c>
      <c r="Q242" s="3">
        <f ca="1">IF(A242&gt;MAX(OP!$R$17:$R$26),0,VLOOKUP(A242,fees,3,FALSE))</f>
        <v>0</v>
      </c>
      <c r="R242" s="200" t="str">
        <f t="shared" ca="1" si="135"/>
        <v/>
      </c>
      <c r="S242" s="9" t="str">
        <f ca="1">IF(COUNTIF(($T$4:T241),"F")&gt;=1,"",IF(OR(C243&lt;&gt;$C$3,E242=""),"",A242))</f>
        <v/>
      </c>
      <c r="T242" s="20" t="str">
        <f t="shared" ca="1" si="127"/>
        <v/>
      </c>
      <c r="U242" s="2">
        <f ca="1">IF(IF(OP!$C$83=1,$Z241,IF(OP!$C$83=2,$AA241,IF(OP!$C$83=3,$AB241,)))+$K242-$O242-$P242-$AS242&lt;OP!$C$142,0,$AS242)</f>
        <v>0</v>
      </c>
      <c r="V242" s="9"/>
      <c r="W242" s="19">
        <f ca="1">MAX(SUM($K$4:K242),0)</f>
        <v>2000000</v>
      </c>
      <c r="X242" s="19"/>
      <c r="Y242" s="19">
        <f t="shared" ca="1" si="153"/>
        <v>1920000</v>
      </c>
      <c r="Z242" s="2">
        <f ca="1">IF(MIN($Z$4:Z241)=0,0,MAX(0,($Z241+$K242-$O242-$P242)*IF(AND(F242="F",$D$3&lt;&gt;$G$3),((1+(-J242))^(H242/MIN(G242,365))),((1+(-J242))^(1/12)))-$U242))</f>
        <v>691241.33567327866</v>
      </c>
      <c r="AA242" s="2">
        <f ca="1">IF(MIN($AA$4:AA241)=0,0,MAX(0,($AA241+$K242-$O242-$P242)*IF(AND(F242="F",$D$3&lt;&gt;$G$3),((1+$AA$1)^(H242/MIN(G242,365))),((1+$AA$1)^(1/12)))-$U242))</f>
        <v>1920000</v>
      </c>
      <c r="AB242" s="2">
        <f ca="1">IF(MIN($AB$4:AB241)=0,0,MAX(0,($AB241+$K242-$O242-$P242)*IF(AND(F242="F",$D$3&lt;&gt;$G$3),((1+(J242))^(H242/MIN(G242,365))),((1+(J242))^(1/12)))-$U242))</f>
        <v>5073660.871450806</v>
      </c>
      <c r="AC242" s="5"/>
      <c r="AD242" s="5"/>
      <c r="AE242" s="5"/>
      <c r="AF242" s="282">
        <f t="shared" ca="1" si="136"/>
        <v>691241</v>
      </c>
      <c r="AG242" s="282">
        <f t="shared" ca="1" si="137"/>
        <v>1920000</v>
      </c>
      <c r="AH242" s="282">
        <f t="shared" ca="1" si="138"/>
        <v>5073661</v>
      </c>
      <c r="AI242" s="23" t="str">
        <f t="shared" ca="1" si="154"/>
        <v>20-12</v>
      </c>
      <c r="AJ242" s="282">
        <f ca="1">IF(E242&gt;111,,IF(AND(OP!$C$99=1,T242="F"),Z242,IF(AND(OP!$C$99=2,COUNTIF($T$4:T242,"F")=1),OP!$C$97+IF(F242="F",OP!$C$98,0),"")))</f>
        <v>54527</v>
      </c>
      <c r="AK242" s="282">
        <f ca="1">IF(E242&gt;111,,IF(AND(OP!$D$99=1,T242="F"),AA242,IF(AND(OP!$D$99=2,COUNTIF($T$4:T242,"F")=1),OP!$D$97+IF(F242="F",OP!$D$98,0),"")))</f>
        <v>74177</v>
      </c>
      <c r="AL242" s="282">
        <f ca="1">IF(E242&gt;111,,IF(AND(OP!$E$99=1,T242="F"),AB242,IF(AND(OP!$E$99=2,COUNTIF($T$4:T242,"F")=1),OP!$E$97+IF(F242="F",OP!$E$98,0),"")))</f>
        <v>99404</v>
      </c>
      <c r="AM242" s="1">
        <f t="shared" ca="1" si="128"/>
        <v>12</v>
      </c>
      <c r="AN242" s="1" t="str">
        <f ca="1">IF(OR(VLOOKUP($A242,MP,5,0)="月繳"),1,"")</f>
        <v/>
      </c>
      <c r="AO242" s="1">
        <f t="shared" ca="1" si="139"/>
        <v>0</v>
      </c>
      <c r="AP242" s="1" t="str">
        <f ca="1">IF(AND(A242&lt;=OP!$C$120,COUNTIF(PAY,C242)=1),1,"")</f>
        <v/>
      </c>
      <c r="AR242" s="301">
        <f ca="1">IF(繳費報酬率資料!$A$1=1,$AY242+$AZ242,$BF242+$BG242)</f>
        <v>0</v>
      </c>
      <c r="AS242" s="1">
        <f ca="1">IF(C242&lt;&gt;IF($C$3=1,12,$C$3-1),0,IF(繳費報酬率資料!$A$1&lt;&gt;1,VLOOKUP($A242,MP,8,0),IF(AND($A242&gt;=OP!$C$79,$A242&lt;=OP!$C$80),OP!$C$78,)))</f>
        <v>0</v>
      </c>
      <c r="AT242" s="298">
        <f t="shared" ca="1" si="140"/>
        <v>0</v>
      </c>
      <c r="AU242" s="298">
        <f ca="1">IF(AND(A242&lt;=OP!$C$120,COUNTIF(PAY,C242)=1),OP!$C$123,0)</f>
        <v>0</v>
      </c>
      <c r="AV242" s="298">
        <f ca="1">IF(AND(A242&gt;=OP!$C$132,A242&lt;=OP!$C$133,$C$3=C242),OP!$C$135,0)</f>
        <v>0</v>
      </c>
      <c r="AW242" s="180">
        <f t="shared" ca="1" si="141"/>
        <v>0.05</v>
      </c>
      <c r="AX242" s="180">
        <f t="shared" ca="1" si="142"/>
        <v>0.05</v>
      </c>
      <c r="AY242" s="286">
        <f t="shared" ca="1" si="143"/>
        <v>0</v>
      </c>
      <c r="AZ242" s="286">
        <f t="shared" ca="1" si="144"/>
        <v>0</v>
      </c>
      <c r="BA242" s="286">
        <f t="shared" ca="1" si="145"/>
        <v>0</v>
      </c>
      <c r="BB242" s="286">
        <f t="shared" ca="1" si="146"/>
        <v>0</v>
      </c>
      <c r="BC242" s="286">
        <f t="shared" ca="1" si="147"/>
        <v>0</v>
      </c>
      <c r="BD242" s="180">
        <f t="shared" ca="1" si="148"/>
        <v>0.05</v>
      </c>
      <c r="BE242" s="180">
        <f t="shared" ca="1" si="149"/>
        <v>0.05</v>
      </c>
      <c r="BF242" s="286">
        <f t="shared" ca="1" si="150"/>
        <v>0</v>
      </c>
      <c r="BG242" s="286">
        <f t="shared" ca="1" si="151"/>
        <v>0</v>
      </c>
    </row>
    <row r="243" spans="1:59">
      <c r="A243" s="1">
        <f t="shared" ca="1" si="130"/>
        <v>20</v>
      </c>
      <c r="B243" s="1">
        <f t="shared" ca="1" si="124"/>
        <v>126</v>
      </c>
      <c r="C243" s="1">
        <f t="shared" ca="1" si="125"/>
        <v>5</v>
      </c>
      <c r="D243" s="1">
        <f ca="1">MIN($D$3,VLOOKUP(C243,OP!$S$30:$T$41,2))</f>
        <v>2</v>
      </c>
      <c r="E243" s="1">
        <f t="shared" ca="1" si="126"/>
        <v>74</v>
      </c>
      <c r="F243" s="11" t="str">
        <f t="shared" ca="1" si="131"/>
        <v/>
      </c>
      <c r="G243" s="8">
        <f t="shared" ca="1" si="157"/>
        <v>365</v>
      </c>
      <c r="H243" s="8">
        <f t="shared" ca="1" si="133"/>
        <v>31</v>
      </c>
      <c r="I243" s="8" t="str">
        <f t="shared" ca="1" si="129"/>
        <v>205</v>
      </c>
      <c r="J243" s="13">
        <f>IF(繳費報酬率資料!$A$1=1,VALUE(OP!$C$121),VLOOKUP(A243,MP,2,0))</f>
        <v>0.05</v>
      </c>
      <c r="K243" s="14">
        <f ca="1">IF(SUM($K$4:K242,IF(繳費報酬率資料!$A$1=1,$AU243+$AV243,$BB243+$BC243))&gt;OP!$L$58,0,IF(繳費報酬率資料!$A$1=1,$AU243+$AV243,$BB243+$BC243))</f>
        <v>0</v>
      </c>
      <c r="L243" s="2">
        <f ca="1">ROUND(IF(OP!$C$78&lt;(IF(OR($T243="F",$E243&gt;=111),0,Z242+$K243-$O243+IF($C$1=1,OP!$C$78,IF($C244=$C$3,SUM(AC232:AC243,0)))))*5%,0,(OP!$C$78-((IF(OR($T243="F",$E243&gt;=111),0,Z242+$K243-$O243+IF($C$1=1,AC243,IF($C244=$C$3,SUM(AC232:AC243,0)))))*5%))*$Q243),0)</f>
        <v>0</v>
      </c>
      <c r="M243" s="2">
        <f ca="1">ROUND(IF(OP!$C$78&lt;(IF(OR($T243="F",$E243&gt;=111),0,AA242+$K243-$O243+IF($C$1=1,AD243,IF($C244=$C$3,SUM(AD232:AD243,0)))))*5%,0,(OP!$C$78-((IF(OR($T243="F",$E243&gt;=111),0,AA242+$K243-$O243+IF($C$1=1,AD243,IF($C244=$C$3,SUM(AD232:AD243,0)))))*5%))*$Q243),0)</f>
        <v>0</v>
      </c>
      <c r="N243" s="2">
        <f ca="1">ROUND(IF(OP!$C$78&lt;(IF(OR($T243="F",$E243&gt;=111),0,AB242+$K243-$O243+IF($C$1=1,AE243,IF($C244=$C$3,SUM(AE232:AE243,0)))))*5%,0,(OP!$C$78-((IF(OR($T243="F",$E243&gt;=111),0,AB242+$K243-$O243+IF($C$1=1,AE243,IF($C244=$C$3,SUM(AE232:AE243,0)))))*5%))*$Q243),0)</f>
        <v>0</v>
      </c>
      <c r="O243" s="261">
        <f t="shared" ca="1" si="134"/>
        <v>0</v>
      </c>
      <c r="P243" s="261">
        <f t="shared" ca="1" si="152"/>
        <v>0</v>
      </c>
      <c r="Q243" s="3">
        <f ca="1">IF(A243&gt;MAX(OP!$R$17:$R$26),0,VLOOKUP(A243,fees,3,FALSE))</f>
        <v>0</v>
      </c>
      <c r="R243" s="200">
        <f t="shared" ca="1" si="135"/>
        <v>20</v>
      </c>
      <c r="S243" s="9" t="str">
        <f ca="1">IF(COUNTIF(($T$4:T242),"F")&gt;=1,"",IF(OR(C244&lt;&gt;$C$3,E243=""),"",A243))</f>
        <v/>
      </c>
      <c r="T243" s="20" t="str">
        <f t="shared" ca="1" si="127"/>
        <v/>
      </c>
      <c r="U243" s="2">
        <f ca="1">IF(IF(OP!$C$83=1,$Z242,IF(OP!$C$83=2,$AA242,IF(OP!$C$83=3,$AB242,)))+$K243-$O243-$P243-$AS243&lt;OP!$C$142,0,$AS243)</f>
        <v>0</v>
      </c>
      <c r="V243" s="19">
        <f ca="1">SUM(K232:K243)</f>
        <v>0</v>
      </c>
      <c r="W243" s="19">
        <f ca="1">MAX(SUM($K$4:K243),0)</f>
        <v>2000000</v>
      </c>
      <c r="X243" s="19">
        <f ca="1">SUM(O232:P243)</f>
        <v>0</v>
      </c>
      <c r="Y243" s="19">
        <f t="shared" ca="1" si="153"/>
        <v>1920000</v>
      </c>
      <c r="Z243" s="2">
        <f ca="1">IF(MIN($Z$4:Z242)=0,0,MAX(0,($Z242+$K243-$O243-$P243)*IF(AND(F243="F",$D$3&lt;&gt;$G$3),((1+(-J243))^(H243/MIN(G243,365))),((1+(-J243))^(1/12)))-$U243))</f>
        <v>688292.97102440533</v>
      </c>
      <c r="AA243" s="2">
        <f ca="1">IF(MIN($AA$4:AA242)=0,0,MAX(0,($AA242+$K243-$O243-$P243)*IF(AND(F243="F",$D$3&lt;&gt;$G$3),((1+$AA$1)^(H243/MIN(G243,365))),((1+$AA$1)^(1/12)))-$U243))</f>
        <v>1920000</v>
      </c>
      <c r="AB243" s="2">
        <f ca="1">IF(MIN($AB$4:AB242)=0,0,MAX(0,($AB242+$K243-$O243-$P243)*IF(AND(F243="F",$D$3&lt;&gt;$G$3),((1+(J243))^(H243/MIN(G243,365))),((1+(J243))^(1/12)))-$U243))</f>
        <v>5094331.59387735</v>
      </c>
      <c r="AC243" s="5"/>
      <c r="AD243" s="5"/>
      <c r="AE243" s="5"/>
      <c r="AF243" s="282">
        <f t="shared" ca="1" si="136"/>
        <v>688293</v>
      </c>
      <c r="AG243" s="282">
        <f t="shared" ca="1" si="137"/>
        <v>1920000</v>
      </c>
      <c r="AH243" s="282">
        <f t="shared" ca="1" si="138"/>
        <v>5094332</v>
      </c>
      <c r="AI243" s="23" t="str">
        <f t="shared" ca="1" si="154"/>
        <v>21-1</v>
      </c>
      <c r="AJ243" s="282">
        <f ca="1">IF(E243&gt;111,,IF(AND(OP!$C$99=1,T243="F"),Z243,IF(AND(OP!$C$99=2,COUNTIF($T$4:T243,"F")=1),OP!$C$97+IF(F243="F",OP!$C$98,0),"")))</f>
        <v>54527</v>
      </c>
      <c r="AK243" s="282">
        <f ca="1">IF(E243&gt;111,,IF(AND(OP!$D$99=1,T243="F"),AA243,IF(AND(OP!$D$99=2,COUNTIF($T$4:T243,"F")=1),OP!$D$97+IF(F243="F",OP!$D$98,0),"")))</f>
        <v>74177</v>
      </c>
      <c r="AL243" s="282">
        <f ca="1">IF(E243&gt;111,,IF(AND(OP!$E$99=1,T243="F"),AB243,IF(AND(OP!$E$99=2,COUNTIF($T$4:T243,"F")=1),OP!$E$97+IF(F243="F",OP!$E$98,0),"")))</f>
        <v>99404</v>
      </c>
      <c r="AM243" s="1">
        <f t="shared" ca="1" si="128"/>
        <v>1</v>
      </c>
      <c r="AN243" s="1" t="str">
        <f ca="1">IF(OR(VLOOKUP($A243,MP,5,0)="月繳"),1,"")</f>
        <v/>
      </c>
      <c r="AO243" s="1">
        <f t="shared" ca="1" si="139"/>
        <v>0</v>
      </c>
      <c r="AP243" s="1" t="str">
        <f ca="1">IF(AND(A243&lt;=OP!$C$120,COUNTIF(PAY,C243)=1),1,"")</f>
        <v/>
      </c>
      <c r="AR243" s="301">
        <f ca="1">IF(繳費報酬率資料!$A$1=1,$AY243+$AZ243,$BF243+$BG243)</f>
        <v>0</v>
      </c>
      <c r="AS243" s="1">
        <f ca="1">IF(C243&lt;&gt;IF($C$3=1,12,$C$3-1),0,IF(繳費報酬率資料!$A$1&lt;&gt;1,VLOOKUP($A243,MP,8,0),IF(AND($A243&gt;=OP!$C$79,$A243&lt;=OP!$C$80),OP!$C$78,)))</f>
        <v>0</v>
      </c>
      <c r="AT243" s="298">
        <f t="shared" ca="1" si="140"/>
        <v>0</v>
      </c>
      <c r="AU243" s="298">
        <f ca="1">IF(AND(A243&lt;=OP!$C$120,COUNTIF(PAY,C243)=1),OP!$C$123,0)</f>
        <v>0</v>
      </c>
      <c r="AV243" s="298">
        <f ca="1">IF(AND(A243&gt;=OP!$C$132,A243&lt;=OP!$C$133,$C$3=C243),OP!$C$135,0)</f>
        <v>0</v>
      </c>
      <c r="AW243" s="180">
        <f t="shared" ca="1" si="141"/>
        <v>0.05</v>
      </c>
      <c r="AX243" s="180">
        <f t="shared" ca="1" si="142"/>
        <v>0.05</v>
      </c>
      <c r="AY243" s="286">
        <f t="shared" ca="1" si="143"/>
        <v>0</v>
      </c>
      <c r="AZ243" s="286">
        <f t="shared" ca="1" si="144"/>
        <v>0</v>
      </c>
      <c r="BA243" s="286">
        <f t="shared" ca="1" si="145"/>
        <v>0</v>
      </c>
      <c r="BB243" s="286">
        <f t="shared" ca="1" si="146"/>
        <v>0</v>
      </c>
      <c r="BC243" s="286">
        <f t="shared" ca="1" si="147"/>
        <v>0</v>
      </c>
      <c r="BD243" s="180">
        <f t="shared" ca="1" si="148"/>
        <v>0.05</v>
      </c>
      <c r="BE243" s="180">
        <f t="shared" ca="1" si="149"/>
        <v>0.05</v>
      </c>
      <c r="BF243" s="286">
        <f t="shared" ca="1" si="150"/>
        <v>0</v>
      </c>
      <c r="BG243" s="286">
        <f t="shared" ca="1" si="151"/>
        <v>0</v>
      </c>
    </row>
    <row r="244" spans="1:59">
      <c r="A244" s="1">
        <f t="shared" ca="1" si="130"/>
        <v>21</v>
      </c>
      <c r="B244" s="1">
        <f t="shared" ca="1" si="124"/>
        <v>126</v>
      </c>
      <c r="C244" s="1">
        <f t="shared" ca="1" si="125"/>
        <v>6</v>
      </c>
      <c r="D244" s="1">
        <f ca="1">MIN($D$3,VLOOKUP(C244,OP!$S$30:$T$41,2))</f>
        <v>2</v>
      </c>
      <c r="E244" s="1">
        <f t="shared" ca="1" si="126"/>
        <v>75</v>
      </c>
      <c r="F244" s="11" t="str">
        <f t="shared" ca="1" si="131"/>
        <v/>
      </c>
      <c r="G244" s="6">
        <f ca="1">DATEDIF(DATE(B244+1911,C244,D244),DATE(B256+1911,C256,D256),"d")</f>
        <v>365</v>
      </c>
      <c r="H244" s="8">
        <f t="shared" ca="1" si="133"/>
        <v>30</v>
      </c>
      <c r="I244" s="8" t="str">
        <f t="shared" ca="1" si="129"/>
        <v>216</v>
      </c>
      <c r="J244" s="13">
        <f>IF(繳費報酬率資料!$A$1=1,VALUE(OP!$C$121),VLOOKUP(A244,MP,2,0))</f>
        <v>0.05</v>
      </c>
      <c r="K244" s="14">
        <f ca="1">IF(SUM($K$4:K243,IF(繳費報酬率資料!$A$1=1,$AU244+$AV244,$BB244+$BC244))&gt;OP!$L$58,0,IF(繳費報酬率資料!$A$1=1,$AU244+$AV244,$BB244+$BC244))</f>
        <v>0</v>
      </c>
      <c r="L244" s="2"/>
      <c r="M244" s="2"/>
      <c r="N244" s="2"/>
      <c r="O244" s="261">
        <f t="shared" ca="1" si="134"/>
        <v>0</v>
      </c>
      <c r="P244" s="261">
        <f t="shared" ca="1" si="152"/>
        <v>0</v>
      </c>
      <c r="Q244" s="3">
        <f ca="1">IF(A244&gt;MAX(OP!$R$17:$R$26),0,VLOOKUP(A244,fees,3,FALSE))</f>
        <v>0</v>
      </c>
      <c r="R244" s="200" t="str">
        <f t="shared" ca="1" si="135"/>
        <v/>
      </c>
      <c r="S244" s="9" t="str">
        <f ca="1">IF(COUNTIF(($T$4:T243),"F")&gt;=1,"",IF(OR(C245&lt;&gt;$C$3,E244=""),"",A244))</f>
        <v/>
      </c>
      <c r="T244" s="20" t="str">
        <f t="shared" ca="1" si="127"/>
        <v/>
      </c>
      <c r="U244" s="2">
        <f ca="1">IF(IF(OP!$C$83=1,$Z243,IF(OP!$C$83=2,$AA243,IF(OP!$C$83=3,$AB243,)))+$K244-$O244-$P244-$AS244&lt;OP!$C$142,0,$AS244)</f>
        <v>0</v>
      </c>
      <c r="V244" s="9"/>
      <c r="W244" s="19">
        <f ca="1">MAX(SUM($K$4:K244),0)</f>
        <v>2000000</v>
      </c>
      <c r="X244" s="19"/>
      <c r="Y244" s="19">
        <f t="shared" ca="1" si="153"/>
        <v>1920000</v>
      </c>
      <c r="Z244" s="2">
        <f ca="1">IF(MIN($Z$4:Z243)=0,0,MAX(0,($Z243+$K244-$O244-$P244)*IF(AND(F244="F",$D$3&lt;&gt;$G$3),((1+(-J244))^(H244/MIN(G244,365))),((1+(-J244))^(1/12)))-$U244))</f>
        <v>685357.18209063192</v>
      </c>
      <c r="AA244" s="2">
        <f ca="1">IF(MIN($AA$4:AA243)=0,0,MAX(0,($AA243+$K244-$O244-$P244)*IF(AND(F244="F",$D$3&lt;&gt;$G$3),((1+$AA$1)^(H244/MIN(G244,365))),((1+$AA$1)^(1/12)))-$U244))</f>
        <v>1920000</v>
      </c>
      <c r="AB244" s="2">
        <f ca="1">IF(MIN($AB$4:AB243)=0,0,MAX(0,($AB243+$K244-$O244-$P244)*IF(AND(F244="F",$D$3&lt;&gt;$G$3),((1+(J244))^(H244/MIN(G244,365))),((1+(J244))^(1/12)))-$U244))</f>
        <v>5115086.531385757</v>
      </c>
      <c r="AC244" s="21"/>
      <c r="AD244" s="21"/>
      <c r="AE244" s="21"/>
      <c r="AF244" s="282">
        <f t="shared" ca="1" si="136"/>
        <v>685357</v>
      </c>
      <c r="AG244" s="282">
        <f t="shared" ca="1" si="137"/>
        <v>1920000</v>
      </c>
      <c r="AH244" s="282">
        <f t="shared" ca="1" si="138"/>
        <v>5115087</v>
      </c>
      <c r="AI244" s="23" t="str">
        <f t="shared" ca="1" si="154"/>
        <v>21-2</v>
      </c>
      <c r="AJ244" s="281">
        <f ca="1">IF(E244&gt;111,,IF(AND(OP!$C$99=1,T244="F"),Z244,IF(AND(OP!$C$99=2,COUNTIF($T$4:T244,"F")=1),OP!$C$97+IF(F244="F",OP!$C$98,0),"")))</f>
        <v>54527</v>
      </c>
      <c r="AK244" s="281">
        <f ca="1">IF(E244&gt;111,,IF(AND(OP!$D$99=1,T244="F"),AA244,IF(AND(OP!$D$99=2,COUNTIF($T$4:T244,"F")=1),OP!$D$97+IF(F244="F",OP!$D$98,0),"")))</f>
        <v>74177</v>
      </c>
      <c r="AL244" s="281">
        <f ca="1">IF(E244&gt;111,,IF(AND(OP!$E$99=1,T244="F"),AB244,IF(AND(OP!$E$99=2,COUNTIF($T$4:T244,"F")=1),OP!$E$97+IF(F244="F",OP!$E$98,0),"")))</f>
        <v>99404</v>
      </c>
      <c r="AM244" s="1">
        <f t="shared" ca="1" si="128"/>
        <v>2</v>
      </c>
      <c r="AN244" s="1">
        <f ca="1">IF(OR(VLOOKUP($A244,MP,5,0)="年繳",VLOOKUP($A244,MP,5,0)="半年繳",VLOOKUP($A244,MP,5,0)="季繳",VLOOKUP($A244,MP,5,0)="月繳"),1,"")</f>
        <v>1</v>
      </c>
      <c r="AO244" s="1">
        <f t="shared" ca="1" si="139"/>
        <v>0</v>
      </c>
      <c r="AP244" s="1" t="str">
        <f ca="1">IF(AND(A244&lt;=OP!$C$120,COUNTIF(PAY,C244)=1),1,"")</f>
        <v/>
      </c>
      <c r="AR244" s="301">
        <f ca="1">IF(繳費報酬率資料!$A$1=1,$AY244+$AZ244,$BF244+$BG244)</f>
        <v>0</v>
      </c>
      <c r="AS244" s="1">
        <f ca="1">IF(C244&lt;&gt;IF($C$3=1,12,$C$3-1),0,IF(繳費報酬率資料!$A$1&lt;&gt;1,VLOOKUP($A244,MP,8,0),IF(AND($A244&gt;=OP!$C$79,$A244&lt;=OP!$C$80),OP!$C$78,)))</f>
        <v>0</v>
      </c>
      <c r="AT244" s="298">
        <f t="shared" ca="1" si="140"/>
        <v>0</v>
      </c>
      <c r="AU244" s="298">
        <f ca="1">IF(AND(A244&lt;=OP!$C$120,COUNTIF(PAY,C244)=1),OP!$C$123,0)</f>
        <v>0</v>
      </c>
      <c r="AV244" s="298">
        <f ca="1">IF(AND(A244&gt;=OP!$C$132,A244&lt;=OP!$C$133,$C$3=C244),OP!$C$135,0)</f>
        <v>0</v>
      </c>
      <c r="AW244" s="180">
        <f t="shared" ca="1" si="141"/>
        <v>0.05</v>
      </c>
      <c r="AX244" s="180">
        <f t="shared" ca="1" si="142"/>
        <v>0.05</v>
      </c>
      <c r="AY244" s="286">
        <f t="shared" ca="1" si="143"/>
        <v>0</v>
      </c>
      <c r="AZ244" s="286">
        <f t="shared" ca="1" si="144"/>
        <v>0</v>
      </c>
      <c r="BA244" s="286">
        <f t="shared" ca="1" si="145"/>
        <v>0</v>
      </c>
      <c r="BB244" s="286">
        <f t="shared" ca="1" si="146"/>
        <v>0</v>
      </c>
      <c r="BC244" s="286">
        <f t="shared" ca="1" si="147"/>
        <v>0</v>
      </c>
      <c r="BD244" s="180">
        <f t="shared" ca="1" si="148"/>
        <v>0.05</v>
      </c>
      <c r="BE244" s="180">
        <f t="shared" ca="1" si="149"/>
        <v>0.05</v>
      </c>
      <c r="BF244" s="286">
        <f t="shared" ca="1" si="150"/>
        <v>0</v>
      </c>
      <c r="BG244" s="286">
        <f t="shared" ca="1" si="151"/>
        <v>0</v>
      </c>
    </row>
    <row r="245" spans="1:59">
      <c r="A245" s="1">
        <f t="shared" ca="1" si="130"/>
        <v>21</v>
      </c>
      <c r="B245" s="1">
        <f t="shared" ca="1" si="124"/>
        <v>126</v>
      </c>
      <c r="C245" s="1">
        <f t="shared" ca="1" si="125"/>
        <v>7</v>
      </c>
      <c r="D245" s="1">
        <f ca="1">MIN($D$3,VLOOKUP(C245,OP!$S$30:$T$41,2))</f>
        <v>2</v>
      </c>
      <c r="E245" s="1">
        <f t="shared" ca="1" si="126"/>
        <v>75</v>
      </c>
      <c r="F245" s="11" t="str">
        <f t="shared" ca="1" si="131"/>
        <v/>
      </c>
      <c r="G245" s="8">
        <f t="shared" ref="G245:G255" ca="1" si="158">G244</f>
        <v>365</v>
      </c>
      <c r="H245" s="8">
        <f t="shared" ca="1" si="133"/>
        <v>31</v>
      </c>
      <c r="I245" s="8" t="str">
        <f t="shared" ca="1" si="129"/>
        <v>217</v>
      </c>
      <c r="J245" s="13">
        <f>IF(繳費報酬率資料!$A$1=1,VALUE(OP!$C$121),VLOOKUP(A245,MP,2,0))</f>
        <v>0.05</v>
      </c>
      <c r="K245" s="14">
        <f ca="1">IF(SUM($K$4:K244,IF(繳費報酬率資料!$A$1=1,$AU245+$AV245,$BB245+$BC245))&gt;OP!$L$58,0,IF(繳費報酬率資料!$A$1=1,$AU245+$AV245,$BB245+$BC245))</f>
        <v>0</v>
      </c>
      <c r="L245" s="2"/>
      <c r="M245" s="2"/>
      <c r="N245" s="2"/>
      <c r="O245" s="261">
        <f t="shared" ca="1" si="134"/>
        <v>0</v>
      </c>
      <c r="P245" s="261">
        <f t="shared" ca="1" si="152"/>
        <v>0</v>
      </c>
      <c r="Q245" s="3">
        <f ca="1">IF(A245&gt;MAX(OP!$R$17:$R$26),0,VLOOKUP(A245,fees,3,FALSE))</f>
        <v>0</v>
      </c>
      <c r="R245" s="200" t="str">
        <f t="shared" ca="1" si="135"/>
        <v/>
      </c>
      <c r="S245" s="9" t="str">
        <f ca="1">IF(COUNTIF(($T$4:T244),"F")&gt;=1,"",IF(OR(C246&lt;&gt;$C$3,E245=""),"",A245))</f>
        <v/>
      </c>
      <c r="T245" s="20" t="str">
        <f t="shared" ca="1" si="127"/>
        <v/>
      </c>
      <c r="U245" s="2">
        <f ca="1">IF(IF(OP!$C$83=1,$Z244,IF(OP!$C$83=2,$AA244,IF(OP!$C$83=3,$AB244,)))+$K245-$O245-$P245-$AS245&lt;OP!$C$142,0,$AS245)</f>
        <v>0</v>
      </c>
      <c r="V245" s="9"/>
      <c r="W245" s="19">
        <f ca="1">MAX(SUM($K$4:K245),0)</f>
        <v>2000000</v>
      </c>
      <c r="X245" s="19"/>
      <c r="Y245" s="19">
        <f t="shared" ca="1" si="153"/>
        <v>1920000</v>
      </c>
      <c r="Z245" s="2">
        <f ca="1">IF(MIN($Z$4:Z244)=0,0,MAX(0,($Z244+$K245-$O245-$P245)*IF(AND(F245="F",$D$3&lt;&gt;$G$3),((1+(-J245))^(H245/MIN(G245,365))),((1+(-J245))^(1/12)))-$U245))</f>
        <v>682433.91523252474</v>
      </c>
      <c r="AA245" s="2">
        <f ca="1">IF(MIN($AA$4:AA244)=0,0,MAX(0,($AA244+$K245-$O245-$P245)*IF(AND(F245="F",$D$3&lt;&gt;$G$3),((1+$AA$1)^(H245/MIN(G245,365))),((1+$AA$1)^(1/12)))-$U245))</f>
        <v>1920000</v>
      </c>
      <c r="AB245" s="2">
        <f ca="1">IF(MIN($AB$4:AB244)=0,0,MAX(0,($AB244+$K245-$O245-$P245)*IF(AND(F245="F",$D$3&lt;&gt;$G$3),((1+(J245))^(H245/MIN(G245,365))),((1+(J245))^(1/12)))-$U245))</f>
        <v>5135926.0270786947</v>
      </c>
      <c r="AC245" s="5"/>
      <c r="AD245" s="5"/>
      <c r="AE245" s="5"/>
      <c r="AF245" s="282">
        <f t="shared" ca="1" si="136"/>
        <v>682434</v>
      </c>
      <c r="AG245" s="282">
        <f t="shared" ca="1" si="137"/>
        <v>1920000</v>
      </c>
      <c r="AH245" s="282">
        <f t="shared" ca="1" si="138"/>
        <v>5135926</v>
      </c>
      <c r="AI245" s="23" t="str">
        <f t="shared" ca="1" si="154"/>
        <v>21-3</v>
      </c>
      <c r="AJ245" s="282">
        <f ca="1">IF(E245&gt;111,,IF(AND(OP!$C$99=1,T245="F"),Z245,IF(AND(OP!$C$99=2,COUNTIF($T$4:T245,"F")=1),OP!$C$97+IF(F245="F",OP!$C$98,0),"")))</f>
        <v>54527</v>
      </c>
      <c r="AK245" s="282">
        <f ca="1">IF(E245&gt;111,,IF(AND(OP!$D$99=1,T245="F"),AA245,IF(AND(OP!$D$99=2,COUNTIF($T$4:T245,"F")=1),OP!$D$97+IF(F245="F",OP!$D$98,0),"")))</f>
        <v>74177</v>
      </c>
      <c r="AL245" s="282">
        <f ca="1">IF(E245&gt;111,,IF(AND(OP!$E$99=1,T245="F"),AB245,IF(AND(OP!$E$99=2,COUNTIF($T$4:T245,"F")=1),OP!$E$97+IF(F245="F",OP!$E$98,0),"")))</f>
        <v>99404</v>
      </c>
      <c r="AM245" s="1">
        <f t="shared" ca="1" si="128"/>
        <v>3</v>
      </c>
      <c r="AN245" s="1" t="str">
        <f ca="1">IF(OR(VLOOKUP($A245,MP,5,0)="月繳"),1,"")</f>
        <v/>
      </c>
      <c r="AO245" s="1">
        <f t="shared" ca="1" si="139"/>
        <v>0</v>
      </c>
      <c r="AP245" s="1" t="str">
        <f ca="1">IF(AND(A245&lt;=OP!$C$120,COUNTIF(PAY,C245)=1),1,"")</f>
        <v/>
      </c>
      <c r="AR245" s="301">
        <f ca="1">IF(繳費報酬率資料!$A$1=1,$AY245+$AZ245,$BF245+$BG245)</f>
        <v>0</v>
      </c>
      <c r="AS245" s="1">
        <f ca="1">IF(C245&lt;&gt;IF($C$3=1,12,$C$3-1),0,IF(繳費報酬率資料!$A$1&lt;&gt;1,VLOOKUP($A245,MP,8,0),IF(AND($A245&gt;=OP!$C$79,$A245&lt;=OP!$C$80),OP!$C$78,)))</f>
        <v>0</v>
      </c>
      <c r="AT245" s="298">
        <f t="shared" ca="1" si="140"/>
        <v>0</v>
      </c>
      <c r="AU245" s="298">
        <f ca="1">IF(AND(A245&lt;=OP!$C$120,COUNTIF(PAY,C245)=1),OP!$C$123,0)</f>
        <v>0</v>
      </c>
      <c r="AV245" s="298">
        <f ca="1">IF(AND(A245&gt;=OP!$C$132,A245&lt;=OP!$C$133,$C$3=C245),OP!$C$135,0)</f>
        <v>0</v>
      </c>
      <c r="AW245" s="180">
        <f t="shared" ca="1" si="141"/>
        <v>0.05</v>
      </c>
      <c r="AX245" s="180">
        <f t="shared" ca="1" si="142"/>
        <v>0.05</v>
      </c>
      <c r="AY245" s="286">
        <f t="shared" ca="1" si="143"/>
        <v>0</v>
      </c>
      <c r="AZ245" s="286">
        <f t="shared" ca="1" si="144"/>
        <v>0</v>
      </c>
      <c r="BA245" s="286">
        <f t="shared" ca="1" si="145"/>
        <v>0</v>
      </c>
      <c r="BB245" s="286">
        <f t="shared" ca="1" si="146"/>
        <v>0</v>
      </c>
      <c r="BC245" s="286">
        <f t="shared" ca="1" si="147"/>
        <v>0</v>
      </c>
      <c r="BD245" s="180">
        <f t="shared" ca="1" si="148"/>
        <v>0.05</v>
      </c>
      <c r="BE245" s="180">
        <f t="shared" ca="1" si="149"/>
        <v>0.05</v>
      </c>
      <c r="BF245" s="286">
        <f t="shared" ca="1" si="150"/>
        <v>0</v>
      </c>
      <c r="BG245" s="286">
        <f t="shared" ca="1" si="151"/>
        <v>0</v>
      </c>
    </row>
    <row r="246" spans="1:59">
      <c r="A246" s="1">
        <f t="shared" ca="1" si="130"/>
        <v>21</v>
      </c>
      <c r="B246" s="1">
        <f t="shared" ca="1" si="124"/>
        <v>126</v>
      </c>
      <c r="C246" s="1">
        <f t="shared" ca="1" si="125"/>
        <v>8</v>
      </c>
      <c r="D246" s="1">
        <f ca="1">MIN($D$3,VLOOKUP(C246,OP!$S$30:$T$41,2))</f>
        <v>2</v>
      </c>
      <c r="E246" s="1">
        <f t="shared" ca="1" si="126"/>
        <v>75</v>
      </c>
      <c r="F246" s="11" t="str">
        <f t="shared" ca="1" si="131"/>
        <v/>
      </c>
      <c r="G246" s="8">
        <f t="shared" ca="1" si="158"/>
        <v>365</v>
      </c>
      <c r="H246" s="8">
        <f t="shared" ca="1" si="133"/>
        <v>31</v>
      </c>
      <c r="I246" s="8" t="str">
        <f t="shared" ca="1" si="129"/>
        <v>218</v>
      </c>
      <c r="J246" s="13">
        <f>IF(繳費報酬率資料!$A$1=1,VALUE(OP!$C$121),VLOOKUP(A246,MP,2,0))</f>
        <v>0.05</v>
      </c>
      <c r="K246" s="14">
        <f ca="1">IF(SUM($K$4:K245,IF(繳費報酬率資料!$A$1=1,$AU246+$AV246,$BB246+$BC246))&gt;OP!$L$58,0,IF(繳費報酬率資料!$A$1=1,$AU246+$AV246,$BB246+$BC246))</f>
        <v>0</v>
      </c>
      <c r="L246" s="2"/>
      <c r="M246" s="2"/>
      <c r="N246" s="2"/>
      <c r="O246" s="261">
        <f t="shared" ca="1" si="134"/>
        <v>0</v>
      </c>
      <c r="P246" s="261">
        <f t="shared" ca="1" si="152"/>
        <v>0</v>
      </c>
      <c r="Q246" s="3">
        <f ca="1">IF(A246&gt;MAX(OP!$R$17:$R$26),0,VLOOKUP(A246,fees,3,FALSE))</f>
        <v>0</v>
      </c>
      <c r="R246" s="200" t="str">
        <f t="shared" ca="1" si="135"/>
        <v/>
      </c>
      <c r="S246" s="9" t="str">
        <f ca="1">IF(COUNTIF(($T$4:T245),"F")&gt;=1,"",IF(OR(C247&lt;&gt;$C$3,E246=""),"",A246))</f>
        <v/>
      </c>
      <c r="T246" s="20" t="str">
        <f t="shared" ca="1" si="127"/>
        <v/>
      </c>
      <c r="U246" s="2">
        <f ca="1">IF(IF(OP!$C$83=1,$Z245,IF(OP!$C$83=2,$AA245,IF(OP!$C$83=3,$AB245,)))+$K246-$O246-$P246-$AS246&lt;OP!$C$142,0,$AS246)</f>
        <v>0</v>
      </c>
      <c r="V246" s="9"/>
      <c r="W246" s="19">
        <f ca="1">MAX(SUM($K$4:K246),0)</f>
        <v>2000000</v>
      </c>
      <c r="X246" s="19"/>
      <c r="Y246" s="19">
        <f t="shared" ca="1" si="153"/>
        <v>1920000</v>
      </c>
      <c r="Z246" s="2">
        <f ca="1">IF(MIN($Z$4:Z245)=0,0,MAX(0,($Z245+$K246-$O246-$P246)*IF(AND(F246="F",$D$3&lt;&gt;$G$3),((1+(-J246))^(H246/MIN(G246,365))),((1+(-J246))^(1/12)))-$U246))</f>
        <v>679523.11703943927</v>
      </c>
      <c r="AA246" s="2">
        <f ca="1">IF(MIN($AA$4:AA245)=0,0,MAX(0,($AA245+$K246-$O246-$P246)*IF(AND(F246="F",$D$3&lt;&gt;$G$3),((1+$AA$1)^(H246/MIN(G246,365))),((1+$AA$1)^(1/12)))-$U246))</f>
        <v>1920000</v>
      </c>
      <c r="AB246" s="2">
        <f ca="1">IF(MIN($AB$4:AB245)=0,0,MAX(0,($AB245+$K246-$O246-$P246)*IF(AND(F246="F",$D$3&lt;&gt;$G$3),((1+(J246))^(H246/MIN(G246,365))),((1+(J246))^(1/12)))-$U246))</f>
        <v>5156850.4254566748</v>
      </c>
      <c r="AC246" s="5"/>
      <c r="AD246" s="5"/>
      <c r="AE246" s="5"/>
      <c r="AF246" s="282">
        <f t="shared" ca="1" si="136"/>
        <v>679523</v>
      </c>
      <c r="AG246" s="282">
        <f t="shared" ca="1" si="137"/>
        <v>1920000</v>
      </c>
      <c r="AH246" s="282">
        <f t="shared" ca="1" si="138"/>
        <v>5156850</v>
      </c>
      <c r="AI246" s="23" t="str">
        <f t="shared" ca="1" si="154"/>
        <v>21-4</v>
      </c>
      <c r="AJ246" s="282">
        <f ca="1">IF(E246&gt;111,,IF(AND(OP!$C$99=1,T246="F"),Z246,IF(AND(OP!$C$99=2,COUNTIF($T$4:T246,"F")=1),OP!$C$97+IF(F246="F",OP!$C$98,0),"")))</f>
        <v>54527</v>
      </c>
      <c r="AK246" s="282">
        <f ca="1">IF(E246&gt;111,,IF(AND(OP!$D$99=1,T246="F"),AA246,IF(AND(OP!$D$99=2,COUNTIF($T$4:T246,"F")=1),OP!$D$97+IF(F246="F",OP!$D$98,0),"")))</f>
        <v>74177</v>
      </c>
      <c r="AL246" s="282">
        <f ca="1">IF(E246&gt;111,,IF(AND(OP!$E$99=1,T246="F"),AB246,IF(AND(OP!$E$99=2,COUNTIF($T$4:T246,"F")=1),OP!$E$97+IF(F246="F",OP!$E$98,0),"")))</f>
        <v>99404</v>
      </c>
      <c r="AM246" s="1">
        <f t="shared" ca="1" si="128"/>
        <v>4</v>
      </c>
      <c r="AN246" s="1" t="str">
        <f ca="1">IF(OR(VLOOKUP($A246,MP,5,0)="月繳"),1,"")</f>
        <v/>
      </c>
      <c r="AO246" s="1">
        <f t="shared" ca="1" si="139"/>
        <v>0</v>
      </c>
      <c r="AP246" s="1" t="str">
        <f ca="1">IF(AND(A246&lt;=OP!$C$120,COUNTIF(PAY,C246)=1),1,"")</f>
        <v/>
      </c>
      <c r="AR246" s="301">
        <f ca="1">IF(繳費報酬率資料!$A$1=1,$AY246+$AZ246,$BF246+$BG246)</f>
        <v>0</v>
      </c>
      <c r="AS246" s="1">
        <f ca="1">IF(C246&lt;&gt;IF($C$3=1,12,$C$3-1),0,IF(繳費報酬率資料!$A$1&lt;&gt;1,VLOOKUP($A246,MP,8,0),IF(AND($A246&gt;=OP!$C$79,$A246&lt;=OP!$C$80),OP!$C$78,)))</f>
        <v>0</v>
      </c>
      <c r="AT246" s="298">
        <f t="shared" ca="1" si="140"/>
        <v>0</v>
      </c>
      <c r="AU246" s="298">
        <f ca="1">IF(AND(A246&lt;=OP!$C$120,COUNTIF(PAY,C246)=1),OP!$C$123,0)</f>
        <v>0</v>
      </c>
      <c r="AV246" s="298">
        <f ca="1">IF(AND(A246&gt;=OP!$C$132,A246&lt;=OP!$C$133,$C$3=C246),OP!$C$135,0)</f>
        <v>0</v>
      </c>
      <c r="AW246" s="180">
        <f t="shared" ca="1" si="141"/>
        <v>0.05</v>
      </c>
      <c r="AX246" s="180">
        <f t="shared" ca="1" si="142"/>
        <v>0.05</v>
      </c>
      <c r="AY246" s="286">
        <f t="shared" ca="1" si="143"/>
        <v>0</v>
      </c>
      <c r="AZ246" s="286">
        <f t="shared" ca="1" si="144"/>
        <v>0</v>
      </c>
      <c r="BA246" s="286">
        <f t="shared" ca="1" si="145"/>
        <v>0</v>
      </c>
      <c r="BB246" s="286">
        <f t="shared" ca="1" si="146"/>
        <v>0</v>
      </c>
      <c r="BC246" s="286">
        <f t="shared" ca="1" si="147"/>
        <v>0</v>
      </c>
      <c r="BD246" s="180">
        <f t="shared" ca="1" si="148"/>
        <v>0.05</v>
      </c>
      <c r="BE246" s="180">
        <f t="shared" ca="1" si="149"/>
        <v>0.05</v>
      </c>
      <c r="BF246" s="286">
        <f t="shared" ca="1" si="150"/>
        <v>0</v>
      </c>
      <c r="BG246" s="286">
        <f t="shared" ca="1" si="151"/>
        <v>0</v>
      </c>
    </row>
    <row r="247" spans="1:59">
      <c r="A247" s="1">
        <f t="shared" ca="1" si="130"/>
        <v>21</v>
      </c>
      <c r="B247" s="1">
        <f t="shared" ca="1" si="124"/>
        <v>126</v>
      </c>
      <c r="C247" s="1">
        <f t="shared" ca="1" si="125"/>
        <v>9</v>
      </c>
      <c r="D247" s="1">
        <f ca="1">MIN($D$3,VLOOKUP(C247,OP!$S$30:$T$41,2))</f>
        <v>2</v>
      </c>
      <c r="E247" s="1">
        <f t="shared" ca="1" si="126"/>
        <v>75</v>
      </c>
      <c r="F247" s="11" t="str">
        <f t="shared" ca="1" si="131"/>
        <v/>
      </c>
      <c r="G247" s="8">
        <f t="shared" ca="1" si="158"/>
        <v>365</v>
      </c>
      <c r="H247" s="8">
        <f t="shared" ca="1" si="133"/>
        <v>30</v>
      </c>
      <c r="I247" s="8" t="str">
        <f t="shared" ca="1" si="129"/>
        <v>219</v>
      </c>
      <c r="J247" s="13">
        <f>IF(繳費報酬率資料!$A$1=1,VALUE(OP!$C$121),VLOOKUP(A247,MP,2,0))</f>
        <v>0.05</v>
      </c>
      <c r="K247" s="14">
        <f ca="1">IF(SUM($K$4:K246,IF(繳費報酬率資料!$A$1=1,$AU247+$AV247,$BB247+$BC247))&gt;OP!$L$58,0,IF(繳費報酬率資料!$A$1=1,$AU247+$AV247,$BB247+$BC247))</f>
        <v>0</v>
      </c>
      <c r="L247" s="2"/>
      <c r="M247" s="2"/>
      <c r="N247" s="2"/>
      <c r="O247" s="261">
        <f t="shared" ca="1" si="134"/>
        <v>0</v>
      </c>
      <c r="P247" s="261">
        <f t="shared" ca="1" si="152"/>
        <v>0</v>
      </c>
      <c r="Q247" s="3">
        <f ca="1">IF(A247&gt;MAX(OP!$R$17:$R$26),0,VLOOKUP(A247,fees,3,FALSE))</f>
        <v>0</v>
      </c>
      <c r="R247" s="200" t="str">
        <f t="shared" ca="1" si="135"/>
        <v/>
      </c>
      <c r="S247" s="9" t="str">
        <f ca="1">IF(COUNTIF(($T$4:T246),"F")&gt;=1,"",IF(OR(C248&lt;&gt;$C$3,E247=""),"",A247))</f>
        <v/>
      </c>
      <c r="T247" s="20" t="str">
        <f t="shared" ca="1" si="127"/>
        <v/>
      </c>
      <c r="U247" s="2">
        <f ca="1">IF(IF(OP!$C$83=1,$Z246,IF(OP!$C$83=2,$AA246,IF(OP!$C$83=3,$AB246,)))+$K247-$O247-$P247-$AS247&lt;OP!$C$142,0,$AS247)</f>
        <v>0</v>
      </c>
      <c r="V247" s="9"/>
      <c r="W247" s="19">
        <f ca="1">MAX(SUM($K$4:K247),0)</f>
        <v>2000000</v>
      </c>
      <c r="X247" s="19"/>
      <c r="Y247" s="19">
        <f t="shared" ca="1" si="153"/>
        <v>1920000</v>
      </c>
      <c r="Z247" s="2">
        <f ca="1">IF(MIN($Z$4:Z246)=0,0,MAX(0,($Z246+$K247-$O247-$P247)*IF(AND(F247="F",$D$3&lt;&gt;$G$3),((1+(-J247))^(H247/MIN(G247,365))),((1+(-J247))^(1/12)))-$U247))</f>
        <v>676624.73432854447</v>
      </c>
      <c r="AA247" s="2">
        <f ca="1">IF(MIN($AA$4:AA246)=0,0,MAX(0,($AA246+$K247-$O247-$P247)*IF(AND(F247="F",$D$3&lt;&gt;$G$3),((1+$AA$1)^(H247/MIN(G247,365))),((1+$AA$1)^(1/12)))-$U247))</f>
        <v>1920000</v>
      </c>
      <c r="AB247" s="2">
        <f ca="1">IF(MIN($AB$4:AB246)=0,0,MAX(0,($AB246+$K247-$O247-$P247)*IF(AND(F247="F",$D$3&lt;&gt;$G$3),((1+(J247))^(H247/MIN(G247,365))),((1+(J247))^(1/12)))-$U247))</f>
        <v>5177860.0724237449</v>
      </c>
      <c r="AC247" s="5"/>
      <c r="AD247" s="5"/>
      <c r="AE247" s="5"/>
      <c r="AF247" s="282">
        <f t="shared" ca="1" si="136"/>
        <v>676625</v>
      </c>
      <c r="AG247" s="282">
        <f t="shared" ca="1" si="137"/>
        <v>1920000</v>
      </c>
      <c r="AH247" s="282">
        <f t="shared" ca="1" si="138"/>
        <v>5177860</v>
      </c>
      <c r="AI247" s="23" t="str">
        <f t="shared" ca="1" si="154"/>
        <v>21-5</v>
      </c>
      <c r="AJ247" s="282">
        <f ca="1">IF(E247&gt;111,,IF(AND(OP!$C$99=1,T247="F"),Z247,IF(AND(OP!$C$99=2,COUNTIF($T$4:T247,"F")=1),OP!$C$97+IF(F247="F",OP!$C$98,0),"")))</f>
        <v>54527</v>
      </c>
      <c r="AK247" s="282">
        <f ca="1">IF(E247&gt;111,,IF(AND(OP!$D$99=1,T247="F"),AA247,IF(AND(OP!$D$99=2,COUNTIF($T$4:T247,"F")=1),OP!$D$97+IF(F247="F",OP!$D$98,0),"")))</f>
        <v>74177</v>
      </c>
      <c r="AL247" s="282">
        <f ca="1">IF(E247&gt;111,,IF(AND(OP!$E$99=1,T247="F"),AB247,IF(AND(OP!$E$99=2,COUNTIF($T$4:T247,"F")=1),OP!$E$97+IF(F247="F",OP!$E$98,0),"")))</f>
        <v>99404</v>
      </c>
      <c r="AM247" s="1">
        <f t="shared" ca="1" si="128"/>
        <v>5</v>
      </c>
      <c r="AN247" s="1" t="str">
        <f ca="1">IF(OR(VLOOKUP($A247,MP,5,0)="季繳",VLOOKUP($A247,MP,5,0)="月繳"),1,"")</f>
        <v/>
      </c>
      <c r="AO247" s="1">
        <f t="shared" ca="1" si="139"/>
        <v>0</v>
      </c>
      <c r="AP247" s="1" t="str">
        <f ca="1">IF(AND(A247&lt;=OP!$C$120,COUNTIF(PAY,C247)=1),1,"")</f>
        <v/>
      </c>
      <c r="AR247" s="301">
        <f ca="1">IF(繳費報酬率資料!$A$1=1,$AY247+$AZ247,$BF247+$BG247)</f>
        <v>0</v>
      </c>
      <c r="AS247" s="1">
        <f ca="1">IF(C247&lt;&gt;IF($C$3=1,12,$C$3-1),0,IF(繳費報酬率資料!$A$1&lt;&gt;1,VLOOKUP($A247,MP,8,0),IF(AND($A247&gt;=OP!$C$79,$A247&lt;=OP!$C$80),OP!$C$78,)))</f>
        <v>0</v>
      </c>
      <c r="AT247" s="298">
        <f t="shared" ca="1" si="140"/>
        <v>0</v>
      </c>
      <c r="AU247" s="298">
        <f ca="1">IF(AND(A247&lt;=OP!$C$120,COUNTIF(PAY,C247)=1),OP!$C$123,0)</f>
        <v>0</v>
      </c>
      <c r="AV247" s="298">
        <f ca="1">IF(AND(A247&gt;=OP!$C$132,A247&lt;=OP!$C$133,$C$3=C247),OP!$C$135,0)</f>
        <v>0</v>
      </c>
      <c r="AW247" s="180">
        <f t="shared" ca="1" si="141"/>
        <v>0.05</v>
      </c>
      <c r="AX247" s="180">
        <f t="shared" ca="1" si="142"/>
        <v>0.05</v>
      </c>
      <c r="AY247" s="286">
        <f t="shared" ca="1" si="143"/>
        <v>0</v>
      </c>
      <c r="AZ247" s="286">
        <f t="shared" ca="1" si="144"/>
        <v>0</v>
      </c>
      <c r="BA247" s="286">
        <f t="shared" ca="1" si="145"/>
        <v>0</v>
      </c>
      <c r="BB247" s="286">
        <f t="shared" ca="1" si="146"/>
        <v>0</v>
      </c>
      <c r="BC247" s="286">
        <f t="shared" ca="1" si="147"/>
        <v>0</v>
      </c>
      <c r="BD247" s="180">
        <f t="shared" ca="1" si="148"/>
        <v>0.05</v>
      </c>
      <c r="BE247" s="180">
        <f t="shared" ca="1" si="149"/>
        <v>0.05</v>
      </c>
      <c r="BF247" s="286">
        <f t="shared" ca="1" si="150"/>
        <v>0</v>
      </c>
      <c r="BG247" s="286">
        <f t="shared" ca="1" si="151"/>
        <v>0</v>
      </c>
    </row>
    <row r="248" spans="1:59">
      <c r="A248" s="1">
        <f t="shared" ca="1" si="130"/>
        <v>21</v>
      </c>
      <c r="B248" s="1">
        <f t="shared" ca="1" si="124"/>
        <v>126</v>
      </c>
      <c r="C248" s="1">
        <f t="shared" ca="1" si="125"/>
        <v>10</v>
      </c>
      <c r="D248" s="1">
        <f ca="1">MIN($D$3,VLOOKUP(C248,OP!$S$30:$T$41,2))</f>
        <v>2</v>
      </c>
      <c r="E248" s="1">
        <f t="shared" ca="1" si="126"/>
        <v>75</v>
      </c>
      <c r="F248" s="11" t="str">
        <f t="shared" ca="1" si="131"/>
        <v/>
      </c>
      <c r="G248" s="8">
        <f t="shared" ca="1" si="158"/>
        <v>365</v>
      </c>
      <c r="H248" s="8">
        <f t="shared" ca="1" si="133"/>
        <v>31</v>
      </c>
      <c r="I248" s="8" t="str">
        <f t="shared" ca="1" si="129"/>
        <v>2110</v>
      </c>
      <c r="J248" s="13">
        <f>IF(繳費報酬率資料!$A$1=1,VALUE(OP!$C$121),VLOOKUP(A248,MP,2,0))</f>
        <v>0.05</v>
      </c>
      <c r="K248" s="14">
        <f ca="1">IF(SUM($K$4:K247,IF(繳費報酬率資料!$A$1=1,$AU248+$AV248,$BB248+$BC248))&gt;OP!$L$58,0,IF(繳費報酬率資料!$A$1=1,$AU248+$AV248,$BB248+$BC248))</f>
        <v>0</v>
      </c>
      <c r="L248" s="2"/>
      <c r="M248" s="2"/>
      <c r="N248" s="2"/>
      <c r="O248" s="261">
        <f t="shared" ca="1" si="134"/>
        <v>0</v>
      </c>
      <c r="P248" s="261">
        <f t="shared" ca="1" si="152"/>
        <v>0</v>
      </c>
      <c r="Q248" s="3">
        <f ca="1">IF(A248&gt;MAX(OP!$R$17:$R$26),0,VLOOKUP(A248,fees,3,FALSE))</f>
        <v>0</v>
      </c>
      <c r="R248" s="200" t="str">
        <f t="shared" ca="1" si="135"/>
        <v/>
      </c>
      <c r="S248" s="9" t="str">
        <f ca="1">IF(COUNTIF(($T$4:T247),"F")&gt;=1,"",IF(OR(C249&lt;&gt;$C$3,E248=""),"",A248))</f>
        <v/>
      </c>
      <c r="T248" s="20" t="str">
        <f t="shared" ca="1" si="127"/>
        <v/>
      </c>
      <c r="U248" s="2">
        <f ca="1">IF(IF(OP!$C$83=1,$Z247,IF(OP!$C$83=2,$AA247,IF(OP!$C$83=3,$AB247,)))+$K248-$O248-$P248-$AS248&lt;OP!$C$142,0,$AS248)</f>
        <v>0</v>
      </c>
      <c r="V248" s="9"/>
      <c r="W248" s="19">
        <f ca="1">MAX(SUM($K$4:K248),0)</f>
        <v>2000000</v>
      </c>
      <c r="X248" s="19"/>
      <c r="Y248" s="19">
        <f t="shared" ca="1" si="153"/>
        <v>1920000</v>
      </c>
      <c r="Z248" s="2">
        <f ca="1">IF(MIN($Z$4:Z247)=0,0,MAX(0,($Z247+$K248-$O248-$P248)*IF(AND(F248="F",$D$3&lt;&gt;$G$3),((1+(-J248))^(H248/MIN(G248,365))),((1+(-J248))^(1/12)))-$U248))</f>
        <v>673738.71414385096</v>
      </c>
      <c r="AA248" s="2">
        <f ca="1">IF(MIN($AA$4:AA247)=0,0,MAX(0,($AA247+$K248-$O248-$P248)*IF(AND(F248="F",$D$3&lt;&gt;$G$3),((1+$AA$1)^(H248/MIN(G248,365))),((1+$AA$1)^(1/12)))-$U248))</f>
        <v>1920000</v>
      </c>
      <c r="AB248" s="2">
        <f ca="1">IF(MIN($AB$4:AB247)=0,0,MAX(0,($AB247+$K248-$O248-$P248)*IF(AND(F248="F",$D$3&lt;&gt;$G$3),((1+(J248))^(H248/MIN(G248,365))),((1+(J248))^(1/12)))-$U248))</f>
        <v>5198955.3152932096</v>
      </c>
      <c r="AC248" s="5"/>
      <c r="AD248" s="5"/>
      <c r="AE248" s="5"/>
      <c r="AF248" s="282">
        <f t="shared" ca="1" si="136"/>
        <v>673739</v>
      </c>
      <c r="AG248" s="282">
        <f t="shared" ca="1" si="137"/>
        <v>1920000</v>
      </c>
      <c r="AH248" s="282">
        <f t="shared" ca="1" si="138"/>
        <v>5198955</v>
      </c>
      <c r="AI248" s="23" t="str">
        <f t="shared" ca="1" si="154"/>
        <v>21-6</v>
      </c>
      <c r="AJ248" s="282">
        <f ca="1">IF(E248&gt;111,,IF(AND(OP!$C$99=1,T248="F"),Z248,IF(AND(OP!$C$99=2,COUNTIF($T$4:T248,"F")=1),OP!$C$97+IF(F248="F",OP!$C$98,0),"")))</f>
        <v>54527</v>
      </c>
      <c r="AK248" s="282">
        <f ca="1">IF(E248&gt;111,,IF(AND(OP!$D$99=1,T248="F"),AA248,IF(AND(OP!$D$99=2,COUNTIF($T$4:T248,"F")=1),OP!$D$97+IF(F248="F",OP!$D$98,0),"")))</f>
        <v>74177</v>
      </c>
      <c r="AL248" s="282">
        <f ca="1">IF(E248&gt;111,,IF(AND(OP!$E$99=1,T248="F"),AB248,IF(AND(OP!$E$99=2,COUNTIF($T$4:T248,"F")=1),OP!$E$97+IF(F248="F",OP!$E$98,0),"")))</f>
        <v>99404</v>
      </c>
      <c r="AM248" s="1">
        <f t="shared" ca="1" si="128"/>
        <v>6</v>
      </c>
      <c r="AN248" s="1" t="str">
        <f ca="1">IF(OR(VLOOKUP($A248,MP,5,0)="月繳"),1,"")</f>
        <v/>
      </c>
      <c r="AO248" s="1">
        <f t="shared" ca="1" si="139"/>
        <v>0</v>
      </c>
      <c r="AP248" s="1" t="str">
        <f ca="1">IF(AND(A248&lt;=OP!$C$120,COUNTIF(PAY,C248)=1),1,"")</f>
        <v/>
      </c>
      <c r="AR248" s="301">
        <f ca="1">IF(繳費報酬率資料!$A$1=1,$AY248+$AZ248,$BF248+$BG248)</f>
        <v>0</v>
      </c>
      <c r="AS248" s="1">
        <f ca="1">IF(C248&lt;&gt;IF($C$3=1,12,$C$3-1),0,IF(繳費報酬率資料!$A$1&lt;&gt;1,VLOOKUP($A248,MP,8,0),IF(AND($A248&gt;=OP!$C$79,$A248&lt;=OP!$C$80),OP!$C$78,)))</f>
        <v>0</v>
      </c>
      <c r="AT248" s="298">
        <f t="shared" ca="1" si="140"/>
        <v>0</v>
      </c>
      <c r="AU248" s="298">
        <f ca="1">IF(AND(A248&lt;=OP!$C$120,COUNTIF(PAY,C248)=1),OP!$C$123,0)</f>
        <v>0</v>
      </c>
      <c r="AV248" s="298">
        <f ca="1">IF(AND(A248&gt;=OP!$C$132,A248&lt;=OP!$C$133,$C$3=C248),OP!$C$135,0)</f>
        <v>0</v>
      </c>
      <c r="AW248" s="180">
        <f t="shared" ca="1" si="141"/>
        <v>0.05</v>
      </c>
      <c r="AX248" s="180">
        <f t="shared" ca="1" si="142"/>
        <v>0.05</v>
      </c>
      <c r="AY248" s="286">
        <f t="shared" ca="1" si="143"/>
        <v>0</v>
      </c>
      <c r="AZ248" s="286">
        <f t="shared" ca="1" si="144"/>
        <v>0</v>
      </c>
      <c r="BA248" s="286">
        <f t="shared" ca="1" si="145"/>
        <v>0</v>
      </c>
      <c r="BB248" s="286">
        <f t="shared" ca="1" si="146"/>
        <v>0</v>
      </c>
      <c r="BC248" s="286">
        <f t="shared" ca="1" si="147"/>
        <v>0</v>
      </c>
      <c r="BD248" s="180">
        <f t="shared" ca="1" si="148"/>
        <v>0.05</v>
      </c>
      <c r="BE248" s="180">
        <f t="shared" ca="1" si="149"/>
        <v>0.05</v>
      </c>
      <c r="BF248" s="286">
        <f t="shared" ca="1" si="150"/>
        <v>0</v>
      </c>
      <c r="BG248" s="286">
        <f t="shared" ca="1" si="151"/>
        <v>0</v>
      </c>
    </row>
    <row r="249" spans="1:59">
      <c r="A249" s="1">
        <f t="shared" ca="1" si="130"/>
        <v>21</v>
      </c>
      <c r="B249" s="1">
        <f t="shared" ca="1" si="124"/>
        <v>126</v>
      </c>
      <c r="C249" s="1">
        <f t="shared" ca="1" si="125"/>
        <v>11</v>
      </c>
      <c r="D249" s="1">
        <f ca="1">MIN($D$3,VLOOKUP(C249,OP!$S$30:$T$41,2))</f>
        <v>2</v>
      </c>
      <c r="E249" s="1">
        <f t="shared" ca="1" si="126"/>
        <v>75</v>
      </c>
      <c r="F249" s="11" t="str">
        <f t="shared" ca="1" si="131"/>
        <v/>
      </c>
      <c r="G249" s="8">
        <f t="shared" ca="1" si="158"/>
        <v>365</v>
      </c>
      <c r="H249" s="8">
        <f t="shared" ca="1" si="133"/>
        <v>30</v>
      </c>
      <c r="I249" s="8" t="str">
        <f t="shared" ca="1" si="129"/>
        <v>2111</v>
      </c>
      <c r="J249" s="13">
        <f>IF(繳費報酬率資料!$A$1=1,VALUE(OP!$C$121),VLOOKUP(A249,MP,2,0))</f>
        <v>0.05</v>
      </c>
      <c r="K249" s="14">
        <f ca="1">IF(SUM($K$4:K248,IF(繳費報酬率資料!$A$1=1,$AU249+$AV249,$BB249+$BC249))&gt;OP!$L$58,0,IF(繳費報酬率資料!$A$1=1,$AU249+$AV249,$BB249+$BC249))</f>
        <v>0</v>
      </c>
      <c r="L249" s="2"/>
      <c r="M249" s="2"/>
      <c r="N249" s="2"/>
      <c r="O249" s="261">
        <f t="shared" ca="1" si="134"/>
        <v>0</v>
      </c>
      <c r="P249" s="261">
        <f t="shared" ca="1" si="152"/>
        <v>0</v>
      </c>
      <c r="Q249" s="3">
        <f ca="1">IF(A249&gt;MAX(OP!$R$17:$R$26),0,VLOOKUP(A249,fees,3,FALSE))</f>
        <v>0</v>
      </c>
      <c r="R249" s="200" t="str">
        <f t="shared" ca="1" si="135"/>
        <v/>
      </c>
      <c r="S249" s="9" t="str">
        <f ca="1">IF(COUNTIF(($T$4:T248),"F")&gt;=1,"",IF(OR(C250&lt;&gt;$C$3,E249=""),"",A249))</f>
        <v/>
      </c>
      <c r="T249" s="20" t="str">
        <f t="shared" ca="1" si="127"/>
        <v/>
      </c>
      <c r="U249" s="2">
        <f ca="1">IF(IF(OP!$C$83=1,$Z248,IF(OP!$C$83=2,$AA248,IF(OP!$C$83=3,$AB248,)))+$K249-$O249-$P249-$AS249&lt;OP!$C$142,0,$AS249)</f>
        <v>0</v>
      </c>
      <c r="V249" s="9"/>
      <c r="W249" s="19">
        <f ca="1">MAX(SUM($K$4:K249),0)</f>
        <v>2000000</v>
      </c>
      <c r="X249" s="19"/>
      <c r="Y249" s="19">
        <f t="shared" ca="1" si="153"/>
        <v>1920000</v>
      </c>
      <c r="Z249" s="2">
        <f ca="1">IF(MIN($Z$4:Z248)=0,0,MAX(0,($Z248+$K249-$O249-$P249)*IF(AND(F249="F",$D$3&lt;&gt;$G$3),((1+(-J249))^(H249/MIN(G249,365))),((1+(-J249))^(1/12)))-$U249))</f>
        <v>670865.00375524361</v>
      </c>
      <c r="AA249" s="2">
        <f ca="1">IF(MIN($AA$4:AA248)=0,0,MAX(0,($AA248+$K249-$O249-$P249)*IF(AND(F249="F",$D$3&lt;&gt;$G$3),((1+$AA$1)^(H249/MIN(G249,365))),((1+$AA$1)^(1/12)))-$U249))</f>
        <v>1920000</v>
      </c>
      <c r="AB249" s="2">
        <f ca="1">IF(MIN($AB$4:AB248)=0,0,MAX(0,($AB248+$K249-$O249-$P249)*IF(AND(F249="F",$D$3&lt;&gt;$G$3),((1+(J249))^(H249/MIN(G249,365))),((1+(J249))^(1/12)))-$U249))</f>
        <v>5220136.5027933707</v>
      </c>
      <c r="AC249" s="5"/>
      <c r="AD249" s="5"/>
      <c r="AE249" s="5"/>
      <c r="AF249" s="282">
        <f t="shared" ca="1" si="136"/>
        <v>670865</v>
      </c>
      <c r="AG249" s="282">
        <f t="shared" ca="1" si="137"/>
        <v>1920000</v>
      </c>
      <c r="AH249" s="282">
        <f t="shared" ca="1" si="138"/>
        <v>5220137</v>
      </c>
      <c r="AI249" s="23" t="str">
        <f t="shared" ca="1" si="154"/>
        <v>21-7</v>
      </c>
      <c r="AJ249" s="282">
        <f ca="1">IF(E249&gt;111,,IF(AND(OP!$C$99=1,T249="F"),Z249,IF(AND(OP!$C$99=2,COUNTIF($T$4:T249,"F")=1),OP!$C$97+IF(F249="F",OP!$C$98,0),"")))</f>
        <v>54527</v>
      </c>
      <c r="AK249" s="282">
        <f ca="1">IF(E249&gt;111,,IF(AND(OP!$D$99=1,T249="F"),AA249,IF(AND(OP!$D$99=2,COUNTIF($T$4:T249,"F")=1),OP!$D$97+IF(F249="F",OP!$D$98,0),"")))</f>
        <v>74177</v>
      </c>
      <c r="AL249" s="282">
        <f ca="1">IF(E249&gt;111,,IF(AND(OP!$E$99=1,T249="F"),AB249,IF(AND(OP!$E$99=2,COUNTIF($T$4:T249,"F")=1),OP!$E$97+IF(F249="F",OP!$E$98,0),"")))</f>
        <v>99404</v>
      </c>
      <c r="AM249" s="1">
        <f t="shared" ca="1" si="128"/>
        <v>7</v>
      </c>
      <c r="AN249" s="1" t="str">
        <f ca="1">IF(OR(VLOOKUP($A249,MP,5,0)="月繳"),1,"")</f>
        <v/>
      </c>
      <c r="AO249" s="1">
        <f t="shared" ca="1" si="139"/>
        <v>0</v>
      </c>
      <c r="AP249" s="1" t="str">
        <f ca="1">IF(AND(A249&lt;=OP!$C$120,COUNTIF(PAY,C249)=1),1,"")</f>
        <v/>
      </c>
      <c r="AR249" s="301">
        <f ca="1">IF(繳費報酬率資料!$A$1=1,$AY249+$AZ249,$BF249+$BG249)</f>
        <v>0</v>
      </c>
      <c r="AS249" s="1">
        <f ca="1">IF(C249&lt;&gt;IF($C$3=1,12,$C$3-1),0,IF(繳費報酬率資料!$A$1&lt;&gt;1,VLOOKUP($A249,MP,8,0),IF(AND($A249&gt;=OP!$C$79,$A249&lt;=OP!$C$80),OP!$C$78,)))</f>
        <v>0</v>
      </c>
      <c r="AT249" s="298">
        <f t="shared" ca="1" si="140"/>
        <v>0</v>
      </c>
      <c r="AU249" s="298">
        <f ca="1">IF(AND(A249&lt;=OP!$C$120,COUNTIF(PAY,C249)=1),OP!$C$123,0)</f>
        <v>0</v>
      </c>
      <c r="AV249" s="298">
        <f ca="1">IF(AND(A249&gt;=OP!$C$132,A249&lt;=OP!$C$133,$C$3=C249),OP!$C$135,0)</f>
        <v>0</v>
      </c>
      <c r="AW249" s="180">
        <f t="shared" ca="1" si="141"/>
        <v>0.05</v>
      </c>
      <c r="AX249" s="180">
        <f t="shared" ca="1" si="142"/>
        <v>0.05</v>
      </c>
      <c r="AY249" s="286">
        <f t="shared" ca="1" si="143"/>
        <v>0</v>
      </c>
      <c r="AZ249" s="286">
        <f t="shared" ca="1" si="144"/>
        <v>0</v>
      </c>
      <c r="BA249" s="286">
        <f t="shared" ca="1" si="145"/>
        <v>0</v>
      </c>
      <c r="BB249" s="286">
        <f t="shared" ca="1" si="146"/>
        <v>0</v>
      </c>
      <c r="BC249" s="286">
        <f t="shared" ca="1" si="147"/>
        <v>0</v>
      </c>
      <c r="BD249" s="180">
        <f t="shared" ca="1" si="148"/>
        <v>0.05</v>
      </c>
      <c r="BE249" s="180">
        <f t="shared" ca="1" si="149"/>
        <v>0.05</v>
      </c>
      <c r="BF249" s="286">
        <f t="shared" ca="1" si="150"/>
        <v>0</v>
      </c>
      <c r="BG249" s="286">
        <f t="shared" ca="1" si="151"/>
        <v>0</v>
      </c>
    </row>
    <row r="250" spans="1:59">
      <c r="A250" s="1">
        <f t="shared" ca="1" si="130"/>
        <v>21</v>
      </c>
      <c r="B250" s="1">
        <f t="shared" ca="1" si="124"/>
        <v>126</v>
      </c>
      <c r="C250" s="1">
        <f t="shared" ca="1" si="125"/>
        <v>12</v>
      </c>
      <c r="D250" s="1">
        <f ca="1">MIN($D$3,VLOOKUP(C250,OP!$S$30:$T$41,2))</f>
        <v>2</v>
      </c>
      <c r="E250" s="1">
        <f t="shared" ca="1" si="126"/>
        <v>75</v>
      </c>
      <c r="F250" s="11" t="str">
        <f t="shared" ca="1" si="131"/>
        <v/>
      </c>
      <c r="G250" s="8">
        <f t="shared" ca="1" si="158"/>
        <v>365</v>
      </c>
      <c r="H250" s="8">
        <f t="shared" ca="1" si="133"/>
        <v>31</v>
      </c>
      <c r="I250" s="8" t="str">
        <f t="shared" ca="1" si="129"/>
        <v>2112</v>
      </c>
      <c r="J250" s="13">
        <f>IF(繳費報酬率資料!$A$1=1,VALUE(OP!$C$121),VLOOKUP(A250,MP,2,0))</f>
        <v>0.05</v>
      </c>
      <c r="K250" s="14">
        <f ca="1">IF(SUM($K$4:K249,IF(繳費報酬率資料!$A$1=1,$AU250+$AV250,$BB250+$BC250))&gt;OP!$L$58,0,IF(繳費報酬率資料!$A$1=1,$AU250+$AV250,$BB250+$BC250))</f>
        <v>0</v>
      </c>
      <c r="L250" s="2"/>
      <c r="M250" s="2"/>
      <c r="N250" s="2"/>
      <c r="O250" s="261">
        <f t="shared" ca="1" si="134"/>
        <v>0</v>
      </c>
      <c r="P250" s="261">
        <f t="shared" ca="1" si="152"/>
        <v>0</v>
      </c>
      <c r="Q250" s="3">
        <f ca="1">IF(A250&gt;MAX(OP!$R$17:$R$26),0,VLOOKUP(A250,fees,3,FALSE))</f>
        <v>0</v>
      </c>
      <c r="R250" s="200" t="str">
        <f t="shared" ca="1" si="135"/>
        <v/>
      </c>
      <c r="S250" s="9" t="str">
        <f ca="1">IF(COUNTIF(($T$4:T249),"F")&gt;=1,"",IF(OR(C251&lt;&gt;$C$3,E250=""),"",A250))</f>
        <v/>
      </c>
      <c r="T250" s="20" t="str">
        <f t="shared" ca="1" si="127"/>
        <v/>
      </c>
      <c r="U250" s="2">
        <f ca="1">IF(IF(OP!$C$83=1,$Z249,IF(OP!$C$83=2,$AA249,IF(OP!$C$83=3,$AB249,)))+$K250-$O250-$P250-$AS250&lt;OP!$C$142,0,$AS250)</f>
        <v>0</v>
      </c>
      <c r="V250" s="9"/>
      <c r="W250" s="19">
        <f ca="1">MAX(SUM($K$4:K250),0)</f>
        <v>2000000</v>
      </c>
      <c r="X250" s="19"/>
      <c r="Y250" s="19">
        <f t="shared" ca="1" si="153"/>
        <v>1920000</v>
      </c>
      <c r="Z250" s="2">
        <f ca="1">IF(MIN($Z$4:Z249)=0,0,MAX(0,($Z249+$K250-$O250-$P250)*IF(AND(F250="F",$D$3&lt;&gt;$G$3),((1+(-J250))^(H250/MIN(G250,365))),((1+(-J250))^(1/12)))-$U250))</f>
        <v>668003.55065751809</v>
      </c>
      <c r="AA250" s="2">
        <f ca="1">IF(MIN($AA$4:AA249)=0,0,MAX(0,($AA249+$K250-$O250-$P250)*IF(AND(F250="F",$D$3&lt;&gt;$G$3),((1+$AA$1)^(H250/MIN(G250,365))),((1+$AA$1)^(1/12)))-$U250))</f>
        <v>1920000</v>
      </c>
      <c r="AB250" s="2">
        <f ca="1">IF(MIN($AB$4:AB249)=0,0,MAX(0,($AB249+$K250-$O250-$P250)*IF(AND(F250="F",$D$3&lt;&gt;$G$3),((1+(J250))^(H250/MIN(G250,365))),((1+(J250))^(1/12)))-$U250))</f>
        <v>5241403.9850732917</v>
      </c>
      <c r="AC250" s="5"/>
      <c r="AD250" s="5"/>
      <c r="AE250" s="5"/>
      <c r="AF250" s="282">
        <f t="shared" ca="1" si="136"/>
        <v>668004</v>
      </c>
      <c r="AG250" s="282">
        <f t="shared" ca="1" si="137"/>
        <v>1920000</v>
      </c>
      <c r="AH250" s="282">
        <f t="shared" ca="1" si="138"/>
        <v>5241404</v>
      </c>
      <c r="AI250" s="23" t="str">
        <f t="shared" ca="1" si="154"/>
        <v>21-8</v>
      </c>
      <c r="AJ250" s="282">
        <f ca="1">IF(E250&gt;111,,IF(AND(OP!$C$99=1,T250="F"),Z250,IF(AND(OP!$C$99=2,COUNTIF($T$4:T250,"F")=1),OP!$C$97+IF(F250="F",OP!$C$98,0),"")))</f>
        <v>54527</v>
      </c>
      <c r="AK250" s="282">
        <f ca="1">IF(E250&gt;111,,IF(AND(OP!$D$99=1,T250="F"),AA250,IF(AND(OP!$D$99=2,COUNTIF($T$4:T250,"F")=1),OP!$D$97+IF(F250="F",OP!$D$98,0),"")))</f>
        <v>74177</v>
      </c>
      <c r="AL250" s="282">
        <f ca="1">IF(E250&gt;111,,IF(AND(OP!$E$99=1,T250="F"),AB250,IF(AND(OP!$E$99=2,COUNTIF($T$4:T250,"F")=1),OP!$E$97+IF(F250="F",OP!$E$98,0),"")))</f>
        <v>99404</v>
      </c>
      <c r="AM250" s="1">
        <f t="shared" ca="1" si="128"/>
        <v>8</v>
      </c>
      <c r="AN250" s="1" t="str">
        <f ca="1">IF(OR(VLOOKUP($A250,MP,5,0)="半年繳",VLOOKUP($A250,MP,5,0)="季繳",VLOOKUP($A250,MP,5,0)="月繳"),1,"")</f>
        <v/>
      </c>
      <c r="AO250" s="1">
        <f t="shared" ca="1" si="139"/>
        <v>0</v>
      </c>
      <c r="AP250" s="1" t="str">
        <f ca="1">IF(AND(A250&lt;=OP!$C$120,COUNTIF(PAY,C250)=1),1,"")</f>
        <v/>
      </c>
      <c r="AR250" s="301">
        <f ca="1">IF(繳費報酬率資料!$A$1=1,$AY250+$AZ250,$BF250+$BG250)</f>
        <v>0</v>
      </c>
      <c r="AS250" s="1">
        <f ca="1">IF(C250&lt;&gt;IF($C$3=1,12,$C$3-1),0,IF(繳費報酬率資料!$A$1&lt;&gt;1,VLOOKUP($A250,MP,8,0),IF(AND($A250&gt;=OP!$C$79,$A250&lt;=OP!$C$80),OP!$C$78,)))</f>
        <v>0</v>
      </c>
      <c r="AT250" s="298">
        <f t="shared" ca="1" si="140"/>
        <v>0</v>
      </c>
      <c r="AU250" s="298">
        <f ca="1">IF(AND(A250&lt;=OP!$C$120,COUNTIF(PAY,C250)=1),OP!$C$123,0)</f>
        <v>0</v>
      </c>
      <c r="AV250" s="298">
        <f ca="1">IF(AND(A250&gt;=OP!$C$132,A250&lt;=OP!$C$133,$C$3=C250),OP!$C$135,0)</f>
        <v>0</v>
      </c>
      <c r="AW250" s="180">
        <f t="shared" ca="1" si="141"/>
        <v>0.05</v>
      </c>
      <c r="AX250" s="180">
        <f t="shared" ca="1" si="142"/>
        <v>0.05</v>
      </c>
      <c r="AY250" s="286">
        <f t="shared" ca="1" si="143"/>
        <v>0</v>
      </c>
      <c r="AZ250" s="286">
        <f t="shared" ca="1" si="144"/>
        <v>0</v>
      </c>
      <c r="BA250" s="286">
        <f t="shared" ca="1" si="145"/>
        <v>0</v>
      </c>
      <c r="BB250" s="286">
        <f t="shared" ca="1" si="146"/>
        <v>0</v>
      </c>
      <c r="BC250" s="286">
        <f t="shared" ca="1" si="147"/>
        <v>0</v>
      </c>
      <c r="BD250" s="180">
        <f t="shared" ca="1" si="148"/>
        <v>0.05</v>
      </c>
      <c r="BE250" s="180">
        <f t="shared" ca="1" si="149"/>
        <v>0.05</v>
      </c>
      <c r="BF250" s="286">
        <f t="shared" ca="1" si="150"/>
        <v>0</v>
      </c>
      <c r="BG250" s="286">
        <f t="shared" ca="1" si="151"/>
        <v>0</v>
      </c>
    </row>
    <row r="251" spans="1:59">
      <c r="A251" s="1">
        <f t="shared" ca="1" si="130"/>
        <v>21</v>
      </c>
      <c r="B251" s="1">
        <f t="shared" ca="1" si="124"/>
        <v>127</v>
      </c>
      <c r="C251" s="1">
        <f t="shared" ca="1" si="125"/>
        <v>1</v>
      </c>
      <c r="D251" s="1">
        <f ca="1">MIN($D$3,VLOOKUP(C251,OP!$S$30:$T$41,2))</f>
        <v>2</v>
      </c>
      <c r="E251" s="1">
        <f t="shared" ca="1" si="126"/>
        <v>75</v>
      </c>
      <c r="F251" s="11" t="str">
        <f t="shared" ca="1" si="131"/>
        <v/>
      </c>
      <c r="G251" s="8">
        <f t="shared" ca="1" si="158"/>
        <v>365</v>
      </c>
      <c r="H251" s="8">
        <f t="shared" ca="1" si="133"/>
        <v>31</v>
      </c>
      <c r="I251" s="8" t="str">
        <f t="shared" ca="1" si="129"/>
        <v>211</v>
      </c>
      <c r="J251" s="13">
        <f>IF(繳費報酬率資料!$A$1=1,VALUE(OP!$C$121),VLOOKUP(A251,MP,2,0))</f>
        <v>0.05</v>
      </c>
      <c r="K251" s="14">
        <f ca="1">IF(SUM($K$4:K250,IF(繳費報酬率資料!$A$1=1,$AU251+$AV251,$BB251+$BC251))&gt;OP!$L$58,0,IF(繳費報酬率資料!$A$1=1,$AU251+$AV251,$BB251+$BC251))</f>
        <v>0</v>
      </c>
      <c r="L251" s="2"/>
      <c r="M251" s="2"/>
      <c r="N251" s="2"/>
      <c r="O251" s="261">
        <f t="shared" ca="1" si="134"/>
        <v>0</v>
      </c>
      <c r="P251" s="261">
        <f t="shared" ca="1" si="152"/>
        <v>0</v>
      </c>
      <c r="Q251" s="3">
        <f ca="1">IF(A251&gt;MAX(OP!$R$17:$R$26),0,VLOOKUP(A251,fees,3,FALSE))</f>
        <v>0</v>
      </c>
      <c r="R251" s="200" t="str">
        <f t="shared" ca="1" si="135"/>
        <v/>
      </c>
      <c r="S251" s="9" t="str">
        <f ca="1">IF(COUNTIF(($T$4:T250),"F")&gt;=1,"",IF(OR(C252&lt;&gt;$C$3,E251=""),"",A251))</f>
        <v/>
      </c>
      <c r="T251" s="20" t="str">
        <f t="shared" ca="1" si="127"/>
        <v/>
      </c>
      <c r="U251" s="2">
        <f ca="1">IF(IF(OP!$C$83=1,$Z250,IF(OP!$C$83=2,$AA250,IF(OP!$C$83=3,$AB250,)))+$K251-$O251-$P251-$AS251&lt;OP!$C$142,0,$AS251)</f>
        <v>0</v>
      </c>
      <c r="V251" s="9"/>
      <c r="W251" s="19">
        <f ca="1">MAX(SUM($K$4:K251),0)</f>
        <v>2000000</v>
      </c>
      <c r="X251" s="19"/>
      <c r="Y251" s="19">
        <f t="shared" ca="1" si="153"/>
        <v>1920000</v>
      </c>
      <c r="Z251" s="2">
        <f ca="1">IF(MIN($Z$4:Z250)=0,0,MAX(0,($Z250+$K251-$O251-$P251)*IF(AND(F251="F",$D$3&lt;&gt;$G$3),((1+(-J251))^(H251/MIN(G251,365))),((1+(-J251))^(1/12)))-$U251))</f>
        <v>665154.30256942136</v>
      </c>
      <c r="AA251" s="2">
        <f ca="1">IF(MIN($AA$4:AA250)=0,0,MAX(0,($AA250+$K251-$O251-$P251)*IF(AND(F251="F",$D$3&lt;&gt;$G$3),((1+$AA$1)^(H251/MIN(G251,365))),((1+$AA$1)^(1/12)))-$U251))</f>
        <v>1920000</v>
      </c>
      <c r="AB251" s="2">
        <f ca="1">IF(MIN($AB$4:AB250)=0,0,MAX(0,($AB250+$K251-$O251-$P251)*IF(AND(F251="F",$D$3&lt;&gt;$G$3),((1+(J251))^(H251/MIN(G251,365))),((1+(J251))^(1/12)))-$U251))</f>
        <v>5262758.1137085883</v>
      </c>
      <c r="AC251" s="5"/>
      <c r="AD251" s="5"/>
      <c r="AE251" s="5"/>
      <c r="AF251" s="282">
        <f t="shared" ca="1" si="136"/>
        <v>665154</v>
      </c>
      <c r="AG251" s="282">
        <f t="shared" ca="1" si="137"/>
        <v>1920000</v>
      </c>
      <c r="AH251" s="282">
        <f t="shared" ca="1" si="138"/>
        <v>5262758</v>
      </c>
      <c r="AI251" s="23" t="str">
        <f t="shared" ca="1" si="154"/>
        <v>21-9</v>
      </c>
      <c r="AJ251" s="282">
        <f ca="1">IF(E251&gt;111,,IF(AND(OP!$C$99=1,T251="F"),Z251,IF(AND(OP!$C$99=2,COUNTIF($T$4:T251,"F")=1),OP!$C$97+IF(F251="F",OP!$C$98,0),"")))</f>
        <v>54527</v>
      </c>
      <c r="AK251" s="282">
        <f ca="1">IF(E251&gt;111,,IF(AND(OP!$D$99=1,T251="F"),AA251,IF(AND(OP!$D$99=2,COUNTIF($T$4:T251,"F")=1),OP!$D$97+IF(F251="F",OP!$D$98,0),"")))</f>
        <v>74177</v>
      </c>
      <c r="AL251" s="282">
        <f ca="1">IF(E251&gt;111,,IF(AND(OP!$E$99=1,T251="F"),AB251,IF(AND(OP!$E$99=2,COUNTIF($T$4:T251,"F")=1),OP!$E$97+IF(F251="F",OP!$E$98,0),"")))</f>
        <v>99404</v>
      </c>
      <c r="AM251" s="1">
        <f t="shared" ca="1" si="128"/>
        <v>9</v>
      </c>
      <c r="AN251" s="1" t="str">
        <f ca="1">IF(OR(VLOOKUP($A251,MP,5,0)="月繳"),1,"")</f>
        <v/>
      </c>
      <c r="AO251" s="1">
        <f t="shared" ca="1" si="139"/>
        <v>0</v>
      </c>
      <c r="AP251" s="1" t="str">
        <f ca="1">IF(AND(A251&lt;=OP!$C$120,COUNTIF(PAY,C251)=1),1,"")</f>
        <v/>
      </c>
      <c r="AR251" s="301">
        <f ca="1">IF(繳費報酬率資料!$A$1=1,$AY251+$AZ251,$BF251+$BG251)</f>
        <v>0</v>
      </c>
      <c r="AS251" s="1">
        <f ca="1">IF(C251&lt;&gt;IF($C$3=1,12,$C$3-1),0,IF(繳費報酬率資料!$A$1&lt;&gt;1,VLOOKUP($A251,MP,8,0),IF(AND($A251&gt;=OP!$C$79,$A251&lt;=OP!$C$80),OP!$C$78,)))</f>
        <v>0</v>
      </c>
      <c r="AT251" s="298">
        <f t="shared" ca="1" si="140"/>
        <v>0</v>
      </c>
      <c r="AU251" s="298">
        <f ca="1">IF(AND(A251&lt;=OP!$C$120,COUNTIF(PAY,C251)=1),OP!$C$123,0)</f>
        <v>0</v>
      </c>
      <c r="AV251" s="298">
        <f ca="1">IF(AND(A251&gt;=OP!$C$132,A251&lt;=OP!$C$133,$C$3=C251),OP!$C$135,0)</f>
        <v>0</v>
      </c>
      <c r="AW251" s="180">
        <f t="shared" ca="1" si="141"/>
        <v>0.05</v>
      </c>
      <c r="AX251" s="180">
        <f t="shared" ca="1" si="142"/>
        <v>0.05</v>
      </c>
      <c r="AY251" s="286">
        <f t="shared" ca="1" si="143"/>
        <v>0</v>
      </c>
      <c r="AZ251" s="286">
        <f t="shared" ca="1" si="144"/>
        <v>0</v>
      </c>
      <c r="BA251" s="286">
        <f t="shared" ca="1" si="145"/>
        <v>0</v>
      </c>
      <c r="BB251" s="286">
        <f t="shared" ca="1" si="146"/>
        <v>0</v>
      </c>
      <c r="BC251" s="286">
        <f t="shared" ca="1" si="147"/>
        <v>0</v>
      </c>
      <c r="BD251" s="180">
        <f t="shared" ca="1" si="148"/>
        <v>0.05</v>
      </c>
      <c r="BE251" s="180">
        <f t="shared" ca="1" si="149"/>
        <v>0.05</v>
      </c>
      <c r="BF251" s="286">
        <f t="shared" ca="1" si="150"/>
        <v>0</v>
      </c>
      <c r="BG251" s="286">
        <f t="shared" ca="1" si="151"/>
        <v>0</v>
      </c>
    </row>
    <row r="252" spans="1:59">
      <c r="A252" s="1">
        <f t="shared" ca="1" si="130"/>
        <v>21</v>
      </c>
      <c r="B252" s="1">
        <f t="shared" ref="B252:B315" ca="1" si="159">IF(C252=1,B251+1,B251)</f>
        <v>127</v>
      </c>
      <c r="C252" s="1">
        <f t="shared" ref="C252:C315" ca="1" si="160">IF(C251=12,1,C251+1)</f>
        <v>2</v>
      </c>
      <c r="D252" s="1">
        <f ca="1">MIN($D$3,VLOOKUP(C252,OP!$S$30:$T$41,2))</f>
        <v>2</v>
      </c>
      <c r="E252" s="1">
        <f t="shared" ref="E252:E315" ca="1" si="161">IF($K$1+A252-1&gt;$D$1,"",$K$1+A252-1)</f>
        <v>75</v>
      </c>
      <c r="F252" s="11" t="str">
        <f t="shared" ca="1" si="131"/>
        <v/>
      </c>
      <c r="G252" s="8">
        <f t="shared" ca="1" si="158"/>
        <v>365</v>
      </c>
      <c r="H252" s="8">
        <f t="shared" ca="1" si="133"/>
        <v>28</v>
      </c>
      <c r="I252" s="8" t="str">
        <f t="shared" ca="1" si="129"/>
        <v>212</v>
      </c>
      <c r="J252" s="13">
        <f>IF(繳費報酬率資料!$A$1=1,VALUE(OP!$C$121),VLOOKUP(A252,MP,2,0))</f>
        <v>0.05</v>
      </c>
      <c r="K252" s="14">
        <f ca="1">IF(SUM($K$4:K251,IF(繳費報酬率資料!$A$1=1,$AU252+$AV252,$BB252+$BC252))&gt;OP!$L$58,0,IF(繳費報酬率資料!$A$1=1,$AU252+$AV252,$BB252+$BC252))</f>
        <v>0</v>
      </c>
      <c r="L252" s="2"/>
      <c r="M252" s="2"/>
      <c r="N252" s="2"/>
      <c r="O252" s="261">
        <f t="shared" ca="1" si="134"/>
        <v>0</v>
      </c>
      <c r="P252" s="261">
        <f t="shared" ca="1" si="152"/>
        <v>0</v>
      </c>
      <c r="Q252" s="3">
        <f ca="1">IF(A252&gt;MAX(OP!$R$17:$R$26),0,VLOOKUP(A252,fees,3,FALSE))</f>
        <v>0</v>
      </c>
      <c r="R252" s="200" t="str">
        <f t="shared" ca="1" si="135"/>
        <v/>
      </c>
      <c r="S252" s="9" t="str">
        <f ca="1">IF(COUNTIF(($T$4:T251),"F")&gt;=1,"",IF(OR(C253&lt;&gt;$C$3,E252=""),"",A252))</f>
        <v/>
      </c>
      <c r="T252" s="20" t="str">
        <f t="shared" ref="T252:T315" ca="1" si="162">IF(F252&lt;&gt;"","F","")</f>
        <v/>
      </c>
      <c r="U252" s="2">
        <f ca="1">IF(IF(OP!$C$83=1,$Z251,IF(OP!$C$83=2,$AA251,IF(OP!$C$83=3,$AB251,)))+$K252-$O252-$P252-$AS252&lt;OP!$C$142,0,$AS252)</f>
        <v>0</v>
      </c>
      <c r="V252" s="9"/>
      <c r="W252" s="19">
        <f ca="1">MAX(SUM($K$4:K252),0)</f>
        <v>2000000</v>
      </c>
      <c r="X252" s="19"/>
      <c r="Y252" s="19">
        <f t="shared" ca="1" si="153"/>
        <v>1920000</v>
      </c>
      <c r="Z252" s="2">
        <f ca="1">IF(MIN($Z$4:Z251)=0,0,MAX(0,($Z251+$K252-$O252-$P252)*IF(AND(F252="F",$D$3&lt;&gt;$G$3),((1+(-J252))^(H252/MIN(G252,365))),((1+(-J252))^(1/12)))-$U252))</f>
        <v>662317.20743269671</v>
      </c>
      <c r="AA252" s="2">
        <f ca="1">IF(MIN($AA$4:AA251)=0,0,MAX(0,($AA251+$K252-$O252-$P252)*IF(AND(F252="F",$D$3&lt;&gt;$G$3),((1+$AA$1)^(H252/MIN(G252,365))),((1+$AA$1)^(1/12)))-$U252))</f>
        <v>1920000</v>
      </c>
      <c r="AB252" s="2">
        <f ca="1">IF(MIN($AB$4:AB251)=0,0,MAX(0,($AB251+$K252-$O252-$P252)*IF(AND(F252="F",$D$3&lt;&gt;$G$3),((1+(J252))^(H252/MIN(G252,365))),((1+(J252))^(1/12)))-$U252))</f>
        <v>5284199.2417072365</v>
      </c>
      <c r="AC252" s="5"/>
      <c r="AD252" s="5"/>
      <c r="AE252" s="5"/>
      <c r="AF252" s="282">
        <f t="shared" ca="1" si="136"/>
        <v>662317</v>
      </c>
      <c r="AG252" s="282">
        <f t="shared" ca="1" si="137"/>
        <v>1920000</v>
      </c>
      <c r="AH252" s="282">
        <f t="shared" ca="1" si="138"/>
        <v>5284199</v>
      </c>
      <c r="AI252" s="23" t="str">
        <f t="shared" ca="1" si="154"/>
        <v>21-10</v>
      </c>
      <c r="AJ252" s="282">
        <f ca="1">IF(E252&gt;111,,IF(AND(OP!$C$99=1,T252="F"),Z252,IF(AND(OP!$C$99=2,COUNTIF($T$4:T252,"F")=1),OP!$C$97+IF(F252="F",OP!$C$98,0),"")))</f>
        <v>54527</v>
      </c>
      <c r="AK252" s="282">
        <f ca="1">IF(E252&gt;111,,IF(AND(OP!$D$99=1,T252="F"),AA252,IF(AND(OP!$D$99=2,COUNTIF($T$4:T252,"F")=1),OP!$D$97+IF(F252="F",OP!$D$98,0),"")))</f>
        <v>74177</v>
      </c>
      <c r="AL252" s="282">
        <f ca="1">IF(E252&gt;111,,IF(AND(OP!$E$99=1,T252="F"),AB252,IF(AND(OP!$E$99=2,COUNTIF($T$4:T252,"F")=1),OP!$E$97+IF(F252="F",OP!$E$98,0),"")))</f>
        <v>99404</v>
      </c>
      <c r="AM252" s="1">
        <f t="shared" ref="AM252:AM315" ca="1" si="163">IF(AND(AK252&lt;&gt;"",AM251=""),1,IF(AND(AK252&lt;&gt;"",AM251&gt;0),IF(AM251=12,1,AM251+1),""))</f>
        <v>10</v>
      </c>
      <c r="AN252" s="1" t="str">
        <f ca="1">IF(OR(VLOOKUP($A252,MP,5,0)="月繳"),1,"")</f>
        <v/>
      </c>
      <c r="AO252" s="1">
        <f t="shared" ca="1" si="139"/>
        <v>0</v>
      </c>
      <c r="AP252" s="1" t="str">
        <f ca="1">IF(AND(A252&lt;=OP!$C$120,COUNTIF(PAY,C252)=1),1,"")</f>
        <v/>
      </c>
      <c r="AR252" s="301">
        <f ca="1">IF(繳費報酬率資料!$A$1=1,$AY252+$AZ252,$BF252+$BG252)</f>
        <v>0</v>
      </c>
      <c r="AS252" s="1">
        <f ca="1">IF(C252&lt;&gt;IF($C$3=1,12,$C$3-1),0,IF(繳費報酬率資料!$A$1&lt;&gt;1,VLOOKUP($A252,MP,8,0),IF(AND($A252&gt;=OP!$C$79,$A252&lt;=OP!$C$80),OP!$C$78,)))</f>
        <v>0</v>
      </c>
      <c r="AT252" s="298">
        <f t="shared" ca="1" si="140"/>
        <v>0</v>
      </c>
      <c r="AU252" s="298">
        <f ca="1">IF(AND(A252&lt;=OP!$C$120,COUNTIF(PAY,C252)=1),OP!$C$123,0)</f>
        <v>0</v>
      </c>
      <c r="AV252" s="298">
        <f ca="1">IF(AND(A252&gt;=OP!$C$132,A252&lt;=OP!$C$133,$C$3=C252),OP!$C$135,0)</f>
        <v>0</v>
      </c>
      <c r="AW252" s="180">
        <f t="shared" ca="1" si="141"/>
        <v>0.05</v>
      </c>
      <c r="AX252" s="180">
        <f t="shared" ca="1" si="142"/>
        <v>0.05</v>
      </c>
      <c r="AY252" s="286">
        <f t="shared" ca="1" si="143"/>
        <v>0</v>
      </c>
      <c r="AZ252" s="286">
        <f t="shared" ca="1" si="144"/>
        <v>0</v>
      </c>
      <c r="BA252" s="286">
        <f t="shared" ca="1" si="145"/>
        <v>0</v>
      </c>
      <c r="BB252" s="286">
        <f t="shared" ca="1" si="146"/>
        <v>0</v>
      </c>
      <c r="BC252" s="286">
        <f t="shared" ca="1" si="147"/>
        <v>0</v>
      </c>
      <c r="BD252" s="180">
        <f t="shared" ca="1" si="148"/>
        <v>0.05</v>
      </c>
      <c r="BE252" s="180">
        <f t="shared" ca="1" si="149"/>
        <v>0.05</v>
      </c>
      <c r="BF252" s="286">
        <f t="shared" ca="1" si="150"/>
        <v>0</v>
      </c>
      <c r="BG252" s="286">
        <f t="shared" ca="1" si="151"/>
        <v>0</v>
      </c>
    </row>
    <row r="253" spans="1:59">
      <c r="A253" s="1">
        <f t="shared" ca="1" si="130"/>
        <v>21</v>
      </c>
      <c r="B253" s="1">
        <f t="shared" ca="1" si="159"/>
        <v>127</v>
      </c>
      <c r="C253" s="1">
        <f t="shared" ca="1" si="160"/>
        <v>3</v>
      </c>
      <c r="D253" s="1">
        <f ca="1">MIN($D$3,VLOOKUP(C253,OP!$S$30:$T$41,2))</f>
        <v>2</v>
      </c>
      <c r="E253" s="1">
        <f t="shared" ca="1" si="161"/>
        <v>75</v>
      </c>
      <c r="F253" s="11" t="str">
        <f t="shared" ca="1" si="131"/>
        <v/>
      </c>
      <c r="G253" s="8">
        <f t="shared" ca="1" si="158"/>
        <v>365</v>
      </c>
      <c r="H253" s="8">
        <f t="shared" ca="1" si="133"/>
        <v>31</v>
      </c>
      <c r="I253" s="8" t="str">
        <f t="shared" ca="1" si="129"/>
        <v>213</v>
      </c>
      <c r="J253" s="13">
        <f>IF(繳費報酬率資料!$A$1=1,VALUE(OP!$C$121),VLOOKUP(A253,MP,2,0))</f>
        <v>0.05</v>
      </c>
      <c r="K253" s="14">
        <f ca="1">IF(SUM($K$4:K252,IF(繳費報酬率資料!$A$1=1,$AU253+$AV253,$BB253+$BC253))&gt;OP!$L$58,0,IF(繳費報酬率資料!$A$1=1,$AU253+$AV253,$BB253+$BC253))</f>
        <v>0</v>
      </c>
      <c r="L253" s="2"/>
      <c r="M253" s="2"/>
      <c r="N253" s="2"/>
      <c r="O253" s="261">
        <f t="shared" ca="1" si="134"/>
        <v>0</v>
      </c>
      <c r="P253" s="261">
        <f t="shared" ca="1" si="152"/>
        <v>0</v>
      </c>
      <c r="Q253" s="3">
        <f ca="1">IF(A253&gt;MAX(OP!$R$17:$R$26),0,VLOOKUP(A253,fees,3,FALSE))</f>
        <v>0</v>
      </c>
      <c r="R253" s="200" t="str">
        <f t="shared" ca="1" si="135"/>
        <v/>
      </c>
      <c r="S253" s="9" t="str">
        <f ca="1">IF(COUNTIF(($T$4:T252),"F")&gt;=1,"",IF(OR(C254&lt;&gt;$C$3,E253=""),"",A253))</f>
        <v/>
      </c>
      <c r="T253" s="20" t="str">
        <f t="shared" ca="1" si="162"/>
        <v/>
      </c>
      <c r="U253" s="2">
        <f ca="1">IF(IF(OP!$C$83=1,$Z252,IF(OP!$C$83=2,$AA252,IF(OP!$C$83=3,$AB252,)))+$K253-$O253-$P253-$AS253&lt;OP!$C$142,0,$AS253)</f>
        <v>0</v>
      </c>
      <c r="V253" s="9"/>
      <c r="W253" s="19">
        <f ca="1">MAX(SUM($K$4:K253),0)</f>
        <v>2000000</v>
      </c>
      <c r="X253" s="19"/>
      <c r="Y253" s="19">
        <f t="shared" ca="1" si="153"/>
        <v>1920000</v>
      </c>
      <c r="Z253" s="2">
        <f ca="1">IF(MIN($Z$4:Z252)=0,0,MAX(0,($Z252+$K253-$O253-$P253)*IF(AND(F253="F",$D$3&lt;&gt;$G$3),((1+(-J253))^(H253/MIN(G253,365))),((1+(-J253))^(1/12)))-$U253))</f>
        <v>659492.21341113246</v>
      </c>
      <c r="AA253" s="2">
        <f ca="1">IF(MIN($AA$4:AA252)=0,0,MAX(0,($AA252+$K253-$O253-$P253)*IF(AND(F253="F",$D$3&lt;&gt;$G$3),((1+$AA$1)^(H253/MIN(G253,365))),((1+$AA$1)^(1/12)))-$U253))</f>
        <v>1920000</v>
      </c>
      <c r="AB253" s="2">
        <f ca="1">IF(MIN($AB$4:AB252)=0,0,MAX(0,($AB252+$K253-$O253-$P253)*IF(AND(F253="F",$D$3&lt;&gt;$G$3),((1+(J253))^(H253/MIN(G253,365))),((1+(J253))^(1/12)))-$U253))</f>
        <v>5305727.7235154128</v>
      </c>
      <c r="AC253" s="5"/>
      <c r="AD253" s="5"/>
      <c r="AE253" s="5"/>
      <c r="AF253" s="282">
        <f t="shared" ca="1" si="136"/>
        <v>659492</v>
      </c>
      <c r="AG253" s="282">
        <f t="shared" ca="1" si="137"/>
        <v>1920000</v>
      </c>
      <c r="AH253" s="282">
        <f t="shared" ca="1" si="138"/>
        <v>5305728</v>
      </c>
      <c r="AI253" s="23" t="str">
        <f t="shared" ca="1" si="154"/>
        <v>21-11</v>
      </c>
      <c r="AJ253" s="282">
        <f ca="1">IF(E253&gt;111,,IF(AND(OP!$C$99=1,T253="F"),Z253,IF(AND(OP!$C$99=2,COUNTIF($T$4:T253,"F")=1),OP!$C$97+IF(F253="F",OP!$C$98,0),"")))</f>
        <v>54527</v>
      </c>
      <c r="AK253" s="282">
        <f ca="1">IF(E253&gt;111,,IF(AND(OP!$D$99=1,T253="F"),AA253,IF(AND(OP!$D$99=2,COUNTIF($T$4:T253,"F")=1),OP!$D$97+IF(F253="F",OP!$D$98,0),"")))</f>
        <v>74177</v>
      </c>
      <c r="AL253" s="282">
        <f ca="1">IF(E253&gt;111,,IF(AND(OP!$E$99=1,T253="F"),AB253,IF(AND(OP!$E$99=2,COUNTIF($T$4:T253,"F")=1),OP!$E$97+IF(F253="F",OP!$E$98,0),"")))</f>
        <v>99404</v>
      </c>
      <c r="AM253" s="1">
        <f t="shared" ca="1" si="163"/>
        <v>11</v>
      </c>
      <c r="AN253" s="1" t="str">
        <f ca="1">IF(OR(VLOOKUP($A253,MP,5,0)="季繳",VLOOKUP($A253,MP,5,0)="月繳"),1,"")</f>
        <v/>
      </c>
      <c r="AO253" s="1">
        <f t="shared" ca="1" si="139"/>
        <v>0</v>
      </c>
      <c r="AP253" s="1" t="str">
        <f ca="1">IF(AND(A253&lt;=OP!$C$120,COUNTIF(PAY,C253)=1),1,"")</f>
        <v/>
      </c>
      <c r="AR253" s="301">
        <f ca="1">IF(繳費報酬率資料!$A$1=1,$AY253+$AZ253,$BF253+$BG253)</f>
        <v>0</v>
      </c>
      <c r="AS253" s="1">
        <f ca="1">IF(C253&lt;&gt;IF($C$3=1,12,$C$3-1),0,IF(繳費報酬率資料!$A$1&lt;&gt;1,VLOOKUP($A253,MP,8,0),IF(AND($A253&gt;=OP!$C$79,$A253&lt;=OP!$C$80),OP!$C$78,)))</f>
        <v>0</v>
      </c>
      <c r="AT253" s="298">
        <f t="shared" ca="1" si="140"/>
        <v>0</v>
      </c>
      <c r="AU253" s="298">
        <f ca="1">IF(AND(A253&lt;=OP!$C$120,COUNTIF(PAY,C253)=1),OP!$C$123,0)</f>
        <v>0</v>
      </c>
      <c r="AV253" s="298">
        <f ca="1">IF(AND(A253&gt;=OP!$C$132,A253&lt;=OP!$C$133,$C$3=C253),OP!$C$135,0)</f>
        <v>0</v>
      </c>
      <c r="AW253" s="180">
        <f t="shared" ca="1" si="141"/>
        <v>0.05</v>
      </c>
      <c r="AX253" s="180">
        <f t="shared" ca="1" si="142"/>
        <v>0.05</v>
      </c>
      <c r="AY253" s="286">
        <f t="shared" ca="1" si="143"/>
        <v>0</v>
      </c>
      <c r="AZ253" s="286">
        <f t="shared" ca="1" si="144"/>
        <v>0</v>
      </c>
      <c r="BA253" s="286">
        <f t="shared" ca="1" si="145"/>
        <v>0</v>
      </c>
      <c r="BB253" s="286">
        <f t="shared" ca="1" si="146"/>
        <v>0</v>
      </c>
      <c r="BC253" s="286">
        <f t="shared" ca="1" si="147"/>
        <v>0</v>
      </c>
      <c r="BD253" s="180">
        <f t="shared" ca="1" si="148"/>
        <v>0.05</v>
      </c>
      <c r="BE253" s="180">
        <f t="shared" ca="1" si="149"/>
        <v>0.05</v>
      </c>
      <c r="BF253" s="286">
        <f t="shared" ca="1" si="150"/>
        <v>0</v>
      </c>
      <c r="BG253" s="286">
        <f t="shared" ca="1" si="151"/>
        <v>0</v>
      </c>
    </row>
    <row r="254" spans="1:59">
      <c r="A254" s="1">
        <f t="shared" ca="1" si="130"/>
        <v>21</v>
      </c>
      <c r="B254" s="1">
        <f t="shared" ca="1" si="159"/>
        <v>127</v>
      </c>
      <c r="C254" s="1">
        <f t="shared" ca="1" si="160"/>
        <v>4</v>
      </c>
      <c r="D254" s="1">
        <f ca="1">MIN($D$3,VLOOKUP(C254,OP!$S$30:$T$41,2))</f>
        <v>2</v>
      </c>
      <c r="E254" s="1">
        <f t="shared" ca="1" si="161"/>
        <v>75</v>
      </c>
      <c r="F254" s="11" t="str">
        <f t="shared" ca="1" si="131"/>
        <v/>
      </c>
      <c r="G254" s="8">
        <f t="shared" ca="1" si="158"/>
        <v>365</v>
      </c>
      <c r="H254" s="8">
        <f t="shared" ca="1" si="133"/>
        <v>30</v>
      </c>
      <c r="I254" s="8" t="str">
        <f t="shared" ca="1" si="129"/>
        <v>214</v>
      </c>
      <c r="J254" s="13">
        <f>IF(繳費報酬率資料!$A$1=1,VALUE(OP!$C$121),VLOOKUP(A254,MP,2,0))</f>
        <v>0.05</v>
      </c>
      <c r="K254" s="14">
        <f ca="1">IF(SUM($K$4:K253,IF(繳費報酬率資料!$A$1=1,$AU254+$AV254,$BB254+$BC254))&gt;OP!$L$58,0,IF(繳費報酬率資料!$A$1=1,$AU254+$AV254,$BB254+$BC254))</f>
        <v>0</v>
      </c>
      <c r="L254" s="2"/>
      <c r="M254" s="2"/>
      <c r="N254" s="2"/>
      <c r="O254" s="261">
        <f t="shared" ca="1" si="134"/>
        <v>0</v>
      </c>
      <c r="P254" s="261">
        <f t="shared" ca="1" si="152"/>
        <v>0</v>
      </c>
      <c r="Q254" s="3">
        <f ca="1">IF(A254&gt;MAX(OP!$R$17:$R$26),0,VLOOKUP(A254,fees,3,FALSE))</f>
        <v>0</v>
      </c>
      <c r="R254" s="200" t="str">
        <f t="shared" ca="1" si="135"/>
        <v/>
      </c>
      <c r="S254" s="9" t="str">
        <f ca="1">IF(COUNTIF(($T$4:T253),"F")&gt;=1,"",IF(OR(C255&lt;&gt;$C$3,E254=""),"",A254))</f>
        <v/>
      </c>
      <c r="T254" s="20" t="str">
        <f t="shared" ca="1" si="162"/>
        <v/>
      </c>
      <c r="U254" s="2">
        <f ca="1">IF(IF(OP!$C$83=1,$Z253,IF(OP!$C$83=2,$AA253,IF(OP!$C$83=3,$AB253,)))+$K254-$O254-$P254-$AS254&lt;OP!$C$142,0,$AS254)</f>
        <v>0</v>
      </c>
      <c r="V254" s="9"/>
      <c r="W254" s="19">
        <f ca="1">MAX(SUM($K$4:K254),0)</f>
        <v>2000000</v>
      </c>
      <c r="X254" s="19"/>
      <c r="Y254" s="19">
        <f t="shared" ca="1" si="153"/>
        <v>1920000</v>
      </c>
      <c r="Z254" s="2">
        <f ca="1">IF(MIN($Z$4:Z253)=0,0,MAX(0,($Z253+$K254-$O254-$P254)*IF(AND(F254="F",$D$3&lt;&gt;$G$3),((1+(-J254))^(H254/MIN(G254,365))),((1+(-J254))^(1/12)))-$U254))</f>
        <v>656679.26888961496</v>
      </c>
      <c r="AA254" s="2">
        <f ca="1">IF(MIN($AA$4:AA253)=0,0,MAX(0,($AA253+$K254-$O254-$P254)*IF(AND(F254="F",$D$3&lt;&gt;$G$3),((1+$AA$1)^(H254/MIN(G254,365))),((1+$AA$1)^(1/12)))-$U254))</f>
        <v>1920000</v>
      </c>
      <c r="AB254" s="2">
        <f ca="1">IF(MIN($AB$4:AB253)=0,0,MAX(0,($AB253+$K254-$O254-$P254)*IF(AND(F254="F",$D$3&lt;&gt;$G$3),((1+(J254))^(H254/MIN(G254,365))),((1+(J254))^(1/12)))-$U254))</f>
        <v>5327343.9150233492</v>
      </c>
      <c r="AC254" s="5"/>
      <c r="AD254" s="5"/>
      <c r="AE254" s="5"/>
      <c r="AF254" s="282">
        <f t="shared" ca="1" si="136"/>
        <v>656679</v>
      </c>
      <c r="AG254" s="282">
        <f t="shared" ca="1" si="137"/>
        <v>1920000</v>
      </c>
      <c r="AH254" s="282">
        <f t="shared" ca="1" si="138"/>
        <v>5327344</v>
      </c>
      <c r="AI254" s="23" t="str">
        <f t="shared" ca="1" si="154"/>
        <v>21-12</v>
      </c>
      <c r="AJ254" s="282">
        <f ca="1">IF(E254&gt;111,,IF(AND(OP!$C$99=1,T254="F"),Z254,IF(AND(OP!$C$99=2,COUNTIF($T$4:T254,"F")=1),OP!$C$97+IF(F254="F",OP!$C$98,0),"")))</f>
        <v>54527</v>
      </c>
      <c r="AK254" s="282">
        <f ca="1">IF(E254&gt;111,,IF(AND(OP!$D$99=1,T254="F"),AA254,IF(AND(OP!$D$99=2,COUNTIF($T$4:T254,"F")=1),OP!$D$97+IF(F254="F",OP!$D$98,0),"")))</f>
        <v>74177</v>
      </c>
      <c r="AL254" s="282">
        <f ca="1">IF(E254&gt;111,,IF(AND(OP!$E$99=1,T254="F"),AB254,IF(AND(OP!$E$99=2,COUNTIF($T$4:T254,"F")=1),OP!$E$97+IF(F254="F",OP!$E$98,0),"")))</f>
        <v>99404</v>
      </c>
      <c r="AM254" s="1">
        <f t="shared" ca="1" si="163"/>
        <v>12</v>
      </c>
      <c r="AN254" s="1" t="str">
        <f ca="1">IF(OR(VLOOKUP($A254,MP,5,0)="月繳"),1,"")</f>
        <v/>
      </c>
      <c r="AO254" s="1">
        <f t="shared" ca="1" si="139"/>
        <v>0</v>
      </c>
      <c r="AP254" s="1" t="str">
        <f ca="1">IF(AND(A254&lt;=OP!$C$120,COUNTIF(PAY,C254)=1),1,"")</f>
        <v/>
      </c>
      <c r="AR254" s="301">
        <f ca="1">IF(繳費報酬率資料!$A$1=1,$AY254+$AZ254,$BF254+$BG254)</f>
        <v>0</v>
      </c>
      <c r="AS254" s="1">
        <f ca="1">IF(C254&lt;&gt;IF($C$3=1,12,$C$3-1),0,IF(繳費報酬率資料!$A$1&lt;&gt;1,VLOOKUP($A254,MP,8,0),IF(AND($A254&gt;=OP!$C$79,$A254&lt;=OP!$C$80),OP!$C$78,)))</f>
        <v>0</v>
      </c>
      <c r="AT254" s="298">
        <f t="shared" ca="1" si="140"/>
        <v>0</v>
      </c>
      <c r="AU254" s="298">
        <f ca="1">IF(AND(A254&lt;=OP!$C$120,COUNTIF(PAY,C254)=1),OP!$C$123,0)</f>
        <v>0</v>
      </c>
      <c r="AV254" s="298">
        <f ca="1">IF(AND(A254&gt;=OP!$C$132,A254&lt;=OP!$C$133,$C$3=C254),OP!$C$135,0)</f>
        <v>0</v>
      </c>
      <c r="AW254" s="180">
        <f t="shared" ca="1" si="141"/>
        <v>0.05</v>
      </c>
      <c r="AX254" s="180">
        <f t="shared" ca="1" si="142"/>
        <v>0.05</v>
      </c>
      <c r="AY254" s="286">
        <f t="shared" ca="1" si="143"/>
        <v>0</v>
      </c>
      <c r="AZ254" s="286">
        <f t="shared" ca="1" si="144"/>
        <v>0</v>
      </c>
      <c r="BA254" s="286">
        <f t="shared" ca="1" si="145"/>
        <v>0</v>
      </c>
      <c r="BB254" s="286">
        <f t="shared" ca="1" si="146"/>
        <v>0</v>
      </c>
      <c r="BC254" s="286">
        <f t="shared" ca="1" si="147"/>
        <v>0</v>
      </c>
      <c r="BD254" s="180">
        <f t="shared" ca="1" si="148"/>
        <v>0.05</v>
      </c>
      <c r="BE254" s="180">
        <f t="shared" ca="1" si="149"/>
        <v>0.05</v>
      </c>
      <c r="BF254" s="286">
        <f t="shared" ca="1" si="150"/>
        <v>0</v>
      </c>
      <c r="BG254" s="286">
        <f t="shared" ca="1" si="151"/>
        <v>0</v>
      </c>
    </row>
    <row r="255" spans="1:59">
      <c r="A255" s="1">
        <f t="shared" ca="1" si="130"/>
        <v>21</v>
      </c>
      <c r="B255" s="1">
        <f t="shared" ca="1" si="159"/>
        <v>127</v>
      </c>
      <c r="C255" s="1">
        <f t="shared" ca="1" si="160"/>
        <v>5</v>
      </c>
      <c r="D255" s="1">
        <f ca="1">MIN($D$3,VLOOKUP(C255,OP!$S$30:$T$41,2))</f>
        <v>2</v>
      </c>
      <c r="E255" s="1">
        <f t="shared" ca="1" si="161"/>
        <v>75</v>
      </c>
      <c r="F255" s="11" t="str">
        <f t="shared" ca="1" si="131"/>
        <v/>
      </c>
      <c r="G255" s="8">
        <f t="shared" ca="1" si="158"/>
        <v>365</v>
      </c>
      <c r="H255" s="8">
        <f t="shared" ca="1" si="133"/>
        <v>31</v>
      </c>
      <c r="I255" s="8" t="str">
        <f t="shared" ca="1" si="129"/>
        <v>215</v>
      </c>
      <c r="J255" s="13">
        <f>IF(繳費報酬率資料!$A$1=1,VALUE(OP!$C$121),VLOOKUP(A255,MP,2,0))</f>
        <v>0.05</v>
      </c>
      <c r="K255" s="14">
        <f ca="1">IF(SUM($K$4:K254,IF(繳費報酬率資料!$A$1=1,$AU255+$AV255,$BB255+$BC255))&gt;OP!$L$58,0,IF(繳費報酬率資料!$A$1=1,$AU255+$AV255,$BB255+$BC255))</f>
        <v>0</v>
      </c>
      <c r="L255" s="2">
        <f ca="1">ROUND(IF(OP!$C$78&lt;(IF(OR($T255="F",$E255&gt;=111),0,Z254+$K255-$O255+IF($C$1=1,OP!$C$78,IF($C256=$C$3,SUM(AC244:AC255,0)))))*5%,0,(OP!$C$78-((IF(OR($T255="F",$E255&gt;=111),0,Z254+$K255-$O255+IF($C$1=1,AC255,IF($C256=$C$3,SUM(AC244:AC255,0)))))*5%))*$Q255),0)</f>
        <v>0</v>
      </c>
      <c r="M255" s="2">
        <f ca="1">ROUND(IF(OP!$C$78&lt;(IF(OR($T255="F",$E255&gt;=111),0,AA254+$K255-$O255+IF($C$1=1,AD255,IF($C256=$C$3,SUM(AD244:AD255,0)))))*5%,0,(OP!$C$78-((IF(OR($T255="F",$E255&gt;=111),0,AA254+$K255-$O255+IF($C$1=1,AD255,IF($C256=$C$3,SUM(AD244:AD255,0)))))*5%))*$Q255),0)</f>
        <v>0</v>
      </c>
      <c r="N255" s="2">
        <f ca="1">ROUND(IF(OP!$C$78&lt;(IF(OR($T255="F",$E255&gt;=111),0,AB254+$K255-$O255+IF($C$1=1,AE255,IF($C256=$C$3,SUM(AE244:AE255,0)))))*5%,0,(OP!$C$78-((IF(OR($T255="F",$E255&gt;=111),0,AB254+$K255-$O255+IF($C$1=1,AE255,IF($C256=$C$3,SUM(AE244:AE255,0)))))*5%))*$Q255),0)</f>
        <v>0</v>
      </c>
      <c r="O255" s="261">
        <f t="shared" ca="1" si="134"/>
        <v>0</v>
      </c>
      <c r="P255" s="261">
        <f t="shared" ca="1" si="152"/>
        <v>0</v>
      </c>
      <c r="Q255" s="3">
        <f ca="1">IF(A255&gt;MAX(OP!$R$17:$R$26),0,VLOOKUP(A255,fees,3,FALSE))</f>
        <v>0</v>
      </c>
      <c r="R255" s="200">
        <f t="shared" ca="1" si="135"/>
        <v>21</v>
      </c>
      <c r="S255" s="9" t="str">
        <f ca="1">IF(COUNTIF(($T$4:T254),"F")&gt;=1,"",IF(OR(C256&lt;&gt;$C$3,E255=""),"",A255))</f>
        <v/>
      </c>
      <c r="T255" s="20" t="str">
        <f t="shared" ca="1" si="162"/>
        <v/>
      </c>
      <c r="U255" s="2">
        <f ca="1">IF(IF(OP!$C$83=1,$Z254,IF(OP!$C$83=2,$AA254,IF(OP!$C$83=3,$AB254,)))+$K255-$O255-$P255-$AS255&lt;OP!$C$142,0,$AS255)</f>
        <v>0</v>
      </c>
      <c r="V255" s="19">
        <f ca="1">SUM(K244:K255)</f>
        <v>0</v>
      </c>
      <c r="W255" s="19">
        <f ca="1">MAX(SUM($K$4:K255),0)</f>
        <v>2000000</v>
      </c>
      <c r="X255" s="19">
        <f ca="1">SUM(O244:P255)</f>
        <v>0</v>
      </c>
      <c r="Y255" s="19">
        <f t="shared" ca="1" si="153"/>
        <v>1920000</v>
      </c>
      <c r="Z255" s="2">
        <f ca="1">IF(MIN($Z$4:Z254)=0,0,MAX(0,($Z254+$K255-$O255-$P255)*IF(AND(F255="F",$D$3&lt;&gt;$G$3),((1+(-J255))^(H255/MIN(G255,365))),((1+(-J255))^(1/12)))-$U255))</f>
        <v>653878.32247318525</v>
      </c>
      <c r="AA255" s="2">
        <f ca="1">IF(MIN($AA$4:AA254)=0,0,MAX(0,($AA254+$K255-$O255-$P255)*IF(AND(F255="F",$D$3&lt;&gt;$G$3),((1+$AA$1)^(H255/MIN(G255,365))),((1+$AA$1)^(1/12)))-$U255))</f>
        <v>1920000</v>
      </c>
      <c r="AB255" s="2">
        <f ca="1">IF(MIN($AB$4:AB254)=0,0,MAX(0,($AB254+$K255-$O255-$P255)*IF(AND(F255="F",$D$3&lt;&gt;$G$3),((1+(J255))^(H255/MIN(G255,365))),((1+(J255))^(1/12)))-$U255))</f>
        <v>5349048.1735712206</v>
      </c>
      <c r="AC255" s="5"/>
      <c r="AD255" s="5"/>
      <c r="AE255" s="5"/>
      <c r="AF255" s="282">
        <f t="shared" ca="1" si="136"/>
        <v>653878</v>
      </c>
      <c r="AG255" s="282">
        <f t="shared" ca="1" si="137"/>
        <v>1920000</v>
      </c>
      <c r="AH255" s="282">
        <f t="shared" ca="1" si="138"/>
        <v>5349048</v>
      </c>
      <c r="AI255" s="23" t="str">
        <f t="shared" ca="1" si="154"/>
        <v>22-1</v>
      </c>
      <c r="AJ255" s="282">
        <f ca="1">IF(E255&gt;111,,IF(AND(OP!$C$99=1,T255="F"),Z255,IF(AND(OP!$C$99=2,COUNTIF($T$4:T255,"F")=1),OP!$C$97+IF(F255="F",OP!$C$98,0),"")))</f>
        <v>54527</v>
      </c>
      <c r="AK255" s="282">
        <f ca="1">IF(E255&gt;111,,IF(AND(OP!$D$99=1,T255="F"),AA255,IF(AND(OP!$D$99=2,COUNTIF($T$4:T255,"F")=1),OP!$D$97+IF(F255="F",OP!$D$98,0),"")))</f>
        <v>74177</v>
      </c>
      <c r="AL255" s="282">
        <f ca="1">IF(E255&gt;111,,IF(AND(OP!$E$99=1,T255="F"),AB255,IF(AND(OP!$E$99=2,COUNTIF($T$4:T255,"F")=1),OP!$E$97+IF(F255="F",OP!$E$98,0),"")))</f>
        <v>99404</v>
      </c>
      <c r="AM255" s="1">
        <f t="shared" ca="1" si="163"/>
        <v>1</v>
      </c>
      <c r="AN255" s="1" t="str">
        <f ca="1">IF(OR(VLOOKUP($A255,MP,5,0)="月繳"),1,"")</f>
        <v/>
      </c>
      <c r="AO255" s="1">
        <f t="shared" ca="1" si="139"/>
        <v>0</v>
      </c>
      <c r="AP255" s="1" t="str">
        <f ca="1">IF(AND(A255&lt;=OP!$C$120,COUNTIF(PAY,C255)=1),1,"")</f>
        <v/>
      </c>
      <c r="AR255" s="301">
        <f ca="1">IF(繳費報酬率資料!$A$1=1,$AY255+$AZ255,$BF255+$BG255)</f>
        <v>0</v>
      </c>
      <c r="AS255" s="1">
        <f ca="1">IF(C255&lt;&gt;IF($C$3=1,12,$C$3-1),0,IF(繳費報酬率資料!$A$1&lt;&gt;1,VLOOKUP($A255,MP,8,0),IF(AND($A255&gt;=OP!$C$79,$A255&lt;=OP!$C$80),OP!$C$78,)))</f>
        <v>0</v>
      </c>
      <c r="AT255" s="298">
        <f t="shared" ca="1" si="140"/>
        <v>0</v>
      </c>
      <c r="AU255" s="298">
        <f ca="1">IF(AND(A255&lt;=OP!$C$120,COUNTIF(PAY,C255)=1),OP!$C$123,0)</f>
        <v>0</v>
      </c>
      <c r="AV255" s="298">
        <f ca="1">IF(AND(A255&gt;=OP!$C$132,A255&lt;=OP!$C$133,$C$3=C255),OP!$C$135,0)</f>
        <v>0</v>
      </c>
      <c r="AW255" s="180">
        <f t="shared" ca="1" si="141"/>
        <v>0.05</v>
      </c>
      <c r="AX255" s="180">
        <f t="shared" ca="1" si="142"/>
        <v>0.05</v>
      </c>
      <c r="AY255" s="286">
        <f t="shared" ca="1" si="143"/>
        <v>0</v>
      </c>
      <c r="AZ255" s="286">
        <f t="shared" ca="1" si="144"/>
        <v>0</v>
      </c>
      <c r="BA255" s="286">
        <f t="shared" ca="1" si="145"/>
        <v>0</v>
      </c>
      <c r="BB255" s="286">
        <f t="shared" ca="1" si="146"/>
        <v>0</v>
      </c>
      <c r="BC255" s="286">
        <f t="shared" ca="1" si="147"/>
        <v>0</v>
      </c>
      <c r="BD255" s="180">
        <f t="shared" ca="1" si="148"/>
        <v>0.05</v>
      </c>
      <c r="BE255" s="180">
        <f t="shared" ca="1" si="149"/>
        <v>0.05</v>
      </c>
      <c r="BF255" s="286">
        <f t="shared" ca="1" si="150"/>
        <v>0</v>
      </c>
      <c r="BG255" s="286">
        <f t="shared" ca="1" si="151"/>
        <v>0</v>
      </c>
    </row>
    <row r="256" spans="1:59">
      <c r="A256" s="1">
        <f t="shared" ca="1" si="130"/>
        <v>22</v>
      </c>
      <c r="B256" s="1">
        <f t="shared" ca="1" si="159"/>
        <v>127</v>
      </c>
      <c r="C256" s="1">
        <f t="shared" ca="1" si="160"/>
        <v>6</v>
      </c>
      <c r="D256" s="1">
        <f ca="1">MIN($D$3,VLOOKUP(C256,OP!$S$30:$T$41,2))</f>
        <v>2</v>
      </c>
      <c r="E256" s="1">
        <f t="shared" ca="1" si="161"/>
        <v>76</v>
      </c>
      <c r="F256" s="11" t="str">
        <f t="shared" ca="1" si="131"/>
        <v/>
      </c>
      <c r="G256" s="6">
        <f ca="1">DATEDIF(DATE(B256+1911,C256,D256),DATE(B268+1911,C268,D268),"d")</f>
        <v>365</v>
      </c>
      <c r="H256" s="8">
        <f t="shared" ca="1" si="133"/>
        <v>30</v>
      </c>
      <c r="I256" s="8" t="str">
        <f t="shared" ca="1" si="129"/>
        <v>226</v>
      </c>
      <c r="J256" s="13">
        <f>IF(繳費報酬率資料!$A$1=1,VALUE(OP!$C$121),VLOOKUP(A256,MP,2,0))</f>
        <v>0.05</v>
      </c>
      <c r="K256" s="14">
        <f ca="1">IF(SUM($K$4:K255,IF(繳費報酬率資料!$A$1=1,$AU256+$AV256,$BB256+$BC256))&gt;OP!$L$58,0,IF(繳費報酬率資料!$A$1=1,$AU256+$AV256,$BB256+$BC256))</f>
        <v>0</v>
      </c>
      <c r="L256" s="2"/>
      <c r="M256" s="2"/>
      <c r="N256" s="2"/>
      <c r="O256" s="261">
        <f t="shared" ca="1" si="134"/>
        <v>0</v>
      </c>
      <c r="P256" s="261">
        <f t="shared" ca="1" si="152"/>
        <v>0</v>
      </c>
      <c r="Q256" s="3">
        <f ca="1">IF(A256&gt;MAX(OP!$R$17:$R$26),0,VLOOKUP(A256,fees,3,FALSE))</f>
        <v>0</v>
      </c>
      <c r="R256" s="200" t="str">
        <f t="shared" ca="1" si="135"/>
        <v/>
      </c>
      <c r="S256" s="9" t="str">
        <f ca="1">IF(COUNTIF(($T$4:T255),"F")&gt;=1,"",IF(OR(C257&lt;&gt;$C$3,E256=""),"",A256))</f>
        <v/>
      </c>
      <c r="T256" s="20" t="str">
        <f t="shared" ca="1" si="162"/>
        <v/>
      </c>
      <c r="U256" s="2">
        <f ca="1">IF(IF(OP!$C$83=1,$Z255,IF(OP!$C$83=2,$AA255,IF(OP!$C$83=3,$AB255,)))+$K256-$O256-$P256-$AS256&lt;OP!$C$142,0,$AS256)</f>
        <v>0</v>
      </c>
      <c r="V256" s="9"/>
      <c r="W256" s="19">
        <f ca="1">MAX(SUM($K$4:K256),0)</f>
        <v>2000000</v>
      </c>
      <c r="X256" s="19"/>
      <c r="Y256" s="19">
        <f t="shared" ca="1" si="153"/>
        <v>1920000</v>
      </c>
      <c r="Z256" s="2">
        <f ca="1">IF(MIN($Z$4:Z255)=0,0,MAX(0,($Z255+$K256-$O256-$P256)*IF(AND(F256="F",$D$3&lt;&gt;$G$3),((1+(-J256))^(H256/MIN(G256,365))),((1+(-J256))^(1/12)))-$U256))</f>
        <v>651089.32298610057</v>
      </c>
      <c r="AA256" s="2">
        <f ca="1">IF(MIN($AA$4:AA255)=0,0,MAX(0,($AA255+$K256-$O256-$P256)*IF(AND(F256="F",$D$3&lt;&gt;$G$3),((1+$AA$1)^(H256/MIN(G256,365))),((1+$AA$1)^(1/12)))-$U256))</f>
        <v>1920000</v>
      </c>
      <c r="AB256" s="2">
        <f ca="1">IF(MIN($AB$4:AB255)=0,0,MAX(0,($AB255+$K256-$O256-$P256)*IF(AND(F256="F",$D$3&lt;&gt;$G$3),((1+(J256))^(H256/MIN(G256,365))),((1+(J256))^(1/12)))-$U256))</f>
        <v>5370840.8579550479</v>
      </c>
      <c r="AC256" s="21"/>
      <c r="AD256" s="21"/>
      <c r="AE256" s="21"/>
      <c r="AF256" s="282">
        <f t="shared" ca="1" si="136"/>
        <v>651089</v>
      </c>
      <c r="AG256" s="282">
        <f t="shared" ca="1" si="137"/>
        <v>1920000</v>
      </c>
      <c r="AH256" s="282">
        <f t="shared" ca="1" si="138"/>
        <v>5370841</v>
      </c>
      <c r="AI256" s="23" t="str">
        <f t="shared" ca="1" si="154"/>
        <v>22-2</v>
      </c>
      <c r="AJ256" s="281">
        <f ca="1">IF(E256&gt;111,,IF(AND(OP!$C$99=1,T256="F"),Z256,IF(AND(OP!$C$99=2,COUNTIF($T$4:T256,"F")=1),OP!$C$97+IF(F256="F",OP!$C$98,0),"")))</f>
        <v>54527</v>
      </c>
      <c r="AK256" s="281">
        <f ca="1">IF(E256&gt;111,,IF(AND(OP!$D$99=1,T256="F"),AA256,IF(AND(OP!$D$99=2,COUNTIF($T$4:T256,"F")=1),OP!$D$97+IF(F256="F",OP!$D$98,0),"")))</f>
        <v>74177</v>
      </c>
      <c r="AL256" s="281">
        <f ca="1">IF(E256&gt;111,,IF(AND(OP!$E$99=1,T256="F"),AB256,IF(AND(OP!$E$99=2,COUNTIF($T$4:T256,"F")=1),OP!$E$97+IF(F256="F",OP!$E$98,0),"")))</f>
        <v>99404</v>
      </c>
      <c r="AM256" s="1">
        <f t="shared" ca="1" si="163"/>
        <v>2</v>
      </c>
      <c r="AN256" s="1">
        <f ca="1">IF(OR(VLOOKUP($A256,MP,5,0)="年繳",VLOOKUP($A256,MP,5,0)="半年繳",VLOOKUP($A256,MP,5,0)="季繳",VLOOKUP($A256,MP,5,0)="月繳"),1,"")</f>
        <v>1</v>
      </c>
      <c r="AO256" s="1">
        <f t="shared" ca="1" si="139"/>
        <v>0</v>
      </c>
      <c r="AP256" s="1" t="str">
        <f ca="1">IF(AND(A256&lt;=OP!$C$120,COUNTIF(PAY,C256)=1),1,"")</f>
        <v/>
      </c>
      <c r="AR256" s="301">
        <f ca="1">IF(繳費報酬率資料!$A$1=1,$AY256+$AZ256,$BF256+$BG256)</f>
        <v>0</v>
      </c>
      <c r="AS256" s="1">
        <f ca="1">IF(C256&lt;&gt;IF($C$3=1,12,$C$3-1),0,IF(繳費報酬率資料!$A$1&lt;&gt;1,VLOOKUP($A256,MP,8,0),IF(AND($A256&gt;=OP!$C$79,$A256&lt;=OP!$C$80),OP!$C$78,)))</f>
        <v>0</v>
      </c>
      <c r="AT256" s="298">
        <f t="shared" ca="1" si="140"/>
        <v>0</v>
      </c>
      <c r="AU256" s="298">
        <f ca="1">IF(AND(A256&lt;=OP!$C$120,COUNTIF(PAY,C256)=1),OP!$C$123,0)</f>
        <v>0</v>
      </c>
      <c r="AV256" s="298">
        <f ca="1">IF(AND(A256&gt;=OP!$C$132,A256&lt;=OP!$C$133,$C$3=C256),OP!$C$135,0)</f>
        <v>0</v>
      </c>
      <c r="AW256" s="180">
        <f t="shared" ca="1" si="141"/>
        <v>0.05</v>
      </c>
      <c r="AX256" s="180">
        <f t="shared" ca="1" si="142"/>
        <v>0.05</v>
      </c>
      <c r="AY256" s="286">
        <f t="shared" ca="1" si="143"/>
        <v>0</v>
      </c>
      <c r="AZ256" s="286">
        <f t="shared" ca="1" si="144"/>
        <v>0</v>
      </c>
      <c r="BA256" s="286">
        <f t="shared" ca="1" si="145"/>
        <v>0</v>
      </c>
      <c r="BB256" s="286">
        <f t="shared" ca="1" si="146"/>
        <v>0</v>
      </c>
      <c r="BC256" s="286">
        <f t="shared" ca="1" si="147"/>
        <v>0</v>
      </c>
      <c r="BD256" s="180">
        <f t="shared" ca="1" si="148"/>
        <v>0.05</v>
      </c>
      <c r="BE256" s="180">
        <f t="shared" ca="1" si="149"/>
        <v>0.05</v>
      </c>
      <c r="BF256" s="286">
        <f t="shared" ca="1" si="150"/>
        <v>0</v>
      </c>
      <c r="BG256" s="286">
        <f t="shared" ca="1" si="151"/>
        <v>0</v>
      </c>
    </row>
    <row r="257" spans="1:59">
      <c r="A257" s="1">
        <f t="shared" ca="1" si="130"/>
        <v>22</v>
      </c>
      <c r="B257" s="1">
        <f t="shared" ca="1" si="159"/>
        <v>127</v>
      </c>
      <c r="C257" s="1">
        <f t="shared" ca="1" si="160"/>
        <v>7</v>
      </c>
      <c r="D257" s="1">
        <f ca="1">MIN($D$3,VLOOKUP(C257,OP!$S$30:$T$41,2))</f>
        <v>2</v>
      </c>
      <c r="E257" s="1">
        <f t="shared" ca="1" si="161"/>
        <v>76</v>
      </c>
      <c r="F257" s="11" t="str">
        <f t="shared" ca="1" si="131"/>
        <v/>
      </c>
      <c r="G257" s="8">
        <f t="shared" ref="G257:G267" ca="1" si="164">G256</f>
        <v>365</v>
      </c>
      <c r="H257" s="8">
        <f t="shared" ca="1" si="133"/>
        <v>31</v>
      </c>
      <c r="I257" s="8" t="str">
        <f t="shared" ca="1" si="129"/>
        <v>227</v>
      </c>
      <c r="J257" s="13">
        <f>IF(繳費報酬率資料!$A$1=1,VALUE(OP!$C$121),VLOOKUP(A257,MP,2,0))</f>
        <v>0.05</v>
      </c>
      <c r="K257" s="14">
        <f ca="1">IF(SUM($K$4:K256,IF(繳費報酬率資料!$A$1=1,$AU257+$AV257,$BB257+$BC257))&gt;OP!$L$58,0,IF(繳費報酬率資料!$A$1=1,$AU257+$AV257,$BB257+$BC257))</f>
        <v>0</v>
      </c>
      <c r="L257" s="2"/>
      <c r="M257" s="2"/>
      <c r="N257" s="2"/>
      <c r="O257" s="261">
        <f t="shared" ca="1" si="134"/>
        <v>0</v>
      </c>
      <c r="P257" s="261">
        <f t="shared" ca="1" si="152"/>
        <v>0</v>
      </c>
      <c r="Q257" s="3">
        <f ca="1">IF(A257&gt;MAX(OP!$R$17:$R$26),0,VLOOKUP(A257,fees,3,FALSE))</f>
        <v>0</v>
      </c>
      <c r="R257" s="200" t="str">
        <f t="shared" ca="1" si="135"/>
        <v/>
      </c>
      <c r="S257" s="9" t="str">
        <f ca="1">IF(COUNTIF(($T$4:T256),"F")&gt;=1,"",IF(OR(C258&lt;&gt;$C$3,E257=""),"",A257))</f>
        <v/>
      </c>
      <c r="T257" s="20" t="str">
        <f t="shared" ca="1" si="162"/>
        <v/>
      </c>
      <c r="U257" s="2">
        <f ca="1">IF(IF(OP!$C$83=1,$Z256,IF(OP!$C$83=2,$AA256,IF(OP!$C$83=3,$AB256,)))+$K257-$O257-$P257-$AS257&lt;OP!$C$142,0,$AS257)</f>
        <v>0</v>
      </c>
      <c r="V257" s="9"/>
      <c r="W257" s="19">
        <f ca="1">MAX(SUM($K$4:K257),0)</f>
        <v>2000000</v>
      </c>
      <c r="X257" s="19"/>
      <c r="Y257" s="19">
        <f t="shared" ca="1" si="153"/>
        <v>1920000</v>
      </c>
      <c r="Z257" s="2">
        <f ca="1">IF(MIN($Z$4:Z256)=0,0,MAX(0,($Z256+$K257-$O257-$P257)*IF(AND(F257="F",$D$3&lt;&gt;$G$3),((1+(-J257))^(H257/MIN(G257,365))),((1+(-J257))^(1/12)))-$U257))</f>
        <v>648312.21947089874</v>
      </c>
      <c r="AA257" s="2">
        <f ca="1">IF(MIN($AA$4:AA256)=0,0,MAX(0,($AA256+$K257-$O257-$P257)*IF(AND(F257="F",$D$3&lt;&gt;$G$3),((1+$AA$1)^(H257/MIN(G257,365))),((1+$AA$1)^(1/12)))-$U257))</f>
        <v>1920000</v>
      </c>
      <c r="AB257" s="2">
        <f ca="1">IF(MIN($AB$4:AB256)=0,0,MAX(0,($AB256+$K257-$O257-$P257)*IF(AND(F257="F",$D$3&lt;&gt;$G$3),((1+(J257))^(H257/MIN(G257,365))),((1+(J257))^(1/12)))-$U257))</f>
        <v>5392722.3284326326</v>
      </c>
      <c r="AC257" s="5"/>
      <c r="AD257" s="5"/>
      <c r="AE257" s="5"/>
      <c r="AF257" s="282">
        <f t="shared" ca="1" si="136"/>
        <v>648312</v>
      </c>
      <c r="AG257" s="282">
        <f t="shared" ca="1" si="137"/>
        <v>1920000</v>
      </c>
      <c r="AH257" s="282">
        <f t="shared" ca="1" si="138"/>
        <v>5392722</v>
      </c>
      <c r="AI257" s="23" t="str">
        <f t="shared" ca="1" si="154"/>
        <v>22-3</v>
      </c>
      <c r="AJ257" s="282">
        <f ca="1">IF(E257&gt;111,,IF(AND(OP!$C$99=1,T257="F"),Z257,IF(AND(OP!$C$99=2,COUNTIF($T$4:T257,"F")=1),OP!$C$97+IF(F257="F",OP!$C$98,0),"")))</f>
        <v>54527</v>
      </c>
      <c r="AK257" s="282">
        <f ca="1">IF(E257&gt;111,,IF(AND(OP!$D$99=1,T257="F"),AA257,IF(AND(OP!$D$99=2,COUNTIF($T$4:T257,"F")=1),OP!$D$97+IF(F257="F",OP!$D$98,0),"")))</f>
        <v>74177</v>
      </c>
      <c r="AL257" s="282">
        <f ca="1">IF(E257&gt;111,,IF(AND(OP!$E$99=1,T257="F"),AB257,IF(AND(OP!$E$99=2,COUNTIF($T$4:T257,"F")=1),OP!$E$97+IF(F257="F",OP!$E$98,0),"")))</f>
        <v>99404</v>
      </c>
      <c r="AM257" s="1">
        <f t="shared" ca="1" si="163"/>
        <v>3</v>
      </c>
      <c r="AN257" s="1" t="str">
        <f ca="1">IF(OR(VLOOKUP($A257,MP,5,0)="月繳"),1,"")</f>
        <v/>
      </c>
      <c r="AO257" s="1">
        <f t="shared" ca="1" si="139"/>
        <v>0</v>
      </c>
      <c r="AP257" s="1" t="str">
        <f ca="1">IF(AND(A257&lt;=OP!$C$120,COUNTIF(PAY,C257)=1),1,"")</f>
        <v/>
      </c>
      <c r="AR257" s="301">
        <f ca="1">IF(繳費報酬率資料!$A$1=1,$AY257+$AZ257,$BF257+$BG257)</f>
        <v>0</v>
      </c>
      <c r="AS257" s="1">
        <f ca="1">IF(C257&lt;&gt;IF($C$3=1,12,$C$3-1),0,IF(繳費報酬率資料!$A$1&lt;&gt;1,VLOOKUP($A257,MP,8,0),IF(AND($A257&gt;=OP!$C$79,$A257&lt;=OP!$C$80),OP!$C$78,)))</f>
        <v>0</v>
      </c>
      <c r="AT257" s="298">
        <f t="shared" ca="1" si="140"/>
        <v>0</v>
      </c>
      <c r="AU257" s="298">
        <f ca="1">IF(AND(A257&lt;=OP!$C$120,COUNTIF(PAY,C257)=1),OP!$C$123,0)</f>
        <v>0</v>
      </c>
      <c r="AV257" s="298">
        <f ca="1">IF(AND(A257&gt;=OP!$C$132,A257&lt;=OP!$C$133,$C$3=C257),OP!$C$135,0)</f>
        <v>0</v>
      </c>
      <c r="AW257" s="180">
        <f t="shared" ca="1" si="141"/>
        <v>0.05</v>
      </c>
      <c r="AX257" s="180">
        <f t="shared" ca="1" si="142"/>
        <v>0.05</v>
      </c>
      <c r="AY257" s="286">
        <f t="shared" ca="1" si="143"/>
        <v>0</v>
      </c>
      <c r="AZ257" s="286">
        <f t="shared" ca="1" si="144"/>
        <v>0</v>
      </c>
      <c r="BA257" s="286">
        <f t="shared" ca="1" si="145"/>
        <v>0</v>
      </c>
      <c r="BB257" s="286">
        <f t="shared" ca="1" si="146"/>
        <v>0</v>
      </c>
      <c r="BC257" s="286">
        <f t="shared" ca="1" si="147"/>
        <v>0</v>
      </c>
      <c r="BD257" s="180">
        <f t="shared" ca="1" si="148"/>
        <v>0.05</v>
      </c>
      <c r="BE257" s="180">
        <f t="shared" ca="1" si="149"/>
        <v>0.05</v>
      </c>
      <c r="BF257" s="286">
        <f t="shared" ca="1" si="150"/>
        <v>0</v>
      </c>
      <c r="BG257" s="286">
        <f t="shared" ca="1" si="151"/>
        <v>0</v>
      </c>
    </row>
    <row r="258" spans="1:59">
      <c r="A258" s="1">
        <f t="shared" ca="1" si="130"/>
        <v>22</v>
      </c>
      <c r="B258" s="1">
        <f t="shared" ca="1" si="159"/>
        <v>127</v>
      </c>
      <c r="C258" s="1">
        <f t="shared" ca="1" si="160"/>
        <v>8</v>
      </c>
      <c r="D258" s="1">
        <f ca="1">MIN($D$3,VLOOKUP(C258,OP!$S$30:$T$41,2))</f>
        <v>2</v>
      </c>
      <c r="E258" s="1">
        <f t="shared" ca="1" si="161"/>
        <v>76</v>
      </c>
      <c r="F258" s="11" t="str">
        <f t="shared" ca="1" si="131"/>
        <v/>
      </c>
      <c r="G258" s="8">
        <f t="shared" ca="1" si="164"/>
        <v>365</v>
      </c>
      <c r="H258" s="8">
        <f t="shared" ca="1" si="133"/>
        <v>31</v>
      </c>
      <c r="I258" s="8" t="str">
        <f t="shared" ca="1" si="129"/>
        <v>228</v>
      </c>
      <c r="J258" s="13">
        <f>IF(繳費報酬率資料!$A$1=1,VALUE(OP!$C$121),VLOOKUP(A258,MP,2,0))</f>
        <v>0.05</v>
      </c>
      <c r="K258" s="14">
        <f ca="1">IF(SUM($K$4:K257,IF(繳費報酬率資料!$A$1=1,$AU258+$AV258,$BB258+$BC258))&gt;OP!$L$58,0,IF(繳費報酬率資料!$A$1=1,$AU258+$AV258,$BB258+$BC258))</f>
        <v>0</v>
      </c>
      <c r="L258" s="2"/>
      <c r="M258" s="2"/>
      <c r="N258" s="2"/>
      <c r="O258" s="261">
        <f t="shared" ca="1" si="134"/>
        <v>0</v>
      </c>
      <c r="P258" s="261">
        <f t="shared" ca="1" si="152"/>
        <v>0</v>
      </c>
      <c r="Q258" s="3">
        <f ca="1">IF(A258&gt;MAX(OP!$R$17:$R$26),0,VLOOKUP(A258,fees,3,FALSE))</f>
        <v>0</v>
      </c>
      <c r="R258" s="200" t="str">
        <f t="shared" ca="1" si="135"/>
        <v/>
      </c>
      <c r="S258" s="9" t="str">
        <f ca="1">IF(COUNTIF(($T$4:T257),"F")&gt;=1,"",IF(OR(C259&lt;&gt;$C$3,E258=""),"",A258))</f>
        <v/>
      </c>
      <c r="T258" s="20" t="str">
        <f t="shared" ca="1" si="162"/>
        <v/>
      </c>
      <c r="U258" s="2">
        <f ca="1">IF(IF(OP!$C$83=1,$Z257,IF(OP!$C$83=2,$AA257,IF(OP!$C$83=3,$AB257,)))+$K258-$O258-$P258-$AS258&lt;OP!$C$142,0,$AS258)</f>
        <v>0</v>
      </c>
      <c r="V258" s="9"/>
      <c r="W258" s="19">
        <f ca="1">MAX(SUM($K$4:K258),0)</f>
        <v>2000000</v>
      </c>
      <c r="X258" s="19"/>
      <c r="Y258" s="19">
        <f t="shared" ca="1" si="153"/>
        <v>1920000</v>
      </c>
      <c r="Z258" s="2">
        <f ca="1">IF(MIN($Z$4:Z257)=0,0,MAX(0,($Z257+$K258-$O258-$P258)*IF(AND(F258="F",$D$3&lt;&gt;$G$3),((1+(-J258))^(H258/MIN(G258,365))),((1+(-J258))^(1/12)))-$U258))</f>
        <v>645546.96118746744</v>
      </c>
      <c r="AA258" s="2">
        <f ca="1">IF(MIN($AA$4:AA257)=0,0,MAX(0,($AA257+$K258-$O258-$P258)*IF(AND(F258="F",$D$3&lt;&gt;$G$3),((1+$AA$1)^(H258/MIN(G258,365))),((1+$AA$1)^(1/12)))-$U258))</f>
        <v>1920000</v>
      </c>
      <c r="AB258" s="2">
        <f ca="1">IF(MIN($AB$4:AB257)=0,0,MAX(0,($AB257+$K258-$O258-$P258)*IF(AND(F258="F",$D$3&lt;&gt;$G$3),((1+(J258))^(H258/MIN(G258,365))),((1+(J258))^(1/12)))-$U258))</f>
        <v>5414692.946729512</v>
      </c>
      <c r="AC258" s="5"/>
      <c r="AD258" s="5"/>
      <c r="AE258" s="5"/>
      <c r="AF258" s="282">
        <f t="shared" ca="1" si="136"/>
        <v>645547</v>
      </c>
      <c r="AG258" s="282">
        <f t="shared" ca="1" si="137"/>
        <v>1920000</v>
      </c>
      <c r="AH258" s="282">
        <f t="shared" ca="1" si="138"/>
        <v>5414693</v>
      </c>
      <c r="AI258" s="23" t="str">
        <f t="shared" ca="1" si="154"/>
        <v>22-4</v>
      </c>
      <c r="AJ258" s="282">
        <f ca="1">IF(E258&gt;111,,IF(AND(OP!$C$99=1,T258="F"),Z258,IF(AND(OP!$C$99=2,COUNTIF($T$4:T258,"F")=1),OP!$C$97+IF(F258="F",OP!$C$98,0),"")))</f>
        <v>54527</v>
      </c>
      <c r="AK258" s="282">
        <f ca="1">IF(E258&gt;111,,IF(AND(OP!$D$99=1,T258="F"),AA258,IF(AND(OP!$D$99=2,COUNTIF($T$4:T258,"F")=1),OP!$D$97+IF(F258="F",OP!$D$98,0),"")))</f>
        <v>74177</v>
      </c>
      <c r="AL258" s="282">
        <f ca="1">IF(E258&gt;111,,IF(AND(OP!$E$99=1,T258="F"),AB258,IF(AND(OP!$E$99=2,COUNTIF($T$4:T258,"F")=1),OP!$E$97+IF(F258="F",OP!$E$98,0),"")))</f>
        <v>99404</v>
      </c>
      <c r="AM258" s="1">
        <f t="shared" ca="1" si="163"/>
        <v>4</v>
      </c>
      <c r="AN258" s="1" t="str">
        <f ca="1">IF(OR(VLOOKUP($A258,MP,5,0)="月繳"),1,"")</f>
        <v/>
      </c>
      <c r="AO258" s="1">
        <f t="shared" ca="1" si="139"/>
        <v>0</v>
      </c>
      <c r="AP258" s="1" t="str">
        <f ca="1">IF(AND(A258&lt;=OP!$C$120,COUNTIF(PAY,C258)=1),1,"")</f>
        <v/>
      </c>
      <c r="AR258" s="301">
        <f ca="1">IF(繳費報酬率資料!$A$1=1,$AY258+$AZ258,$BF258+$BG258)</f>
        <v>0</v>
      </c>
      <c r="AS258" s="1">
        <f ca="1">IF(C258&lt;&gt;IF($C$3=1,12,$C$3-1),0,IF(繳費報酬率資料!$A$1&lt;&gt;1,VLOOKUP($A258,MP,8,0),IF(AND($A258&gt;=OP!$C$79,$A258&lt;=OP!$C$80),OP!$C$78,)))</f>
        <v>0</v>
      </c>
      <c r="AT258" s="298">
        <f t="shared" ca="1" si="140"/>
        <v>0</v>
      </c>
      <c r="AU258" s="298">
        <f ca="1">IF(AND(A258&lt;=OP!$C$120,COUNTIF(PAY,C258)=1),OP!$C$123,0)</f>
        <v>0</v>
      </c>
      <c r="AV258" s="298">
        <f ca="1">IF(AND(A258&gt;=OP!$C$132,A258&lt;=OP!$C$133,$C$3=C258),OP!$C$135,0)</f>
        <v>0</v>
      </c>
      <c r="AW258" s="180">
        <f t="shared" ca="1" si="141"/>
        <v>0.05</v>
      </c>
      <c r="AX258" s="180">
        <f t="shared" ca="1" si="142"/>
        <v>0.05</v>
      </c>
      <c r="AY258" s="286">
        <f t="shared" ca="1" si="143"/>
        <v>0</v>
      </c>
      <c r="AZ258" s="286">
        <f t="shared" ca="1" si="144"/>
        <v>0</v>
      </c>
      <c r="BA258" s="286">
        <f t="shared" ca="1" si="145"/>
        <v>0</v>
      </c>
      <c r="BB258" s="286">
        <f t="shared" ca="1" si="146"/>
        <v>0</v>
      </c>
      <c r="BC258" s="286">
        <f t="shared" ca="1" si="147"/>
        <v>0</v>
      </c>
      <c r="BD258" s="180">
        <f t="shared" ca="1" si="148"/>
        <v>0.05</v>
      </c>
      <c r="BE258" s="180">
        <f t="shared" ca="1" si="149"/>
        <v>0.05</v>
      </c>
      <c r="BF258" s="286">
        <f t="shared" ca="1" si="150"/>
        <v>0</v>
      </c>
      <c r="BG258" s="286">
        <f t="shared" ca="1" si="151"/>
        <v>0</v>
      </c>
    </row>
    <row r="259" spans="1:59">
      <c r="A259" s="1">
        <f t="shared" ca="1" si="130"/>
        <v>22</v>
      </c>
      <c r="B259" s="1">
        <f t="shared" ca="1" si="159"/>
        <v>127</v>
      </c>
      <c r="C259" s="1">
        <f t="shared" ca="1" si="160"/>
        <v>9</v>
      </c>
      <c r="D259" s="1">
        <f ca="1">MIN($D$3,VLOOKUP(C259,OP!$S$30:$T$41,2))</f>
        <v>2</v>
      </c>
      <c r="E259" s="1">
        <f t="shared" ca="1" si="161"/>
        <v>76</v>
      </c>
      <c r="F259" s="11" t="str">
        <f t="shared" ca="1" si="131"/>
        <v/>
      </c>
      <c r="G259" s="8">
        <f t="shared" ca="1" si="164"/>
        <v>365</v>
      </c>
      <c r="H259" s="8">
        <f t="shared" ca="1" si="133"/>
        <v>30</v>
      </c>
      <c r="I259" s="8" t="str">
        <f t="shared" ca="1" si="129"/>
        <v>229</v>
      </c>
      <c r="J259" s="13">
        <f>IF(繳費報酬率資料!$A$1=1,VALUE(OP!$C$121),VLOOKUP(A259,MP,2,0))</f>
        <v>0.05</v>
      </c>
      <c r="K259" s="14">
        <f ca="1">IF(SUM($K$4:K258,IF(繳費報酬率資料!$A$1=1,$AU259+$AV259,$BB259+$BC259))&gt;OP!$L$58,0,IF(繳費報酬率資料!$A$1=1,$AU259+$AV259,$BB259+$BC259))</f>
        <v>0</v>
      </c>
      <c r="L259" s="2"/>
      <c r="M259" s="2"/>
      <c r="N259" s="2"/>
      <c r="O259" s="261">
        <f t="shared" ca="1" si="134"/>
        <v>0</v>
      </c>
      <c r="P259" s="261">
        <f t="shared" ca="1" si="152"/>
        <v>0</v>
      </c>
      <c r="Q259" s="3">
        <f ca="1">IF(A259&gt;MAX(OP!$R$17:$R$26),0,VLOOKUP(A259,fees,3,FALSE))</f>
        <v>0</v>
      </c>
      <c r="R259" s="200" t="str">
        <f t="shared" ca="1" si="135"/>
        <v/>
      </c>
      <c r="S259" s="9" t="str">
        <f ca="1">IF(COUNTIF(($T$4:T258),"F")&gt;=1,"",IF(OR(C260&lt;&gt;$C$3,E259=""),"",A259))</f>
        <v/>
      </c>
      <c r="T259" s="20" t="str">
        <f t="shared" ca="1" si="162"/>
        <v/>
      </c>
      <c r="U259" s="2">
        <f ca="1">IF(IF(OP!$C$83=1,$Z258,IF(OP!$C$83=2,$AA258,IF(OP!$C$83=3,$AB258,)))+$K259-$O259-$P259-$AS259&lt;OP!$C$142,0,$AS259)</f>
        <v>0</v>
      </c>
      <c r="V259" s="9"/>
      <c r="W259" s="19">
        <f ca="1">MAX(SUM($K$4:K259),0)</f>
        <v>2000000</v>
      </c>
      <c r="X259" s="19"/>
      <c r="Y259" s="19">
        <f t="shared" ca="1" si="153"/>
        <v>1920000</v>
      </c>
      <c r="Z259" s="2">
        <f ca="1">IF(MIN($Z$4:Z258)=0,0,MAX(0,($Z258+$K259-$O259-$P259)*IF(AND(F259="F",$D$3&lt;&gt;$G$3),((1+(-J259))^(H259/MIN(G259,365))),((1+(-J259))^(1/12)))-$U259))</f>
        <v>642793.49761211732</v>
      </c>
      <c r="AA259" s="2">
        <f ca="1">IF(MIN($AA$4:AA258)=0,0,MAX(0,($AA258+$K259-$O259-$P259)*IF(AND(F259="F",$D$3&lt;&gt;$G$3),((1+$AA$1)^(H259/MIN(G259,365))),((1+$AA$1)^(1/12)))-$U259))</f>
        <v>1920000</v>
      </c>
      <c r="AB259" s="2">
        <f ca="1">IF(MIN($AB$4:AB258)=0,0,MAX(0,($AB258+$K259-$O259-$P259)*IF(AND(F259="F",$D$3&lt;&gt;$G$3),((1+(J259))^(H259/MIN(G259,365))),((1+(J259))^(1/12)))-$U259))</f>
        <v>5436753.0760449357</v>
      </c>
      <c r="AC259" s="5"/>
      <c r="AD259" s="5"/>
      <c r="AE259" s="5"/>
      <c r="AF259" s="282">
        <f t="shared" ca="1" si="136"/>
        <v>642793</v>
      </c>
      <c r="AG259" s="282">
        <f t="shared" ca="1" si="137"/>
        <v>1920000</v>
      </c>
      <c r="AH259" s="282">
        <f t="shared" ca="1" si="138"/>
        <v>5436753</v>
      </c>
      <c r="AI259" s="23" t="str">
        <f t="shared" ca="1" si="154"/>
        <v>22-5</v>
      </c>
      <c r="AJ259" s="282">
        <f ca="1">IF(E259&gt;111,,IF(AND(OP!$C$99=1,T259="F"),Z259,IF(AND(OP!$C$99=2,COUNTIF($T$4:T259,"F")=1),OP!$C$97+IF(F259="F",OP!$C$98,0),"")))</f>
        <v>54527</v>
      </c>
      <c r="AK259" s="282">
        <f ca="1">IF(E259&gt;111,,IF(AND(OP!$D$99=1,T259="F"),AA259,IF(AND(OP!$D$99=2,COUNTIF($T$4:T259,"F")=1),OP!$D$97+IF(F259="F",OP!$D$98,0),"")))</f>
        <v>74177</v>
      </c>
      <c r="AL259" s="282">
        <f ca="1">IF(E259&gt;111,,IF(AND(OP!$E$99=1,T259="F"),AB259,IF(AND(OP!$E$99=2,COUNTIF($T$4:T259,"F")=1),OP!$E$97+IF(F259="F",OP!$E$98,0),"")))</f>
        <v>99404</v>
      </c>
      <c r="AM259" s="1">
        <f t="shared" ca="1" si="163"/>
        <v>5</v>
      </c>
      <c r="AN259" s="1" t="str">
        <f ca="1">IF(OR(VLOOKUP($A259,MP,5,0)="季繳",VLOOKUP($A259,MP,5,0)="月繳"),1,"")</f>
        <v/>
      </c>
      <c r="AO259" s="1">
        <f t="shared" ca="1" si="139"/>
        <v>0</v>
      </c>
      <c r="AP259" s="1" t="str">
        <f ca="1">IF(AND(A259&lt;=OP!$C$120,COUNTIF(PAY,C259)=1),1,"")</f>
        <v/>
      </c>
      <c r="AR259" s="301">
        <f ca="1">IF(繳費報酬率資料!$A$1=1,$AY259+$AZ259,$BF259+$BG259)</f>
        <v>0</v>
      </c>
      <c r="AS259" s="1">
        <f ca="1">IF(C259&lt;&gt;IF($C$3=1,12,$C$3-1),0,IF(繳費報酬率資料!$A$1&lt;&gt;1,VLOOKUP($A259,MP,8,0),IF(AND($A259&gt;=OP!$C$79,$A259&lt;=OP!$C$80),OP!$C$78,)))</f>
        <v>0</v>
      </c>
      <c r="AT259" s="298">
        <f t="shared" ca="1" si="140"/>
        <v>0</v>
      </c>
      <c r="AU259" s="298">
        <f ca="1">IF(AND(A259&lt;=OP!$C$120,COUNTIF(PAY,C259)=1),OP!$C$123,0)</f>
        <v>0</v>
      </c>
      <c r="AV259" s="298">
        <f ca="1">IF(AND(A259&gt;=OP!$C$132,A259&lt;=OP!$C$133,$C$3=C259),OP!$C$135,0)</f>
        <v>0</v>
      </c>
      <c r="AW259" s="180">
        <f t="shared" ca="1" si="141"/>
        <v>0.05</v>
      </c>
      <c r="AX259" s="180">
        <f t="shared" ca="1" si="142"/>
        <v>0.05</v>
      </c>
      <c r="AY259" s="286">
        <f t="shared" ca="1" si="143"/>
        <v>0</v>
      </c>
      <c r="AZ259" s="286">
        <f t="shared" ca="1" si="144"/>
        <v>0</v>
      </c>
      <c r="BA259" s="286">
        <f t="shared" ca="1" si="145"/>
        <v>0</v>
      </c>
      <c r="BB259" s="286">
        <f t="shared" ca="1" si="146"/>
        <v>0</v>
      </c>
      <c r="BC259" s="286">
        <f t="shared" ca="1" si="147"/>
        <v>0</v>
      </c>
      <c r="BD259" s="180">
        <f t="shared" ca="1" si="148"/>
        <v>0.05</v>
      </c>
      <c r="BE259" s="180">
        <f t="shared" ca="1" si="149"/>
        <v>0.05</v>
      </c>
      <c r="BF259" s="286">
        <f t="shared" ca="1" si="150"/>
        <v>0</v>
      </c>
      <c r="BG259" s="286">
        <f t="shared" ca="1" si="151"/>
        <v>0</v>
      </c>
    </row>
    <row r="260" spans="1:59">
      <c r="A260" s="1">
        <f t="shared" ca="1" si="130"/>
        <v>22</v>
      </c>
      <c r="B260" s="1">
        <f t="shared" ca="1" si="159"/>
        <v>127</v>
      </c>
      <c r="C260" s="1">
        <f t="shared" ca="1" si="160"/>
        <v>10</v>
      </c>
      <c r="D260" s="1">
        <f ca="1">MIN($D$3,VLOOKUP(C260,OP!$S$30:$T$41,2))</f>
        <v>2</v>
      </c>
      <c r="E260" s="1">
        <f t="shared" ca="1" si="161"/>
        <v>76</v>
      </c>
      <c r="F260" s="11" t="str">
        <f t="shared" ca="1" si="131"/>
        <v/>
      </c>
      <c r="G260" s="8">
        <f t="shared" ca="1" si="164"/>
        <v>365</v>
      </c>
      <c r="H260" s="8">
        <f t="shared" ca="1" si="133"/>
        <v>31</v>
      </c>
      <c r="I260" s="8" t="str">
        <f t="shared" ref="I260:I323" ca="1" si="165">A260&amp;C260</f>
        <v>2210</v>
      </c>
      <c r="J260" s="13">
        <f>IF(繳費報酬率資料!$A$1=1,VALUE(OP!$C$121),VLOOKUP(A260,MP,2,0))</f>
        <v>0.05</v>
      </c>
      <c r="K260" s="14">
        <f ca="1">IF(SUM($K$4:K259,IF(繳費報酬率資料!$A$1=1,$AU260+$AV260,$BB260+$BC260))&gt;OP!$L$58,0,IF(繳費報酬率資料!$A$1=1,$AU260+$AV260,$BB260+$BC260))</f>
        <v>0</v>
      </c>
      <c r="L260" s="2"/>
      <c r="M260" s="2"/>
      <c r="N260" s="2"/>
      <c r="O260" s="261">
        <f t="shared" ca="1" si="134"/>
        <v>0</v>
      </c>
      <c r="P260" s="261">
        <f t="shared" ca="1" si="152"/>
        <v>0</v>
      </c>
      <c r="Q260" s="3">
        <f ca="1">IF(A260&gt;MAX(OP!$R$17:$R$26),0,VLOOKUP(A260,fees,3,FALSE))</f>
        <v>0</v>
      </c>
      <c r="R260" s="200" t="str">
        <f t="shared" ca="1" si="135"/>
        <v/>
      </c>
      <c r="S260" s="9" t="str">
        <f ca="1">IF(COUNTIF(($T$4:T259),"F")&gt;=1,"",IF(OR(C261&lt;&gt;$C$3,E260=""),"",A260))</f>
        <v/>
      </c>
      <c r="T260" s="20" t="str">
        <f t="shared" ca="1" si="162"/>
        <v/>
      </c>
      <c r="U260" s="2">
        <f ca="1">IF(IF(OP!$C$83=1,$Z259,IF(OP!$C$83=2,$AA259,IF(OP!$C$83=3,$AB259,)))+$K260-$O260-$P260-$AS260&lt;OP!$C$142,0,$AS260)</f>
        <v>0</v>
      </c>
      <c r="V260" s="9"/>
      <c r="W260" s="19">
        <f ca="1">MAX(SUM($K$4:K260),0)</f>
        <v>2000000</v>
      </c>
      <c r="X260" s="19"/>
      <c r="Y260" s="19">
        <f t="shared" ca="1" si="153"/>
        <v>1920000</v>
      </c>
      <c r="Z260" s="2">
        <f ca="1">IF(MIN($Z$4:Z259)=0,0,MAX(0,($Z259+$K260-$O260-$P260)*IF(AND(F260="F",$D$3&lt;&gt;$G$3),((1+(-J260))^(H260/MIN(G260,365))),((1+(-J260))^(1/12)))-$U260))</f>
        <v>640051.77843665844</v>
      </c>
      <c r="AA260" s="2">
        <f ca="1">IF(MIN($AA$4:AA259)=0,0,MAX(0,($AA259+$K260-$O260-$P260)*IF(AND(F260="F",$D$3&lt;&gt;$G$3),((1+$AA$1)^(H260/MIN(G260,365))),((1+$AA$1)^(1/12)))-$U260))</f>
        <v>1920000</v>
      </c>
      <c r="AB260" s="2">
        <f ca="1">IF(MIN($AB$4:AB259)=0,0,MAX(0,($AB259+$K260-$O260-$P260)*IF(AND(F260="F",$D$3&lt;&gt;$G$3),((1+(J260))^(H260/MIN(G260,365))),((1+(J260))^(1/12)))-$U260))</f>
        <v>5458903.0810578736</v>
      </c>
      <c r="AC260" s="5"/>
      <c r="AD260" s="5"/>
      <c r="AE260" s="5"/>
      <c r="AF260" s="282">
        <f t="shared" ca="1" si="136"/>
        <v>640052</v>
      </c>
      <c r="AG260" s="282">
        <f t="shared" ca="1" si="137"/>
        <v>1920000</v>
      </c>
      <c r="AH260" s="282">
        <f t="shared" ca="1" si="138"/>
        <v>5458903</v>
      </c>
      <c r="AI260" s="23" t="str">
        <f t="shared" ca="1" si="154"/>
        <v>22-6</v>
      </c>
      <c r="AJ260" s="282">
        <f ca="1">IF(E260&gt;111,,IF(AND(OP!$C$99=1,T260="F"),Z260,IF(AND(OP!$C$99=2,COUNTIF($T$4:T260,"F")=1),OP!$C$97+IF(F260="F",OP!$C$98,0),"")))</f>
        <v>54527</v>
      </c>
      <c r="AK260" s="282">
        <f ca="1">IF(E260&gt;111,,IF(AND(OP!$D$99=1,T260="F"),AA260,IF(AND(OP!$D$99=2,COUNTIF($T$4:T260,"F")=1),OP!$D$97+IF(F260="F",OP!$D$98,0),"")))</f>
        <v>74177</v>
      </c>
      <c r="AL260" s="282">
        <f ca="1">IF(E260&gt;111,,IF(AND(OP!$E$99=1,T260="F"),AB260,IF(AND(OP!$E$99=2,COUNTIF($T$4:T260,"F")=1),OP!$E$97+IF(F260="F",OP!$E$98,0),"")))</f>
        <v>99404</v>
      </c>
      <c r="AM260" s="1">
        <f t="shared" ca="1" si="163"/>
        <v>6</v>
      </c>
      <c r="AN260" s="1" t="str">
        <f ca="1">IF(OR(VLOOKUP($A260,MP,5,0)="月繳"),1,"")</f>
        <v/>
      </c>
      <c r="AO260" s="1">
        <f t="shared" ca="1" si="139"/>
        <v>0</v>
      </c>
      <c r="AP260" s="1" t="str">
        <f ca="1">IF(AND(A260&lt;=OP!$C$120,COUNTIF(PAY,C260)=1),1,"")</f>
        <v/>
      </c>
      <c r="AR260" s="301">
        <f ca="1">IF(繳費報酬率資料!$A$1=1,$AY260+$AZ260,$BF260+$BG260)</f>
        <v>0</v>
      </c>
      <c r="AS260" s="1">
        <f ca="1">IF(C260&lt;&gt;IF($C$3=1,12,$C$3-1),0,IF(繳費報酬率資料!$A$1&lt;&gt;1,VLOOKUP($A260,MP,8,0),IF(AND($A260&gt;=OP!$C$79,$A260&lt;=OP!$C$80),OP!$C$78,)))</f>
        <v>0</v>
      </c>
      <c r="AT260" s="298">
        <f t="shared" ca="1" si="140"/>
        <v>0</v>
      </c>
      <c r="AU260" s="298">
        <f ca="1">IF(AND(A260&lt;=OP!$C$120,COUNTIF(PAY,C260)=1),OP!$C$123,0)</f>
        <v>0</v>
      </c>
      <c r="AV260" s="298">
        <f ca="1">IF(AND(A260&gt;=OP!$C$132,A260&lt;=OP!$C$133,$C$3=C260),OP!$C$135,0)</f>
        <v>0</v>
      </c>
      <c r="AW260" s="180">
        <f t="shared" ca="1" si="141"/>
        <v>0.05</v>
      </c>
      <c r="AX260" s="180">
        <f t="shared" ca="1" si="142"/>
        <v>0.05</v>
      </c>
      <c r="AY260" s="286">
        <f t="shared" ca="1" si="143"/>
        <v>0</v>
      </c>
      <c r="AZ260" s="286">
        <f t="shared" ca="1" si="144"/>
        <v>0</v>
      </c>
      <c r="BA260" s="286">
        <f t="shared" ca="1" si="145"/>
        <v>0</v>
      </c>
      <c r="BB260" s="286">
        <f t="shared" ca="1" si="146"/>
        <v>0</v>
      </c>
      <c r="BC260" s="286">
        <f t="shared" ca="1" si="147"/>
        <v>0</v>
      </c>
      <c r="BD260" s="180">
        <f t="shared" ca="1" si="148"/>
        <v>0.05</v>
      </c>
      <c r="BE260" s="180">
        <f t="shared" ca="1" si="149"/>
        <v>0.05</v>
      </c>
      <c r="BF260" s="286">
        <f t="shared" ca="1" si="150"/>
        <v>0</v>
      </c>
      <c r="BG260" s="286">
        <f t="shared" ca="1" si="151"/>
        <v>0</v>
      </c>
    </row>
    <row r="261" spans="1:59">
      <c r="A261" s="1">
        <f t="shared" ref="A261:A324" ca="1" si="166">IF(C261=$C$4,A260+1,A260)</f>
        <v>22</v>
      </c>
      <c r="B261" s="1">
        <f t="shared" ca="1" si="159"/>
        <v>127</v>
      </c>
      <c r="C261" s="1">
        <f t="shared" ca="1" si="160"/>
        <v>11</v>
      </c>
      <c r="D261" s="1">
        <f ca="1">MIN($D$3,VLOOKUP(C261,OP!$S$30:$T$41,2))</f>
        <v>2</v>
      </c>
      <c r="E261" s="1">
        <f t="shared" ca="1" si="161"/>
        <v>76</v>
      </c>
      <c r="F261" s="11" t="str">
        <f t="shared" ref="F261:F324" ca="1" si="167">IF(AND(DATE($E$3+1911,$F$3,$G$3)&gt;DATE(B261+1911,C261,D261),DATE($E$3+1911,$F$3,$G$3)&lt;=DATE(B262+1911,C262,D262)),"F","")</f>
        <v/>
      </c>
      <c r="G261" s="8">
        <f t="shared" ca="1" si="164"/>
        <v>365</v>
      </c>
      <c r="H261" s="8">
        <f t="shared" ref="H261:H324" ca="1" si="168">DATEDIF(DATE(B261+1911,C261,D261),IF(F261="F",DATE($E$3+1911,$F$3,$G$3),DATE(B262+1911,C262,D262)),"d")</f>
        <v>30</v>
      </c>
      <c r="I261" s="8" t="str">
        <f t="shared" ca="1" si="165"/>
        <v>2211</v>
      </c>
      <c r="J261" s="13">
        <f>IF(繳費報酬率資料!$A$1=1,VALUE(OP!$C$121),VLOOKUP(A261,MP,2,0))</f>
        <v>0.05</v>
      </c>
      <c r="K261" s="14">
        <f ca="1">IF(SUM($K$4:K260,IF(繳費報酬率資料!$A$1=1,$AU261+$AV261,$BB261+$BC261))&gt;OP!$L$58,0,IF(繳費報酬率資料!$A$1=1,$AU261+$AV261,$BB261+$BC261))</f>
        <v>0</v>
      </c>
      <c r="L261" s="2"/>
      <c r="M261" s="2"/>
      <c r="N261" s="2"/>
      <c r="O261" s="261">
        <f t="shared" ref="O261:O324" ca="1" si="169">IF(K261=0,0,$AR261)</f>
        <v>0</v>
      </c>
      <c r="P261" s="261">
        <f t="shared" ca="1" si="152"/>
        <v>0</v>
      </c>
      <c r="Q261" s="3">
        <f ca="1">IF(A261&gt;MAX(OP!$R$17:$R$26),0,VLOOKUP(A261,fees,3,FALSE))</f>
        <v>0</v>
      </c>
      <c r="R261" s="200" t="str">
        <f t="shared" ref="R261:R324" ca="1" si="170">IF(OR(C262&lt;&gt;$C$3,E261=""),"",A261)</f>
        <v/>
      </c>
      <c r="S261" s="9" t="str">
        <f ca="1">IF(COUNTIF(($T$4:T260),"F")&gt;=1,"",IF(OR(C262&lt;&gt;$C$3,E261=""),"",A261))</f>
        <v/>
      </c>
      <c r="T261" s="20" t="str">
        <f t="shared" ca="1" si="162"/>
        <v/>
      </c>
      <c r="U261" s="2">
        <f ca="1">IF(IF(OP!$C$83=1,$Z260,IF(OP!$C$83=2,$AA260,IF(OP!$C$83=3,$AB260,)))+$K261-$O261-$P261-$AS261&lt;OP!$C$142,0,$AS261)</f>
        <v>0</v>
      </c>
      <c r="V261" s="9"/>
      <c r="W261" s="19">
        <f ca="1">MAX(SUM($K$4:K261),0)</f>
        <v>2000000</v>
      </c>
      <c r="X261" s="19"/>
      <c r="Y261" s="19">
        <f t="shared" ca="1" si="153"/>
        <v>1920000</v>
      </c>
      <c r="Z261" s="2">
        <f ca="1">IF(MIN($Z$4:Z260)=0,0,MAX(0,($Z260+$K261-$O261-$P261)*IF(AND(F261="F",$D$3&lt;&gt;$G$3),((1+(-J261))^(H261/MIN(G261,365))),((1+(-J261))^(1/12)))-$U261))</f>
        <v>637321.75356748153</v>
      </c>
      <c r="AA261" s="2">
        <f ca="1">IF(MIN($AA$4:AA260)=0,0,MAX(0,($AA260+$K261-$O261-$P261)*IF(AND(F261="F",$D$3&lt;&gt;$G$3),((1+$AA$1)^(H261/MIN(G261,365))),((1+$AA$1)^(1/12)))-$U261))</f>
        <v>1920000</v>
      </c>
      <c r="AB261" s="2">
        <f ca="1">IF(MIN($AB$4:AB260)=0,0,MAX(0,($AB260+$K261-$O261-$P261)*IF(AND(F261="F",$D$3&lt;&gt;$G$3),((1+(J261))^(H261/MIN(G261,365))),((1+(J261))^(1/12)))-$U261))</f>
        <v>5481143.3279330423</v>
      </c>
      <c r="AC261" s="5"/>
      <c r="AD261" s="5"/>
      <c r="AE261" s="5"/>
      <c r="AF261" s="282">
        <f t="shared" ref="AF261:AF324" ca="1" si="171">ROUND(Z261*(1-$Q261),$AF$1)</f>
        <v>637322</v>
      </c>
      <c r="AG261" s="282">
        <f t="shared" ref="AG261:AG324" ca="1" si="172">ROUND(AA261*(1-$Q261),$AF$1)</f>
        <v>1920000</v>
      </c>
      <c r="AH261" s="282">
        <f t="shared" ref="AH261:AH324" ca="1" si="173">ROUND(AB261*(1-$Q261),$AF$1)</f>
        <v>5481143</v>
      </c>
      <c r="AI261" s="23" t="str">
        <f t="shared" ca="1" si="154"/>
        <v>22-7</v>
      </c>
      <c r="AJ261" s="282">
        <f ca="1">IF(E261&gt;111,,IF(AND(OP!$C$99=1,T261="F"),Z261,IF(AND(OP!$C$99=2,COUNTIF($T$4:T261,"F")=1),OP!$C$97+IF(F261="F",OP!$C$98,0),"")))</f>
        <v>54527</v>
      </c>
      <c r="AK261" s="282">
        <f ca="1">IF(E261&gt;111,,IF(AND(OP!$D$99=1,T261="F"),AA261,IF(AND(OP!$D$99=2,COUNTIF($T$4:T261,"F")=1),OP!$D$97+IF(F261="F",OP!$D$98,0),"")))</f>
        <v>74177</v>
      </c>
      <c r="AL261" s="282">
        <f ca="1">IF(E261&gt;111,,IF(AND(OP!$E$99=1,T261="F"),AB261,IF(AND(OP!$E$99=2,COUNTIF($T$4:T261,"F")=1),OP!$E$97+IF(F261="F",OP!$E$98,0),"")))</f>
        <v>99404</v>
      </c>
      <c r="AM261" s="1">
        <f t="shared" ca="1" si="163"/>
        <v>7</v>
      </c>
      <c r="AN261" s="1" t="str">
        <f ca="1">IF(OR(VLOOKUP($A261,MP,5,0)="月繳"),1,"")</f>
        <v/>
      </c>
      <c r="AO261" s="1">
        <f t="shared" ref="AO261:AO324" ca="1" si="174">IF(ISNA(VLOOKUP(A261,MP,2,0)),,IF(C261=$C$3,ROUND(VLOOKUP(A261,MP,4,0),0),0)+IF(AN261=1,ROUND(VLOOKUP(A261,MP,6,0),0),0))</f>
        <v>0</v>
      </c>
      <c r="AP261" s="1" t="str">
        <f ca="1">IF(AND(A261&lt;=OP!$C$120,COUNTIF(PAY,C261)=1),1,"")</f>
        <v/>
      </c>
      <c r="AR261" s="301">
        <f ca="1">IF(繳費報酬率資料!$A$1=1,$AY261+$AZ261,$BF261+$BG261)</f>
        <v>0</v>
      </c>
      <c r="AS261" s="1">
        <f ca="1">IF(C261&lt;&gt;IF($C$3=1,12,$C$3-1),0,IF(繳費報酬率資料!$A$1&lt;&gt;1,VLOOKUP($A261,MP,8,0),IF(AND($A261&gt;=OP!$C$79,$A261&lt;=OP!$C$80),OP!$C$78,)))</f>
        <v>0</v>
      </c>
      <c r="AT261" s="298">
        <f t="shared" ref="AT261:AT324" ca="1" si="175">AU261+AV261</f>
        <v>0</v>
      </c>
      <c r="AU261" s="298">
        <f ca="1">IF(AND(A261&lt;=OP!$C$120,COUNTIF(PAY,C261)=1),OP!$C$123,0)</f>
        <v>0</v>
      </c>
      <c r="AV261" s="298">
        <f ca="1">IF(AND(A261&gt;=OP!$C$132,A261&lt;=OP!$C$133,$C$3=C261),OP!$C$135,0)</f>
        <v>0</v>
      </c>
      <c r="AW261" s="180">
        <f t="shared" ref="AW261:AW324" ca="1" si="176">HLOOKUP(IF($AU261&lt;$AY$1,1,IF(AND($AU261&gt;=$AY$1,$AU261&lt;$AZ$1),2,IF(AND($AU261&gt;=$AZ$1,$AU261&lt;$BA$1),3,IF(AND($AU261&gt;=$BA$1),4,1)))),PR,2,0)</f>
        <v>0.05</v>
      </c>
      <c r="AX261" s="180">
        <f t="shared" ref="AX261:AX324" ca="1" si="177">HLOOKUP(IF($AV261&lt;$AY$1,1,IF(AND($AV261&gt;=$AY$1,$AV261&lt;$AZ$1),2,IF(AND($AV261&gt;=$AZ$1,$AV261&lt;$BA$1),3,IF(AND($AV261&gt;=$BA$1),4,1)))),PR,2,0)</f>
        <v>0.05</v>
      </c>
      <c r="AY261" s="286">
        <f t="shared" ref="AY261:AY324" ca="1" si="178">ROUND(AU261*AW261,0)</f>
        <v>0</v>
      </c>
      <c r="AZ261" s="286">
        <f t="shared" ref="AZ261:AZ324" ca="1" si="179">ROUND(AV261*AX261,0)</f>
        <v>0</v>
      </c>
      <c r="BA261" s="286">
        <f t="shared" ref="BA261:BA324" ca="1" si="180">BB261+BC261</f>
        <v>0</v>
      </c>
      <c r="BB261" s="286">
        <f t="shared" ref="BB261:BB324" ca="1" si="181">IF(ISNA(VLOOKUP(A261,MP,2,0)),,IF(C261=$C$3,ROUND(VLOOKUP(A261,MP,6,0),0),0))</f>
        <v>0</v>
      </c>
      <c r="BC261" s="286">
        <f t="shared" ref="BC261:BC324" ca="1" si="182">IF(ISNA(VLOOKUP(A261,MP,4,0)),,IF(AND(C261=$C$3,AN261=1),ROUND(VLOOKUP(A261,MP,4,0),0),0))</f>
        <v>0</v>
      </c>
      <c r="BD261" s="180">
        <f t="shared" ref="BD261:BD324" ca="1" si="183">HLOOKUP(IF($BB261&lt;$AY$1,1,IF(AND($BB261&gt;=$AY$1,$BB261&lt;$AZ$1),2,IF(AND($BB261&gt;=$AZ$1,$BB261&lt;$BA$1),3,IF(AND($BB261&gt;=$BA$1),4,1)))),PR,2,0)</f>
        <v>0.05</v>
      </c>
      <c r="BE261" s="180">
        <f t="shared" ref="BE261:BE324" ca="1" si="184">HLOOKUP(IF($BC261&lt;$AY$1,1,IF(AND($BC261&gt;=$AY$1,$BC261&lt;$AZ$1),2,IF(AND($BC261&gt;=$AZ$1,$BC261&lt;$BA$1),3,IF(AND($BC261&gt;=$BA$1),4,1)))),PR,2,0)</f>
        <v>0.05</v>
      </c>
      <c r="BF261" s="286">
        <f t="shared" ref="BF261:BF324" ca="1" si="185">ROUND(BB261*BD261,0)</f>
        <v>0</v>
      </c>
      <c r="BG261" s="286">
        <f t="shared" ref="BG261:BG324" ca="1" si="186">ROUND(BC261*BE261,0)</f>
        <v>0</v>
      </c>
    </row>
    <row r="262" spans="1:59">
      <c r="A262" s="1">
        <f t="shared" ca="1" si="166"/>
        <v>22</v>
      </c>
      <c r="B262" s="1">
        <f t="shared" ca="1" si="159"/>
        <v>127</v>
      </c>
      <c r="C262" s="1">
        <f t="shared" ca="1" si="160"/>
        <v>12</v>
      </c>
      <c r="D262" s="1">
        <f ca="1">MIN($D$3,VLOOKUP(C262,OP!$S$30:$T$41,2))</f>
        <v>2</v>
      </c>
      <c r="E262" s="1">
        <f t="shared" ca="1" si="161"/>
        <v>76</v>
      </c>
      <c r="F262" s="11" t="str">
        <f t="shared" ca="1" si="167"/>
        <v/>
      </c>
      <c r="G262" s="8">
        <f t="shared" ca="1" si="164"/>
        <v>365</v>
      </c>
      <c r="H262" s="8">
        <f t="shared" ca="1" si="168"/>
        <v>31</v>
      </c>
      <c r="I262" s="8" t="str">
        <f t="shared" ca="1" si="165"/>
        <v>2212</v>
      </c>
      <c r="J262" s="13">
        <f>IF(繳費報酬率資料!$A$1=1,VALUE(OP!$C$121),VLOOKUP(A262,MP,2,0))</f>
        <v>0.05</v>
      </c>
      <c r="K262" s="14">
        <f ca="1">IF(SUM($K$4:K261,IF(繳費報酬率資料!$A$1=1,$AU262+$AV262,$BB262+$BC262))&gt;OP!$L$58,0,IF(繳費報酬率資料!$A$1=1,$AU262+$AV262,$BB262+$BC262))</f>
        <v>0</v>
      </c>
      <c r="L262" s="2"/>
      <c r="M262" s="2"/>
      <c r="N262" s="2"/>
      <c r="O262" s="261">
        <f t="shared" ca="1" si="169"/>
        <v>0</v>
      </c>
      <c r="P262" s="261">
        <f t="shared" ref="P262:P325" ca="1" si="187">IF(MAX(Z261:AB261)=0,0,P261)</f>
        <v>0</v>
      </c>
      <c r="Q262" s="3">
        <f ca="1">IF(A262&gt;MAX(OP!$R$17:$R$26),0,VLOOKUP(A262,fees,3,FALSE))</f>
        <v>0</v>
      </c>
      <c r="R262" s="200" t="str">
        <f t="shared" ca="1" si="170"/>
        <v/>
      </c>
      <c r="S262" s="9" t="str">
        <f ca="1">IF(COUNTIF(($T$4:T261),"F")&gt;=1,"",IF(OR(C263&lt;&gt;$C$3,E262=""),"",A262))</f>
        <v/>
      </c>
      <c r="T262" s="20" t="str">
        <f t="shared" ca="1" si="162"/>
        <v/>
      </c>
      <c r="U262" s="2">
        <f ca="1">IF(IF(OP!$C$83=1,$Z261,IF(OP!$C$83=2,$AA261,IF(OP!$C$83=3,$AB261,)))+$K262-$O262-$P262-$AS262&lt;OP!$C$142,0,$AS262)</f>
        <v>0</v>
      </c>
      <c r="V262" s="9"/>
      <c r="W262" s="19">
        <f ca="1">MAX(SUM($K$4:K262),0)</f>
        <v>2000000</v>
      </c>
      <c r="X262" s="19"/>
      <c r="Y262" s="19">
        <f t="shared" ref="Y262:Y325" ca="1" si="188">Y261+K262-O262</f>
        <v>1920000</v>
      </c>
      <c r="Z262" s="2">
        <f ca="1">IF(MIN($Z$4:Z261)=0,0,MAX(0,($Z261+$K262-$O262-$P262)*IF(AND(F262="F",$D$3&lt;&gt;$G$3),((1+(-J262))^(H262/MIN(G262,365))),((1+(-J262))^(1/12)))-$U262))</f>
        <v>634603.3731246423</v>
      </c>
      <c r="AA262" s="2">
        <f ca="1">IF(MIN($AA$4:AA261)=0,0,MAX(0,($AA261+$K262-$O262-$P262)*IF(AND(F262="F",$D$3&lt;&gt;$G$3),((1+$AA$1)^(H262/MIN(G262,365))),((1+$AA$1)^(1/12)))-$U262))</f>
        <v>1920000</v>
      </c>
      <c r="AB262" s="2">
        <f ca="1">IF(MIN($AB$4:AB261)=0,0,MAX(0,($AB261+$K262-$O262-$P262)*IF(AND(F262="F",$D$3&lt;&gt;$G$3),((1+(J262))^(H262/MIN(G262,365))),((1+(J262))^(1/12)))-$U262))</f>
        <v>5503474.1843269598</v>
      </c>
      <c r="AC262" s="5"/>
      <c r="AD262" s="5"/>
      <c r="AE262" s="5"/>
      <c r="AF262" s="282">
        <f t="shared" ca="1" si="171"/>
        <v>634603</v>
      </c>
      <c r="AG262" s="282">
        <f t="shared" ca="1" si="172"/>
        <v>1920000</v>
      </c>
      <c r="AH262" s="282">
        <f t="shared" ca="1" si="173"/>
        <v>5503474</v>
      </c>
      <c r="AI262" s="23" t="str">
        <f t="shared" ca="1" si="154"/>
        <v>22-8</v>
      </c>
      <c r="AJ262" s="282">
        <f ca="1">IF(E262&gt;111,,IF(AND(OP!$C$99=1,T262="F"),Z262,IF(AND(OP!$C$99=2,COUNTIF($T$4:T262,"F")=1),OP!$C$97+IF(F262="F",OP!$C$98,0),"")))</f>
        <v>54527</v>
      </c>
      <c r="AK262" s="282">
        <f ca="1">IF(E262&gt;111,,IF(AND(OP!$D$99=1,T262="F"),AA262,IF(AND(OP!$D$99=2,COUNTIF($T$4:T262,"F")=1),OP!$D$97+IF(F262="F",OP!$D$98,0),"")))</f>
        <v>74177</v>
      </c>
      <c r="AL262" s="282">
        <f ca="1">IF(E262&gt;111,,IF(AND(OP!$E$99=1,T262="F"),AB262,IF(AND(OP!$E$99=2,COUNTIF($T$4:T262,"F")=1),OP!$E$97+IF(F262="F",OP!$E$98,0),"")))</f>
        <v>99404</v>
      </c>
      <c r="AM262" s="1">
        <f t="shared" ca="1" si="163"/>
        <v>8</v>
      </c>
      <c r="AN262" s="1" t="str">
        <f ca="1">IF(OR(VLOOKUP($A262,MP,5,0)="半年繳",VLOOKUP($A262,MP,5,0)="季繳",VLOOKUP($A262,MP,5,0)="月繳"),1,"")</f>
        <v/>
      </c>
      <c r="AO262" s="1">
        <f t="shared" ca="1" si="174"/>
        <v>0</v>
      </c>
      <c r="AP262" s="1" t="str">
        <f ca="1">IF(AND(A262&lt;=OP!$C$120,COUNTIF(PAY,C262)=1),1,"")</f>
        <v/>
      </c>
      <c r="AR262" s="301">
        <f ca="1">IF(繳費報酬率資料!$A$1=1,$AY262+$AZ262,$BF262+$BG262)</f>
        <v>0</v>
      </c>
      <c r="AS262" s="1">
        <f ca="1">IF(C262&lt;&gt;IF($C$3=1,12,$C$3-1),0,IF(繳費報酬率資料!$A$1&lt;&gt;1,VLOOKUP($A262,MP,8,0),IF(AND($A262&gt;=OP!$C$79,$A262&lt;=OP!$C$80),OP!$C$78,)))</f>
        <v>0</v>
      </c>
      <c r="AT262" s="298">
        <f t="shared" ca="1" si="175"/>
        <v>0</v>
      </c>
      <c r="AU262" s="298">
        <f ca="1">IF(AND(A262&lt;=OP!$C$120,COUNTIF(PAY,C262)=1),OP!$C$123,0)</f>
        <v>0</v>
      </c>
      <c r="AV262" s="298">
        <f ca="1">IF(AND(A262&gt;=OP!$C$132,A262&lt;=OP!$C$133,$C$3=C262),OP!$C$135,0)</f>
        <v>0</v>
      </c>
      <c r="AW262" s="180">
        <f t="shared" ca="1" si="176"/>
        <v>0.05</v>
      </c>
      <c r="AX262" s="180">
        <f t="shared" ca="1" si="177"/>
        <v>0.05</v>
      </c>
      <c r="AY262" s="286">
        <f t="shared" ca="1" si="178"/>
        <v>0</v>
      </c>
      <c r="AZ262" s="286">
        <f t="shared" ca="1" si="179"/>
        <v>0</v>
      </c>
      <c r="BA262" s="286">
        <f t="shared" ca="1" si="180"/>
        <v>0</v>
      </c>
      <c r="BB262" s="286">
        <f t="shared" ca="1" si="181"/>
        <v>0</v>
      </c>
      <c r="BC262" s="286">
        <f t="shared" ca="1" si="182"/>
        <v>0</v>
      </c>
      <c r="BD262" s="180">
        <f t="shared" ca="1" si="183"/>
        <v>0.05</v>
      </c>
      <c r="BE262" s="180">
        <f t="shared" ca="1" si="184"/>
        <v>0.05</v>
      </c>
      <c r="BF262" s="286">
        <f t="shared" ca="1" si="185"/>
        <v>0</v>
      </c>
      <c r="BG262" s="286">
        <f t="shared" ca="1" si="186"/>
        <v>0</v>
      </c>
    </row>
    <row r="263" spans="1:59">
      <c r="A263" s="1">
        <f t="shared" ca="1" si="166"/>
        <v>22</v>
      </c>
      <c r="B263" s="1">
        <f t="shared" ca="1" si="159"/>
        <v>128</v>
      </c>
      <c r="C263" s="1">
        <f t="shared" ca="1" si="160"/>
        <v>1</v>
      </c>
      <c r="D263" s="1">
        <f ca="1">MIN($D$3,VLOOKUP(C263,OP!$S$30:$T$41,2))</f>
        <v>2</v>
      </c>
      <c r="E263" s="1">
        <f t="shared" ca="1" si="161"/>
        <v>76</v>
      </c>
      <c r="F263" s="11" t="str">
        <f t="shared" ca="1" si="167"/>
        <v/>
      </c>
      <c r="G263" s="8">
        <f t="shared" ca="1" si="164"/>
        <v>365</v>
      </c>
      <c r="H263" s="8">
        <f t="shared" ca="1" si="168"/>
        <v>31</v>
      </c>
      <c r="I263" s="8" t="str">
        <f t="shared" ca="1" si="165"/>
        <v>221</v>
      </c>
      <c r="J263" s="13">
        <f>IF(繳費報酬率資料!$A$1=1,VALUE(OP!$C$121),VLOOKUP(A263,MP,2,0))</f>
        <v>0.05</v>
      </c>
      <c r="K263" s="14">
        <f ca="1">IF(SUM($K$4:K262,IF(繳費報酬率資料!$A$1=1,$AU263+$AV263,$BB263+$BC263))&gt;OP!$L$58,0,IF(繳費報酬率資料!$A$1=1,$AU263+$AV263,$BB263+$BC263))</f>
        <v>0</v>
      </c>
      <c r="L263" s="2"/>
      <c r="M263" s="2"/>
      <c r="N263" s="2"/>
      <c r="O263" s="261">
        <f t="shared" ca="1" si="169"/>
        <v>0</v>
      </c>
      <c r="P263" s="261">
        <f t="shared" ca="1" si="187"/>
        <v>0</v>
      </c>
      <c r="Q263" s="3">
        <f ca="1">IF(A263&gt;MAX(OP!$R$17:$R$26),0,VLOOKUP(A263,fees,3,FALSE))</f>
        <v>0</v>
      </c>
      <c r="R263" s="200" t="str">
        <f t="shared" ca="1" si="170"/>
        <v/>
      </c>
      <c r="S263" s="9" t="str">
        <f ca="1">IF(COUNTIF(($T$4:T262),"F")&gt;=1,"",IF(OR(C264&lt;&gt;$C$3,E263=""),"",A263))</f>
        <v/>
      </c>
      <c r="T263" s="20" t="str">
        <f t="shared" ca="1" si="162"/>
        <v/>
      </c>
      <c r="U263" s="2">
        <f ca="1">IF(IF(OP!$C$83=1,$Z262,IF(OP!$C$83=2,$AA262,IF(OP!$C$83=3,$AB262,)))+$K263-$O263-$P263-$AS263&lt;OP!$C$142,0,$AS263)</f>
        <v>0</v>
      </c>
      <c r="V263" s="9"/>
      <c r="W263" s="19">
        <f ca="1">MAX(SUM($K$4:K263),0)</f>
        <v>2000000</v>
      </c>
      <c r="X263" s="19"/>
      <c r="Y263" s="19">
        <f t="shared" ca="1" si="188"/>
        <v>1920000</v>
      </c>
      <c r="Z263" s="2">
        <f ca="1">IF(MIN($Z$4:Z262)=0,0,MAX(0,($Z262+$K263-$O263-$P263)*IF(AND(F263="F",$D$3&lt;&gt;$G$3),((1+(-J263))^(H263/MIN(G263,365))),((1+(-J263))^(1/12)))-$U263))</f>
        <v>631896.58744095045</v>
      </c>
      <c r="AA263" s="2">
        <f ca="1">IF(MIN($AA$4:AA262)=0,0,MAX(0,($AA262+$K263-$O263-$P263)*IF(AND(F263="F",$D$3&lt;&gt;$G$3),((1+$AA$1)^(H263/MIN(G263,365))),((1+$AA$1)^(1/12)))-$U263))</f>
        <v>1920000</v>
      </c>
      <c r="AB263" s="2">
        <f ca="1">IF(MIN($AB$4:AB262)=0,0,MAX(0,($AB262+$K263-$O263-$P263)*IF(AND(F263="F",$D$3&lt;&gt;$G$3),((1+(J263))^(H263/MIN(G263,365))),((1+(J263))^(1/12)))-$U263))</f>
        <v>5525896.0193940205</v>
      </c>
      <c r="AC263" s="5"/>
      <c r="AD263" s="5"/>
      <c r="AE263" s="5"/>
      <c r="AF263" s="282">
        <f t="shared" ca="1" si="171"/>
        <v>631897</v>
      </c>
      <c r="AG263" s="282">
        <f t="shared" ca="1" si="172"/>
        <v>1920000</v>
      </c>
      <c r="AH263" s="282">
        <f t="shared" ca="1" si="173"/>
        <v>5525896</v>
      </c>
      <c r="AI263" s="23" t="str">
        <f t="shared" ca="1" si="154"/>
        <v>22-9</v>
      </c>
      <c r="AJ263" s="282">
        <f ca="1">IF(E263&gt;111,,IF(AND(OP!$C$99=1,T263="F"),Z263,IF(AND(OP!$C$99=2,COUNTIF($T$4:T263,"F")=1),OP!$C$97+IF(F263="F",OP!$C$98,0),"")))</f>
        <v>54527</v>
      </c>
      <c r="AK263" s="282">
        <f ca="1">IF(E263&gt;111,,IF(AND(OP!$D$99=1,T263="F"),AA263,IF(AND(OP!$D$99=2,COUNTIF($T$4:T263,"F")=1),OP!$D$97+IF(F263="F",OP!$D$98,0),"")))</f>
        <v>74177</v>
      </c>
      <c r="AL263" s="282">
        <f ca="1">IF(E263&gt;111,,IF(AND(OP!$E$99=1,T263="F"),AB263,IF(AND(OP!$E$99=2,COUNTIF($T$4:T263,"F")=1),OP!$E$97+IF(F263="F",OP!$E$98,0),"")))</f>
        <v>99404</v>
      </c>
      <c r="AM263" s="1">
        <f t="shared" ca="1" si="163"/>
        <v>9</v>
      </c>
      <c r="AN263" s="1" t="str">
        <f ca="1">IF(OR(VLOOKUP($A263,MP,5,0)="月繳"),1,"")</f>
        <v/>
      </c>
      <c r="AO263" s="1">
        <f t="shared" ca="1" si="174"/>
        <v>0</v>
      </c>
      <c r="AP263" s="1" t="str">
        <f ca="1">IF(AND(A263&lt;=OP!$C$120,COUNTIF(PAY,C263)=1),1,"")</f>
        <v/>
      </c>
      <c r="AR263" s="301">
        <f ca="1">IF(繳費報酬率資料!$A$1=1,$AY263+$AZ263,$BF263+$BG263)</f>
        <v>0</v>
      </c>
      <c r="AS263" s="1">
        <f ca="1">IF(C263&lt;&gt;IF($C$3=1,12,$C$3-1),0,IF(繳費報酬率資料!$A$1&lt;&gt;1,VLOOKUP($A263,MP,8,0),IF(AND($A263&gt;=OP!$C$79,$A263&lt;=OP!$C$80),OP!$C$78,)))</f>
        <v>0</v>
      </c>
      <c r="AT263" s="298">
        <f t="shared" ca="1" si="175"/>
        <v>0</v>
      </c>
      <c r="AU263" s="298">
        <f ca="1">IF(AND(A263&lt;=OP!$C$120,COUNTIF(PAY,C263)=1),OP!$C$123,0)</f>
        <v>0</v>
      </c>
      <c r="AV263" s="298">
        <f ca="1">IF(AND(A263&gt;=OP!$C$132,A263&lt;=OP!$C$133,$C$3=C263),OP!$C$135,0)</f>
        <v>0</v>
      </c>
      <c r="AW263" s="180">
        <f t="shared" ca="1" si="176"/>
        <v>0.05</v>
      </c>
      <c r="AX263" s="180">
        <f t="shared" ca="1" si="177"/>
        <v>0.05</v>
      </c>
      <c r="AY263" s="286">
        <f t="shared" ca="1" si="178"/>
        <v>0</v>
      </c>
      <c r="AZ263" s="286">
        <f t="shared" ca="1" si="179"/>
        <v>0</v>
      </c>
      <c r="BA263" s="286">
        <f t="shared" ca="1" si="180"/>
        <v>0</v>
      </c>
      <c r="BB263" s="286">
        <f t="shared" ca="1" si="181"/>
        <v>0</v>
      </c>
      <c r="BC263" s="286">
        <f t="shared" ca="1" si="182"/>
        <v>0</v>
      </c>
      <c r="BD263" s="180">
        <f t="shared" ca="1" si="183"/>
        <v>0.05</v>
      </c>
      <c r="BE263" s="180">
        <f t="shared" ca="1" si="184"/>
        <v>0.05</v>
      </c>
      <c r="BF263" s="286">
        <f t="shared" ca="1" si="185"/>
        <v>0</v>
      </c>
      <c r="BG263" s="286">
        <f t="shared" ca="1" si="186"/>
        <v>0</v>
      </c>
    </row>
    <row r="264" spans="1:59">
      <c r="A264" s="1">
        <f t="shared" ca="1" si="166"/>
        <v>22</v>
      </c>
      <c r="B264" s="1">
        <f t="shared" ca="1" si="159"/>
        <v>128</v>
      </c>
      <c r="C264" s="1">
        <f t="shared" ca="1" si="160"/>
        <v>2</v>
      </c>
      <c r="D264" s="1">
        <f ca="1">MIN($D$3,VLOOKUP(C264,OP!$S$30:$T$41,2))</f>
        <v>2</v>
      </c>
      <c r="E264" s="1">
        <f t="shared" ca="1" si="161"/>
        <v>76</v>
      </c>
      <c r="F264" s="11" t="str">
        <f t="shared" ca="1" si="167"/>
        <v/>
      </c>
      <c r="G264" s="8">
        <f t="shared" ca="1" si="164"/>
        <v>365</v>
      </c>
      <c r="H264" s="8">
        <f t="shared" ca="1" si="168"/>
        <v>28</v>
      </c>
      <c r="I264" s="8" t="str">
        <f t="shared" ca="1" si="165"/>
        <v>222</v>
      </c>
      <c r="J264" s="13">
        <f>IF(繳費報酬率資料!$A$1=1,VALUE(OP!$C$121),VLOOKUP(A264,MP,2,0))</f>
        <v>0.05</v>
      </c>
      <c r="K264" s="14">
        <f ca="1">IF(SUM($K$4:K263,IF(繳費報酬率資料!$A$1=1,$AU264+$AV264,$BB264+$BC264))&gt;OP!$L$58,0,IF(繳費報酬率資料!$A$1=1,$AU264+$AV264,$BB264+$BC264))</f>
        <v>0</v>
      </c>
      <c r="L264" s="2"/>
      <c r="M264" s="2"/>
      <c r="N264" s="2"/>
      <c r="O264" s="261">
        <f t="shared" ca="1" si="169"/>
        <v>0</v>
      </c>
      <c r="P264" s="261">
        <f t="shared" ca="1" si="187"/>
        <v>0</v>
      </c>
      <c r="Q264" s="3">
        <f ca="1">IF(A264&gt;MAX(OP!$R$17:$R$26),0,VLOOKUP(A264,fees,3,FALSE))</f>
        <v>0</v>
      </c>
      <c r="R264" s="200" t="str">
        <f t="shared" ca="1" si="170"/>
        <v/>
      </c>
      <c r="S264" s="9" t="str">
        <f ca="1">IF(COUNTIF(($T$4:T263),"F")&gt;=1,"",IF(OR(C265&lt;&gt;$C$3,E264=""),"",A264))</f>
        <v/>
      </c>
      <c r="T264" s="20" t="str">
        <f t="shared" ca="1" si="162"/>
        <v/>
      </c>
      <c r="U264" s="2">
        <f ca="1">IF(IF(OP!$C$83=1,$Z263,IF(OP!$C$83=2,$AA263,IF(OP!$C$83=3,$AB263,)))+$K264-$O264-$P264-$AS264&lt;OP!$C$142,0,$AS264)</f>
        <v>0</v>
      </c>
      <c r="V264" s="9"/>
      <c r="W264" s="19">
        <f ca="1">MAX(SUM($K$4:K264),0)</f>
        <v>2000000</v>
      </c>
      <c r="X264" s="19"/>
      <c r="Y264" s="19">
        <f t="shared" ca="1" si="188"/>
        <v>1920000</v>
      </c>
      <c r="Z264" s="2">
        <f ca="1">IF(MIN($Z$4:Z263)=0,0,MAX(0,($Z263+$K264-$O264-$P264)*IF(AND(F264="F",$D$3&lt;&gt;$G$3),((1+(-J264))^(H264/MIN(G264,365))),((1+(-J264))^(1/12)))-$U264))</f>
        <v>629201.34706106212</v>
      </c>
      <c r="AA264" s="2">
        <f ca="1">IF(MIN($AA$4:AA263)=0,0,MAX(0,($AA263+$K264-$O264-$P264)*IF(AND(F264="F",$D$3&lt;&gt;$G$3),((1+$AA$1)^(H264/MIN(G264,365))),((1+$AA$1)^(1/12)))-$U264))</f>
        <v>1920000</v>
      </c>
      <c r="AB264" s="2">
        <f ca="1">IF(MIN($AB$4:AB263)=0,0,MAX(0,($AB263+$K264-$O264-$P264)*IF(AND(F264="F",$D$3&lt;&gt;$G$3),((1+(J264))^(H264/MIN(G264,365))),((1+(J264))^(1/12)))-$U264))</f>
        <v>5548409.2037926018</v>
      </c>
      <c r="AC264" s="5"/>
      <c r="AD264" s="5"/>
      <c r="AE264" s="5"/>
      <c r="AF264" s="282">
        <f t="shared" ca="1" si="171"/>
        <v>629201</v>
      </c>
      <c r="AG264" s="282">
        <f t="shared" ca="1" si="172"/>
        <v>1920000</v>
      </c>
      <c r="AH264" s="282">
        <f t="shared" ca="1" si="173"/>
        <v>5548409</v>
      </c>
      <c r="AI264" s="23" t="str">
        <f t="shared" ca="1" si="154"/>
        <v>22-10</v>
      </c>
      <c r="AJ264" s="282">
        <f ca="1">IF(E264&gt;111,,IF(AND(OP!$C$99=1,T264="F"),Z264,IF(AND(OP!$C$99=2,COUNTIF($T$4:T264,"F")=1),OP!$C$97+IF(F264="F",OP!$C$98,0),"")))</f>
        <v>54527</v>
      </c>
      <c r="AK264" s="282">
        <f ca="1">IF(E264&gt;111,,IF(AND(OP!$D$99=1,T264="F"),AA264,IF(AND(OP!$D$99=2,COUNTIF($T$4:T264,"F")=1),OP!$D$97+IF(F264="F",OP!$D$98,0),"")))</f>
        <v>74177</v>
      </c>
      <c r="AL264" s="282">
        <f ca="1">IF(E264&gt;111,,IF(AND(OP!$E$99=1,T264="F"),AB264,IF(AND(OP!$E$99=2,COUNTIF($T$4:T264,"F")=1),OP!$E$97+IF(F264="F",OP!$E$98,0),"")))</f>
        <v>99404</v>
      </c>
      <c r="AM264" s="1">
        <f t="shared" ca="1" si="163"/>
        <v>10</v>
      </c>
      <c r="AN264" s="1" t="str">
        <f ca="1">IF(OR(VLOOKUP($A264,MP,5,0)="月繳"),1,"")</f>
        <v/>
      </c>
      <c r="AO264" s="1">
        <f t="shared" ca="1" si="174"/>
        <v>0</v>
      </c>
      <c r="AP264" s="1" t="str">
        <f ca="1">IF(AND(A264&lt;=OP!$C$120,COUNTIF(PAY,C264)=1),1,"")</f>
        <v/>
      </c>
      <c r="AR264" s="301">
        <f ca="1">IF(繳費報酬率資料!$A$1=1,$AY264+$AZ264,$BF264+$BG264)</f>
        <v>0</v>
      </c>
      <c r="AS264" s="1">
        <f ca="1">IF(C264&lt;&gt;IF($C$3=1,12,$C$3-1),0,IF(繳費報酬率資料!$A$1&lt;&gt;1,VLOOKUP($A264,MP,8,0),IF(AND($A264&gt;=OP!$C$79,$A264&lt;=OP!$C$80),OP!$C$78,)))</f>
        <v>0</v>
      </c>
      <c r="AT264" s="298">
        <f t="shared" ca="1" si="175"/>
        <v>0</v>
      </c>
      <c r="AU264" s="298">
        <f ca="1">IF(AND(A264&lt;=OP!$C$120,COUNTIF(PAY,C264)=1),OP!$C$123,0)</f>
        <v>0</v>
      </c>
      <c r="AV264" s="298">
        <f ca="1">IF(AND(A264&gt;=OP!$C$132,A264&lt;=OP!$C$133,$C$3=C264),OP!$C$135,0)</f>
        <v>0</v>
      </c>
      <c r="AW264" s="180">
        <f t="shared" ca="1" si="176"/>
        <v>0.05</v>
      </c>
      <c r="AX264" s="180">
        <f t="shared" ca="1" si="177"/>
        <v>0.05</v>
      </c>
      <c r="AY264" s="286">
        <f t="shared" ca="1" si="178"/>
        <v>0</v>
      </c>
      <c r="AZ264" s="286">
        <f t="shared" ca="1" si="179"/>
        <v>0</v>
      </c>
      <c r="BA264" s="286">
        <f t="shared" ca="1" si="180"/>
        <v>0</v>
      </c>
      <c r="BB264" s="286">
        <f t="shared" ca="1" si="181"/>
        <v>0</v>
      </c>
      <c r="BC264" s="286">
        <f t="shared" ca="1" si="182"/>
        <v>0</v>
      </c>
      <c r="BD264" s="180">
        <f t="shared" ca="1" si="183"/>
        <v>0.05</v>
      </c>
      <c r="BE264" s="180">
        <f t="shared" ca="1" si="184"/>
        <v>0.05</v>
      </c>
      <c r="BF264" s="286">
        <f t="shared" ca="1" si="185"/>
        <v>0</v>
      </c>
      <c r="BG264" s="286">
        <f t="shared" ca="1" si="186"/>
        <v>0</v>
      </c>
    </row>
    <row r="265" spans="1:59">
      <c r="A265" s="1">
        <f t="shared" ca="1" si="166"/>
        <v>22</v>
      </c>
      <c r="B265" s="1">
        <f t="shared" ca="1" si="159"/>
        <v>128</v>
      </c>
      <c r="C265" s="1">
        <f t="shared" ca="1" si="160"/>
        <v>3</v>
      </c>
      <c r="D265" s="1">
        <f ca="1">MIN($D$3,VLOOKUP(C265,OP!$S$30:$T$41,2))</f>
        <v>2</v>
      </c>
      <c r="E265" s="1">
        <f t="shared" ca="1" si="161"/>
        <v>76</v>
      </c>
      <c r="F265" s="11" t="str">
        <f t="shared" ca="1" si="167"/>
        <v/>
      </c>
      <c r="G265" s="8">
        <f t="shared" ca="1" si="164"/>
        <v>365</v>
      </c>
      <c r="H265" s="8">
        <f t="shared" ca="1" si="168"/>
        <v>31</v>
      </c>
      <c r="I265" s="8" t="str">
        <f t="shared" ca="1" si="165"/>
        <v>223</v>
      </c>
      <c r="J265" s="13">
        <f>IF(繳費報酬率資料!$A$1=1,VALUE(OP!$C$121),VLOOKUP(A265,MP,2,0))</f>
        <v>0.05</v>
      </c>
      <c r="K265" s="14">
        <f ca="1">IF(SUM($K$4:K264,IF(繳費報酬率資料!$A$1=1,$AU265+$AV265,$BB265+$BC265))&gt;OP!$L$58,0,IF(繳費報酬率資料!$A$1=1,$AU265+$AV265,$BB265+$BC265))</f>
        <v>0</v>
      </c>
      <c r="L265" s="2"/>
      <c r="M265" s="2"/>
      <c r="N265" s="2"/>
      <c r="O265" s="261">
        <f t="shared" ca="1" si="169"/>
        <v>0</v>
      </c>
      <c r="P265" s="261">
        <f t="shared" ca="1" si="187"/>
        <v>0</v>
      </c>
      <c r="Q265" s="3">
        <f ca="1">IF(A265&gt;MAX(OP!$R$17:$R$26),0,VLOOKUP(A265,fees,3,FALSE))</f>
        <v>0</v>
      </c>
      <c r="R265" s="200" t="str">
        <f t="shared" ca="1" si="170"/>
        <v/>
      </c>
      <c r="S265" s="9" t="str">
        <f ca="1">IF(COUNTIF(($T$4:T264),"F")&gt;=1,"",IF(OR(C266&lt;&gt;$C$3,E265=""),"",A265))</f>
        <v/>
      </c>
      <c r="T265" s="20" t="str">
        <f t="shared" ca="1" si="162"/>
        <v/>
      </c>
      <c r="U265" s="2">
        <f ca="1">IF(IF(OP!$C$83=1,$Z264,IF(OP!$C$83=2,$AA264,IF(OP!$C$83=3,$AB264,)))+$K265-$O265-$P265-$AS265&lt;OP!$C$142,0,$AS265)</f>
        <v>0</v>
      </c>
      <c r="V265" s="9"/>
      <c r="W265" s="19">
        <f ca="1">MAX(SUM($K$4:K265),0)</f>
        <v>2000000</v>
      </c>
      <c r="X265" s="19"/>
      <c r="Y265" s="19">
        <f t="shared" ca="1" si="188"/>
        <v>1920000</v>
      </c>
      <c r="Z265" s="2">
        <f ca="1">IF(MIN($Z$4:Z264)=0,0,MAX(0,($Z264+$K265-$O265-$P265)*IF(AND(F265="F",$D$3&lt;&gt;$G$3),((1+(-J265))^(H265/MIN(G265,365))),((1+(-J265))^(1/12)))-$U265))</f>
        <v>626517.60274057614</v>
      </c>
      <c r="AA265" s="2">
        <f ca="1">IF(MIN($AA$4:AA264)=0,0,MAX(0,($AA264+$K265-$O265-$P265)*IF(AND(F265="F",$D$3&lt;&gt;$G$3),((1+$AA$1)^(H265/MIN(G265,365))),((1+$AA$1)^(1/12)))-$U265))</f>
        <v>1920000</v>
      </c>
      <c r="AB265" s="2">
        <f ca="1">IF(MIN($AB$4:AB264)=0,0,MAX(0,($AB264+$K265-$O265-$P265)*IF(AND(F265="F",$D$3&lt;&gt;$G$3),((1+(J265))^(H265/MIN(G265,365))),((1+(J265))^(1/12)))-$U265))</f>
        <v>5571014.1096911868</v>
      </c>
      <c r="AC265" s="5"/>
      <c r="AD265" s="5"/>
      <c r="AE265" s="5"/>
      <c r="AF265" s="282">
        <f t="shared" ca="1" si="171"/>
        <v>626518</v>
      </c>
      <c r="AG265" s="282">
        <f t="shared" ca="1" si="172"/>
        <v>1920000</v>
      </c>
      <c r="AH265" s="282">
        <f t="shared" ca="1" si="173"/>
        <v>5571014</v>
      </c>
      <c r="AI265" s="23" t="str">
        <f t="shared" ca="1" si="154"/>
        <v>22-11</v>
      </c>
      <c r="AJ265" s="282">
        <f ca="1">IF(E265&gt;111,,IF(AND(OP!$C$99=1,T265="F"),Z265,IF(AND(OP!$C$99=2,COUNTIF($T$4:T265,"F")=1),OP!$C$97+IF(F265="F",OP!$C$98,0),"")))</f>
        <v>54527</v>
      </c>
      <c r="AK265" s="282">
        <f ca="1">IF(E265&gt;111,,IF(AND(OP!$D$99=1,T265="F"),AA265,IF(AND(OP!$D$99=2,COUNTIF($T$4:T265,"F")=1),OP!$D$97+IF(F265="F",OP!$D$98,0),"")))</f>
        <v>74177</v>
      </c>
      <c r="AL265" s="282">
        <f ca="1">IF(E265&gt;111,,IF(AND(OP!$E$99=1,T265="F"),AB265,IF(AND(OP!$E$99=2,COUNTIF($T$4:T265,"F")=1),OP!$E$97+IF(F265="F",OP!$E$98,0),"")))</f>
        <v>99404</v>
      </c>
      <c r="AM265" s="1">
        <f t="shared" ca="1" si="163"/>
        <v>11</v>
      </c>
      <c r="AN265" s="1" t="str">
        <f ca="1">IF(OR(VLOOKUP($A265,MP,5,0)="季繳",VLOOKUP($A265,MP,5,0)="月繳"),1,"")</f>
        <v/>
      </c>
      <c r="AO265" s="1">
        <f t="shared" ca="1" si="174"/>
        <v>0</v>
      </c>
      <c r="AP265" s="1" t="str">
        <f ca="1">IF(AND(A265&lt;=OP!$C$120,COUNTIF(PAY,C265)=1),1,"")</f>
        <v/>
      </c>
      <c r="AR265" s="301">
        <f ca="1">IF(繳費報酬率資料!$A$1=1,$AY265+$AZ265,$BF265+$BG265)</f>
        <v>0</v>
      </c>
      <c r="AS265" s="1">
        <f ca="1">IF(C265&lt;&gt;IF($C$3=1,12,$C$3-1),0,IF(繳費報酬率資料!$A$1&lt;&gt;1,VLOOKUP($A265,MP,8,0),IF(AND($A265&gt;=OP!$C$79,$A265&lt;=OP!$C$80),OP!$C$78,)))</f>
        <v>0</v>
      </c>
      <c r="AT265" s="298">
        <f t="shared" ca="1" si="175"/>
        <v>0</v>
      </c>
      <c r="AU265" s="298">
        <f ca="1">IF(AND(A265&lt;=OP!$C$120,COUNTIF(PAY,C265)=1),OP!$C$123,0)</f>
        <v>0</v>
      </c>
      <c r="AV265" s="298">
        <f ca="1">IF(AND(A265&gt;=OP!$C$132,A265&lt;=OP!$C$133,$C$3=C265),OP!$C$135,0)</f>
        <v>0</v>
      </c>
      <c r="AW265" s="180">
        <f t="shared" ca="1" si="176"/>
        <v>0.05</v>
      </c>
      <c r="AX265" s="180">
        <f t="shared" ca="1" si="177"/>
        <v>0.05</v>
      </c>
      <c r="AY265" s="286">
        <f t="shared" ca="1" si="178"/>
        <v>0</v>
      </c>
      <c r="AZ265" s="286">
        <f t="shared" ca="1" si="179"/>
        <v>0</v>
      </c>
      <c r="BA265" s="286">
        <f t="shared" ca="1" si="180"/>
        <v>0</v>
      </c>
      <c r="BB265" s="286">
        <f t="shared" ca="1" si="181"/>
        <v>0</v>
      </c>
      <c r="BC265" s="286">
        <f t="shared" ca="1" si="182"/>
        <v>0</v>
      </c>
      <c r="BD265" s="180">
        <f t="shared" ca="1" si="183"/>
        <v>0.05</v>
      </c>
      <c r="BE265" s="180">
        <f t="shared" ca="1" si="184"/>
        <v>0.05</v>
      </c>
      <c r="BF265" s="286">
        <f t="shared" ca="1" si="185"/>
        <v>0</v>
      </c>
      <c r="BG265" s="286">
        <f t="shared" ca="1" si="186"/>
        <v>0</v>
      </c>
    </row>
    <row r="266" spans="1:59">
      <c r="A266" s="1">
        <f t="shared" ca="1" si="166"/>
        <v>22</v>
      </c>
      <c r="B266" s="1">
        <f t="shared" ca="1" si="159"/>
        <v>128</v>
      </c>
      <c r="C266" s="1">
        <f t="shared" ca="1" si="160"/>
        <v>4</v>
      </c>
      <c r="D266" s="1">
        <f ca="1">MIN($D$3,VLOOKUP(C266,OP!$S$30:$T$41,2))</f>
        <v>2</v>
      </c>
      <c r="E266" s="1">
        <f t="shared" ca="1" si="161"/>
        <v>76</v>
      </c>
      <c r="F266" s="11" t="str">
        <f t="shared" ca="1" si="167"/>
        <v/>
      </c>
      <c r="G266" s="8">
        <f t="shared" ca="1" si="164"/>
        <v>365</v>
      </c>
      <c r="H266" s="8">
        <f t="shared" ca="1" si="168"/>
        <v>30</v>
      </c>
      <c r="I266" s="8" t="str">
        <f t="shared" ca="1" si="165"/>
        <v>224</v>
      </c>
      <c r="J266" s="13">
        <f>IF(繳費報酬率資料!$A$1=1,VALUE(OP!$C$121),VLOOKUP(A266,MP,2,0))</f>
        <v>0.05</v>
      </c>
      <c r="K266" s="14">
        <f ca="1">IF(SUM($K$4:K265,IF(繳費報酬率資料!$A$1=1,$AU266+$AV266,$BB266+$BC266))&gt;OP!$L$58,0,IF(繳費報酬率資料!$A$1=1,$AU266+$AV266,$BB266+$BC266))</f>
        <v>0</v>
      </c>
      <c r="L266" s="2"/>
      <c r="M266" s="2"/>
      <c r="N266" s="2"/>
      <c r="O266" s="261">
        <f t="shared" ca="1" si="169"/>
        <v>0</v>
      </c>
      <c r="P266" s="261">
        <f t="shared" ca="1" si="187"/>
        <v>0</v>
      </c>
      <c r="Q266" s="3">
        <f ca="1">IF(A266&gt;MAX(OP!$R$17:$R$26),0,VLOOKUP(A266,fees,3,FALSE))</f>
        <v>0</v>
      </c>
      <c r="R266" s="200" t="str">
        <f t="shared" ca="1" si="170"/>
        <v/>
      </c>
      <c r="S266" s="9" t="str">
        <f ca="1">IF(COUNTIF(($T$4:T265),"F")&gt;=1,"",IF(OR(C267&lt;&gt;$C$3,E266=""),"",A266))</f>
        <v/>
      </c>
      <c r="T266" s="20" t="str">
        <f t="shared" ca="1" si="162"/>
        <v/>
      </c>
      <c r="U266" s="2">
        <f ca="1">IF(IF(OP!$C$83=1,$Z265,IF(OP!$C$83=2,$AA265,IF(OP!$C$83=3,$AB265,)))+$K266-$O266-$P266-$AS266&lt;OP!$C$142,0,$AS266)</f>
        <v>0</v>
      </c>
      <c r="V266" s="9"/>
      <c r="W266" s="19">
        <f ca="1">MAX(SUM($K$4:K266),0)</f>
        <v>2000000</v>
      </c>
      <c r="X266" s="19"/>
      <c r="Y266" s="19">
        <f t="shared" ca="1" si="188"/>
        <v>1920000</v>
      </c>
      <c r="Z266" s="2">
        <f ca="1">IF(MIN($Z$4:Z265)=0,0,MAX(0,($Z265+$K266-$O266-$P266)*IF(AND(F266="F",$D$3&lt;&gt;$G$3),((1+(-J266))^(H266/MIN(G266,365))),((1+(-J266))^(1/12)))-$U266))</f>
        <v>623845.30544513452</v>
      </c>
      <c r="AA266" s="2">
        <f ca="1">IF(MIN($AA$4:AA265)=0,0,MAX(0,($AA265+$K266-$O266-$P266)*IF(AND(F266="F",$D$3&lt;&gt;$G$3),((1+$AA$1)^(H266/MIN(G266,365))),((1+$AA$1)^(1/12)))-$U266))</f>
        <v>1920000</v>
      </c>
      <c r="AB266" s="2">
        <f ca="1">IF(MIN($AB$4:AB265)=0,0,MAX(0,($AB265+$K266-$O266-$P266)*IF(AND(F266="F",$D$3&lt;&gt;$G$3),((1+(J266))^(H266/MIN(G266,365))),((1+(J266))^(1/12)))-$U266))</f>
        <v>5593711.1107745199</v>
      </c>
      <c r="AC266" s="5"/>
      <c r="AD266" s="5"/>
      <c r="AE266" s="5"/>
      <c r="AF266" s="282">
        <f t="shared" ca="1" si="171"/>
        <v>623845</v>
      </c>
      <c r="AG266" s="282">
        <f t="shared" ca="1" si="172"/>
        <v>1920000</v>
      </c>
      <c r="AH266" s="282">
        <f t="shared" ca="1" si="173"/>
        <v>5593711</v>
      </c>
      <c r="AI266" s="23" t="str">
        <f t="shared" ca="1" si="154"/>
        <v>22-12</v>
      </c>
      <c r="AJ266" s="282">
        <f ca="1">IF(E266&gt;111,,IF(AND(OP!$C$99=1,T266="F"),Z266,IF(AND(OP!$C$99=2,COUNTIF($T$4:T266,"F")=1),OP!$C$97+IF(F266="F",OP!$C$98,0),"")))</f>
        <v>54527</v>
      </c>
      <c r="AK266" s="282">
        <f ca="1">IF(E266&gt;111,,IF(AND(OP!$D$99=1,T266="F"),AA266,IF(AND(OP!$D$99=2,COUNTIF($T$4:T266,"F")=1),OP!$D$97+IF(F266="F",OP!$D$98,0),"")))</f>
        <v>74177</v>
      </c>
      <c r="AL266" s="282">
        <f ca="1">IF(E266&gt;111,,IF(AND(OP!$E$99=1,T266="F"),AB266,IF(AND(OP!$E$99=2,COUNTIF($T$4:T266,"F")=1),OP!$E$97+IF(F266="F",OP!$E$98,0),"")))</f>
        <v>99404</v>
      </c>
      <c r="AM266" s="1">
        <f t="shared" ca="1" si="163"/>
        <v>12</v>
      </c>
      <c r="AN266" s="1" t="str">
        <f ca="1">IF(OR(VLOOKUP($A266,MP,5,0)="月繳"),1,"")</f>
        <v/>
      </c>
      <c r="AO266" s="1">
        <f t="shared" ca="1" si="174"/>
        <v>0</v>
      </c>
      <c r="AP266" s="1" t="str">
        <f ca="1">IF(AND(A266&lt;=OP!$C$120,COUNTIF(PAY,C266)=1),1,"")</f>
        <v/>
      </c>
      <c r="AR266" s="301">
        <f ca="1">IF(繳費報酬率資料!$A$1=1,$AY266+$AZ266,$BF266+$BG266)</f>
        <v>0</v>
      </c>
      <c r="AS266" s="1">
        <f ca="1">IF(C266&lt;&gt;IF($C$3=1,12,$C$3-1),0,IF(繳費報酬率資料!$A$1&lt;&gt;1,VLOOKUP($A266,MP,8,0),IF(AND($A266&gt;=OP!$C$79,$A266&lt;=OP!$C$80),OP!$C$78,)))</f>
        <v>0</v>
      </c>
      <c r="AT266" s="298">
        <f t="shared" ca="1" si="175"/>
        <v>0</v>
      </c>
      <c r="AU266" s="298">
        <f ca="1">IF(AND(A266&lt;=OP!$C$120,COUNTIF(PAY,C266)=1),OP!$C$123,0)</f>
        <v>0</v>
      </c>
      <c r="AV266" s="298">
        <f ca="1">IF(AND(A266&gt;=OP!$C$132,A266&lt;=OP!$C$133,$C$3=C266),OP!$C$135,0)</f>
        <v>0</v>
      </c>
      <c r="AW266" s="180">
        <f t="shared" ca="1" si="176"/>
        <v>0.05</v>
      </c>
      <c r="AX266" s="180">
        <f t="shared" ca="1" si="177"/>
        <v>0.05</v>
      </c>
      <c r="AY266" s="286">
        <f t="shared" ca="1" si="178"/>
        <v>0</v>
      </c>
      <c r="AZ266" s="286">
        <f t="shared" ca="1" si="179"/>
        <v>0</v>
      </c>
      <c r="BA266" s="286">
        <f t="shared" ca="1" si="180"/>
        <v>0</v>
      </c>
      <c r="BB266" s="286">
        <f t="shared" ca="1" si="181"/>
        <v>0</v>
      </c>
      <c r="BC266" s="286">
        <f t="shared" ca="1" si="182"/>
        <v>0</v>
      </c>
      <c r="BD266" s="180">
        <f t="shared" ca="1" si="183"/>
        <v>0.05</v>
      </c>
      <c r="BE266" s="180">
        <f t="shared" ca="1" si="184"/>
        <v>0.05</v>
      </c>
      <c r="BF266" s="286">
        <f t="shared" ca="1" si="185"/>
        <v>0</v>
      </c>
      <c r="BG266" s="286">
        <f t="shared" ca="1" si="186"/>
        <v>0</v>
      </c>
    </row>
    <row r="267" spans="1:59">
      <c r="A267" s="1">
        <f t="shared" ca="1" si="166"/>
        <v>22</v>
      </c>
      <c r="B267" s="1">
        <f t="shared" ca="1" si="159"/>
        <v>128</v>
      </c>
      <c r="C267" s="1">
        <f t="shared" ca="1" si="160"/>
        <v>5</v>
      </c>
      <c r="D267" s="1">
        <f ca="1">MIN($D$3,VLOOKUP(C267,OP!$S$30:$T$41,2))</f>
        <v>2</v>
      </c>
      <c r="E267" s="1">
        <f t="shared" ca="1" si="161"/>
        <v>76</v>
      </c>
      <c r="F267" s="11" t="str">
        <f t="shared" ca="1" si="167"/>
        <v/>
      </c>
      <c r="G267" s="8">
        <f t="shared" ca="1" si="164"/>
        <v>365</v>
      </c>
      <c r="H267" s="8">
        <f t="shared" ca="1" si="168"/>
        <v>31</v>
      </c>
      <c r="I267" s="8" t="str">
        <f t="shared" ca="1" si="165"/>
        <v>225</v>
      </c>
      <c r="J267" s="13">
        <f>IF(繳費報酬率資料!$A$1=1,VALUE(OP!$C$121),VLOOKUP(A267,MP,2,0))</f>
        <v>0.05</v>
      </c>
      <c r="K267" s="14">
        <f ca="1">IF(SUM($K$4:K266,IF(繳費報酬率資料!$A$1=1,$AU267+$AV267,$BB267+$BC267))&gt;OP!$L$58,0,IF(繳費報酬率資料!$A$1=1,$AU267+$AV267,$BB267+$BC267))</f>
        <v>0</v>
      </c>
      <c r="L267" s="2">
        <f ca="1">ROUND(IF(OP!$C$78&lt;(IF(OR($T267="F",$E267&gt;=111),0,Z266+$K267-$O267+IF($C$1=1,OP!$C$78,IF($C268=$C$3,SUM(AC256:AC267,0)))))*5%,0,(OP!$C$78-((IF(OR($T267="F",$E267&gt;=111),0,Z266+$K267-$O267+IF($C$1=1,AC267,IF($C268=$C$3,SUM(AC256:AC267,0)))))*5%))*$Q267),0)</f>
        <v>0</v>
      </c>
      <c r="M267" s="2">
        <f ca="1">ROUND(IF(OP!$C$78&lt;(IF(OR($T267="F",$E267&gt;=111),0,AA266+$K267-$O267+IF($C$1=1,AD267,IF($C268=$C$3,SUM(AD256:AD267,0)))))*5%,0,(OP!$C$78-((IF(OR($T267="F",$E267&gt;=111),0,AA266+$K267-$O267+IF($C$1=1,AD267,IF($C268=$C$3,SUM(AD256:AD267,0)))))*5%))*$Q267),0)</f>
        <v>0</v>
      </c>
      <c r="N267" s="2">
        <f ca="1">ROUND(IF(OP!$C$78&lt;(IF(OR($T267="F",$E267&gt;=111),0,AB266+$K267-$O267+IF($C$1=1,AE267,IF($C268=$C$3,SUM(AE256:AE267,0)))))*5%,0,(OP!$C$78-((IF(OR($T267="F",$E267&gt;=111),0,AB266+$K267-$O267+IF($C$1=1,AE267,IF($C268=$C$3,SUM(AE256:AE267,0)))))*5%))*$Q267),0)</f>
        <v>0</v>
      </c>
      <c r="O267" s="261">
        <f t="shared" ca="1" si="169"/>
        <v>0</v>
      </c>
      <c r="P267" s="261">
        <f t="shared" ca="1" si="187"/>
        <v>0</v>
      </c>
      <c r="Q267" s="3">
        <f ca="1">IF(A267&gt;MAX(OP!$R$17:$R$26),0,VLOOKUP(A267,fees,3,FALSE))</f>
        <v>0</v>
      </c>
      <c r="R267" s="200">
        <f t="shared" ca="1" si="170"/>
        <v>22</v>
      </c>
      <c r="S267" s="9" t="str">
        <f ca="1">IF(COUNTIF(($T$4:T266),"F")&gt;=1,"",IF(OR(C268&lt;&gt;$C$3,E267=""),"",A267))</f>
        <v/>
      </c>
      <c r="T267" s="20" t="str">
        <f t="shared" ca="1" si="162"/>
        <v/>
      </c>
      <c r="U267" s="2">
        <f ca="1">IF(IF(OP!$C$83=1,$Z266,IF(OP!$C$83=2,$AA266,IF(OP!$C$83=3,$AB266,)))+$K267-$O267-$P267-$AS267&lt;OP!$C$142,0,$AS267)</f>
        <v>0</v>
      </c>
      <c r="V267" s="19">
        <f ca="1">SUM(K256:K267)</f>
        <v>0</v>
      </c>
      <c r="W267" s="19">
        <f ca="1">MAX(SUM($K$4:K267),0)</f>
        <v>2000000</v>
      </c>
      <c r="X267" s="19">
        <f ca="1">SUM(O256:P267)</f>
        <v>0</v>
      </c>
      <c r="Y267" s="19">
        <f t="shared" ca="1" si="188"/>
        <v>1920000</v>
      </c>
      <c r="Z267" s="2">
        <f ca="1">IF(MIN($Z$4:Z266)=0,0,MAX(0,($Z266+$K267-$O267-$P267)*IF(AND(F267="F",$D$3&lt;&gt;$G$3),((1+(-J267))^(H267/MIN(G267,365))),((1+(-J267))^(1/12)))-$U267))</f>
        <v>621184.40634952637</v>
      </c>
      <c r="AA267" s="2">
        <f ca="1">IF(MIN($AA$4:AA266)=0,0,MAX(0,($AA266+$K267-$O267-$P267)*IF(AND(F267="F",$D$3&lt;&gt;$G$3),((1+$AA$1)^(H267/MIN(G267,365))),((1+$AA$1)^(1/12)))-$U267))</f>
        <v>1920000</v>
      </c>
      <c r="AB267" s="2">
        <f ca="1">IF(MIN($AB$4:AB266)=0,0,MAX(0,($AB266+$K267-$O267-$P267)*IF(AND(F267="F",$D$3&lt;&gt;$G$3),((1+(J267))^(H267/MIN(G267,365))),((1+(J267))^(1/12)))-$U267))</f>
        <v>5616500.5822497839</v>
      </c>
      <c r="AC267" s="5"/>
      <c r="AD267" s="5"/>
      <c r="AE267" s="5"/>
      <c r="AF267" s="282">
        <f t="shared" ca="1" si="171"/>
        <v>621184</v>
      </c>
      <c r="AG267" s="282">
        <f t="shared" ca="1" si="172"/>
        <v>1920000</v>
      </c>
      <c r="AH267" s="282">
        <f t="shared" ca="1" si="173"/>
        <v>5616501</v>
      </c>
      <c r="AI267" s="23" t="str">
        <f t="shared" ca="1" si="154"/>
        <v>23-1</v>
      </c>
      <c r="AJ267" s="282">
        <f ca="1">IF(E267&gt;111,,IF(AND(OP!$C$99=1,T267="F"),Z267,IF(AND(OP!$C$99=2,COUNTIF($T$4:T267,"F")=1),OP!$C$97+IF(F267="F",OP!$C$98,0),"")))</f>
        <v>54527</v>
      </c>
      <c r="AK267" s="282">
        <f ca="1">IF(E267&gt;111,,IF(AND(OP!$D$99=1,T267="F"),AA267,IF(AND(OP!$D$99=2,COUNTIF($T$4:T267,"F")=1),OP!$D$97+IF(F267="F",OP!$D$98,0),"")))</f>
        <v>74177</v>
      </c>
      <c r="AL267" s="282">
        <f ca="1">IF(E267&gt;111,,IF(AND(OP!$E$99=1,T267="F"),AB267,IF(AND(OP!$E$99=2,COUNTIF($T$4:T267,"F")=1),OP!$E$97+IF(F267="F",OP!$E$98,0),"")))</f>
        <v>99404</v>
      </c>
      <c r="AM267" s="1">
        <f t="shared" ca="1" si="163"/>
        <v>1</v>
      </c>
      <c r="AN267" s="1" t="str">
        <f ca="1">IF(OR(VLOOKUP($A267,MP,5,0)="月繳"),1,"")</f>
        <v/>
      </c>
      <c r="AO267" s="1">
        <f t="shared" ca="1" si="174"/>
        <v>0</v>
      </c>
      <c r="AP267" s="1" t="str">
        <f ca="1">IF(AND(A267&lt;=OP!$C$120,COUNTIF(PAY,C267)=1),1,"")</f>
        <v/>
      </c>
      <c r="AR267" s="301">
        <f ca="1">IF(繳費報酬率資料!$A$1=1,$AY267+$AZ267,$BF267+$BG267)</f>
        <v>0</v>
      </c>
      <c r="AS267" s="1">
        <f ca="1">IF(C267&lt;&gt;IF($C$3=1,12,$C$3-1),0,IF(繳費報酬率資料!$A$1&lt;&gt;1,VLOOKUP($A267,MP,8,0),IF(AND($A267&gt;=OP!$C$79,$A267&lt;=OP!$C$80),OP!$C$78,)))</f>
        <v>0</v>
      </c>
      <c r="AT267" s="298">
        <f t="shared" ca="1" si="175"/>
        <v>0</v>
      </c>
      <c r="AU267" s="298">
        <f ca="1">IF(AND(A267&lt;=OP!$C$120,COUNTIF(PAY,C267)=1),OP!$C$123,0)</f>
        <v>0</v>
      </c>
      <c r="AV267" s="298">
        <f ca="1">IF(AND(A267&gt;=OP!$C$132,A267&lt;=OP!$C$133,$C$3=C267),OP!$C$135,0)</f>
        <v>0</v>
      </c>
      <c r="AW267" s="180">
        <f t="shared" ca="1" si="176"/>
        <v>0.05</v>
      </c>
      <c r="AX267" s="180">
        <f t="shared" ca="1" si="177"/>
        <v>0.05</v>
      </c>
      <c r="AY267" s="286">
        <f t="shared" ca="1" si="178"/>
        <v>0</v>
      </c>
      <c r="AZ267" s="286">
        <f t="shared" ca="1" si="179"/>
        <v>0</v>
      </c>
      <c r="BA267" s="286">
        <f t="shared" ca="1" si="180"/>
        <v>0</v>
      </c>
      <c r="BB267" s="286">
        <f t="shared" ca="1" si="181"/>
        <v>0</v>
      </c>
      <c r="BC267" s="286">
        <f t="shared" ca="1" si="182"/>
        <v>0</v>
      </c>
      <c r="BD267" s="180">
        <f t="shared" ca="1" si="183"/>
        <v>0.05</v>
      </c>
      <c r="BE267" s="180">
        <f t="shared" ca="1" si="184"/>
        <v>0.05</v>
      </c>
      <c r="BF267" s="286">
        <f t="shared" ca="1" si="185"/>
        <v>0</v>
      </c>
      <c r="BG267" s="286">
        <f t="shared" ca="1" si="186"/>
        <v>0</v>
      </c>
    </row>
    <row r="268" spans="1:59">
      <c r="A268" s="1">
        <f t="shared" ca="1" si="166"/>
        <v>23</v>
      </c>
      <c r="B268" s="1">
        <f t="shared" ca="1" si="159"/>
        <v>128</v>
      </c>
      <c r="C268" s="1">
        <f t="shared" ca="1" si="160"/>
        <v>6</v>
      </c>
      <c r="D268" s="1">
        <f ca="1">MIN($D$3,VLOOKUP(C268,OP!$S$30:$T$41,2))</f>
        <v>2</v>
      </c>
      <c r="E268" s="1">
        <f t="shared" ca="1" si="161"/>
        <v>77</v>
      </c>
      <c r="F268" s="11" t="str">
        <f t="shared" ca="1" si="167"/>
        <v/>
      </c>
      <c r="G268" s="6">
        <f ca="1">DATEDIF(DATE(B268+1911,C268,D268),DATE(B280+1911,C280,D280),"d")</f>
        <v>366</v>
      </c>
      <c r="H268" s="8">
        <f t="shared" ca="1" si="168"/>
        <v>30</v>
      </c>
      <c r="I268" s="8" t="str">
        <f t="shared" ca="1" si="165"/>
        <v>236</v>
      </c>
      <c r="J268" s="13">
        <f>IF(繳費報酬率資料!$A$1=1,VALUE(OP!$C$121),VLOOKUP(A268,MP,2,0))</f>
        <v>0.05</v>
      </c>
      <c r="K268" s="14">
        <f ca="1">IF(SUM($K$4:K267,IF(繳費報酬率資料!$A$1=1,$AU268+$AV268,$BB268+$BC268))&gt;OP!$L$58,0,IF(繳費報酬率資料!$A$1=1,$AU268+$AV268,$BB268+$BC268))</f>
        <v>0</v>
      </c>
      <c r="L268" s="2"/>
      <c r="M268" s="2"/>
      <c r="N268" s="2"/>
      <c r="O268" s="261">
        <f t="shared" ca="1" si="169"/>
        <v>0</v>
      </c>
      <c r="P268" s="261">
        <f t="shared" ca="1" si="187"/>
        <v>0</v>
      </c>
      <c r="Q268" s="3">
        <f ca="1">IF(A268&gt;MAX(OP!$R$17:$R$26),0,VLOOKUP(A268,fees,3,FALSE))</f>
        <v>0</v>
      </c>
      <c r="R268" s="200" t="str">
        <f t="shared" ca="1" si="170"/>
        <v/>
      </c>
      <c r="S268" s="9" t="str">
        <f ca="1">IF(COUNTIF(($T$4:T267),"F")&gt;=1,"",IF(OR(C269&lt;&gt;$C$3,E268=""),"",A268))</f>
        <v/>
      </c>
      <c r="T268" s="20" t="str">
        <f t="shared" ca="1" si="162"/>
        <v/>
      </c>
      <c r="U268" s="2">
        <f ca="1">IF(IF(OP!$C$83=1,$Z267,IF(OP!$C$83=2,$AA267,IF(OP!$C$83=3,$AB267,)))+$K268-$O268-$P268-$AS268&lt;OP!$C$142,0,$AS268)</f>
        <v>0</v>
      </c>
      <c r="V268" s="9"/>
      <c r="W268" s="19">
        <f ca="1">MAX(SUM($K$4:K268),0)</f>
        <v>2000000</v>
      </c>
      <c r="X268" s="19"/>
      <c r="Y268" s="19">
        <f t="shared" ca="1" si="188"/>
        <v>1920000</v>
      </c>
      <c r="Z268" s="2">
        <f ca="1">IF(MIN($Z$4:Z267)=0,0,MAX(0,($Z267+$K268-$O268-$P268)*IF(AND(F268="F",$D$3&lt;&gt;$G$3),((1+(-J268))^(H268/MIN(G268,365))),((1+(-J268))^(1/12)))-$U268))</f>
        <v>618534.85683679592</v>
      </c>
      <c r="AA268" s="2">
        <f ca="1">IF(MIN($AA$4:AA267)=0,0,MAX(0,($AA267+$K268-$O268-$P268)*IF(AND(F268="F",$D$3&lt;&gt;$G$3),((1+$AA$1)^(H268/MIN(G268,365))),((1+$AA$1)^(1/12)))-$U268))</f>
        <v>1920000</v>
      </c>
      <c r="AB268" s="2">
        <f ca="1">IF(MIN($AB$4:AB267)=0,0,MAX(0,($AB267+$K268-$O268-$P268)*IF(AND(F268="F",$D$3&lt;&gt;$G$3),((1+(J268))^(H268/MIN(G268,365))),((1+(J268))^(1/12)))-$U268))</f>
        <v>5639382.9008528022</v>
      </c>
      <c r="AC268" s="21"/>
      <c r="AD268" s="21"/>
      <c r="AE268" s="21"/>
      <c r="AF268" s="282">
        <f t="shared" ca="1" si="171"/>
        <v>618535</v>
      </c>
      <c r="AG268" s="282">
        <f t="shared" ca="1" si="172"/>
        <v>1920000</v>
      </c>
      <c r="AH268" s="282">
        <f t="shared" ca="1" si="173"/>
        <v>5639383</v>
      </c>
      <c r="AI268" s="23" t="str">
        <f t="shared" ref="AI268:AI331" ca="1" si="189">IF($G$3=D269,A269,A268)&amp;"-"&amp;AM268</f>
        <v>23-2</v>
      </c>
      <c r="AJ268" s="281">
        <f ca="1">IF(E268&gt;111,,IF(AND(OP!$C$99=1,T268="F"),Z268,IF(AND(OP!$C$99=2,COUNTIF($T$4:T268,"F")=1),OP!$C$97+IF(F268="F",OP!$C$98,0),"")))</f>
        <v>54527</v>
      </c>
      <c r="AK268" s="281">
        <f ca="1">IF(E268&gt;111,,IF(AND(OP!$D$99=1,T268="F"),AA268,IF(AND(OP!$D$99=2,COUNTIF($T$4:T268,"F")=1),OP!$D$97+IF(F268="F",OP!$D$98,0),"")))</f>
        <v>74177</v>
      </c>
      <c r="AL268" s="281">
        <f ca="1">IF(E268&gt;111,,IF(AND(OP!$E$99=1,T268="F"),AB268,IF(AND(OP!$E$99=2,COUNTIF($T$4:T268,"F")=1),OP!$E$97+IF(F268="F",OP!$E$98,0),"")))</f>
        <v>99404</v>
      </c>
      <c r="AM268" s="1">
        <f t="shared" ca="1" si="163"/>
        <v>2</v>
      </c>
      <c r="AN268" s="1">
        <f ca="1">IF(OR(VLOOKUP($A268,MP,5,0)="年繳",VLOOKUP($A268,MP,5,0)="半年繳",VLOOKUP($A268,MP,5,0)="季繳",VLOOKUP($A268,MP,5,0)="月繳"),1,"")</f>
        <v>1</v>
      </c>
      <c r="AO268" s="1">
        <f t="shared" ca="1" si="174"/>
        <v>0</v>
      </c>
      <c r="AP268" s="1" t="str">
        <f ca="1">IF(AND(A268&lt;=OP!$C$120,COUNTIF(PAY,C268)=1),1,"")</f>
        <v/>
      </c>
      <c r="AR268" s="301">
        <f ca="1">IF(繳費報酬率資料!$A$1=1,$AY268+$AZ268,$BF268+$BG268)</f>
        <v>0</v>
      </c>
      <c r="AS268" s="1">
        <f ca="1">IF(C268&lt;&gt;IF($C$3=1,12,$C$3-1),0,IF(繳費報酬率資料!$A$1&lt;&gt;1,VLOOKUP($A268,MP,8,0),IF(AND($A268&gt;=OP!$C$79,$A268&lt;=OP!$C$80),OP!$C$78,)))</f>
        <v>0</v>
      </c>
      <c r="AT268" s="298">
        <f t="shared" ca="1" si="175"/>
        <v>0</v>
      </c>
      <c r="AU268" s="298">
        <f ca="1">IF(AND(A268&lt;=OP!$C$120,COUNTIF(PAY,C268)=1),OP!$C$123,0)</f>
        <v>0</v>
      </c>
      <c r="AV268" s="298">
        <f ca="1">IF(AND(A268&gt;=OP!$C$132,A268&lt;=OP!$C$133,$C$3=C268),OP!$C$135,0)</f>
        <v>0</v>
      </c>
      <c r="AW268" s="180">
        <f t="shared" ca="1" si="176"/>
        <v>0.05</v>
      </c>
      <c r="AX268" s="180">
        <f t="shared" ca="1" si="177"/>
        <v>0.05</v>
      </c>
      <c r="AY268" s="286">
        <f t="shared" ca="1" si="178"/>
        <v>0</v>
      </c>
      <c r="AZ268" s="286">
        <f t="shared" ca="1" si="179"/>
        <v>0</v>
      </c>
      <c r="BA268" s="286">
        <f t="shared" ca="1" si="180"/>
        <v>0</v>
      </c>
      <c r="BB268" s="286">
        <f t="shared" ca="1" si="181"/>
        <v>0</v>
      </c>
      <c r="BC268" s="286">
        <f t="shared" ca="1" si="182"/>
        <v>0</v>
      </c>
      <c r="BD268" s="180">
        <f t="shared" ca="1" si="183"/>
        <v>0.05</v>
      </c>
      <c r="BE268" s="180">
        <f t="shared" ca="1" si="184"/>
        <v>0.05</v>
      </c>
      <c r="BF268" s="286">
        <f t="shared" ca="1" si="185"/>
        <v>0</v>
      </c>
      <c r="BG268" s="286">
        <f t="shared" ca="1" si="186"/>
        <v>0</v>
      </c>
    </row>
    <row r="269" spans="1:59">
      <c r="A269" s="1">
        <f t="shared" ca="1" si="166"/>
        <v>23</v>
      </c>
      <c r="B269" s="1">
        <f t="shared" ca="1" si="159"/>
        <v>128</v>
      </c>
      <c r="C269" s="1">
        <f t="shared" ca="1" si="160"/>
        <v>7</v>
      </c>
      <c r="D269" s="1">
        <f ca="1">MIN($D$3,VLOOKUP(C269,OP!$S$30:$T$41,2))</f>
        <v>2</v>
      </c>
      <c r="E269" s="1">
        <f t="shared" ca="1" si="161"/>
        <v>77</v>
      </c>
      <c r="F269" s="11" t="str">
        <f t="shared" ca="1" si="167"/>
        <v/>
      </c>
      <c r="G269" s="8">
        <f t="shared" ref="G269:G279" ca="1" si="190">G268</f>
        <v>366</v>
      </c>
      <c r="H269" s="8">
        <f t="shared" ca="1" si="168"/>
        <v>31</v>
      </c>
      <c r="I269" s="8" t="str">
        <f t="shared" ca="1" si="165"/>
        <v>237</v>
      </c>
      <c r="J269" s="13">
        <f>IF(繳費報酬率資料!$A$1=1,VALUE(OP!$C$121),VLOOKUP(A269,MP,2,0))</f>
        <v>0.05</v>
      </c>
      <c r="K269" s="14">
        <f ca="1">IF(SUM($K$4:K268,IF(繳費報酬率資料!$A$1=1,$AU269+$AV269,$BB269+$BC269))&gt;OP!$L$58,0,IF(繳費報酬率資料!$A$1=1,$AU269+$AV269,$BB269+$BC269))</f>
        <v>0</v>
      </c>
      <c r="L269" s="2"/>
      <c r="M269" s="2"/>
      <c r="N269" s="2"/>
      <c r="O269" s="261">
        <f t="shared" ca="1" si="169"/>
        <v>0</v>
      </c>
      <c r="P269" s="261">
        <f t="shared" ca="1" si="187"/>
        <v>0</v>
      </c>
      <c r="Q269" s="3">
        <f ca="1">IF(A269&gt;MAX(OP!$R$17:$R$26),0,VLOOKUP(A269,fees,3,FALSE))</f>
        <v>0</v>
      </c>
      <c r="R269" s="200" t="str">
        <f t="shared" ca="1" si="170"/>
        <v/>
      </c>
      <c r="S269" s="9" t="str">
        <f ca="1">IF(COUNTIF(($T$4:T268),"F")&gt;=1,"",IF(OR(C270&lt;&gt;$C$3,E269=""),"",A269))</f>
        <v/>
      </c>
      <c r="T269" s="20" t="str">
        <f t="shared" ca="1" si="162"/>
        <v/>
      </c>
      <c r="U269" s="2">
        <f ca="1">IF(IF(OP!$C$83=1,$Z268,IF(OP!$C$83=2,$AA268,IF(OP!$C$83=3,$AB268,)))+$K269-$O269-$P269-$AS269&lt;OP!$C$142,0,$AS269)</f>
        <v>0</v>
      </c>
      <c r="V269" s="9"/>
      <c r="W269" s="19">
        <f ca="1">MAX(SUM($K$4:K269),0)</f>
        <v>2000000</v>
      </c>
      <c r="X269" s="19"/>
      <c r="Y269" s="19">
        <f t="shared" ca="1" si="188"/>
        <v>1920000</v>
      </c>
      <c r="Z269" s="2">
        <f ca="1">IF(MIN($Z$4:Z268)=0,0,MAX(0,($Z268+$K269-$O269-$P269)*IF(AND(F269="F",$D$3&lt;&gt;$G$3),((1+(-J269))^(H269/MIN(G269,365))),((1+(-J269))^(1/12)))-$U269))</f>
        <v>615896.6084973542</v>
      </c>
      <c r="AA269" s="2">
        <f ca="1">IF(MIN($AA$4:AA268)=0,0,MAX(0,($AA268+$K269-$O269-$P269)*IF(AND(F269="F",$D$3&lt;&gt;$G$3),((1+$AA$1)^(H269/MIN(G269,365))),((1+$AA$1)^(1/12)))-$U269))</f>
        <v>1920000</v>
      </c>
      <c r="AB269" s="2">
        <f ca="1">IF(MIN($AB$4:AB268)=0,0,MAX(0,($AB268+$K269-$O269-$P269)*IF(AND(F269="F",$D$3&lt;&gt;$G$3),((1+(J269))^(H269/MIN(G269,365))),((1+(J269))^(1/12)))-$U269))</f>
        <v>5662358.444854266</v>
      </c>
      <c r="AC269" s="5"/>
      <c r="AD269" s="5"/>
      <c r="AE269" s="5"/>
      <c r="AF269" s="282">
        <f t="shared" ca="1" si="171"/>
        <v>615897</v>
      </c>
      <c r="AG269" s="282">
        <f t="shared" ca="1" si="172"/>
        <v>1920000</v>
      </c>
      <c r="AH269" s="282">
        <f t="shared" ca="1" si="173"/>
        <v>5662358</v>
      </c>
      <c r="AI269" s="23" t="str">
        <f t="shared" ca="1" si="189"/>
        <v>23-3</v>
      </c>
      <c r="AJ269" s="282">
        <f ca="1">IF(E269&gt;111,,IF(AND(OP!$C$99=1,T269="F"),Z269,IF(AND(OP!$C$99=2,COUNTIF($T$4:T269,"F")=1),OP!$C$97+IF(F269="F",OP!$C$98,0),"")))</f>
        <v>54527</v>
      </c>
      <c r="AK269" s="282">
        <f ca="1">IF(E269&gt;111,,IF(AND(OP!$D$99=1,T269="F"),AA269,IF(AND(OP!$D$99=2,COUNTIF($T$4:T269,"F")=1),OP!$D$97+IF(F269="F",OP!$D$98,0),"")))</f>
        <v>74177</v>
      </c>
      <c r="AL269" s="282">
        <f ca="1">IF(E269&gt;111,,IF(AND(OP!$E$99=1,T269="F"),AB269,IF(AND(OP!$E$99=2,COUNTIF($T$4:T269,"F")=1),OP!$E$97+IF(F269="F",OP!$E$98,0),"")))</f>
        <v>99404</v>
      </c>
      <c r="AM269" s="1">
        <f t="shared" ca="1" si="163"/>
        <v>3</v>
      </c>
      <c r="AN269" s="1" t="str">
        <f ca="1">IF(OR(VLOOKUP($A269,MP,5,0)="月繳"),1,"")</f>
        <v/>
      </c>
      <c r="AO269" s="1">
        <f t="shared" ca="1" si="174"/>
        <v>0</v>
      </c>
      <c r="AP269" s="1" t="str">
        <f ca="1">IF(AND(A269&lt;=OP!$C$120,COUNTIF(PAY,C269)=1),1,"")</f>
        <v/>
      </c>
      <c r="AR269" s="301">
        <f ca="1">IF(繳費報酬率資料!$A$1=1,$AY269+$AZ269,$BF269+$BG269)</f>
        <v>0</v>
      </c>
      <c r="AS269" s="1">
        <f ca="1">IF(C269&lt;&gt;IF($C$3=1,12,$C$3-1),0,IF(繳費報酬率資料!$A$1&lt;&gt;1,VLOOKUP($A269,MP,8,0),IF(AND($A269&gt;=OP!$C$79,$A269&lt;=OP!$C$80),OP!$C$78,)))</f>
        <v>0</v>
      </c>
      <c r="AT269" s="298">
        <f t="shared" ca="1" si="175"/>
        <v>0</v>
      </c>
      <c r="AU269" s="298">
        <f ca="1">IF(AND(A269&lt;=OP!$C$120,COUNTIF(PAY,C269)=1),OP!$C$123,0)</f>
        <v>0</v>
      </c>
      <c r="AV269" s="298">
        <f ca="1">IF(AND(A269&gt;=OP!$C$132,A269&lt;=OP!$C$133,$C$3=C269),OP!$C$135,0)</f>
        <v>0</v>
      </c>
      <c r="AW269" s="180">
        <f t="shared" ca="1" si="176"/>
        <v>0.05</v>
      </c>
      <c r="AX269" s="180">
        <f t="shared" ca="1" si="177"/>
        <v>0.05</v>
      </c>
      <c r="AY269" s="286">
        <f t="shared" ca="1" si="178"/>
        <v>0</v>
      </c>
      <c r="AZ269" s="286">
        <f t="shared" ca="1" si="179"/>
        <v>0</v>
      </c>
      <c r="BA269" s="286">
        <f t="shared" ca="1" si="180"/>
        <v>0</v>
      </c>
      <c r="BB269" s="286">
        <f t="shared" ca="1" si="181"/>
        <v>0</v>
      </c>
      <c r="BC269" s="286">
        <f t="shared" ca="1" si="182"/>
        <v>0</v>
      </c>
      <c r="BD269" s="180">
        <f t="shared" ca="1" si="183"/>
        <v>0.05</v>
      </c>
      <c r="BE269" s="180">
        <f t="shared" ca="1" si="184"/>
        <v>0.05</v>
      </c>
      <c r="BF269" s="286">
        <f t="shared" ca="1" si="185"/>
        <v>0</v>
      </c>
      <c r="BG269" s="286">
        <f t="shared" ca="1" si="186"/>
        <v>0</v>
      </c>
    </row>
    <row r="270" spans="1:59">
      <c r="A270" s="1">
        <f t="shared" ca="1" si="166"/>
        <v>23</v>
      </c>
      <c r="B270" s="1">
        <f t="shared" ca="1" si="159"/>
        <v>128</v>
      </c>
      <c r="C270" s="1">
        <f t="shared" ca="1" si="160"/>
        <v>8</v>
      </c>
      <c r="D270" s="1">
        <f ca="1">MIN($D$3,VLOOKUP(C270,OP!$S$30:$T$41,2))</f>
        <v>2</v>
      </c>
      <c r="E270" s="1">
        <f t="shared" ca="1" si="161"/>
        <v>77</v>
      </c>
      <c r="F270" s="11" t="str">
        <f t="shared" ca="1" si="167"/>
        <v/>
      </c>
      <c r="G270" s="8">
        <f t="shared" ca="1" si="190"/>
        <v>366</v>
      </c>
      <c r="H270" s="8">
        <f t="shared" ca="1" si="168"/>
        <v>31</v>
      </c>
      <c r="I270" s="8" t="str">
        <f t="shared" ca="1" si="165"/>
        <v>238</v>
      </c>
      <c r="J270" s="13">
        <f>IF(繳費報酬率資料!$A$1=1,VALUE(OP!$C$121),VLOOKUP(A270,MP,2,0))</f>
        <v>0.05</v>
      </c>
      <c r="K270" s="14">
        <f ca="1">IF(SUM($K$4:K269,IF(繳費報酬率資料!$A$1=1,$AU270+$AV270,$BB270+$BC270))&gt;OP!$L$58,0,IF(繳費報酬率資料!$A$1=1,$AU270+$AV270,$BB270+$BC270))</f>
        <v>0</v>
      </c>
      <c r="L270" s="2"/>
      <c r="M270" s="2"/>
      <c r="N270" s="2"/>
      <c r="O270" s="261">
        <f t="shared" ca="1" si="169"/>
        <v>0</v>
      </c>
      <c r="P270" s="261">
        <f t="shared" ca="1" si="187"/>
        <v>0</v>
      </c>
      <c r="Q270" s="3">
        <f ca="1">IF(A270&gt;MAX(OP!$R$17:$R$26),0,VLOOKUP(A270,fees,3,FALSE))</f>
        <v>0</v>
      </c>
      <c r="R270" s="200" t="str">
        <f t="shared" ca="1" si="170"/>
        <v/>
      </c>
      <c r="S270" s="9" t="str">
        <f ca="1">IF(COUNTIF(($T$4:T269),"F")&gt;=1,"",IF(OR(C271&lt;&gt;$C$3,E270=""),"",A270))</f>
        <v/>
      </c>
      <c r="T270" s="20" t="str">
        <f t="shared" ca="1" si="162"/>
        <v/>
      </c>
      <c r="U270" s="2">
        <f ca="1">IF(IF(OP!$C$83=1,$Z269,IF(OP!$C$83=2,$AA269,IF(OP!$C$83=3,$AB269,)))+$K270-$O270-$P270-$AS270&lt;OP!$C$142,0,$AS270)</f>
        <v>0</v>
      </c>
      <c r="V270" s="9"/>
      <c r="W270" s="19">
        <f ca="1">MAX(SUM($K$4:K270),0)</f>
        <v>2000000</v>
      </c>
      <c r="X270" s="19"/>
      <c r="Y270" s="19">
        <f t="shared" ca="1" si="188"/>
        <v>1920000</v>
      </c>
      <c r="Z270" s="2">
        <f ca="1">IF(MIN($Z$4:Z269)=0,0,MAX(0,($Z269+$K270-$O270-$P270)*IF(AND(F270="F",$D$3&lt;&gt;$G$3),((1+(-J270))^(H270/MIN(G270,365))),((1+(-J270))^(1/12)))-$U270))</f>
        <v>613269.61312809447</v>
      </c>
      <c r="AA270" s="2">
        <f ca="1">IF(MIN($AA$4:AA269)=0,0,MAX(0,($AA269+$K270-$O270-$P270)*IF(AND(F270="F",$D$3&lt;&gt;$G$3),((1+$AA$1)^(H270/MIN(G270,365))),((1+$AA$1)^(1/12)))-$U270))</f>
        <v>1920000</v>
      </c>
      <c r="AB270" s="2">
        <f ca="1">IF(MIN($AB$4:AB269)=0,0,MAX(0,($AB269+$K270-$O270-$P270)*IF(AND(F270="F",$D$3&lt;&gt;$G$3),((1+(J270))^(H270/MIN(G270,365))),((1+(J270))^(1/12)))-$U270))</f>
        <v>5685427.5940659884</v>
      </c>
      <c r="AC270" s="5"/>
      <c r="AD270" s="5"/>
      <c r="AE270" s="5"/>
      <c r="AF270" s="282">
        <f t="shared" ca="1" si="171"/>
        <v>613270</v>
      </c>
      <c r="AG270" s="282">
        <f t="shared" ca="1" si="172"/>
        <v>1920000</v>
      </c>
      <c r="AH270" s="282">
        <f t="shared" ca="1" si="173"/>
        <v>5685428</v>
      </c>
      <c r="AI270" s="23" t="str">
        <f t="shared" ca="1" si="189"/>
        <v>23-4</v>
      </c>
      <c r="AJ270" s="282">
        <f ca="1">IF(E270&gt;111,,IF(AND(OP!$C$99=1,T270="F"),Z270,IF(AND(OP!$C$99=2,COUNTIF($T$4:T270,"F")=1),OP!$C$97+IF(F270="F",OP!$C$98,0),"")))</f>
        <v>54527</v>
      </c>
      <c r="AK270" s="282">
        <f ca="1">IF(E270&gt;111,,IF(AND(OP!$D$99=1,T270="F"),AA270,IF(AND(OP!$D$99=2,COUNTIF($T$4:T270,"F")=1),OP!$D$97+IF(F270="F",OP!$D$98,0),"")))</f>
        <v>74177</v>
      </c>
      <c r="AL270" s="282">
        <f ca="1">IF(E270&gt;111,,IF(AND(OP!$E$99=1,T270="F"),AB270,IF(AND(OP!$E$99=2,COUNTIF($T$4:T270,"F")=1),OP!$E$97+IF(F270="F",OP!$E$98,0),"")))</f>
        <v>99404</v>
      </c>
      <c r="AM270" s="1">
        <f t="shared" ca="1" si="163"/>
        <v>4</v>
      </c>
      <c r="AN270" s="1" t="str">
        <f ca="1">IF(OR(VLOOKUP($A270,MP,5,0)="月繳"),1,"")</f>
        <v/>
      </c>
      <c r="AO270" s="1">
        <f t="shared" ca="1" si="174"/>
        <v>0</v>
      </c>
      <c r="AP270" s="1" t="str">
        <f ca="1">IF(AND(A270&lt;=OP!$C$120,COUNTIF(PAY,C270)=1),1,"")</f>
        <v/>
      </c>
      <c r="AR270" s="301">
        <f ca="1">IF(繳費報酬率資料!$A$1=1,$AY270+$AZ270,$BF270+$BG270)</f>
        <v>0</v>
      </c>
      <c r="AS270" s="1">
        <f ca="1">IF(C270&lt;&gt;IF($C$3=1,12,$C$3-1),0,IF(繳費報酬率資料!$A$1&lt;&gt;1,VLOOKUP($A270,MP,8,0),IF(AND($A270&gt;=OP!$C$79,$A270&lt;=OP!$C$80),OP!$C$78,)))</f>
        <v>0</v>
      </c>
      <c r="AT270" s="298">
        <f t="shared" ca="1" si="175"/>
        <v>0</v>
      </c>
      <c r="AU270" s="298">
        <f ca="1">IF(AND(A270&lt;=OP!$C$120,COUNTIF(PAY,C270)=1),OP!$C$123,0)</f>
        <v>0</v>
      </c>
      <c r="AV270" s="298">
        <f ca="1">IF(AND(A270&gt;=OP!$C$132,A270&lt;=OP!$C$133,$C$3=C270),OP!$C$135,0)</f>
        <v>0</v>
      </c>
      <c r="AW270" s="180">
        <f t="shared" ca="1" si="176"/>
        <v>0.05</v>
      </c>
      <c r="AX270" s="180">
        <f t="shared" ca="1" si="177"/>
        <v>0.05</v>
      </c>
      <c r="AY270" s="286">
        <f t="shared" ca="1" si="178"/>
        <v>0</v>
      </c>
      <c r="AZ270" s="286">
        <f t="shared" ca="1" si="179"/>
        <v>0</v>
      </c>
      <c r="BA270" s="286">
        <f t="shared" ca="1" si="180"/>
        <v>0</v>
      </c>
      <c r="BB270" s="286">
        <f t="shared" ca="1" si="181"/>
        <v>0</v>
      </c>
      <c r="BC270" s="286">
        <f t="shared" ca="1" si="182"/>
        <v>0</v>
      </c>
      <c r="BD270" s="180">
        <f t="shared" ca="1" si="183"/>
        <v>0.05</v>
      </c>
      <c r="BE270" s="180">
        <f t="shared" ca="1" si="184"/>
        <v>0.05</v>
      </c>
      <c r="BF270" s="286">
        <f t="shared" ca="1" si="185"/>
        <v>0</v>
      </c>
      <c r="BG270" s="286">
        <f t="shared" ca="1" si="186"/>
        <v>0</v>
      </c>
    </row>
    <row r="271" spans="1:59">
      <c r="A271" s="1">
        <f t="shared" ca="1" si="166"/>
        <v>23</v>
      </c>
      <c r="B271" s="1">
        <f t="shared" ca="1" si="159"/>
        <v>128</v>
      </c>
      <c r="C271" s="1">
        <f t="shared" ca="1" si="160"/>
        <v>9</v>
      </c>
      <c r="D271" s="1">
        <f ca="1">MIN($D$3,VLOOKUP(C271,OP!$S$30:$T$41,2))</f>
        <v>2</v>
      </c>
      <c r="E271" s="1">
        <f t="shared" ca="1" si="161"/>
        <v>77</v>
      </c>
      <c r="F271" s="11" t="str">
        <f t="shared" ca="1" si="167"/>
        <v/>
      </c>
      <c r="G271" s="8">
        <f t="shared" ca="1" si="190"/>
        <v>366</v>
      </c>
      <c r="H271" s="8">
        <f t="shared" ca="1" si="168"/>
        <v>30</v>
      </c>
      <c r="I271" s="8" t="str">
        <f t="shared" ca="1" si="165"/>
        <v>239</v>
      </c>
      <c r="J271" s="13">
        <f>IF(繳費報酬率資料!$A$1=1,VALUE(OP!$C$121),VLOOKUP(A271,MP,2,0))</f>
        <v>0.05</v>
      </c>
      <c r="K271" s="14">
        <f ca="1">IF(SUM($K$4:K270,IF(繳費報酬率資料!$A$1=1,$AU271+$AV271,$BB271+$BC271))&gt;OP!$L$58,0,IF(繳費報酬率資料!$A$1=1,$AU271+$AV271,$BB271+$BC271))</f>
        <v>0</v>
      </c>
      <c r="L271" s="2"/>
      <c r="M271" s="2"/>
      <c r="N271" s="2"/>
      <c r="O271" s="261">
        <f t="shared" ca="1" si="169"/>
        <v>0</v>
      </c>
      <c r="P271" s="261">
        <f t="shared" ca="1" si="187"/>
        <v>0</v>
      </c>
      <c r="Q271" s="3">
        <f ca="1">IF(A271&gt;MAX(OP!$R$17:$R$26),0,VLOOKUP(A271,fees,3,FALSE))</f>
        <v>0</v>
      </c>
      <c r="R271" s="200" t="str">
        <f t="shared" ca="1" si="170"/>
        <v/>
      </c>
      <c r="S271" s="9" t="str">
        <f ca="1">IF(COUNTIF(($T$4:T270),"F")&gt;=1,"",IF(OR(C272&lt;&gt;$C$3,E271=""),"",A271))</f>
        <v/>
      </c>
      <c r="T271" s="20" t="str">
        <f t="shared" ca="1" si="162"/>
        <v/>
      </c>
      <c r="U271" s="2">
        <f ca="1">IF(IF(OP!$C$83=1,$Z270,IF(OP!$C$83=2,$AA270,IF(OP!$C$83=3,$AB270,)))+$K271-$O271-$P271-$AS271&lt;OP!$C$142,0,$AS271)</f>
        <v>0</v>
      </c>
      <c r="V271" s="9"/>
      <c r="W271" s="19">
        <f ca="1">MAX(SUM($K$4:K271),0)</f>
        <v>2000000</v>
      </c>
      <c r="X271" s="19"/>
      <c r="Y271" s="19">
        <f t="shared" ca="1" si="188"/>
        <v>1920000</v>
      </c>
      <c r="Z271" s="2">
        <f ca="1">IF(MIN($Z$4:Z270)=0,0,MAX(0,($Z270+$K271-$O271-$P271)*IF(AND(F271="F",$D$3&lt;&gt;$G$3),((1+(-J271))^(H271/MIN(G271,365))),((1+(-J271))^(1/12)))-$U271))</f>
        <v>610653.8227315119</v>
      </c>
      <c r="AA271" s="2">
        <f ca="1">IF(MIN($AA$4:AA270)=0,0,MAX(0,($AA270+$K271-$O271-$P271)*IF(AND(F271="F",$D$3&lt;&gt;$G$3),((1+$AA$1)^(H271/MIN(G271,365))),((1+$AA$1)^(1/12)))-$U271))</f>
        <v>1920000</v>
      </c>
      <c r="AB271" s="2">
        <f ca="1">IF(MIN($AB$4:AB270)=0,0,MAX(0,($AB270+$K271-$O271-$P271)*IF(AND(F271="F",$D$3&lt;&gt;$G$3),((1+(J271))^(H271/MIN(G271,365))),((1+(J271))^(1/12)))-$U271))</f>
        <v>5708590.7298471835</v>
      </c>
      <c r="AC271" s="5"/>
      <c r="AD271" s="5"/>
      <c r="AE271" s="5"/>
      <c r="AF271" s="282">
        <f t="shared" ca="1" si="171"/>
        <v>610654</v>
      </c>
      <c r="AG271" s="282">
        <f t="shared" ca="1" si="172"/>
        <v>1920000</v>
      </c>
      <c r="AH271" s="282">
        <f t="shared" ca="1" si="173"/>
        <v>5708591</v>
      </c>
      <c r="AI271" s="23" t="str">
        <f t="shared" ca="1" si="189"/>
        <v>23-5</v>
      </c>
      <c r="AJ271" s="282">
        <f ca="1">IF(E271&gt;111,,IF(AND(OP!$C$99=1,T271="F"),Z271,IF(AND(OP!$C$99=2,COUNTIF($T$4:T271,"F")=1),OP!$C$97+IF(F271="F",OP!$C$98,0),"")))</f>
        <v>54527</v>
      </c>
      <c r="AK271" s="282">
        <f ca="1">IF(E271&gt;111,,IF(AND(OP!$D$99=1,T271="F"),AA271,IF(AND(OP!$D$99=2,COUNTIF($T$4:T271,"F")=1),OP!$D$97+IF(F271="F",OP!$D$98,0),"")))</f>
        <v>74177</v>
      </c>
      <c r="AL271" s="282">
        <f ca="1">IF(E271&gt;111,,IF(AND(OP!$E$99=1,T271="F"),AB271,IF(AND(OP!$E$99=2,COUNTIF($T$4:T271,"F")=1),OP!$E$97+IF(F271="F",OP!$E$98,0),"")))</f>
        <v>99404</v>
      </c>
      <c r="AM271" s="1">
        <f t="shared" ca="1" si="163"/>
        <v>5</v>
      </c>
      <c r="AN271" s="1" t="str">
        <f ca="1">IF(OR(VLOOKUP($A271,MP,5,0)="季繳",VLOOKUP($A271,MP,5,0)="月繳"),1,"")</f>
        <v/>
      </c>
      <c r="AO271" s="1">
        <f t="shared" ca="1" si="174"/>
        <v>0</v>
      </c>
      <c r="AP271" s="1" t="str">
        <f ca="1">IF(AND(A271&lt;=OP!$C$120,COUNTIF(PAY,C271)=1),1,"")</f>
        <v/>
      </c>
      <c r="AR271" s="301">
        <f ca="1">IF(繳費報酬率資料!$A$1=1,$AY271+$AZ271,$BF271+$BG271)</f>
        <v>0</v>
      </c>
      <c r="AS271" s="1">
        <f ca="1">IF(C271&lt;&gt;IF($C$3=1,12,$C$3-1),0,IF(繳費報酬率資料!$A$1&lt;&gt;1,VLOOKUP($A271,MP,8,0),IF(AND($A271&gt;=OP!$C$79,$A271&lt;=OP!$C$80),OP!$C$78,)))</f>
        <v>0</v>
      </c>
      <c r="AT271" s="298">
        <f t="shared" ca="1" si="175"/>
        <v>0</v>
      </c>
      <c r="AU271" s="298">
        <f ca="1">IF(AND(A271&lt;=OP!$C$120,COUNTIF(PAY,C271)=1),OP!$C$123,0)</f>
        <v>0</v>
      </c>
      <c r="AV271" s="298">
        <f ca="1">IF(AND(A271&gt;=OP!$C$132,A271&lt;=OP!$C$133,$C$3=C271),OP!$C$135,0)</f>
        <v>0</v>
      </c>
      <c r="AW271" s="180">
        <f t="shared" ca="1" si="176"/>
        <v>0.05</v>
      </c>
      <c r="AX271" s="180">
        <f t="shared" ca="1" si="177"/>
        <v>0.05</v>
      </c>
      <c r="AY271" s="286">
        <f t="shared" ca="1" si="178"/>
        <v>0</v>
      </c>
      <c r="AZ271" s="286">
        <f t="shared" ca="1" si="179"/>
        <v>0</v>
      </c>
      <c r="BA271" s="286">
        <f t="shared" ca="1" si="180"/>
        <v>0</v>
      </c>
      <c r="BB271" s="286">
        <f t="shared" ca="1" si="181"/>
        <v>0</v>
      </c>
      <c r="BC271" s="286">
        <f t="shared" ca="1" si="182"/>
        <v>0</v>
      </c>
      <c r="BD271" s="180">
        <f t="shared" ca="1" si="183"/>
        <v>0.05</v>
      </c>
      <c r="BE271" s="180">
        <f t="shared" ca="1" si="184"/>
        <v>0.05</v>
      </c>
      <c r="BF271" s="286">
        <f t="shared" ca="1" si="185"/>
        <v>0</v>
      </c>
      <c r="BG271" s="286">
        <f t="shared" ca="1" si="186"/>
        <v>0</v>
      </c>
    </row>
    <row r="272" spans="1:59">
      <c r="A272" s="1">
        <f t="shared" ca="1" si="166"/>
        <v>23</v>
      </c>
      <c r="B272" s="1">
        <f t="shared" ca="1" si="159"/>
        <v>128</v>
      </c>
      <c r="C272" s="1">
        <f t="shared" ca="1" si="160"/>
        <v>10</v>
      </c>
      <c r="D272" s="1">
        <f ca="1">MIN($D$3,VLOOKUP(C272,OP!$S$30:$T$41,2))</f>
        <v>2</v>
      </c>
      <c r="E272" s="1">
        <f t="shared" ca="1" si="161"/>
        <v>77</v>
      </c>
      <c r="F272" s="11" t="str">
        <f t="shared" ca="1" si="167"/>
        <v/>
      </c>
      <c r="G272" s="8">
        <f t="shared" ca="1" si="190"/>
        <v>366</v>
      </c>
      <c r="H272" s="8">
        <f t="shared" ca="1" si="168"/>
        <v>31</v>
      </c>
      <c r="I272" s="8" t="str">
        <f t="shared" ca="1" si="165"/>
        <v>2310</v>
      </c>
      <c r="J272" s="13">
        <f>IF(繳費報酬率資料!$A$1=1,VALUE(OP!$C$121),VLOOKUP(A272,MP,2,0))</f>
        <v>0.05</v>
      </c>
      <c r="K272" s="14">
        <f ca="1">IF(SUM($K$4:K271,IF(繳費報酬率資料!$A$1=1,$AU272+$AV272,$BB272+$BC272))&gt;OP!$L$58,0,IF(繳費報酬率資料!$A$1=1,$AU272+$AV272,$BB272+$BC272))</f>
        <v>0</v>
      </c>
      <c r="L272" s="2"/>
      <c r="M272" s="2"/>
      <c r="N272" s="2"/>
      <c r="O272" s="261">
        <f t="shared" ca="1" si="169"/>
        <v>0</v>
      </c>
      <c r="P272" s="261">
        <f t="shared" ca="1" si="187"/>
        <v>0</v>
      </c>
      <c r="Q272" s="3">
        <f ca="1">IF(A272&gt;MAX(OP!$R$17:$R$26),0,VLOOKUP(A272,fees,3,FALSE))</f>
        <v>0</v>
      </c>
      <c r="R272" s="200" t="str">
        <f t="shared" ca="1" si="170"/>
        <v/>
      </c>
      <c r="S272" s="9" t="str">
        <f ca="1">IF(COUNTIF(($T$4:T271),"F")&gt;=1,"",IF(OR(C273&lt;&gt;$C$3,E272=""),"",A272))</f>
        <v/>
      </c>
      <c r="T272" s="20" t="str">
        <f t="shared" ca="1" si="162"/>
        <v/>
      </c>
      <c r="U272" s="2">
        <f ca="1">IF(IF(OP!$C$83=1,$Z271,IF(OP!$C$83=2,$AA271,IF(OP!$C$83=3,$AB271,)))+$K272-$O272-$P272-$AS272&lt;OP!$C$142,0,$AS272)</f>
        <v>0</v>
      </c>
      <c r="V272" s="9"/>
      <c r="W272" s="19">
        <f ca="1">MAX(SUM($K$4:K272),0)</f>
        <v>2000000</v>
      </c>
      <c r="X272" s="19"/>
      <c r="Y272" s="19">
        <f t="shared" ca="1" si="188"/>
        <v>1920000</v>
      </c>
      <c r="Z272" s="2">
        <f ca="1">IF(MIN($Z$4:Z271)=0,0,MAX(0,($Z271+$K272-$O272-$P272)*IF(AND(F272="F",$D$3&lt;&gt;$G$3),((1+(-J272))^(H272/MIN(G272,365))),((1+(-J272))^(1/12)))-$U272))</f>
        <v>608049.18951482594</v>
      </c>
      <c r="AA272" s="2">
        <f ca="1">IF(MIN($AA$4:AA271)=0,0,MAX(0,($AA271+$K272-$O272-$P272)*IF(AND(F272="F",$D$3&lt;&gt;$G$3),((1+$AA$1)^(H272/MIN(G272,365))),((1+$AA$1)^(1/12)))-$U272))</f>
        <v>1920000</v>
      </c>
      <c r="AB272" s="2">
        <f ca="1">IF(MIN($AB$4:AB271)=0,0,MAX(0,($AB271+$K272-$O272-$P272)*IF(AND(F272="F",$D$3&lt;&gt;$G$3),((1+(J272))^(H272/MIN(G272,365))),((1+(J272))^(1/12)))-$U272))</f>
        <v>5731848.2351107681</v>
      </c>
      <c r="AC272" s="5"/>
      <c r="AD272" s="5"/>
      <c r="AE272" s="5"/>
      <c r="AF272" s="282">
        <f t="shared" ca="1" si="171"/>
        <v>608049</v>
      </c>
      <c r="AG272" s="282">
        <f t="shared" ca="1" si="172"/>
        <v>1920000</v>
      </c>
      <c r="AH272" s="282">
        <f t="shared" ca="1" si="173"/>
        <v>5731848</v>
      </c>
      <c r="AI272" s="23" t="str">
        <f t="shared" ca="1" si="189"/>
        <v>23-6</v>
      </c>
      <c r="AJ272" s="282">
        <f ca="1">IF(E272&gt;111,,IF(AND(OP!$C$99=1,T272="F"),Z272,IF(AND(OP!$C$99=2,COUNTIF($T$4:T272,"F")=1),OP!$C$97+IF(F272="F",OP!$C$98,0),"")))</f>
        <v>54527</v>
      </c>
      <c r="AK272" s="282">
        <f ca="1">IF(E272&gt;111,,IF(AND(OP!$D$99=1,T272="F"),AA272,IF(AND(OP!$D$99=2,COUNTIF($T$4:T272,"F")=1),OP!$D$97+IF(F272="F",OP!$D$98,0),"")))</f>
        <v>74177</v>
      </c>
      <c r="AL272" s="282">
        <f ca="1">IF(E272&gt;111,,IF(AND(OP!$E$99=1,T272="F"),AB272,IF(AND(OP!$E$99=2,COUNTIF($T$4:T272,"F")=1),OP!$E$97+IF(F272="F",OP!$E$98,0),"")))</f>
        <v>99404</v>
      </c>
      <c r="AM272" s="1">
        <f t="shared" ca="1" si="163"/>
        <v>6</v>
      </c>
      <c r="AN272" s="1" t="str">
        <f ca="1">IF(OR(VLOOKUP($A272,MP,5,0)="月繳"),1,"")</f>
        <v/>
      </c>
      <c r="AO272" s="1">
        <f t="shared" ca="1" si="174"/>
        <v>0</v>
      </c>
      <c r="AP272" s="1" t="str">
        <f ca="1">IF(AND(A272&lt;=OP!$C$120,COUNTIF(PAY,C272)=1),1,"")</f>
        <v/>
      </c>
      <c r="AR272" s="301">
        <f ca="1">IF(繳費報酬率資料!$A$1=1,$AY272+$AZ272,$BF272+$BG272)</f>
        <v>0</v>
      </c>
      <c r="AS272" s="1">
        <f ca="1">IF(C272&lt;&gt;IF($C$3=1,12,$C$3-1),0,IF(繳費報酬率資料!$A$1&lt;&gt;1,VLOOKUP($A272,MP,8,0),IF(AND($A272&gt;=OP!$C$79,$A272&lt;=OP!$C$80),OP!$C$78,)))</f>
        <v>0</v>
      </c>
      <c r="AT272" s="298">
        <f t="shared" ca="1" si="175"/>
        <v>0</v>
      </c>
      <c r="AU272" s="298">
        <f ca="1">IF(AND(A272&lt;=OP!$C$120,COUNTIF(PAY,C272)=1),OP!$C$123,0)</f>
        <v>0</v>
      </c>
      <c r="AV272" s="298">
        <f ca="1">IF(AND(A272&gt;=OP!$C$132,A272&lt;=OP!$C$133,$C$3=C272),OP!$C$135,0)</f>
        <v>0</v>
      </c>
      <c r="AW272" s="180">
        <f t="shared" ca="1" si="176"/>
        <v>0.05</v>
      </c>
      <c r="AX272" s="180">
        <f t="shared" ca="1" si="177"/>
        <v>0.05</v>
      </c>
      <c r="AY272" s="286">
        <f t="shared" ca="1" si="178"/>
        <v>0</v>
      </c>
      <c r="AZ272" s="286">
        <f t="shared" ca="1" si="179"/>
        <v>0</v>
      </c>
      <c r="BA272" s="286">
        <f t="shared" ca="1" si="180"/>
        <v>0</v>
      </c>
      <c r="BB272" s="286">
        <f t="shared" ca="1" si="181"/>
        <v>0</v>
      </c>
      <c r="BC272" s="286">
        <f t="shared" ca="1" si="182"/>
        <v>0</v>
      </c>
      <c r="BD272" s="180">
        <f t="shared" ca="1" si="183"/>
        <v>0.05</v>
      </c>
      <c r="BE272" s="180">
        <f t="shared" ca="1" si="184"/>
        <v>0.05</v>
      </c>
      <c r="BF272" s="286">
        <f t="shared" ca="1" si="185"/>
        <v>0</v>
      </c>
      <c r="BG272" s="286">
        <f t="shared" ca="1" si="186"/>
        <v>0</v>
      </c>
    </row>
    <row r="273" spans="1:59">
      <c r="A273" s="1">
        <f t="shared" ca="1" si="166"/>
        <v>23</v>
      </c>
      <c r="B273" s="1">
        <f t="shared" ca="1" si="159"/>
        <v>128</v>
      </c>
      <c r="C273" s="1">
        <f t="shared" ca="1" si="160"/>
        <v>11</v>
      </c>
      <c r="D273" s="1">
        <f ca="1">MIN($D$3,VLOOKUP(C273,OP!$S$30:$T$41,2))</f>
        <v>2</v>
      </c>
      <c r="E273" s="1">
        <f t="shared" ca="1" si="161"/>
        <v>77</v>
      </c>
      <c r="F273" s="11" t="str">
        <f t="shared" ca="1" si="167"/>
        <v/>
      </c>
      <c r="G273" s="8">
        <f t="shared" ca="1" si="190"/>
        <v>366</v>
      </c>
      <c r="H273" s="8">
        <f t="shared" ca="1" si="168"/>
        <v>30</v>
      </c>
      <c r="I273" s="8" t="str">
        <f t="shared" ca="1" si="165"/>
        <v>2311</v>
      </c>
      <c r="J273" s="13">
        <f>IF(繳費報酬率資料!$A$1=1,VALUE(OP!$C$121),VLOOKUP(A273,MP,2,0))</f>
        <v>0.05</v>
      </c>
      <c r="K273" s="14">
        <f ca="1">IF(SUM($K$4:K272,IF(繳費報酬率資料!$A$1=1,$AU273+$AV273,$BB273+$BC273))&gt;OP!$L$58,0,IF(繳費報酬率資料!$A$1=1,$AU273+$AV273,$BB273+$BC273))</f>
        <v>0</v>
      </c>
      <c r="L273" s="2"/>
      <c r="M273" s="2"/>
      <c r="N273" s="2"/>
      <c r="O273" s="261">
        <f t="shared" ca="1" si="169"/>
        <v>0</v>
      </c>
      <c r="P273" s="261">
        <f t="shared" ca="1" si="187"/>
        <v>0</v>
      </c>
      <c r="Q273" s="3">
        <f ca="1">IF(A273&gt;MAX(OP!$R$17:$R$26),0,VLOOKUP(A273,fees,3,FALSE))</f>
        <v>0</v>
      </c>
      <c r="R273" s="200" t="str">
        <f t="shared" ca="1" si="170"/>
        <v/>
      </c>
      <c r="S273" s="9" t="str">
        <f ca="1">IF(COUNTIF(($T$4:T272),"F")&gt;=1,"",IF(OR(C274&lt;&gt;$C$3,E273=""),"",A273))</f>
        <v/>
      </c>
      <c r="T273" s="20" t="str">
        <f t="shared" ca="1" si="162"/>
        <v/>
      </c>
      <c r="U273" s="2">
        <f ca="1">IF(IF(OP!$C$83=1,$Z272,IF(OP!$C$83=2,$AA272,IF(OP!$C$83=3,$AB272,)))+$K273-$O273-$P273-$AS273&lt;OP!$C$142,0,$AS273)</f>
        <v>0</v>
      </c>
      <c r="V273" s="9"/>
      <c r="W273" s="19">
        <f ca="1">MAX(SUM($K$4:K273),0)</f>
        <v>2000000</v>
      </c>
      <c r="X273" s="19"/>
      <c r="Y273" s="19">
        <f t="shared" ca="1" si="188"/>
        <v>1920000</v>
      </c>
      <c r="Z273" s="2">
        <f ca="1">IF(MIN($Z$4:Z272)=0,0,MAX(0,($Z272+$K273-$O273-$P273)*IF(AND(F273="F",$D$3&lt;&gt;$G$3),((1+(-J273))^(H273/MIN(G273,365))),((1+(-J273))^(1/12)))-$U273))</f>
        <v>605455.66588910786</v>
      </c>
      <c r="AA273" s="2">
        <f ca="1">IF(MIN($AA$4:AA272)=0,0,MAX(0,($AA272+$K273-$O273-$P273)*IF(AND(F273="F",$D$3&lt;&gt;$G$3),((1+$AA$1)^(H273/MIN(G273,365))),((1+$AA$1)^(1/12)))-$U273))</f>
        <v>1920000</v>
      </c>
      <c r="AB273" s="2">
        <f ca="1">IF(MIN($AB$4:AB272)=0,0,MAX(0,($AB272+$K273-$O273-$P273)*IF(AND(F273="F",$D$3&lt;&gt;$G$3),((1+(J273))^(H273/MIN(G273,365))),((1+(J273))^(1/12)))-$U273))</f>
        <v>5755200.4943296956</v>
      </c>
      <c r="AC273" s="5"/>
      <c r="AD273" s="5"/>
      <c r="AE273" s="5"/>
      <c r="AF273" s="282">
        <f t="shared" ca="1" si="171"/>
        <v>605456</v>
      </c>
      <c r="AG273" s="282">
        <f t="shared" ca="1" si="172"/>
        <v>1920000</v>
      </c>
      <c r="AH273" s="282">
        <f t="shared" ca="1" si="173"/>
        <v>5755200</v>
      </c>
      <c r="AI273" s="23" t="str">
        <f t="shared" ca="1" si="189"/>
        <v>23-7</v>
      </c>
      <c r="AJ273" s="282">
        <f ca="1">IF(E273&gt;111,,IF(AND(OP!$C$99=1,T273="F"),Z273,IF(AND(OP!$C$99=2,COUNTIF($T$4:T273,"F")=1),OP!$C$97+IF(F273="F",OP!$C$98,0),"")))</f>
        <v>54527</v>
      </c>
      <c r="AK273" s="282">
        <f ca="1">IF(E273&gt;111,,IF(AND(OP!$D$99=1,T273="F"),AA273,IF(AND(OP!$D$99=2,COUNTIF($T$4:T273,"F")=1),OP!$D$97+IF(F273="F",OP!$D$98,0),"")))</f>
        <v>74177</v>
      </c>
      <c r="AL273" s="282">
        <f ca="1">IF(E273&gt;111,,IF(AND(OP!$E$99=1,T273="F"),AB273,IF(AND(OP!$E$99=2,COUNTIF($T$4:T273,"F")=1),OP!$E$97+IF(F273="F",OP!$E$98,0),"")))</f>
        <v>99404</v>
      </c>
      <c r="AM273" s="1">
        <f t="shared" ca="1" si="163"/>
        <v>7</v>
      </c>
      <c r="AN273" s="1" t="str">
        <f ca="1">IF(OR(VLOOKUP($A273,MP,5,0)="月繳"),1,"")</f>
        <v/>
      </c>
      <c r="AO273" s="1">
        <f t="shared" ca="1" si="174"/>
        <v>0</v>
      </c>
      <c r="AP273" s="1" t="str">
        <f ca="1">IF(AND(A273&lt;=OP!$C$120,COUNTIF(PAY,C273)=1),1,"")</f>
        <v/>
      </c>
      <c r="AR273" s="301">
        <f ca="1">IF(繳費報酬率資料!$A$1=1,$AY273+$AZ273,$BF273+$BG273)</f>
        <v>0</v>
      </c>
      <c r="AS273" s="1">
        <f ca="1">IF(C273&lt;&gt;IF($C$3=1,12,$C$3-1),0,IF(繳費報酬率資料!$A$1&lt;&gt;1,VLOOKUP($A273,MP,8,0),IF(AND($A273&gt;=OP!$C$79,$A273&lt;=OP!$C$80),OP!$C$78,)))</f>
        <v>0</v>
      </c>
      <c r="AT273" s="298">
        <f t="shared" ca="1" si="175"/>
        <v>0</v>
      </c>
      <c r="AU273" s="298">
        <f ca="1">IF(AND(A273&lt;=OP!$C$120,COUNTIF(PAY,C273)=1),OP!$C$123,0)</f>
        <v>0</v>
      </c>
      <c r="AV273" s="298">
        <f ca="1">IF(AND(A273&gt;=OP!$C$132,A273&lt;=OP!$C$133,$C$3=C273),OP!$C$135,0)</f>
        <v>0</v>
      </c>
      <c r="AW273" s="180">
        <f t="shared" ca="1" si="176"/>
        <v>0.05</v>
      </c>
      <c r="AX273" s="180">
        <f t="shared" ca="1" si="177"/>
        <v>0.05</v>
      </c>
      <c r="AY273" s="286">
        <f t="shared" ca="1" si="178"/>
        <v>0</v>
      </c>
      <c r="AZ273" s="286">
        <f t="shared" ca="1" si="179"/>
        <v>0</v>
      </c>
      <c r="BA273" s="286">
        <f t="shared" ca="1" si="180"/>
        <v>0</v>
      </c>
      <c r="BB273" s="286">
        <f t="shared" ca="1" si="181"/>
        <v>0</v>
      </c>
      <c r="BC273" s="286">
        <f t="shared" ca="1" si="182"/>
        <v>0</v>
      </c>
      <c r="BD273" s="180">
        <f t="shared" ca="1" si="183"/>
        <v>0.05</v>
      </c>
      <c r="BE273" s="180">
        <f t="shared" ca="1" si="184"/>
        <v>0.05</v>
      </c>
      <c r="BF273" s="286">
        <f t="shared" ca="1" si="185"/>
        <v>0</v>
      </c>
      <c r="BG273" s="286">
        <f t="shared" ca="1" si="186"/>
        <v>0</v>
      </c>
    </row>
    <row r="274" spans="1:59">
      <c r="A274" s="1">
        <f t="shared" ca="1" si="166"/>
        <v>23</v>
      </c>
      <c r="B274" s="1">
        <f t="shared" ca="1" si="159"/>
        <v>128</v>
      </c>
      <c r="C274" s="1">
        <f t="shared" ca="1" si="160"/>
        <v>12</v>
      </c>
      <c r="D274" s="1">
        <f ca="1">MIN($D$3,VLOOKUP(C274,OP!$S$30:$T$41,2))</f>
        <v>2</v>
      </c>
      <c r="E274" s="1">
        <f t="shared" ca="1" si="161"/>
        <v>77</v>
      </c>
      <c r="F274" s="11" t="str">
        <f t="shared" ca="1" si="167"/>
        <v/>
      </c>
      <c r="G274" s="8">
        <f t="shared" ca="1" si="190"/>
        <v>366</v>
      </c>
      <c r="H274" s="8">
        <f t="shared" ca="1" si="168"/>
        <v>31</v>
      </c>
      <c r="I274" s="8" t="str">
        <f t="shared" ca="1" si="165"/>
        <v>2312</v>
      </c>
      <c r="J274" s="13">
        <f>IF(繳費報酬率資料!$A$1=1,VALUE(OP!$C$121),VLOOKUP(A274,MP,2,0))</f>
        <v>0.05</v>
      </c>
      <c r="K274" s="14">
        <f ca="1">IF(SUM($K$4:K273,IF(繳費報酬率資料!$A$1=1,$AU274+$AV274,$BB274+$BC274))&gt;OP!$L$58,0,IF(繳費報酬率資料!$A$1=1,$AU274+$AV274,$BB274+$BC274))</f>
        <v>0</v>
      </c>
      <c r="L274" s="2"/>
      <c r="M274" s="2"/>
      <c r="N274" s="2"/>
      <c r="O274" s="261">
        <f t="shared" ca="1" si="169"/>
        <v>0</v>
      </c>
      <c r="P274" s="261">
        <f t="shared" ca="1" si="187"/>
        <v>0</v>
      </c>
      <c r="Q274" s="3">
        <f ca="1">IF(A274&gt;MAX(OP!$R$17:$R$26),0,VLOOKUP(A274,fees,3,FALSE))</f>
        <v>0</v>
      </c>
      <c r="R274" s="200" t="str">
        <f t="shared" ca="1" si="170"/>
        <v/>
      </c>
      <c r="S274" s="9" t="str">
        <f ca="1">IF(COUNTIF(($T$4:T273),"F")&gt;=1,"",IF(OR(C275&lt;&gt;$C$3,E274=""),"",A274))</f>
        <v/>
      </c>
      <c r="T274" s="20" t="str">
        <f t="shared" ca="1" si="162"/>
        <v/>
      </c>
      <c r="U274" s="2">
        <f ca="1">IF(IF(OP!$C$83=1,$Z273,IF(OP!$C$83=2,$AA273,IF(OP!$C$83=3,$AB273,)))+$K274-$O274-$P274-$AS274&lt;OP!$C$142,0,$AS274)</f>
        <v>0</v>
      </c>
      <c r="V274" s="9"/>
      <c r="W274" s="19">
        <f ca="1">MAX(SUM($K$4:K274),0)</f>
        <v>2000000</v>
      </c>
      <c r="X274" s="19"/>
      <c r="Y274" s="19">
        <f t="shared" ca="1" si="188"/>
        <v>1920000</v>
      </c>
      <c r="Z274" s="2">
        <f ca="1">IF(MIN($Z$4:Z273)=0,0,MAX(0,($Z273+$K274-$O274-$P274)*IF(AND(F274="F",$D$3&lt;&gt;$G$3),((1+(-J274))^(H274/MIN(G274,365))),((1+(-J274))^(1/12)))-$U274))</f>
        <v>602873.20446841058</v>
      </c>
      <c r="AA274" s="2">
        <f ca="1">IF(MIN($AA$4:AA273)=0,0,MAX(0,($AA273+$K274-$O274-$P274)*IF(AND(F274="F",$D$3&lt;&gt;$G$3),((1+$AA$1)^(H274/MIN(G274,365))),((1+$AA$1)^(1/12)))-$U274))</f>
        <v>1920000</v>
      </c>
      <c r="AB274" s="2">
        <f ca="1">IF(MIN($AB$4:AB273)=0,0,MAX(0,($AB273+$K274-$O274-$P274)*IF(AND(F274="F",$D$3&lt;&gt;$G$3),((1+(J274))^(H274/MIN(G274,365))),((1+(J274))^(1/12)))-$U274))</f>
        <v>5778647.8935433086</v>
      </c>
      <c r="AC274" s="5"/>
      <c r="AD274" s="5"/>
      <c r="AE274" s="5"/>
      <c r="AF274" s="282">
        <f t="shared" ca="1" si="171"/>
        <v>602873</v>
      </c>
      <c r="AG274" s="282">
        <f t="shared" ca="1" si="172"/>
        <v>1920000</v>
      </c>
      <c r="AH274" s="282">
        <f t="shared" ca="1" si="173"/>
        <v>5778648</v>
      </c>
      <c r="AI274" s="23" t="str">
        <f t="shared" ca="1" si="189"/>
        <v>23-8</v>
      </c>
      <c r="AJ274" s="282">
        <f ca="1">IF(E274&gt;111,,IF(AND(OP!$C$99=1,T274="F"),Z274,IF(AND(OP!$C$99=2,COUNTIF($T$4:T274,"F")=1),OP!$C$97+IF(F274="F",OP!$C$98,0),"")))</f>
        <v>54527</v>
      </c>
      <c r="AK274" s="282">
        <f ca="1">IF(E274&gt;111,,IF(AND(OP!$D$99=1,T274="F"),AA274,IF(AND(OP!$D$99=2,COUNTIF($T$4:T274,"F")=1),OP!$D$97+IF(F274="F",OP!$D$98,0),"")))</f>
        <v>74177</v>
      </c>
      <c r="AL274" s="282">
        <f ca="1">IF(E274&gt;111,,IF(AND(OP!$E$99=1,T274="F"),AB274,IF(AND(OP!$E$99=2,COUNTIF($T$4:T274,"F")=1),OP!$E$97+IF(F274="F",OP!$E$98,0),"")))</f>
        <v>99404</v>
      </c>
      <c r="AM274" s="1">
        <f t="shared" ca="1" si="163"/>
        <v>8</v>
      </c>
      <c r="AN274" s="1" t="str">
        <f ca="1">IF(OR(VLOOKUP($A274,MP,5,0)="半年繳",VLOOKUP($A274,MP,5,0)="季繳",VLOOKUP($A274,MP,5,0)="月繳"),1,"")</f>
        <v/>
      </c>
      <c r="AO274" s="1">
        <f t="shared" ca="1" si="174"/>
        <v>0</v>
      </c>
      <c r="AP274" s="1" t="str">
        <f ca="1">IF(AND(A274&lt;=OP!$C$120,COUNTIF(PAY,C274)=1),1,"")</f>
        <v/>
      </c>
      <c r="AR274" s="301">
        <f ca="1">IF(繳費報酬率資料!$A$1=1,$AY274+$AZ274,$BF274+$BG274)</f>
        <v>0</v>
      </c>
      <c r="AS274" s="1">
        <f ca="1">IF(C274&lt;&gt;IF($C$3=1,12,$C$3-1),0,IF(繳費報酬率資料!$A$1&lt;&gt;1,VLOOKUP($A274,MP,8,0),IF(AND($A274&gt;=OP!$C$79,$A274&lt;=OP!$C$80),OP!$C$78,)))</f>
        <v>0</v>
      </c>
      <c r="AT274" s="298">
        <f t="shared" ca="1" si="175"/>
        <v>0</v>
      </c>
      <c r="AU274" s="298">
        <f ca="1">IF(AND(A274&lt;=OP!$C$120,COUNTIF(PAY,C274)=1),OP!$C$123,0)</f>
        <v>0</v>
      </c>
      <c r="AV274" s="298">
        <f ca="1">IF(AND(A274&gt;=OP!$C$132,A274&lt;=OP!$C$133,$C$3=C274),OP!$C$135,0)</f>
        <v>0</v>
      </c>
      <c r="AW274" s="180">
        <f t="shared" ca="1" si="176"/>
        <v>0.05</v>
      </c>
      <c r="AX274" s="180">
        <f t="shared" ca="1" si="177"/>
        <v>0.05</v>
      </c>
      <c r="AY274" s="286">
        <f t="shared" ca="1" si="178"/>
        <v>0</v>
      </c>
      <c r="AZ274" s="286">
        <f t="shared" ca="1" si="179"/>
        <v>0</v>
      </c>
      <c r="BA274" s="286">
        <f t="shared" ca="1" si="180"/>
        <v>0</v>
      </c>
      <c r="BB274" s="286">
        <f t="shared" ca="1" si="181"/>
        <v>0</v>
      </c>
      <c r="BC274" s="286">
        <f t="shared" ca="1" si="182"/>
        <v>0</v>
      </c>
      <c r="BD274" s="180">
        <f t="shared" ca="1" si="183"/>
        <v>0.05</v>
      </c>
      <c r="BE274" s="180">
        <f t="shared" ca="1" si="184"/>
        <v>0.05</v>
      </c>
      <c r="BF274" s="286">
        <f t="shared" ca="1" si="185"/>
        <v>0</v>
      </c>
      <c r="BG274" s="286">
        <f t="shared" ca="1" si="186"/>
        <v>0</v>
      </c>
    </row>
    <row r="275" spans="1:59">
      <c r="A275" s="1">
        <f t="shared" ca="1" si="166"/>
        <v>23</v>
      </c>
      <c r="B275" s="1">
        <f t="shared" ca="1" si="159"/>
        <v>129</v>
      </c>
      <c r="C275" s="1">
        <f t="shared" ca="1" si="160"/>
        <v>1</v>
      </c>
      <c r="D275" s="1">
        <f ca="1">MIN($D$3,VLOOKUP(C275,OP!$S$30:$T$41,2))</f>
        <v>2</v>
      </c>
      <c r="E275" s="1">
        <f t="shared" ca="1" si="161"/>
        <v>77</v>
      </c>
      <c r="F275" s="11" t="str">
        <f t="shared" ca="1" si="167"/>
        <v/>
      </c>
      <c r="G275" s="8">
        <f t="shared" ca="1" si="190"/>
        <v>366</v>
      </c>
      <c r="H275" s="8">
        <f t="shared" ca="1" si="168"/>
        <v>31</v>
      </c>
      <c r="I275" s="8" t="str">
        <f t="shared" ca="1" si="165"/>
        <v>231</v>
      </c>
      <c r="J275" s="13">
        <f>IF(繳費報酬率資料!$A$1=1,VALUE(OP!$C$121),VLOOKUP(A275,MP,2,0))</f>
        <v>0.05</v>
      </c>
      <c r="K275" s="14">
        <f ca="1">IF(SUM($K$4:K274,IF(繳費報酬率資料!$A$1=1,$AU275+$AV275,$BB275+$BC275))&gt;OP!$L$58,0,IF(繳費報酬率資料!$A$1=1,$AU275+$AV275,$BB275+$BC275))</f>
        <v>0</v>
      </c>
      <c r="L275" s="2"/>
      <c r="M275" s="2"/>
      <c r="N275" s="2"/>
      <c r="O275" s="261">
        <f t="shared" ca="1" si="169"/>
        <v>0</v>
      </c>
      <c r="P275" s="261">
        <f t="shared" ca="1" si="187"/>
        <v>0</v>
      </c>
      <c r="Q275" s="3">
        <f ca="1">IF(A275&gt;MAX(OP!$R$17:$R$26),0,VLOOKUP(A275,fees,3,FALSE))</f>
        <v>0</v>
      </c>
      <c r="R275" s="200" t="str">
        <f t="shared" ca="1" si="170"/>
        <v/>
      </c>
      <c r="S275" s="9" t="str">
        <f ca="1">IF(COUNTIF(($T$4:T274),"F")&gt;=1,"",IF(OR(C276&lt;&gt;$C$3,E275=""),"",A275))</f>
        <v/>
      </c>
      <c r="T275" s="20" t="str">
        <f t="shared" ca="1" si="162"/>
        <v/>
      </c>
      <c r="U275" s="2">
        <f ca="1">IF(IF(OP!$C$83=1,$Z274,IF(OP!$C$83=2,$AA274,IF(OP!$C$83=3,$AB274,)))+$K275-$O275-$P275-$AS275&lt;OP!$C$142,0,$AS275)</f>
        <v>0</v>
      </c>
      <c r="V275" s="9"/>
      <c r="W275" s="19">
        <f ca="1">MAX(SUM($K$4:K275),0)</f>
        <v>2000000</v>
      </c>
      <c r="X275" s="19"/>
      <c r="Y275" s="19">
        <f t="shared" ca="1" si="188"/>
        <v>1920000</v>
      </c>
      <c r="Z275" s="2">
        <f ca="1">IF(MIN($Z$4:Z274)=0,0,MAX(0,($Z274+$K275-$O275-$P275)*IF(AND(F275="F",$D$3&lt;&gt;$G$3),((1+(-J275))^(H275/MIN(G275,365))),((1+(-J275))^(1/12)))-$U275))</f>
        <v>600301.75806890335</v>
      </c>
      <c r="AA275" s="2">
        <f ca="1">IF(MIN($AA$4:AA274)=0,0,MAX(0,($AA274+$K275-$O275-$P275)*IF(AND(F275="F",$D$3&lt;&gt;$G$3),((1+$AA$1)^(H275/MIN(G275,365))),((1+$AA$1)^(1/12)))-$U275))</f>
        <v>1920000</v>
      </c>
      <c r="AB275" s="2">
        <f ca="1">IF(MIN($AB$4:AB274)=0,0,MAX(0,($AB274+$K275-$O275-$P275)*IF(AND(F275="F",$D$3&lt;&gt;$G$3),((1+(J275))^(H275/MIN(G275,365))),((1+(J275))^(1/12)))-$U275))</f>
        <v>5802190.8203637227</v>
      </c>
      <c r="AC275" s="5"/>
      <c r="AD275" s="5"/>
      <c r="AE275" s="5"/>
      <c r="AF275" s="282">
        <f t="shared" ca="1" si="171"/>
        <v>600302</v>
      </c>
      <c r="AG275" s="282">
        <f t="shared" ca="1" si="172"/>
        <v>1920000</v>
      </c>
      <c r="AH275" s="282">
        <f t="shared" ca="1" si="173"/>
        <v>5802191</v>
      </c>
      <c r="AI275" s="23" t="str">
        <f t="shared" ca="1" si="189"/>
        <v>23-9</v>
      </c>
      <c r="AJ275" s="282">
        <f ca="1">IF(E275&gt;111,,IF(AND(OP!$C$99=1,T275="F"),Z275,IF(AND(OP!$C$99=2,COUNTIF($T$4:T275,"F")=1),OP!$C$97+IF(F275="F",OP!$C$98,0),"")))</f>
        <v>54527</v>
      </c>
      <c r="AK275" s="282">
        <f ca="1">IF(E275&gt;111,,IF(AND(OP!$D$99=1,T275="F"),AA275,IF(AND(OP!$D$99=2,COUNTIF($T$4:T275,"F")=1),OP!$D$97+IF(F275="F",OP!$D$98,0),"")))</f>
        <v>74177</v>
      </c>
      <c r="AL275" s="282">
        <f ca="1">IF(E275&gt;111,,IF(AND(OP!$E$99=1,T275="F"),AB275,IF(AND(OP!$E$99=2,COUNTIF($T$4:T275,"F")=1),OP!$E$97+IF(F275="F",OP!$E$98,0),"")))</f>
        <v>99404</v>
      </c>
      <c r="AM275" s="1">
        <f t="shared" ca="1" si="163"/>
        <v>9</v>
      </c>
      <c r="AN275" s="1" t="str">
        <f ca="1">IF(OR(VLOOKUP($A275,MP,5,0)="月繳"),1,"")</f>
        <v/>
      </c>
      <c r="AO275" s="1">
        <f t="shared" ca="1" si="174"/>
        <v>0</v>
      </c>
      <c r="AP275" s="1" t="str">
        <f ca="1">IF(AND(A275&lt;=OP!$C$120,COUNTIF(PAY,C275)=1),1,"")</f>
        <v/>
      </c>
      <c r="AR275" s="301">
        <f ca="1">IF(繳費報酬率資料!$A$1=1,$AY275+$AZ275,$BF275+$BG275)</f>
        <v>0</v>
      </c>
      <c r="AS275" s="1">
        <f ca="1">IF(C275&lt;&gt;IF($C$3=1,12,$C$3-1),0,IF(繳費報酬率資料!$A$1&lt;&gt;1,VLOOKUP($A275,MP,8,0),IF(AND($A275&gt;=OP!$C$79,$A275&lt;=OP!$C$80),OP!$C$78,)))</f>
        <v>0</v>
      </c>
      <c r="AT275" s="298">
        <f t="shared" ca="1" si="175"/>
        <v>0</v>
      </c>
      <c r="AU275" s="298">
        <f ca="1">IF(AND(A275&lt;=OP!$C$120,COUNTIF(PAY,C275)=1),OP!$C$123,0)</f>
        <v>0</v>
      </c>
      <c r="AV275" s="298">
        <f ca="1">IF(AND(A275&gt;=OP!$C$132,A275&lt;=OP!$C$133,$C$3=C275),OP!$C$135,0)</f>
        <v>0</v>
      </c>
      <c r="AW275" s="180">
        <f t="shared" ca="1" si="176"/>
        <v>0.05</v>
      </c>
      <c r="AX275" s="180">
        <f t="shared" ca="1" si="177"/>
        <v>0.05</v>
      </c>
      <c r="AY275" s="286">
        <f t="shared" ca="1" si="178"/>
        <v>0</v>
      </c>
      <c r="AZ275" s="286">
        <f t="shared" ca="1" si="179"/>
        <v>0</v>
      </c>
      <c r="BA275" s="286">
        <f t="shared" ca="1" si="180"/>
        <v>0</v>
      </c>
      <c r="BB275" s="286">
        <f t="shared" ca="1" si="181"/>
        <v>0</v>
      </c>
      <c r="BC275" s="286">
        <f t="shared" ca="1" si="182"/>
        <v>0</v>
      </c>
      <c r="BD275" s="180">
        <f t="shared" ca="1" si="183"/>
        <v>0.05</v>
      </c>
      <c r="BE275" s="180">
        <f t="shared" ca="1" si="184"/>
        <v>0.05</v>
      </c>
      <c r="BF275" s="286">
        <f t="shared" ca="1" si="185"/>
        <v>0</v>
      </c>
      <c r="BG275" s="286">
        <f t="shared" ca="1" si="186"/>
        <v>0</v>
      </c>
    </row>
    <row r="276" spans="1:59">
      <c r="A276" s="1">
        <f t="shared" ca="1" si="166"/>
        <v>23</v>
      </c>
      <c r="B276" s="1">
        <f t="shared" ca="1" si="159"/>
        <v>129</v>
      </c>
      <c r="C276" s="1">
        <f t="shared" ca="1" si="160"/>
        <v>2</v>
      </c>
      <c r="D276" s="1">
        <f ca="1">MIN($D$3,VLOOKUP(C276,OP!$S$30:$T$41,2))</f>
        <v>2</v>
      </c>
      <c r="E276" s="1">
        <f t="shared" ca="1" si="161"/>
        <v>77</v>
      </c>
      <c r="F276" s="11" t="str">
        <f t="shared" ca="1" si="167"/>
        <v/>
      </c>
      <c r="G276" s="8">
        <f t="shared" ca="1" si="190"/>
        <v>366</v>
      </c>
      <c r="H276" s="8">
        <f t="shared" ca="1" si="168"/>
        <v>29</v>
      </c>
      <c r="I276" s="8" t="str">
        <f t="shared" ca="1" si="165"/>
        <v>232</v>
      </c>
      <c r="J276" s="13">
        <f>IF(繳費報酬率資料!$A$1=1,VALUE(OP!$C$121),VLOOKUP(A276,MP,2,0))</f>
        <v>0.05</v>
      </c>
      <c r="K276" s="14">
        <f ca="1">IF(SUM($K$4:K275,IF(繳費報酬率資料!$A$1=1,$AU276+$AV276,$BB276+$BC276))&gt;OP!$L$58,0,IF(繳費報酬率資料!$A$1=1,$AU276+$AV276,$BB276+$BC276))</f>
        <v>0</v>
      </c>
      <c r="L276" s="2"/>
      <c r="M276" s="2"/>
      <c r="N276" s="2"/>
      <c r="O276" s="261">
        <f t="shared" ca="1" si="169"/>
        <v>0</v>
      </c>
      <c r="P276" s="261">
        <f t="shared" ca="1" si="187"/>
        <v>0</v>
      </c>
      <c r="Q276" s="3">
        <f ca="1">IF(A276&gt;MAX(OP!$R$17:$R$26),0,VLOOKUP(A276,fees,3,FALSE))</f>
        <v>0</v>
      </c>
      <c r="R276" s="200" t="str">
        <f t="shared" ca="1" si="170"/>
        <v/>
      </c>
      <c r="S276" s="9" t="str">
        <f ca="1">IF(COUNTIF(($T$4:T275),"F")&gt;=1,"",IF(OR(C277&lt;&gt;$C$3,E276=""),"",A276))</f>
        <v/>
      </c>
      <c r="T276" s="20" t="str">
        <f t="shared" ca="1" si="162"/>
        <v/>
      </c>
      <c r="U276" s="2">
        <f ca="1">IF(IF(OP!$C$83=1,$Z275,IF(OP!$C$83=2,$AA275,IF(OP!$C$83=3,$AB275,)))+$K276-$O276-$P276-$AS276&lt;OP!$C$142,0,$AS276)</f>
        <v>0</v>
      </c>
      <c r="V276" s="9"/>
      <c r="W276" s="19">
        <f ca="1">MAX(SUM($K$4:K276),0)</f>
        <v>2000000</v>
      </c>
      <c r="X276" s="19"/>
      <c r="Y276" s="19">
        <f t="shared" ca="1" si="188"/>
        <v>1920000</v>
      </c>
      <c r="Z276" s="2">
        <f ca="1">IF(MIN($Z$4:Z275)=0,0,MAX(0,($Z275+$K276-$O276-$P276)*IF(AND(F276="F",$D$3&lt;&gt;$G$3),((1+(-J276))^(H276/MIN(G276,365))),((1+(-J276))^(1/12)))-$U276))</f>
        <v>597741.27970800945</v>
      </c>
      <c r="AA276" s="2">
        <f ca="1">IF(MIN($AA$4:AA275)=0,0,MAX(0,($AA275+$K276-$O276-$P276)*IF(AND(F276="F",$D$3&lt;&gt;$G$3),((1+$AA$1)^(H276/MIN(G276,365))),((1+$AA$1)^(1/12)))-$U276))</f>
        <v>1920000</v>
      </c>
      <c r="AB276" s="2">
        <f ca="1">IF(MIN($AB$4:AB275)=0,0,MAX(0,($AB275+$K276-$O276-$P276)*IF(AND(F276="F",$D$3&lt;&gt;$G$3),((1+(J276))^(H276/MIN(G276,365))),((1+(J276))^(1/12)))-$U276))</f>
        <v>5825829.663982233</v>
      </c>
      <c r="AC276" s="5"/>
      <c r="AD276" s="5"/>
      <c r="AE276" s="5"/>
      <c r="AF276" s="282">
        <f t="shared" ca="1" si="171"/>
        <v>597741</v>
      </c>
      <c r="AG276" s="282">
        <f t="shared" ca="1" si="172"/>
        <v>1920000</v>
      </c>
      <c r="AH276" s="282">
        <f t="shared" ca="1" si="173"/>
        <v>5825830</v>
      </c>
      <c r="AI276" s="23" t="str">
        <f t="shared" ca="1" si="189"/>
        <v>23-10</v>
      </c>
      <c r="AJ276" s="282">
        <f ca="1">IF(E276&gt;111,,IF(AND(OP!$C$99=1,T276="F"),Z276,IF(AND(OP!$C$99=2,COUNTIF($T$4:T276,"F")=1),OP!$C$97+IF(F276="F",OP!$C$98,0),"")))</f>
        <v>54527</v>
      </c>
      <c r="AK276" s="282">
        <f ca="1">IF(E276&gt;111,,IF(AND(OP!$D$99=1,T276="F"),AA276,IF(AND(OP!$D$99=2,COUNTIF($T$4:T276,"F")=1),OP!$D$97+IF(F276="F",OP!$D$98,0),"")))</f>
        <v>74177</v>
      </c>
      <c r="AL276" s="282">
        <f ca="1">IF(E276&gt;111,,IF(AND(OP!$E$99=1,T276="F"),AB276,IF(AND(OP!$E$99=2,COUNTIF($T$4:T276,"F")=1),OP!$E$97+IF(F276="F",OP!$E$98,0),"")))</f>
        <v>99404</v>
      </c>
      <c r="AM276" s="1">
        <f t="shared" ca="1" si="163"/>
        <v>10</v>
      </c>
      <c r="AN276" s="1" t="str">
        <f ca="1">IF(OR(VLOOKUP($A276,MP,5,0)="月繳"),1,"")</f>
        <v/>
      </c>
      <c r="AO276" s="1">
        <f t="shared" ca="1" si="174"/>
        <v>0</v>
      </c>
      <c r="AP276" s="1" t="str">
        <f ca="1">IF(AND(A276&lt;=OP!$C$120,COUNTIF(PAY,C276)=1),1,"")</f>
        <v/>
      </c>
      <c r="AR276" s="301">
        <f ca="1">IF(繳費報酬率資料!$A$1=1,$AY276+$AZ276,$BF276+$BG276)</f>
        <v>0</v>
      </c>
      <c r="AS276" s="1">
        <f ca="1">IF(C276&lt;&gt;IF($C$3=1,12,$C$3-1),0,IF(繳費報酬率資料!$A$1&lt;&gt;1,VLOOKUP($A276,MP,8,0),IF(AND($A276&gt;=OP!$C$79,$A276&lt;=OP!$C$80),OP!$C$78,)))</f>
        <v>0</v>
      </c>
      <c r="AT276" s="298">
        <f t="shared" ca="1" si="175"/>
        <v>0</v>
      </c>
      <c r="AU276" s="298">
        <f ca="1">IF(AND(A276&lt;=OP!$C$120,COUNTIF(PAY,C276)=1),OP!$C$123,0)</f>
        <v>0</v>
      </c>
      <c r="AV276" s="298">
        <f ca="1">IF(AND(A276&gt;=OP!$C$132,A276&lt;=OP!$C$133,$C$3=C276),OP!$C$135,0)</f>
        <v>0</v>
      </c>
      <c r="AW276" s="180">
        <f t="shared" ca="1" si="176"/>
        <v>0.05</v>
      </c>
      <c r="AX276" s="180">
        <f t="shared" ca="1" si="177"/>
        <v>0.05</v>
      </c>
      <c r="AY276" s="286">
        <f t="shared" ca="1" si="178"/>
        <v>0</v>
      </c>
      <c r="AZ276" s="286">
        <f t="shared" ca="1" si="179"/>
        <v>0</v>
      </c>
      <c r="BA276" s="286">
        <f t="shared" ca="1" si="180"/>
        <v>0</v>
      </c>
      <c r="BB276" s="286">
        <f t="shared" ca="1" si="181"/>
        <v>0</v>
      </c>
      <c r="BC276" s="286">
        <f t="shared" ca="1" si="182"/>
        <v>0</v>
      </c>
      <c r="BD276" s="180">
        <f t="shared" ca="1" si="183"/>
        <v>0.05</v>
      </c>
      <c r="BE276" s="180">
        <f t="shared" ca="1" si="184"/>
        <v>0.05</v>
      </c>
      <c r="BF276" s="286">
        <f t="shared" ca="1" si="185"/>
        <v>0</v>
      </c>
      <c r="BG276" s="286">
        <f t="shared" ca="1" si="186"/>
        <v>0</v>
      </c>
    </row>
    <row r="277" spans="1:59">
      <c r="A277" s="1">
        <f t="shared" ca="1" si="166"/>
        <v>23</v>
      </c>
      <c r="B277" s="1">
        <f t="shared" ca="1" si="159"/>
        <v>129</v>
      </c>
      <c r="C277" s="1">
        <f t="shared" ca="1" si="160"/>
        <v>3</v>
      </c>
      <c r="D277" s="1">
        <f ca="1">MIN($D$3,VLOOKUP(C277,OP!$S$30:$T$41,2))</f>
        <v>2</v>
      </c>
      <c r="E277" s="1">
        <f t="shared" ca="1" si="161"/>
        <v>77</v>
      </c>
      <c r="F277" s="11" t="str">
        <f t="shared" ca="1" si="167"/>
        <v/>
      </c>
      <c r="G277" s="8">
        <f t="shared" ca="1" si="190"/>
        <v>366</v>
      </c>
      <c r="H277" s="8">
        <f t="shared" ca="1" si="168"/>
        <v>31</v>
      </c>
      <c r="I277" s="8" t="str">
        <f t="shared" ca="1" si="165"/>
        <v>233</v>
      </c>
      <c r="J277" s="13">
        <f>IF(繳費報酬率資料!$A$1=1,VALUE(OP!$C$121),VLOOKUP(A277,MP,2,0))</f>
        <v>0.05</v>
      </c>
      <c r="K277" s="14">
        <f ca="1">IF(SUM($K$4:K276,IF(繳費報酬率資料!$A$1=1,$AU277+$AV277,$BB277+$BC277))&gt;OP!$L$58,0,IF(繳費報酬率資料!$A$1=1,$AU277+$AV277,$BB277+$BC277))</f>
        <v>0</v>
      </c>
      <c r="L277" s="2"/>
      <c r="M277" s="2"/>
      <c r="N277" s="2"/>
      <c r="O277" s="261">
        <f t="shared" ca="1" si="169"/>
        <v>0</v>
      </c>
      <c r="P277" s="261">
        <f t="shared" ca="1" si="187"/>
        <v>0</v>
      </c>
      <c r="Q277" s="3">
        <f ca="1">IF(A277&gt;MAX(OP!$R$17:$R$26),0,VLOOKUP(A277,fees,3,FALSE))</f>
        <v>0</v>
      </c>
      <c r="R277" s="200" t="str">
        <f t="shared" ca="1" si="170"/>
        <v/>
      </c>
      <c r="S277" s="9" t="str">
        <f ca="1">IF(COUNTIF(($T$4:T276),"F")&gt;=1,"",IF(OR(C278&lt;&gt;$C$3,E277=""),"",A277))</f>
        <v/>
      </c>
      <c r="T277" s="20" t="str">
        <f t="shared" ca="1" si="162"/>
        <v/>
      </c>
      <c r="U277" s="2">
        <f ca="1">IF(IF(OP!$C$83=1,$Z276,IF(OP!$C$83=2,$AA276,IF(OP!$C$83=3,$AB276,)))+$K277-$O277-$P277-$AS277&lt;OP!$C$142,0,$AS277)</f>
        <v>0</v>
      </c>
      <c r="V277" s="9"/>
      <c r="W277" s="19">
        <f ca="1">MAX(SUM($K$4:K277),0)</f>
        <v>2000000</v>
      </c>
      <c r="X277" s="19"/>
      <c r="Y277" s="19">
        <f t="shared" ca="1" si="188"/>
        <v>1920000</v>
      </c>
      <c r="Z277" s="2">
        <f ca="1">IF(MIN($Z$4:Z276)=0,0,MAX(0,($Z276+$K277-$O277-$P277)*IF(AND(F277="F",$D$3&lt;&gt;$G$3),((1+(-J277))^(H277/MIN(G277,365))),((1+(-J277))^(1/12)))-$U277))</f>
        <v>595191.72260354774</v>
      </c>
      <c r="AA277" s="2">
        <f ca="1">IF(MIN($AA$4:AA276)=0,0,MAX(0,($AA276+$K277-$O277-$P277)*IF(AND(F277="F",$D$3&lt;&gt;$G$3),((1+$AA$1)^(H277/MIN(G277,365))),((1+$AA$1)^(1/12)))-$U277))</f>
        <v>1920000</v>
      </c>
      <c r="AB277" s="2">
        <f ca="1">IF(MIN($AB$4:AB276)=0,0,MAX(0,($AB276+$K277-$O277-$P277)*IF(AND(F277="F",$D$3&lt;&gt;$G$3),((1+(J277))^(H277/MIN(G277,365))),((1+(J277))^(1/12)))-$U277))</f>
        <v>5849564.8151757475</v>
      </c>
      <c r="AC277" s="5"/>
      <c r="AD277" s="5"/>
      <c r="AE277" s="5"/>
      <c r="AF277" s="282">
        <f t="shared" ca="1" si="171"/>
        <v>595192</v>
      </c>
      <c r="AG277" s="282">
        <f t="shared" ca="1" si="172"/>
        <v>1920000</v>
      </c>
      <c r="AH277" s="282">
        <f t="shared" ca="1" si="173"/>
        <v>5849565</v>
      </c>
      <c r="AI277" s="23" t="str">
        <f t="shared" ca="1" si="189"/>
        <v>23-11</v>
      </c>
      <c r="AJ277" s="282">
        <f ca="1">IF(E277&gt;111,,IF(AND(OP!$C$99=1,T277="F"),Z277,IF(AND(OP!$C$99=2,COUNTIF($T$4:T277,"F")=1),OP!$C$97+IF(F277="F",OP!$C$98,0),"")))</f>
        <v>54527</v>
      </c>
      <c r="AK277" s="282">
        <f ca="1">IF(E277&gt;111,,IF(AND(OP!$D$99=1,T277="F"),AA277,IF(AND(OP!$D$99=2,COUNTIF($T$4:T277,"F")=1),OP!$D$97+IF(F277="F",OP!$D$98,0),"")))</f>
        <v>74177</v>
      </c>
      <c r="AL277" s="282">
        <f ca="1">IF(E277&gt;111,,IF(AND(OP!$E$99=1,T277="F"),AB277,IF(AND(OP!$E$99=2,COUNTIF($T$4:T277,"F")=1),OP!$E$97+IF(F277="F",OP!$E$98,0),"")))</f>
        <v>99404</v>
      </c>
      <c r="AM277" s="1">
        <f t="shared" ca="1" si="163"/>
        <v>11</v>
      </c>
      <c r="AN277" s="1" t="str">
        <f ca="1">IF(OR(VLOOKUP($A277,MP,5,0)="季繳",VLOOKUP($A277,MP,5,0)="月繳"),1,"")</f>
        <v/>
      </c>
      <c r="AO277" s="1">
        <f t="shared" ca="1" si="174"/>
        <v>0</v>
      </c>
      <c r="AP277" s="1" t="str">
        <f ca="1">IF(AND(A277&lt;=OP!$C$120,COUNTIF(PAY,C277)=1),1,"")</f>
        <v/>
      </c>
      <c r="AR277" s="301">
        <f ca="1">IF(繳費報酬率資料!$A$1=1,$AY277+$AZ277,$BF277+$BG277)</f>
        <v>0</v>
      </c>
      <c r="AS277" s="1">
        <f ca="1">IF(C277&lt;&gt;IF($C$3=1,12,$C$3-1),0,IF(繳費報酬率資料!$A$1&lt;&gt;1,VLOOKUP($A277,MP,8,0),IF(AND($A277&gt;=OP!$C$79,$A277&lt;=OP!$C$80),OP!$C$78,)))</f>
        <v>0</v>
      </c>
      <c r="AT277" s="298">
        <f t="shared" ca="1" si="175"/>
        <v>0</v>
      </c>
      <c r="AU277" s="298">
        <f ca="1">IF(AND(A277&lt;=OP!$C$120,COUNTIF(PAY,C277)=1),OP!$C$123,0)</f>
        <v>0</v>
      </c>
      <c r="AV277" s="298">
        <f ca="1">IF(AND(A277&gt;=OP!$C$132,A277&lt;=OP!$C$133,$C$3=C277),OP!$C$135,0)</f>
        <v>0</v>
      </c>
      <c r="AW277" s="180">
        <f t="shared" ca="1" si="176"/>
        <v>0.05</v>
      </c>
      <c r="AX277" s="180">
        <f t="shared" ca="1" si="177"/>
        <v>0.05</v>
      </c>
      <c r="AY277" s="286">
        <f t="shared" ca="1" si="178"/>
        <v>0</v>
      </c>
      <c r="AZ277" s="286">
        <f t="shared" ca="1" si="179"/>
        <v>0</v>
      </c>
      <c r="BA277" s="286">
        <f t="shared" ca="1" si="180"/>
        <v>0</v>
      </c>
      <c r="BB277" s="286">
        <f t="shared" ca="1" si="181"/>
        <v>0</v>
      </c>
      <c r="BC277" s="286">
        <f t="shared" ca="1" si="182"/>
        <v>0</v>
      </c>
      <c r="BD277" s="180">
        <f t="shared" ca="1" si="183"/>
        <v>0.05</v>
      </c>
      <c r="BE277" s="180">
        <f t="shared" ca="1" si="184"/>
        <v>0.05</v>
      </c>
      <c r="BF277" s="286">
        <f t="shared" ca="1" si="185"/>
        <v>0</v>
      </c>
      <c r="BG277" s="286">
        <f t="shared" ca="1" si="186"/>
        <v>0</v>
      </c>
    </row>
    <row r="278" spans="1:59">
      <c r="A278" s="1">
        <f t="shared" ca="1" si="166"/>
        <v>23</v>
      </c>
      <c r="B278" s="1">
        <f t="shared" ca="1" si="159"/>
        <v>129</v>
      </c>
      <c r="C278" s="1">
        <f t="shared" ca="1" si="160"/>
        <v>4</v>
      </c>
      <c r="D278" s="1">
        <f ca="1">MIN($D$3,VLOOKUP(C278,OP!$S$30:$T$41,2))</f>
        <v>2</v>
      </c>
      <c r="E278" s="1">
        <f t="shared" ca="1" si="161"/>
        <v>77</v>
      </c>
      <c r="F278" s="11" t="str">
        <f t="shared" ca="1" si="167"/>
        <v/>
      </c>
      <c r="G278" s="8">
        <f t="shared" ca="1" si="190"/>
        <v>366</v>
      </c>
      <c r="H278" s="8">
        <f t="shared" ca="1" si="168"/>
        <v>30</v>
      </c>
      <c r="I278" s="8" t="str">
        <f t="shared" ca="1" si="165"/>
        <v>234</v>
      </c>
      <c r="J278" s="13">
        <f>IF(繳費報酬率資料!$A$1=1,VALUE(OP!$C$121),VLOOKUP(A278,MP,2,0))</f>
        <v>0.05</v>
      </c>
      <c r="K278" s="14">
        <f ca="1">IF(SUM($K$4:K277,IF(繳費報酬率資料!$A$1=1,$AU278+$AV278,$BB278+$BC278))&gt;OP!$L$58,0,IF(繳費報酬率資料!$A$1=1,$AU278+$AV278,$BB278+$BC278))</f>
        <v>0</v>
      </c>
      <c r="L278" s="2"/>
      <c r="M278" s="2"/>
      <c r="N278" s="2"/>
      <c r="O278" s="261">
        <f t="shared" ca="1" si="169"/>
        <v>0</v>
      </c>
      <c r="P278" s="261">
        <f t="shared" ca="1" si="187"/>
        <v>0</v>
      </c>
      <c r="Q278" s="3">
        <f ca="1">IF(A278&gt;MAX(OP!$R$17:$R$26),0,VLOOKUP(A278,fees,3,FALSE))</f>
        <v>0</v>
      </c>
      <c r="R278" s="200" t="str">
        <f t="shared" ca="1" si="170"/>
        <v/>
      </c>
      <c r="S278" s="9" t="str">
        <f ca="1">IF(COUNTIF(($T$4:T277),"F")&gt;=1,"",IF(OR(C279&lt;&gt;$C$3,E278=""),"",A278))</f>
        <v/>
      </c>
      <c r="T278" s="20" t="str">
        <f t="shared" ca="1" si="162"/>
        <v/>
      </c>
      <c r="U278" s="2">
        <f ca="1">IF(IF(OP!$C$83=1,$Z277,IF(OP!$C$83=2,$AA277,IF(OP!$C$83=3,$AB277,)))+$K278-$O278-$P278-$AS278&lt;OP!$C$142,0,$AS278)</f>
        <v>0</v>
      </c>
      <c r="V278" s="9"/>
      <c r="W278" s="19">
        <f ca="1">MAX(SUM($K$4:K278),0)</f>
        <v>2000000</v>
      </c>
      <c r="X278" s="19"/>
      <c r="Y278" s="19">
        <f t="shared" ca="1" si="188"/>
        <v>1920000</v>
      </c>
      <c r="Z278" s="2">
        <f ca="1">IF(MIN($Z$4:Z277)=0,0,MAX(0,($Z277+$K278-$O278-$P278)*IF(AND(F278="F",$D$3&lt;&gt;$G$3),((1+(-J278))^(H278/MIN(G278,365))),((1+(-J278))^(1/12)))-$U278))</f>
        <v>592653.04017287819</v>
      </c>
      <c r="AA278" s="2">
        <f ca="1">IF(MIN($AA$4:AA277)=0,0,MAX(0,($AA277+$K278-$O278-$P278)*IF(AND(F278="F",$D$3&lt;&gt;$G$3),((1+$AA$1)^(H278/MIN(G278,365))),((1+$AA$1)^(1/12)))-$U278))</f>
        <v>1920000</v>
      </c>
      <c r="AB278" s="2">
        <f ca="1">IF(MIN($AB$4:AB277)=0,0,MAX(0,($AB277+$K278-$O278-$P278)*IF(AND(F278="F",$D$3&lt;&gt;$G$3),((1+(J278))^(H278/MIN(G278,365))),((1+(J278))^(1/12)))-$U278))</f>
        <v>5873396.6663132478</v>
      </c>
      <c r="AC278" s="5"/>
      <c r="AD278" s="5"/>
      <c r="AE278" s="5"/>
      <c r="AF278" s="282">
        <f t="shared" ca="1" si="171"/>
        <v>592653</v>
      </c>
      <c r="AG278" s="282">
        <f t="shared" ca="1" si="172"/>
        <v>1920000</v>
      </c>
      <c r="AH278" s="282">
        <f t="shared" ca="1" si="173"/>
        <v>5873397</v>
      </c>
      <c r="AI278" s="23" t="str">
        <f t="shared" ca="1" si="189"/>
        <v>23-12</v>
      </c>
      <c r="AJ278" s="282">
        <f ca="1">IF(E278&gt;111,,IF(AND(OP!$C$99=1,T278="F"),Z278,IF(AND(OP!$C$99=2,COUNTIF($T$4:T278,"F")=1),OP!$C$97+IF(F278="F",OP!$C$98,0),"")))</f>
        <v>54527</v>
      </c>
      <c r="AK278" s="282">
        <f ca="1">IF(E278&gt;111,,IF(AND(OP!$D$99=1,T278="F"),AA278,IF(AND(OP!$D$99=2,COUNTIF($T$4:T278,"F")=1),OP!$D$97+IF(F278="F",OP!$D$98,0),"")))</f>
        <v>74177</v>
      </c>
      <c r="AL278" s="282">
        <f ca="1">IF(E278&gt;111,,IF(AND(OP!$E$99=1,T278="F"),AB278,IF(AND(OP!$E$99=2,COUNTIF($T$4:T278,"F")=1),OP!$E$97+IF(F278="F",OP!$E$98,0),"")))</f>
        <v>99404</v>
      </c>
      <c r="AM278" s="1">
        <f t="shared" ca="1" si="163"/>
        <v>12</v>
      </c>
      <c r="AN278" s="1" t="str">
        <f ca="1">IF(OR(VLOOKUP($A278,MP,5,0)="月繳"),1,"")</f>
        <v/>
      </c>
      <c r="AO278" s="1">
        <f t="shared" ca="1" si="174"/>
        <v>0</v>
      </c>
      <c r="AP278" s="1" t="str">
        <f ca="1">IF(AND(A278&lt;=OP!$C$120,COUNTIF(PAY,C278)=1),1,"")</f>
        <v/>
      </c>
      <c r="AR278" s="301">
        <f ca="1">IF(繳費報酬率資料!$A$1=1,$AY278+$AZ278,$BF278+$BG278)</f>
        <v>0</v>
      </c>
      <c r="AS278" s="1">
        <f ca="1">IF(C278&lt;&gt;IF($C$3=1,12,$C$3-1),0,IF(繳費報酬率資料!$A$1&lt;&gt;1,VLOOKUP($A278,MP,8,0),IF(AND($A278&gt;=OP!$C$79,$A278&lt;=OP!$C$80),OP!$C$78,)))</f>
        <v>0</v>
      </c>
      <c r="AT278" s="298">
        <f t="shared" ca="1" si="175"/>
        <v>0</v>
      </c>
      <c r="AU278" s="298">
        <f ca="1">IF(AND(A278&lt;=OP!$C$120,COUNTIF(PAY,C278)=1),OP!$C$123,0)</f>
        <v>0</v>
      </c>
      <c r="AV278" s="298">
        <f ca="1">IF(AND(A278&gt;=OP!$C$132,A278&lt;=OP!$C$133,$C$3=C278),OP!$C$135,0)</f>
        <v>0</v>
      </c>
      <c r="AW278" s="180">
        <f t="shared" ca="1" si="176"/>
        <v>0.05</v>
      </c>
      <c r="AX278" s="180">
        <f t="shared" ca="1" si="177"/>
        <v>0.05</v>
      </c>
      <c r="AY278" s="286">
        <f t="shared" ca="1" si="178"/>
        <v>0</v>
      </c>
      <c r="AZ278" s="286">
        <f t="shared" ca="1" si="179"/>
        <v>0</v>
      </c>
      <c r="BA278" s="286">
        <f t="shared" ca="1" si="180"/>
        <v>0</v>
      </c>
      <c r="BB278" s="286">
        <f t="shared" ca="1" si="181"/>
        <v>0</v>
      </c>
      <c r="BC278" s="286">
        <f t="shared" ca="1" si="182"/>
        <v>0</v>
      </c>
      <c r="BD278" s="180">
        <f t="shared" ca="1" si="183"/>
        <v>0.05</v>
      </c>
      <c r="BE278" s="180">
        <f t="shared" ca="1" si="184"/>
        <v>0.05</v>
      </c>
      <c r="BF278" s="286">
        <f t="shared" ca="1" si="185"/>
        <v>0</v>
      </c>
      <c r="BG278" s="286">
        <f t="shared" ca="1" si="186"/>
        <v>0</v>
      </c>
    </row>
    <row r="279" spans="1:59">
      <c r="A279" s="1">
        <f t="shared" ca="1" si="166"/>
        <v>23</v>
      </c>
      <c r="B279" s="1">
        <f t="shared" ca="1" si="159"/>
        <v>129</v>
      </c>
      <c r="C279" s="1">
        <f t="shared" ca="1" si="160"/>
        <v>5</v>
      </c>
      <c r="D279" s="1">
        <f ca="1">MIN($D$3,VLOOKUP(C279,OP!$S$30:$T$41,2))</f>
        <v>2</v>
      </c>
      <c r="E279" s="1">
        <f t="shared" ca="1" si="161"/>
        <v>77</v>
      </c>
      <c r="F279" s="11" t="str">
        <f t="shared" ca="1" si="167"/>
        <v/>
      </c>
      <c r="G279" s="8">
        <f t="shared" ca="1" si="190"/>
        <v>366</v>
      </c>
      <c r="H279" s="8">
        <f t="shared" ca="1" si="168"/>
        <v>31</v>
      </c>
      <c r="I279" s="8" t="str">
        <f t="shared" ca="1" si="165"/>
        <v>235</v>
      </c>
      <c r="J279" s="13">
        <f>IF(繳費報酬率資料!$A$1=1,VALUE(OP!$C$121),VLOOKUP(A279,MP,2,0))</f>
        <v>0.05</v>
      </c>
      <c r="K279" s="14">
        <f ca="1">IF(SUM($K$4:K278,IF(繳費報酬率資料!$A$1=1,$AU279+$AV279,$BB279+$BC279))&gt;OP!$L$58,0,IF(繳費報酬率資料!$A$1=1,$AU279+$AV279,$BB279+$BC279))</f>
        <v>0</v>
      </c>
      <c r="L279" s="2">
        <f ca="1">ROUND(IF(OP!$C$78&lt;(IF(OR($T279="F",$E279&gt;=111),0,Z278+$K279-$O279+IF($C$1=1,OP!$C$78,IF($C280=$C$3,SUM(AC268:AC279,0)))))*5%,0,(OP!$C$78-((IF(OR($T279="F",$E279&gt;=111),0,Z278+$K279-$O279+IF($C$1=1,AC279,IF($C280=$C$3,SUM(AC268:AC279,0)))))*5%))*$Q279),0)</f>
        <v>0</v>
      </c>
      <c r="M279" s="2">
        <f ca="1">ROUND(IF(OP!$C$78&lt;(IF(OR($T279="F",$E279&gt;=111),0,AA278+$K279-$O279+IF($C$1=1,AD279,IF($C280=$C$3,SUM(AD268:AD279,0)))))*5%,0,(OP!$C$78-((IF(OR($T279="F",$E279&gt;=111),0,AA278+$K279-$O279+IF($C$1=1,AD279,IF($C280=$C$3,SUM(AD268:AD279,0)))))*5%))*$Q279),0)</f>
        <v>0</v>
      </c>
      <c r="N279" s="2">
        <f ca="1">ROUND(IF(OP!$C$78&lt;(IF(OR($T279="F",$E279&gt;=111),0,AB278+$K279-$O279+IF($C$1=1,AE279,IF($C280=$C$3,SUM(AE268:AE279,0)))))*5%,0,(OP!$C$78-((IF(OR($T279="F",$E279&gt;=111),0,AB278+$K279-$O279+IF($C$1=1,AE279,IF($C280=$C$3,SUM(AE268:AE279,0)))))*5%))*$Q279),0)</f>
        <v>0</v>
      </c>
      <c r="O279" s="261">
        <f t="shared" ca="1" si="169"/>
        <v>0</v>
      </c>
      <c r="P279" s="261">
        <f t="shared" ca="1" si="187"/>
        <v>0</v>
      </c>
      <c r="Q279" s="3">
        <f ca="1">IF(A279&gt;MAX(OP!$R$17:$R$26),0,VLOOKUP(A279,fees,3,FALSE))</f>
        <v>0</v>
      </c>
      <c r="R279" s="200">
        <f t="shared" ca="1" si="170"/>
        <v>23</v>
      </c>
      <c r="S279" s="9" t="str">
        <f ca="1">IF(COUNTIF(($T$4:T278),"F")&gt;=1,"",IF(OR(C280&lt;&gt;$C$3,E279=""),"",A279))</f>
        <v/>
      </c>
      <c r="T279" s="20" t="str">
        <f t="shared" ca="1" si="162"/>
        <v/>
      </c>
      <c r="U279" s="2">
        <f ca="1">IF(IF(OP!$C$83=1,$Z278,IF(OP!$C$83=2,$AA278,IF(OP!$C$83=3,$AB278,)))+$K279-$O279-$P279-$AS279&lt;OP!$C$142,0,$AS279)</f>
        <v>0</v>
      </c>
      <c r="V279" s="19">
        <f ca="1">SUM(K268:K279)</f>
        <v>0</v>
      </c>
      <c r="W279" s="19">
        <f ca="1">MAX(SUM($K$4:K279),0)</f>
        <v>2000000</v>
      </c>
      <c r="X279" s="19">
        <f ca="1">SUM(O268:P279)</f>
        <v>0</v>
      </c>
      <c r="Y279" s="19">
        <f t="shared" ca="1" si="188"/>
        <v>1920000</v>
      </c>
      <c r="Z279" s="2">
        <f ca="1">IF(MIN($Z$4:Z278)=0,0,MAX(0,($Z278+$K279-$O279-$P279)*IF(AND(F279="F",$D$3&lt;&gt;$G$3),((1+(-J279))^(H279/MIN(G279,365))),((1+(-J279))^(1/12)))-$U279))</f>
        <v>590125.18603205041</v>
      </c>
      <c r="AA279" s="2">
        <f ca="1">IF(MIN($AA$4:AA278)=0,0,MAX(0,($AA278+$K279-$O279-$P279)*IF(AND(F279="F",$D$3&lt;&gt;$G$3),((1+$AA$1)^(H279/MIN(G279,365))),((1+$AA$1)^(1/12)))-$U279))</f>
        <v>1920000</v>
      </c>
      <c r="AB279" s="2">
        <f ca="1">IF(MIN($AB$4:AB278)=0,0,MAX(0,($AB278+$K279-$O279-$P279)*IF(AND(F279="F",$D$3&lt;&gt;$G$3),((1+(J279))^(H279/MIN(G279,365))),((1+(J279))^(1/12)))-$U279))</f>
        <v>5897325.6113622757</v>
      </c>
      <c r="AC279" s="5"/>
      <c r="AD279" s="5"/>
      <c r="AE279" s="5"/>
      <c r="AF279" s="282">
        <f t="shared" ca="1" si="171"/>
        <v>590125</v>
      </c>
      <c r="AG279" s="282">
        <f t="shared" ca="1" si="172"/>
        <v>1920000</v>
      </c>
      <c r="AH279" s="282">
        <f t="shared" ca="1" si="173"/>
        <v>5897326</v>
      </c>
      <c r="AI279" s="23" t="str">
        <f t="shared" ca="1" si="189"/>
        <v>24-1</v>
      </c>
      <c r="AJ279" s="282">
        <f ca="1">IF(E279&gt;111,,IF(AND(OP!$C$99=1,T279="F"),Z279,IF(AND(OP!$C$99=2,COUNTIF($T$4:T279,"F")=1),OP!$C$97+IF(F279="F",OP!$C$98,0),"")))</f>
        <v>54527</v>
      </c>
      <c r="AK279" s="282">
        <f ca="1">IF(E279&gt;111,,IF(AND(OP!$D$99=1,T279="F"),AA279,IF(AND(OP!$D$99=2,COUNTIF($T$4:T279,"F")=1),OP!$D$97+IF(F279="F",OP!$D$98,0),"")))</f>
        <v>74177</v>
      </c>
      <c r="AL279" s="282">
        <f ca="1">IF(E279&gt;111,,IF(AND(OP!$E$99=1,T279="F"),AB279,IF(AND(OP!$E$99=2,COUNTIF($T$4:T279,"F")=1),OP!$E$97+IF(F279="F",OP!$E$98,0),"")))</f>
        <v>99404</v>
      </c>
      <c r="AM279" s="1">
        <f t="shared" ca="1" si="163"/>
        <v>1</v>
      </c>
      <c r="AN279" s="1" t="str">
        <f ca="1">IF(OR(VLOOKUP($A279,MP,5,0)="月繳"),1,"")</f>
        <v/>
      </c>
      <c r="AO279" s="1">
        <f t="shared" ca="1" si="174"/>
        <v>0</v>
      </c>
      <c r="AP279" s="1" t="str">
        <f ca="1">IF(AND(A279&lt;=OP!$C$120,COUNTIF(PAY,C279)=1),1,"")</f>
        <v/>
      </c>
      <c r="AR279" s="301">
        <f ca="1">IF(繳費報酬率資料!$A$1=1,$AY279+$AZ279,$BF279+$BG279)</f>
        <v>0</v>
      </c>
      <c r="AS279" s="1">
        <f ca="1">IF(C279&lt;&gt;IF($C$3=1,12,$C$3-1),0,IF(繳費報酬率資料!$A$1&lt;&gt;1,VLOOKUP($A279,MP,8,0),IF(AND($A279&gt;=OP!$C$79,$A279&lt;=OP!$C$80),OP!$C$78,)))</f>
        <v>0</v>
      </c>
      <c r="AT279" s="298">
        <f t="shared" ca="1" si="175"/>
        <v>0</v>
      </c>
      <c r="AU279" s="298">
        <f ca="1">IF(AND(A279&lt;=OP!$C$120,COUNTIF(PAY,C279)=1),OP!$C$123,0)</f>
        <v>0</v>
      </c>
      <c r="AV279" s="298">
        <f ca="1">IF(AND(A279&gt;=OP!$C$132,A279&lt;=OP!$C$133,$C$3=C279),OP!$C$135,0)</f>
        <v>0</v>
      </c>
      <c r="AW279" s="180">
        <f t="shared" ca="1" si="176"/>
        <v>0.05</v>
      </c>
      <c r="AX279" s="180">
        <f t="shared" ca="1" si="177"/>
        <v>0.05</v>
      </c>
      <c r="AY279" s="286">
        <f t="shared" ca="1" si="178"/>
        <v>0</v>
      </c>
      <c r="AZ279" s="286">
        <f t="shared" ca="1" si="179"/>
        <v>0</v>
      </c>
      <c r="BA279" s="286">
        <f t="shared" ca="1" si="180"/>
        <v>0</v>
      </c>
      <c r="BB279" s="286">
        <f t="shared" ca="1" si="181"/>
        <v>0</v>
      </c>
      <c r="BC279" s="286">
        <f t="shared" ca="1" si="182"/>
        <v>0</v>
      </c>
      <c r="BD279" s="180">
        <f t="shared" ca="1" si="183"/>
        <v>0.05</v>
      </c>
      <c r="BE279" s="180">
        <f t="shared" ca="1" si="184"/>
        <v>0.05</v>
      </c>
      <c r="BF279" s="286">
        <f t="shared" ca="1" si="185"/>
        <v>0</v>
      </c>
      <c r="BG279" s="286">
        <f t="shared" ca="1" si="186"/>
        <v>0</v>
      </c>
    </row>
    <row r="280" spans="1:59">
      <c r="A280" s="1">
        <f t="shared" ca="1" si="166"/>
        <v>24</v>
      </c>
      <c r="B280" s="1">
        <f t="shared" ca="1" si="159"/>
        <v>129</v>
      </c>
      <c r="C280" s="1">
        <f t="shared" ca="1" si="160"/>
        <v>6</v>
      </c>
      <c r="D280" s="1">
        <f ca="1">MIN($D$3,VLOOKUP(C280,OP!$S$30:$T$41,2))</f>
        <v>2</v>
      </c>
      <c r="E280" s="1">
        <f t="shared" ca="1" si="161"/>
        <v>78</v>
      </c>
      <c r="F280" s="11" t="str">
        <f t="shared" ca="1" si="167"/>
        <v/>
      </c>
      <c r="G280" s="6">
        <f ca="1">DATEDIF(DATE(B280+1911,C280,D280),DATE(B292+1911,C292,D292),"d")</f>
        <v>365</v>
      </c>
      <c r="H280" s="8">
        <f t="shared" ca="1" si="168"/>
        <v>30</v>
      </c>
      <c r="I280" s="8" t="str">
        <f t="shared" ca="1" si="165"/>
        <v>246</v>
      </c>
      <c r="J280" s="13">
        <f>IF(繳費報酬率資料!$A$1=1,VALUE(OP!$C$121),VLOOKUP(A280,MP,2,0))</f>
        <v>0.05</v>
      </c>
      <c r="K280" s="14">
        <f ca="1">IF(SUM($K$4:K279,IF(繳費報酬率資料!$A$1=1,$AU280+$AV280,$BB280+$BC280))&gt;OP!$L$58,0,IF(繳費報酬率資料!$A$1=1,$AU280+$AV280,$BB280+$BC280))</f>
        <v>0</v>
      </c>
      <c r="L280" s="2"/>
      <c r="M280" s="2"/>
      <c r="N280" s="2"/>
      <c r="O280" s="261">
        <f t="shared" ca="1" si="169"/>
        <v>0</v>
      </c>
      <c r="P280" s="261">
        <f t="shared" ca="1" si="187"/>
        <v>0</v>
      </c>
      <c r="Q280" s="3">
        <f ca="1">IF(A280&gt;MAX(OP!$R$17:$R$26),0,VLOOKUP(A280,fees,3,FALSE))</f>
        <v>0</v>
      </c>
      <c r="R280" s="200" t="str">
        <f t="shared" ca="1" si="170"/>
        <v/>
      </c>
      <c r="S280" s="9" t="str">
        <f ca="1">IF(COUNTIF(($T$4:T279),"F")&gt;=1,"",IF(OR(C281&lt;&gt;$C$3,E280=""),"",A280))</f>
        <v/>
      </c>
      <c r="T280" s="20" t="str">
        <f t="shared" ca="1" si="162"/>
        <v/>
      </c>
      <c r="U280" s="2">
        <f ca="1">IF(IF(OP!$C$83=1,$Z279,IF(OP!$C$83=2,$AA279,IF(OP!$C$83=3,$AB279,)))+$K280-$O280-$P280-$AS280&lt;OP!$C$142,0,$AS280)</f>
        <v>0</v>
      </c>
      <c r="V280" s="9"/>
      <c r="W280" s="19">
        <f ca="1">MAX(SUM($K$4:K280),0)</f>
        <v>2000000</v>
      </c>
      <c r="X280" s="19"/>
      <c r="Y280" s="19">
        <f t="shared" ca="1" si="188"/>
        <v>1920000</v>
      </c>
      <c r="Z280" s="2">
        <f ca="1">IF(MIN($Z$4:Z279)=0,0,MAX(0,($Z279+$K280-$O280-$P280)*IF(AND(F280="F",$D$3&lt;&gt;$G$3),((1+(-J280))^(H280/MIN(G280,365))),((1+(-J280))^(1/12)))-$U280))</f>
        <v>587608.11399495648</v>
      </c>
      <c r="AA280" s="2">
        <f ca="1">IF(MIN($AA$4:AA279)=0,0,MAX(0,($AA279+$K280-$O280-$P280)*IF(AND(F280="F",$D$3&lt;&gt;$G$3),((1+$AA$1)^(H280/MIN(G280,365))),((1+$AA$1)^(1/12)))-$U280))</f>
        <v>1920000</v>
      </c>
      <c r="AB280" s="2">
        <f ca="1">IF(MIN($AB$4:AB279)=0,0,MAX(0,($AB279+$K280-$O280-$P280)*IF(AND(F280="F",$D$3&lt;&gt;$G$3),((1+(J280))^(H280/MIN(G280,365))),((1+(J280))^(1/12)))-$U280))</f>
        <v>5921352.0458954452</v>
      </c>
      <c r="AC280" s="21"/>
      <c r="AD280" s="21"/>
      <c r="AE280" s="21"/>
      <c r="AF280" s="282">
        <f t="shared" ca="1" si="171"/>
        <v>587608</v>
      </c>
      <c r="AG280" s="282">
        <f t="shared" ca="1" si="172"/>
        <v>1920000</v>
      </c>
      <c r="AH280" s="282">
        <f t="shared" ca="1" si="173"/>
        <v>5921352</v>
      </c>
      <c r="AI280" s="23" t="str">
        <f t="shared" ca="1" si="189"/>
        <v>24-2</v>
      </c>
      <c r="AJ280" s="281">
        <f ca="1">IF(E280&gt;111,,IF(AND(OP!$C$99=1,T280="F"),Z280,IF(AND(OP!$C$99=2,COUNTIF($T$4:T280,"F")=1),OP!$C$97+IF(F280="F",OP!$C$98,0),"")))</f>
        <v>54527</v>
      </c>
      <c r="AK280" s="281">
        <f ca="1">IF(E280&gt;111,,IF(AND(OP!$D$99=1,T280="F"),AA280,IF(AND(OP!$D$99=2,COUNTIF($T$4:T280,"F")=1),OP!$D$97+IF(F280="F",OP!$D$98,0),"")))</f>
        <v>74177</v>
      </c>
      <c r="AL280" s="281">
        <f ca="1">IF(E280&gt;111,,IF(AND(OP!$E$99=1,T280="F"),AB280,IF(AND(OP!$E$99=2,COUNTIF($T$4:T280,"F")=1),OP!$E$97+IF(F280="F",OP!$E$98,0),"")))</f>
        <v>99404</v>
      </c>
      <c r="AM280" s="1">
        <f t="shared" ca="1" si="163"/>
        <v>2</v>
      </c>
      <c r="AN280" s="1">
        <f ca="1">IF(OR(VLOOKUP($A280,MP,5,0)="年繳",VLOOKUP($A280,MP,5,0)="半年繳",VLOOKUP($A280,MP,5,0)="季繳",VLOOKUP($A280,MP,5,0)="月繳"),1,"")</f>
        <v>1</v>
      </c>
      <c r="AO280" s="1">
        <f t="shared" ca="1" si="174"/>
        <v>0</v>
      </c>
      <c r="AP280" s="1" t="str">
        <f ca="1">IF(AND(A280&lt;=OP!$C$120,COUNTIF(PAY,C280)=1),1,"")</f>
        <v/>
      </c>
      <c r="AR280" s="301">
        <f ca="1">IF(繳費報酬率資料!$A$1=1,$AY280+$AZ280,$BF280+$BG280)</f>
        <v>0</v>
      </c>
      <c r="AS280" s="1">
        <f ca="1">IF(C280&lt;&gt;IF($C$3=1,12,$C$3-1),0,IF(繳費報酬率資料!$A$1&lt;&gt;1,VLOOKUP($A280,MP,8,0),IF(AND($A280&gt;=OP!$C$79,$A280&lt;=OP!$C$80),OP!$C$78,)))</f>
        <v>0</v>
      </c>
      <c r="AT280" s="298">
        <f t="shared" ca="1" si="175"/>
        <v>0</v>
      </c>
      <c r="AU280" s="298">
        <f ca="1">IF(AND(A280&lt;=OP!$C$120,COUNTIF(PAY,C280)=1),OP!$C$123,0)</f>
        <v>0</v>
      </c>
      <c r="AV280" s="298">
        <f ca="1">IF(AND(A280&gt;=OP!$C$132,A280&lt;=OP!$C$133,$C$3=C280),OP!$C$135,0)</f>
        <v>0</v>
      </c>
      <c r="AW280" s="180">
        <f t="shared" ca="1" si="176"/>
        <v>0.05</v>
      </c>
      <c r="AX280" s="180">
        <f t="shared" ca="1" si="177"/>
        <v>0.05</v>
      </c>
      <c r="AY280" s="286">
        <f t="shared" ca="1" si="178"/>
        <v>0</v>
      </c>
      <c r="AZ280" s="286">
        <f t="shared" ca="1" si="179"/>
        <v>0</v>
      </c>
      <c r="BA280" s="286">
        <f t="shared" ca="1" si="180"/>
        <v>0</v>
      </c>
      <c r="BB280" s="286">
        <f t="shared" ca="1" si="181"/>
        <v>0</v>
      </c>
      <c r="BC280" s="286">
        <f t="shared" ca="1" si="182"/>
        <v>0</v>
      </c>
      <c r="BD280" s="180">
        <f t="shared" ca="1" si="183"/>
        <v>0.05</v>
      </c>
      <c r="BE280" s="180">
        <f t="shared" ca="1" si="184"/>
        <v>0.05</v>
      </c>
      <c r="BF280" s="286">
        <f t="shared" ca="1" si="185"/>
        <v>0</v>
      </c>
      <c r="BG280" s="286">
        <f t="shared" ca="1" si="186"/>
        <v>0</v>
      </c>
    </row>
    <row r="281" spans="1:59">
      <c r="A281" s="1">
        <f t="shared" ca="1" si="166"/>
        <v>24</v>
      </c>
      <c r="B281" s="1">
        <f t="shared" ca="1" si="159"/>
        <v>129</v>
      </c>
      <c r="C281" s="1">
        <f t="shared" ca="1" si="160"/>
        <v>7</v>
      </c>
      <c r="D281" s="1">
        <f ca="1">MIN($D$3,VLOOKUP(C281,OP!$S$30:$T$41,2))</f>
        <v>2</v>
      </c>
      <c r="E281" s="1">
        <f t="shared" ca="1" si="161"/>
        <v>78</v>
      </c>
      <c r="F281" s="11" t="str">
        <f t="shared" ca="1" si="167"/>
        <v/>
      </c>
      <c r="G281" s="8">
        <f t="shared" ref="G281:G291" ca="1" si="191">G280</f>
        <v>365</v>
      </c>
      <c r="H281" s="8">
        <f t="shared" ca="1" si="168"/>
        <v>31</v>
      </c>
      <c r="I281" s="8" t="str">
        <f t="shared" ca="1" si="165"/>
        <v>247</v>
      </c>
      <c r="J281" s="13">
        <f>IF(繳費報酬率資料!$A$1=1,VALUE(OP!$C$121),VLOOKUP(A281,MP,2,0))</f>
        <v>0.05</v>
      </c>
      <c r="K281" s="14">
        <f ca="1">IF(SUM($K$4:K280,IF(繳費報酬率資料!$A$1=1,$AU281+$AV281,$BB281+$BC281))&gt;OP!$L$58,0,IF(繳費報酬率資料!$A$1=1,$AU281+$AV281,$BB281+$BC281))</f>
        <v>0</v>
      </c>
      <c r="L281" s="2"/>
      <c r="M281" s="2"/>
      <c r="N281" s="2"/>
      <c r="O281" s="261">
        <f t="shared" ca="1" si="169"/>
        <v>0</v>
      </c>
      <c r="P281" s="261">
        <f t="shared" ca="1" si="187"/>
        <v>0</v>
      </c>
      <c r="Q281" s="3">
        <f ca="1">IF(A281&gt;MAX(OP!$R$17:$R$26),0,VLOOKUP(A281,fees,3,FALSE))</f>
        <v>0</v>
      </c>
      <c r="R281" s="200" t="str">
        <f t="shared" ca="1" si="170"/>
        <v/>
      </c>
      <c r="S281" s="9" t="str">
        <f ca="1">IF(COUNTIF(($T$4:T280),"F")&gt;=1,"",IF(OR(C282&lt;&gt;$C$3,E281=""),"",A281))</f>
        <v/>
      </c>
      <c r="T281" s="20" t="str">
        <f t="shared" ca="1" si="162"/>
        <v/>
      </c>
      <c r="U281" s="2">
        <f ca="1">IF(IF(OP!$C$83=1,$Z280,IF(OP!$C$83=2,$AA280,IF(OP!$C$83=3,$AB280,)))+$K281-$O281-$P281-$AS281&lt;OP!$C$142,0,$AS281)</f>
        <v>0</v>
      </c>
      <c r="V281" s="9"/>
      <c r="W281" s="19">
        <f ca="1">MAX(SUM($K$4:K281),0)</f>
        <v>2000000</v>
      </c>
      <c r="X281" s="19"/>
      <c r="Y281" s="19">
        <f t="shared" ca="1" si="188"/>
        <v>1920000</v>
      </c>
      <c r="Z281" s="2">
        <f ca="1">IF(MIN($Z$4:Z280)=0,0,MAX(0,($Z280+$K281-$O281-$P281)*IF(AND(F281="F",$D$3&lt;&gt;$G$3),((1+(-J281))^(H281/MIN(G281,365))),((1+(-J281))^(1/12)))-$U281))</f>
        <v>585101.77807248675</v>
      </c>
      <c r="AA281" s="2">
        <f ca="1">IF(MIN($AA$4:AA280)=0,0,MAX(0,($AA280+$K281-$O281-$P281)*IF(AND(F281="F",$D$3&lt;&gt;$G$3),((1+$AA$1)^(H281/MIN(G281,365))),((1+$AA$1)^(1/12)))-$U281))</f>
        <v>1920000</v>
      </c>
      <c r="AB281" s="2">
        <f ca="1">IF(MIN($AB$4:AB280)=0,0,MAX(0,($AB280+$K281-$O281-$P281)*IF(AND(F281="F",$D$3&lt;&gt;$G$3),((1+(J281))^(H281/MIN(G281,365))),((1+(J281))^(1/12)))-$U281))</f>
        <v>5945476.3670969829</v>
      </c>
      <c r="AC281" s="5"/>
      <c r="AD281" s="5"/>
      <c r="AE281" s="5"/>
      <c r="AF281" s="282">
        <f t="shared" ca="1" si="171"/>
        <v>585102</v>
      </c>
      <c r="AG281" s="282">
        <f t="shared" ca="1" si="172"/>
        <v>1920000</v>
      </c>
      <c r="AH281" s="282">
        <f t="shared" ca="1" si="173"/>
        <v>5945476</v>
      </c>
      <c r="AI281" s="23" t="str">
        <f t="shared" ca="1" si="189"/>
        <v>24-3</v>
      </c>
      <c r="AJ281" s="282">
        <f ca="1">IF(E281&gt;111,,IF(AND(OP!$C$99=1,T281="F"),Z281,IF(AND(OP!$C$99=2,COUNTIF($T$4:T281,"F")=1),OP!$C$97+IF(F281="F",OP!$C$98,0),"")))</f>
        <v>54527</v>
      </c>
      <c r="AK281" s="282">
        <f ca="1">IF(E281&gt;111,,IF(AND(OP!$D$99=1,T281="F"),AA281,IF(AND(OP!$D$99=2,COUNTIF($T$4:T281,"F")=1),OP!$D$97+IF(F281="F",OP!$D$98,0),"")))</f>
        <v>74177</v>
      </c>
      <c r="AL281" s="282">
        <f ca="1">IF(E281&gt;111,,IF(AND(OP!$E$99=1,T281="F"),AB281,IF(AND(OP!$E$99=2,COUNTIF($T$4:T281,"F")=1),OP!$E$97+IF(F281="F",OP!$E$98,0),"")))</f>
        <v>99404</v>
      </c>
      <c r="AM281" s="1">
        <f t="shared" ca="1" si="163"/>
        <v>3</v>
      </c>
      <c r="AN281" s="1" t="str">
        <f ca="1">IF(OR(VLOOKUP($A281,MP,5,0)="月繳"),1,"")</f>
        <v/>
      </c>
      <c r="AO281" s="1">
        <f t="shared" ca="1" si="174"/>
        <v>0</v>
      </c>
      <c r="AP281" s="1" t="str">
        <f ca="1">IF(AND(A281&lt;=OP!$C$120,COUNTIF(PAY,C281)=1),1,"")</f>
        <v/>
      </c>
      <c r="AR281" s="301">
        <f ca="1">IF(繳費報酬率資料!$A$1=1,$AY281+$AZ281,$BF281+$BG281)</f>
        <v>0</v>
      </c>
      <c r="AS281" s="1">
        <f ca="1">IF(C281&lt;&gt;IF($C$3=1,12,$C$3-1),0,IF(繳費報酬率資料!$A$1&lt;&gt;1,VLOOKUP($A281,MP,8,0),IF(AND($A281&gt;=OP!$C$79,$A281&lt;=OP!$C$80),OP!$C$78,)))</f>
        <v>0</v>
      </c>
      <c r="AT281" s="298">
        <f t="shared" ca="1" si="175"/>
        <v>0</v>
      </c>
      <c r="AU281" s="298">
        <f ca="1">IF(AND(A281&lt;=OP!$C$120,COUNTIF(PAY,C281)=1),OP!$C$123,0)</f>
        <v>0</v>
      </c>
      <c r="AV281" s="298">
        <f ca="1">IF(AND(A281&gt;=OP!$C$132,A281&lt;=OP!$C$133,$C$3=C281),OP!$C$135,0)</f>
        <v>0</v>
      </c>
      <c r="AW281" s="180">
        <f t="shared" ca="1" si="176"/>
        <v>0.05</v>
      </c>
      <c r="AX281" s="180">
        <f t="shared" ca="1" si="177"/>
        <v>0.05</v>
      </c>
      <c r="AY281" s="286">
        <f t="shared" ca="1" si="178"/>
        <v>0</v>
      </c>
      <c r="AZ281" s="286">
        <f t="shared" ca="1" si="179"/>
        <v>0</v>
      </c>
      <c r="BA281" s="286">
        <f t="shared" ca="1" si="180"/>
        <v>0</v>
      </c>
      <c r="BB281" s="286">
        <f t="shared" ca="1" si="181"/>
        <v>0</v>
      </c>
      <c r="BC281" s="286">
        <f t="shared" ca="1" si="182"/>
        <v>0</v>
      </c>
      <c r="BD281" s="180">
        <f t="shared" ca="1" si="183"/>
        <v>0.05</v>
      </c>
      <c r="BE281" s="180">
        <f t="shared" ca="1" si="184"/>
        <v>0.05</v>
      </c>
      <c r="BF281" s="286">
        <f t="shared" ca="1" si="185"/>
        <v>0</v>
      </c>
      <c r="BG281" s="286">
        <f t="shared" ca="1" si="186"/>
        <v>0</v>
      </c>
    </row>
    <row r="282" spans="1:59">
      <c r="A282" s="1">
        <f t="shared" ca="1" si="166"/>
        <v>24</v>
      </c>
      <c r="B282" s="1">
        <f t="shared" ca="1" si="159"/>
        <v>129</v>
      </c>
      <c r="C282" s="1">
        <f t="shared" ca="1" si="160"/>
        <v>8</v>
      </c>
      <c r="D282" s="1">
        <f ca="1">MIN($D$3,VLOOKUP(C282,OP!$S$30:$T$41,2))</f>
        <v>2</v>
      </c>
      <c r="E282" s="1">
        <f t="shared" ca="1" si="161"/>
        <v>78</v>
      </c>
      <c r="F282" s="11" t="str">
        <f t="shared" ca="1" si="167"/>
        <v/>
      </c>
      <c r="G282" s="8">
        <f t="shared" ca="1" si="191"/>
        <v>365</v>
      </c>
      <c r="H282" s="8">
        <f t="shared" ca="1" si="168"/>
        <v>31</v>
      </c>
      <c r="I282" s="8" t="str">
        <f t="shared" ca="1" si="165"/>
        <v>248</v>
      </c>
      <c r="J282" s="13">
        <f>IF(繳費報酬率資料!$A$1=1,VALUE(OP!$C$121),VLOOKUP(A282,MP,2,0))</f>
        <v>0.05</v>
      </c>
      <c r="K282" s="14">
        <f ca="1">IF(SUM($K$4:K281,IF(繳費報酬率資料!$A$1=1,$AU282+$AV282,$BB282+$BC282))&gt;OP!$L$58,0,IF(繳費報酬率資料!$A$1=1,$AU282+$AV282,$BB282+$BC282))</f>
        <v>0</v>
      </c>
      <c r="L282" s="2"/>
      <c r="M282" s="2"/>
      <c r="N282" s="2"/>
      <c r="O282" s="261">
        <f t="shared" ca="1" si="169"/>
        <v>0</v>
      </c>
      <c r="P282" s="261">
        <f t="shared" ca="1" si="187"/>
        <v>0</v>
      </c>
      <c r="Q282" s="3">
        <f ca="1">IF(A282&gt;MAX(OP!$R$17:$R$26),0,VLOOKUP(A282,fees,3,FALSE))</f>
        <v>0</v>
      </c>
      <c r="R282" s="200" t="str">
        <f t="shared" ca="1" si="170"/>
        <v/>
      </c>
      <c r="S282" s="9" t="str">
        <f ca="1">IF(COUNTIF(($T$4:T281),"F")&gt;=1,"",IF(OR(C283&lt;&gt;$C$3,E282=""),"",A282))</f>
        <v/>
      </c>
      <c r="T282" s="20" t="str">
        <f t="shared" ca="1" si="162"/>
        <v/>
      </c>
      <c r="U282" s="2">
        <f ca="1">IF(IF(OP!$C$83=1,$Z281,IF(OP!$C$83=2,$AA281,IF(OP!$C$83=3,$AB281,)))+$K282-$O282-$P282-$AS282&lt;OP!$C$142,0,$AS282)</f>
        <v>0</v>
      </c>
      <c r="V282" s="9"/>
      <c r="W282" s="19">
        <f ca="1">MAX(SUM($K$4:K282),0)</f>
        <v>2000000</v>
      </c>
      <c r="X282" s="19"/>
      <c r="Y282" s="19">
        <f t="shared" ca="1" si="188"/>
        <v>1920000</v>
      </c>
      <c r="Z282" s="2">
        <f ca="1">IF(MIN($Z$4:Z281)=0,0,MAX(0,($Z281+$K282-$O282-$P282)*IF(AND(F282="F",$D$3&lt;&gt;$G$3),((1+(-J282))^(H282/MIN(G282,365))),((1+(-J282))^(1/12)))-$U282))</f>
        <v>582606.13247169007</v>
      </c>
      <c r="AA282" s="2">
        <f ca="1">IF(MIN($AA$4:AA281)=0,0,MAX(0,($AA281+$K282-$O282-$P282)*IF(AND(F282="F",$D$3&lt;&gt;$G$3),((1+$AA$1)^(H282/MIN(G282,365))),((1+$AA$1)^(1/12)))-$U282))</f>
        <v>1920000</v>
      </c>
      <c r="AB282" s="2">
        <f ca="1">IF(MIN($AB$4:AB281)=0,0,MAX(0,($AB281+$K282-$O282-$P282)*IF(AND(F282="F",$D$3&lt;&gt;$G$3),((1+(J282))^(H282/MIN(G282,365))),((1+(J282))^(1/12)))-$U282))</f>
        <v>5969698.9737692922</v>
      </c>
      <c r="AC282" s="5"/>
      <c r="AD282" s="5"/>
      <c r="AE282" s="5"/>
      <c r="AF282" s="282">
        <f t="shared" ca="1" si="171"/>
        <v>582606</v>
      </c>
      <c r="AG282" s="282">
        <f t="shared" ca="1" si="172"/>
        <v>1920000</v>
      </c>
      <c r="AH282" s="282">
        <f t="shared" ca="1" si="173"/>
        <v>5969699</v>
      </c>
      <c r="AI282" s="23" t="str">
        <f t="shared" ca="1" si="189"/>
        <v>24-4</v>
      </c>
      <c r="AJ282" s="282">
        <f ca="1">IF(E282&gt;111,,IF(AND(OP!$C$99=1,T282="F"),Z282,IF(AND(OP!$C$99=2,COUNTIF($T$4:T282,"F")=1),OP!$C$97+IF(F282="F",OP!$C$98,0),"")))</f>
        <v>54527</v>
      </c>
      <c r="AK282" s="282">
        <f ca="1">IF(E282&gt;111,,IF(AND(OP!$D$99=1,T282="F"),AA282,IF(AND(OP!$D$99=2,COUNTIF($T$4:T282,"F")=1),OP!$D$97+IF(F282="F",OP!$D$98,0),"")))</f>
        <v>74177</v>
      </c>
      <c r="AL282" s="282">
        <f ca="1">IF(E282&gt;111,,IF(AND(OP!$E$99=1,T282="F"),AB282,IF(AND(OP!$E$99=2,COUNTIF($T$4:T282,"F")=1),OP!$E$97+IF(F282="F",OP!$E$98,0),"")))</f>
        <v>99404</v>
      </c>
      <c r="AM282" s="1">
        <f t="shared" ca="1" si="163"/>
        <v>4</v>
      </c>
      <c r="AN282" s="1" t="str">
        <f ca="1">IF(OR(VLOOKUP($A282,MP,5,0)="月繳"),1,"")</f>
        <v/>
      </c>
      <c r="AO282" s="1">
        <f t="shared" ca="1" si="174"/>
        <v>0</v>
      </c>
      <c r="AP282" s="1" t="str">
        <f ca="1">IF(AND(A282&lt;=OP!$C$120,COUNTIF(PAY,C282)=1),1,"")</f>
        <v/>
      </c>
      <c r="AR282" s="301">
        <f ca="1">IF(繳費報酬率資料!$A$1=1,$AY282+$AZ282,$BF282+$BG282)</f>
        <v>0</v>
      </c>
      <c r="AS282" s="1">
        <f ca="1">IF(C282&lt;&gt;IF($C$3=1,12,$C$3-1),0,IF(繳費報酬率資料!$A$1&lt;&gt;1,VLOOKUP($A282,MP,8,0),IF(AND($A282&gt;=OP!$C$79,$A282&lt;=OP!$C$80),OP!$C$78,)))</f>
        <v>0</v>
      </c>
      <c r="AT282" s="298">
        <f t="shared" ca="1" si="175"/>
        <v>0</v>
      </c>
      <c r="AU282" s="298">
        <f ca="1">IF(AND(A282&lt;=OP!$C$120,COUNTIF(PAY,C282)=1),OP!$C$123,0)</f>
        <v>0</v>
      </c>
      <c r="AV282" s="298">
        <f ca="1">IF(AND(A282&gt;=OP!$C$132,A282&lt;=OP!$C$133,$C$3=C282),OP!$C$135,0)</f>
        <v>0</v>
      </c>
      <c r="AW282" s="180">
        <f t="shared" ca="1" si="176"/>
        <v>0.05</v>
      </c>
      <c r="AX282" s="180">
        <f t="shared" ca="1" si="177"/>
        <v>0.05</v>
      </c>
      <c r="AY282" s="286">
        <f t="shared" ca="1" si="178"/>
        <v>0</v>
      </c>
      <c r="AZ282" s="286">
        <f t="shared" ca="1" si="179"/>
        <v>0</v>
      </c>
      <c r="BA282" s="286">
        <f t="shared" ca="1" si="180"/>
        <v>0</v>
      </c>
      <c r="BB282" s="286">
        <f t="shared" ca="1" si="181"/>
        <v>0</v>
      </c>
      <c r="BC282" s="286">
        <f t="shared" ca="1" si="182"/>
        <v>0</v>
      </c>
      <c r="BD282" s="180">
        <f t="shared" ca="1" si="183"/>
        <v>0.05</v>
      </c>
      <c r="BE282" s="180">
        <f t="shared" ca="1" si="184"/>
        <v>0.05</v>
      </c>
      <c r="BF282" s="286">
        <f t="shared" ca="1" si="185"/>
        <v>0</v>
      </c>
      <c r="BG282" s="286">
        <f t="shared" ca="1" si="186"/>
        <v>0</v>
      </c>
    </row>
    <row r="283" spans="1:59">
      <c r="A283" s="1">
        <f t="shared" ca="1" si="166"/>
        <v>24</v>
      </c>
      <c r="B283" s="1">
        <f t="shared" ca="1" si="159"/>
        <v>129</v>
      </c>
      <c r="C283" s="1">
        <f t="shared" ca="1" si="160"/>
        <v>9</v>
      </c>
      <c r="D283" s="1">
        <f ca="1">MIN($D$3,VLOOKUP(C283,OP!$S$30:$T$41,2))</f>
        <v>2</v>
      </c>
      <c r="E283" s="1">
        <f t="shared" ca="1" si="161"/>
        <v>78</v>
      </c>
      <c r="F283" s="11" t="str">
        <f t="shared" ca="1" si="167"/>
        <v/>
      </c>
      <c r="G283" s="8">
        <f t="shared" ca="1" si="191"/>
        <v>365</v>
      </c>
      <c r="H283" s="8">
        <f t="shared" ca="1" si="168"/>
        <v>30</v>
      </c>
      <c r="I283" s="8" t="str">
        <f t="shared" ca="1" si="165"/>
        <v>249</v>
      </c>
      <c r="J283" s="13">
        <f>IF(繳費報酬率資料!$A$1=1,VALUE(OP!$C$121),VLOOKUP(A283,MP,2,0))</f>
        <v>0.05</v>
      </c>
      <c r="K283" s="14">
        <f ca="1">IF(SUM($K$4:K282,IF(繳費報酬率資料!$A$1=1,$AU283+$AV283,$BB283+$BC283))&gt;OP!$L$58,0,IF(繳費報酬率資料!$A$1=1,$AU283+$AV283,$BB283+$BC283))</f>
        <v>0</v>
      </c>
      <c r="L283" s="2"/>
      <c r="M283" s="2"/>
      <c r="N283" s="2"/>
      <c r="O283" s="261">
        <f t="shared" ca="1" si="169"/>
        <v>0</v>
      </c>
      <c r="P283" s="261">
        <f t="shared" ca="1" si="187"/>
        <v>0</v>
      </c>
      <c r="Q283" s="3">
        <f ca="1">IF(A283&gt;MAX(OP!$R$17:$R$26),0,VLOOKUP(A283,fees,3,FALSE))</f>
        <v>0</v>
      </c>
      <c r="R283" s="200" t="str">
        <f t="shared" ca="1" si="170"/>
        <v/>
      </c>
      <c r="S283" s="9" t="str">
        <f ca="1">IF(COUNTIF(($T$4:T282),"F")&gt;=1,"",IF(OR(C284&lt;&gt;$C$3,E283=""),"",A283))</f>
        <v/>
      </c>
      <c r="T283" s="20" t="str">
        <f t="shared" ca="1" si="162"/>
        <v/>
      </c>
      <c r="U283" s="2">
        <f ca="1">IF(IF(OP!$C$83=1,$Z282,IF(OP!$C$83=2,$AA282,IF(OP!$C$83=3,$AB282,)))+$K283-$O283-$P283-$AS283&lt;OP!$C$142,0,$AS283)</f>
        <v>0</v>
      </c>
      <c r="V283" s="9"/>
      <c r="W283" s="19">
        <f ca="1">MAX(SUM($K$4:K283),0)</f>
        <v>2000000</v>
      </c>
      <c r="X283" s="19"/>
      <c r="Y283" s="19">
        <f t="shared" ca="1" si="188"/>
        <v>1920000</v>
      </c>
      <c r="Z283" s="2">
        <f ca="1">IF(MIN($Z$4:Z282)=0,0,MAX(0,($Z282+$K283-$O283-$P283)*IF(AND(F283="F",$D$3&lt;&gt;$G$3),((1+(-J283))^(H283/MIN(G283,365))),((1+(-J283))^(1/12)))-$U283))</f>
        <v>580121.1315949366</v>
      </c>
      <c r="AA283" s="2">
        <f ca="1">IF(MIN($AA$4:AA282)=0,0,MAX(0,($AA282+$K283-$O283-$P283)*IF(AND(F283="F",$D$3&lt;&gt;$G$3),((1+$AA$1)^(H283/MIN(G283,365))),((1+$AA$1)^(1/12)))-$U283))</f>
        <v>1920000</v>
      </c>
      <c r="AB283" s="2">
        <f ca="1">IF(MIN($AB$4:AB282)=0,0,MAX(0,($AB282+$K283-$O283-$P283)*IF(AND(F283="F",$D$3&lt;&gt;$G$3),((1+(J283))^(H283/MIN(G283,365))),((1+(J283))^(1/12)))-$U283))</f>
        <v>5994020.266339547</v>
      </c>
      <c r="AC283" s="5"/>
      <c r="AD283" s="5"/>
      <c r="AE283" s="5"/>
      <c r="AF283" s="282">
        <f t="shared" ca="1" si="171"/>
        <v>580121</v>
      </c>
      <c r="AG283" s="282">
        <f t="shared" ca="1" si="172"/>
        <v>1920000</v>
      </c>
      <c r="AH283" s="282">
        <f t="shared" ca="1" si="173"/>
        <v>5994020</v>
      </c>
      <c r="AI283" s="23" t="str">
        <f t="shared" ca="1" si="189"/>
        <v>24-5</v>
      </c>
      <c r="AJ283" s="282">
        <f ca="1">IF(E283&gt;111,,IF(AND(OP!$C$99=1,T283="F"),Z283,IF(AND(OP!$C$99=2,COUNTIF($T$4:T283,"F")=1),OP!$C$97+IF(F283="F",OP!$C$98,0),"")))</f>
        <v>54527</v>
      </c>
      <c r="AK283" s="282">
        <f ca="1">IF(E283&gt;111,,IF(AND(OP!$D$99=1,T283="F"),AA283,IF(AND(OP!$D$99=2,COUNTIF($T$4:T283,"F")=1),OP!$D$97+IF(F283="F",OP!$D$98,0),"")))</f>
        <v>74177</v>
      </c>
      <c r="AL283" s="282">
        <f ca="1">IF(E283&gt;111,,IF(AND(OP!$E$99=1,T283="F"),AB283,IF(AND(OP!$E$99=2,COUNTIF($T$4:T283,"F")=1),OP!$E$97+IF(F283="F",OP!$E$98,0),"")))</f>
        <v>99404</v>
      </c>
      <c r="AM283" s="1">
        <f t="shared" ca="1" si="163"/>
        <v>5</v>
      </c>
      <c r="AN283" s="1" t="str">
        <f ca="1">IF(OR(VLOOKUP($A283,MP,5,0)="季繳",VLOOKUP($A283,MP,5,0)="月繳"),1,"")</f>
        <v/>
      </c>
      <c r="AO283" s="1">
        <f t="shared" ca="1" si="174"/>
        <v>0</v>
      </c>
      <c r="AP283" s="1" t="str">
        <f ca="1">IF(AND(A283&lt;=OP!$C$120,COUNTIF(PAY,C283)=1),1,"")</f>
        <v/>
      </c>
      <c r="AR283" s="301">
        <f ca="1">IF(繳費報酬率資料!$A$1=1,$AY283+$AZ283,$BF283+$BG283)</f>
        <v>0</v>
      </c>
      <c r="AS283" s="1">
        <f ca="1">IF(C283&lt;&gt;IF($C$3=1,12,$C$3-1),0,IF(繳費報酬率資料!$A$1&lt;&gt;1,VLOOKUP($A283,MP,8,0),IF(AND($A283&gt;=OP!$C$79,$A283&lt;=OP!$C$80),OP!$C$78,)))</f>
        <v>0</v>
      </c>
      <c r="AT283" s="298">
        <f t="shared" ca="1" si="175"/>
        <v>0</v>
      </c>
      <c r="AU283" s="298">
        <f ca="1">IF(AND(A283&lt;=OP!$C$120,COUNTIF(PAY,C283)=1),OP!$C$123,0)</f>
        <v>0</v>
      </c>
      <c r="AV283" s="298">
        <f ca="1">IF(AND(A283&gt;=OP!$C$132,A283&lt;=OP!$C$133,$C$3=C283),OP!$C$135,0)</f>
        <v>0</v>
      </c>
      <c r="AW283" s="180">
        <f t="shared" ca="1" si="176"/>
        <v>0.05</v>
      </c>
      <c r="AX283" s="180">
        <f t="shared" ca="1" si="177"/>
        <v>0.05</v>
      </c>
      <c r="AY283" s="286">
        <f t="shared" ca="1" si="178"/>
        <v>0</v>
      </c>
      <c r="AZ283" s="286">
        <f t="shared" ca="1" si="179"/>
        <v>0</v>
      </c>
      <c r="BA283" s="286">
        <f t="shared" ca="1" si="180"/>
        <v>0</v>
      </c>
      <c r="BB283" s="286">
        <f t="shared" ca="1" si="181"/>
        <v>0</v>
      </c>
      <c r="BC283" s="286">
        <f t="shared" ca="1" si="182"/>
        <v>0</v>
      </c>
      <c r="BD283" s="180">
        <f t="shared" ca="1" si="183"/>
        <v>0.05</v>
      </c>
      <c r="BE283" s="180">
        <f t="shared" ca="1" si="184"/>
        <v>0.05</v>
      </c>
      <c r="BF283" s="286">
        <f t="shared" ca="1" si="185"/>
        <v>0</v>
      </c>
      <c r="BG283" s="286">
        <f t="shared" ca="1" si="186"/>
        <v>0</v>
      </c>
    </row>
    <row r="284" spans="1:59">
      <c r="A284" s="1">
        <f t="shared" ca="1" si="166"/>
        <v>24</v>
      </c>
      <c r="B284" s="1">
        <f t="shared" ca="1" si="159"/>
        <v>129</v>
      </c>
      <c r="C284" s="1">
        <f t="shared" ca="1" si="160"/>
        <v>10</v>
      </c>
      <c r="D284" s="1">
        <f ca="1">MIN($D$3,VLOOKUP(C284,OP!$S$30:$T$41,2))</f>
        <v>2</v>
      </c>
      <c r="E284" s="1">
        <f t="shared" ca="1" si="161"/>
        <v>78</v>
      </c>
      <c r="F284" s="11" t="str">
        <f t="shared" ca="1" si="167"/>
        <v/>
      </c>
      <c r="G284" s="8">
        <f t="shared" ca="1" si="191"/>
        <v>365</v>
      </c>
      <c r="H284" s="8">
        <f t="shared" ca="1" si="168"/>
        <v>31</v>
      </c>
      <c r="I284" s="8" t="str">
        <f t="shared" ca="1" si="165"/>
        <v>2410</v>
      </c>
      <c r="J284" s="13">
        <f>IF(繳費報酬率資料!$A$1=1,VALUE(OP!$C$121),VLOOKUP(A284,MP,2,0))</f>
        <v>0.05</v>
      </c>
      <c r="K284" s="14">
        <f ca="1">IF(SUM($K$4:K283,IF(繳費報酬率資料!$A$1=1,$AU284+$AV284,$BB284+$BC284))&gt;OP!$L$58,0,IF(繳費報酬率資料!$A$1=1,$AU284+$AV284,$BB284+$BC284))</f>
        <v>0</v>
      </c>
      <c r="L284" s="2"/>
      <c r="M284" s="2"/>
      <c r="N284" s="2"/>
      <c r="O284" s="261">
        <f t="shared" ca="1" si="169"/>
        <v>0</v>
      </c>
      <c r="P284" s="261">
        <f t="shared" ca="1" si="187"/>
        <v>0</v>
      </c>
      <c r="Q284" s="3">
        <f ca="1">IF(A284&gt;MAX(OP!$R$17:$R$26),0,VLOOKUP(A284,fees,3,FALSE))</f>
        <v>0</v>
      </c>
      <c r="R284" s="200" t="str">
        <f t="shared" ca="1" si="170"/>
        <v/>
      </c>
      <c r="S284" s="9" t="str">
        <f ca="1">IF(COUNTIF(($T$4:T283),"F")&gt;=1,"",IF(OR(C285&lt;&gt;$C$3,E284=""),"",A284))</f>
        <v/>
      </c>
      <c r="T284" s="20" t="str">
        <f t="shared" ca="1" si="162"/>
        <v/>
      </c>
      <c r="U284" s="2">
        <f ca="1">IF(IF(OP!$C$83=1,$Z283,IF(OP!$C$83=2,$AA283,IF(OP!$C$83=3,$AB283,)))+$K284-$O284-$P284-$AS284&lt;OP!$C$142,0,$AS284)</f>
        <v>0</v>
      </c>
      <c r="V284" s="9"/>
      <c r="W284" s="19">
        <f ca="1">MAX(SUM($K$4:K284),0)</f>
        <v>2000000</v>
      </c>
      <c r="X284" s="19"/>
      <c r="Y284" s="19">
        <f t="shared" ca="1" si="188"/>
        <v>1920000</v>
      </c>
      <c r="Z284" s="2">
        <f ca="1">IF(MIN($Z$4:Z283)=0,0,MAX(0,($Z283+$K284-$O284-$P284)*IF(AND(F284="F",$D$3&lt;&gt;$G$3),((1+(-J284))^(H284/MIN(G284,365))),((1+(-J284))^(1/12)))-$U284))</f>
        <v>577646.73003908503</v>
      </c>
      <c r="AA284" s="2">
        <f ca="1">IF(MIN($AA$4:AA283)=0,0,MAX(0,($AA283+$K284-$O284-$P284)*IF(AND(F284="F",$D$3&lt;&gt;$G$3),((1+$AA$1)^(H284/MIN(G284,365))),((1+$AA$1)^(1/12)))-$U284))</f>
        <v>1920000</v>
      </c>
      <c r="AB284" s="2">
        <f ca="1">IF(MIN($AB$4:AB283)=0,0,MAX(0,($AB283+$K284-$O284-$P284)*IF(AND(F284="F",$D$3&lt;&gt;$G$3),((1+(J284))^(H284/MIN(G284,365))),((1+(J284))^(1/12)))-$U284))</f>
        <v>6018440.6468663113</v>
      </c>
      <c r="AC284" s="5"/>
      <c r="AD284" s="5"/>
      <c r="AE284" s="5"/>
      <c r="AF284" s="282">
        <f t="shared" ca="1" si="171"/>
        <v>577647</v>
      </c>
      <c r="AG284" s="282">
        <f t="shared" ca="1" si="172"/>
        <v>1920000</v>
      </c>
      <c r="AH284" s="282">
        <f t="shared" ca="1" si="173"/>
        <v>6018441</v>
      </c>
      <c r="AI284" s="23" t="str">
        <f t="shared" ca="1" si="189"/>
        <v>24-6</v>
      </c>
      <c r="AJ284" s="282">
        <f ca="1">IF(E284&gt;111,,IF(AND(OP!$C$99=1,T284="F"),Z284,IF(AND(OP!$C$99=2,COUNTIF($T$4:T284,"F")=1),OP!$C$97+IF(F284="F",OP!$C$98,0),"")))</f>
        <v>54527</v>
      </c>
      <c r="AK284" s="282">
        <f ca="1">IF(E284&gt;111,,IF(AND(OP!$D$99=1,T284="F"),AA284,IF(AND(OP!$D$99=2,COUNTIF($T$4:T284,"F")=1),OP!$D$97+IF(F284="F",OP!$D$98,0),"")))</f>
        <v>74177</v>
      </c>
      <c r="AL284" s="282">
        <f ca="1">IF(E284&gt;111,,IF(AND(OP!$E$99=1,T284="F"),AB284,IF(AND(OP!$E$99=2,COUNTIF($T$4:T284,"F")=1),OP!$E$97+IF(F284="F",OP!$E$98,0),"")))</f>
        <v>99404</v>
      </c>
      <c r="AM284" s="1">
        <f t="shared" ca="1" si="163"/>
        <v>6</v>
      </c>
      <c r="AN284" s="1" t="str">
        <f ca="1">IF(OR(VLOOKUP($A284,MP,5,0)="月繳"),1,"")</f>
        <v/>
      </c>
      <c r="AO284" s="1">
        <f t="shared" ca="1" si="174"/>
        <v>0</v>
      </c>
      <c r="AP284" s="1" t="str">
        <f ca="1">IF(AND(A284&lt;=OP!$C$120,COUNTIF(PAY,C284)=1),1,"")</f>
        <v/>
      </c>
      <c r="AR284" s="301">
        <f ca="1">IF(繳費報酬率資料!$A$1=1,$AY284+$AZ284,$BF284+$BG284)</f>
        <v>0</v>
      </c>
      <c r="AS284" s="1">
        <f ca="1">IF(C284&lt;&gt;IF($C$3=1,12,$C$3-1),0,IF(繳費報酬率資料!$A$1&lt;&gt;1,VLOOKUP($A284,MP,8,0),IF(AND($A284&gt;=OP!$C$79,$A284&lt;=OP!$C$80),OP!$C$78,)))</f>
        <v>0</v>
      </c>
      <c r="AT284" s="298">
        <f t="shared" ca="1" si="175"/>
        <v>0</v>
      </c>
      <c r="AU284" s="298">
        <f ca="1">IF(AND(A284&lt;=OP!$C$120,COUNTIF(PAY,C284)=1),OP!$C$123,0)</f>
        <v>0</v>
      </c>
      <c r="AV284" s="298">
        <f ca="1">IF(AND(A284&gt;=OP!$C$132,A284&lt;=OP!$C$133,$C$3=C284),OP!$C$135,0)</f>
        <v>0</v>
      </c>
      <c r="AW284" s="180">
        <f t="shared" ca="1" si="176"/>
        <v>0.05</v>
      </c>
      <c r="AX284" s="180">
        <f t="shared" ca="1" si="177"/>
        <v>0.05</v>
      </c>
      <c r="AY284" s="286">
        <f t="shared" ca="1" si="178"/>
        <v>0</v>
      </c>
      <c r="AZ284" s="286">
        <f t="shared" ca="1" si="179"/>
        <v>0</v>
      </c>
      <c r="BA284" s="286">
        <f t="shared" ca="1" si="180"/>
        <v>0</v>
      </c>
      <c r="BB284" s="286">
        <f t="shared" ca="1" si="181"/>
        <v>0</v>
      </c>
      <c r="BC284" s="286">
        <f t="shared" ca="1" si="182"/>
        <v>0</v>
      </c>
      <c r="BD284" s="180">
        <f t="shared" ca="1" si="183"/>
        <v>0.05</v>
      </c>
      <c r="BE284" s="180">
        <f t="shared" ca="1" si="184"/>
        <v>0.05</v>
      </c>
      <c r="BF284" s="286">
        <f t="shared" ca="1" si="185"/>
        <v>0</v>
      </c>
      <c r="BG284" s="286">
        <f t="shared" ca="1" si="186"/>
        <v>0</v>
      </c>
    </row>
    <row r="285" spans="1:59">
      <c r="A285" s="1">
        <f t="shared" ca="1" si="166"/>
        <v>24</v>
      </c>
      <c r="B285" s="1">
        <f t="shared" ca="1" si="159"/>
        <v>129</v>
      </c>
      <c r="C285" s="1">
        <f t="shared" ca="1" si="160"/>
        <v>11</v>
      </c>
      <c r="D285" s="1">
        <f ca="1">MIN($D$3,VLOOKUP(C285,OP!$S$30:$T$41,2))</f>
        <v>2</v>
      </c>
      <c r="E285" s="1">
        <f t="shared" ca="1" si="161"/>
        <v>78</v>
      </c>
      <c r="F285" s="11" t="str">
        <f t="shared" ca="1" si="167"/>
        <v/>
      </c>
      <c r="G285" s="8">
        <f t="shared" ca="1" si="191"/>
        <v>365</v>
      </c>
      <c r="H285" s="8">
        <f t="shared" ca="1" si="168"/>
        <v>30</v>
      </c>
      <c r="I285" s="8" t="str">
        <f t="shared" ca="1" si="165"/>
        <v>2411</v>
      </c>
      <c r="J285" s="13">
        <f>IF(繳費報酬率資料!$A$1=1,VALUE(OP!$C$121),VLOOKUP(A285,MP,2,0))</f>
        <v>0.05</v>
      </c>
      <c r="K285" s="14">
        <f ca="1">IF(SUM($K$4:K284,IF(繳費報酬率資料!$A$1=1,$AU285+$AV285,$BB285+$BC285))&gt;OP!$L$58,0,IF(繳費報酬率資料!$A$1=1,$AU285+$AV285,$BB285+$BC285))</f>
        <v>0</v>
      </c>
      <c r="L285" s="2"/>
      <c r="M285" s="2"/>
      <c r="N285" s="2"/>
      <c r="O285" s="261">
        <f t="shared" ca="1" si="169"/>
        <v>0</v>
      </c>
      <c r="P285" s="261">
        <f t="shared" ca="1" si="187"/>
        <v>0</v>
      </c>
      <c r="Q285" s="3">
        <f ca="1">IF(A285&gt;MAX(OP!$R$17:$R$26),0,VLOOKUP(A285,fees,3,FALSE))</f>
        <v>0</v>
      </c>
      <c r="R285" s="200" t="str">
        <f t="shared" ca="1" si="170"/>
        <v/>
      </c>
      <c r="S285" s="9" t="str">
        <f ca="1">IF(COUNTIF(($T$4:T284),"F")&gt;=1,"",IF(OR(C286&lt;&gt;$C$3,E285=""),"",A285))</f>
        <v/>
      </c>
      <c r="T285" s="20" t="str">
        <f t="shared" ca="1" si="162"/>
        <v/>
      </c>
      <c r="U285" s="2">
        <f ca="1">IF(IF(OP!$C$83=1,$Z284,IF(OP!$C$83=2,$AA284,IF(OP!$C$83=3,$AB284,)))+$K285-$O285-$P285-$AS285&lt;OP!$C$142,0,$AS285)</f>
        <v>0</v>
      </c>
      <c r="V285" s="9"/>
      <c r="W285" s="19">
        <f ca="1">MAX(SUM($K$4:K285),0)</f>
        <v>2000000</v>
      </c>
      <c r="X285" s="19"/>
      <c r="Y285" s="19">
        <f t="shared" ca="1" si="188"/>
        <v>1920000</v>
      </c>
      <c r="Z285" s="2">
        <f ca="1">IF(MIN($Z$4:Z284)=0,0,MAX(0,($Z284+$K285-$O285-$P285)*IF(AND(F285="F",$D$3&lt;&gt;$G$3),((1+(-J285))^(H285/MIN(G285,365))),((1+(-J285))^(1/12)))-$U285))</f>
        <v>575182.88259465282</v>
      </c>
      <c r="AA285" s="2">
        <f ca="1">IF(MIN($AA$4:AA284)=0,0,MAX(0,($AA284+$K285-$O285-$P285)*IF(AND(F285="F",$D$3&lt;&gt;$G$3),((1+$AA$1)^(H285/MIN(G285,365))),((1+$AA$1)^(1/12)))-$U285))</f>
        <v>1920000</v>
      </c>
      <c r="AB285" s="2">
        <f ca="1">IF(MIN($AB$4:AB284)=0,0,MAX(0,($AB284+$K285-$O285-$P285)*IF(AND(F285="F",$D$3&lt;&gt;$G$3),((1+(J285))^(H285/MIN(G285,365))),((1+(J285))^(1/12)))-$U285))</f>
        <v>6042960.5190461855</v>
      </c>
      <c r="AC285" s="5"/>
      <c r="AD285" s="5"/>
      <c r="AE285" s="5"/>
      <c r="AF285" s="282">
        <f t="shared" ca="1" si="171"/>
        <v>575183</v>
      </c>
      <c r="AG285" s="282">
        <f t="shared" ca="1" si="172"/>
        <v>1920000</v>
      </c>
      <c r="AH285" s="282">
        <f t="shared" ca="1" si="173"/>
        <v>6042961</v>
      </c>
      <c r="AI285" s="23" t="str">
        <f t="shared" ca="1" si="189"/>
        <v>24-7</v>
      </c>
      <c r="AJ285" s="282">
        <f ca="1">IF(E285&gt;111,,IF(AND(OP!$C$99=1,T285="F"),Z285,IF(AND(OP!$C$99=2,COUNTIF($T$4:T285,"F")=1),OP!$C$97+IF(F285="F",OP!$C$98,0),"")))</f>
        <v>54527</v>
      </c>
      <c r="AK285" s="282">
        <f ca="1">IF(E285&gt;111,,IF(AND(OP!$D$99=1,T285="F"),AA285,IF(AND(OP!$D$99=2,COUNTIF($T$4:T285,"F")=1),OP!$D$97+IF(F285="F",OP!$D$98,0),"")))</f>
        <v>74177</v>
      </c>
      <c r="AL285" s="282">
        <f ca="1">IF(E285&gt;111,,IF(AND(OP!$E$99=1,T285="F"),AB285,IF(AND(OP!$E$99=2,COUNTIF($T$4:T285,"F")=1),OP!$E$97+IF(F285="F",OP!$E$98,0),"")))</f>
        <v>99404</v>
      </c>
      <c r="AM285" s="1">
        <f t="shared" ca="1" si="163"/>
        <v>7</v>
      </c>
      <c r="AN285" s="1" t="str">
        <f ca="1">IF(OR(VLOOKUP($A285,MP,5,0)="月繳"),1,"")</f>
        <v/>
      </c>
      <c r="AO285" s="1">
        <f t="shared" ca="1" si="174"/>
        <v>0</v>
      </c>
      <c r="AP285" s="1" t="str">
        <f ca="1">IF(AND(A285&lt;=OP!$C$120,COUNTIF(PAY,C285)=1),1,"")</f>
        <v/>
      </c>
      <c r="AR285" s="301">
        <f ca="1">IF(繳費報酬率資料!$A$1=1,$AY285+$AZ285,$BF285+$BG285)</f>
        <v>0</v>
      </c>
      <c r="AS285" s="1">
        <f ca="1">IF(C285&lt;&gt;IF($C$3=1,12,$C$3-1),0,IF(繳費報酬率資料!$A$1&lt;&gt;1,VLOOKUP($A285,MP,8,0),IF(AND($A285&gt;=OP!$C$79,$A285&lt;=OP!$C$80),OP!$C$78,)))</f>
        <v>0</v>
      </c>
      <c r="AT285" s="298">
        <f t="shared" ca="1" si="175"/>
        <v>0</v>
      </c>
      <c r="AU285" s="298">
        <f ca="1">IF(AND(A285&lt;=OP!$C$120,COUNTIF(PAY,C285)=1),OP!$C$123,0)</f>
        <v>0</v>
      </c>
      <c r="AV285" s="298">
        <f ca="1">IF(AND(A285&gt;=OP!$C$132,A285&lt;=OP!$C$133,$C$3=C285),OP!$C$135,0)</f>
        <v>0</v>
      </c>
      <c r="AW285" s="180">
        <f t="shared" ca="1" si="176"/>
        <v>0.05</v>
      </c>
      <c r="AX285" s="180">
        <f t="shared" ca="1" si="177"/>
        <v>0.05</v>
      </c>
      <c r="AY285" s="286">
        <f t="shared" ca="1" si="178"/>
        <v>0</v>
      </c>
      <c r="AZ285" s="286">
        <f t="shared" ca="1" si="179"/>
        <v>0</v>
      </c>
      <c r="BA285" s="286">
        <f t="shared" ca="1" si="180"/>
        <v>0</v>
      </c>
      <c r="BB285" s="286">
        <f t="shared" ca="1" si="181"/>
        <v>0</v>
      </c>
      <c r="BC285" s="286">
        <f t="shared" ca="1" si="182"/>
        <v>0</v>
      </c>
      <c r="BD285" s="180">
        <f t="shared" ca="1" si="183"/>
        <v>0.05</v>
      </c>
      <c r="BE285" s="180">
        <f t="shared" ca="1" si="184"/>
        <v>0.05</v>
      </c>
      <c r="BF285" s="286">
        <f t="shared" ca="1" si="185"/>
        <v>0</v>
      </c>
      <c r="BG285" s="286">
        <f t="shared" ca="1" si="186"/>
        <v>0</v>
      </c>
    </row>
    <row r="286" spans="1:59">
      <c r="A286" s="1">
        <f t="shared" ca="1" si="166"/>
        <v>24</v>
      </c>
      <c r="B286" s="1">
        <f t="shared" ca="1" si="159"/>
        <v>129</v>
      </c>
      <c r="C286" s="1">
        <f t="shared" ca="1" si="160"/>
        <v>12</v>
      </c>
      <c r="D286" s="1">
        <f ca="1">MIN($D$3,VLOOKUP(C286,OP!$S$30:$T$41,2))</f>
        <v>2</v>
      </c>
      <c r="E286" s="1">
        <f t="shared" ca="1" si="161"/>
        <v>78</v>
      </c>
      <c r="F286" s="11" t="str">
        <f t="shared" ca="1" si="167"/>
        <v/>
      </c>
      <c r="G286" s="8">
        <f t="shared" ca="1" si="191"/>
        <v>365</v>
      </c>
      <c r="H286" s="8">
        <f t="shared" ca="1" si="168"/>
        <v>31</v>
      </c>
      <c r="I286" s="8" t="str">
        <f t="shared" ca="1" si="165"/>
        <v>2412</v>
      </c>
      <c r="J286" s="13">
        <f>IF(繳費報酬率資料!$A$1=1,VALUE(OP!$C$121),VLOOKUP(A286,MP,2,0))</f>
        <v>0.05</v>
      </c>
      <c r="K286" s="14">
        <f ca="1">IF(SUM($K$4:K285,IF(繳費報酬率資料!$A$1=1,$AU286+$AV286,$BB286+$BC286))&gt;OP!$L$58,0,IF(繳費報酬率資料!$A$1=1,$AU286+$AV286,$BB286+$BC286))</f>
        <v>0</v>
      </c>
      <c r="L286" s="2"/>
      <c r="M286" s="2"/>
      <c r="N286" s="2"/>
      <c r="O286" s="261">
        <f t="shared" ca="1" si="169"/>
        <v>0</v>
      </c>
      <c r="P286" s="261">
        <f t="shared" ca="1" si="187"/>
        <v>0</v>
      </c>
      <c r="Q286" s="3">
        <f ca="1">IF(A286&gt;MAX(OP!$R$17:$R$26),0,VLOOKUP(A286,fees,3,FALSE))</f>
        <v>0</v>
      </c>
      <c r="R286" s="200" t="str">
        <f t="shared" ca="1" si="170"/>
        <v/>
      </c>
      <c r="S286" s="9" t="str">
        <f ca="1">IF(COUNTIF(($T$4:T285),"F")&gt;=1,"",IF(OR(C287&lt;&gt;$C$3,E286=""),"",A286))</f>
        <v/>
      </c>
      <c r="T286" s="20" t="str">
        <f t="shared" ca="1" si="162"/>
        <v/>
      </c>
      <c r="U286" s="2">
        <f ca="1">IF(IF(OP!$C$83=1,$Z285,IF(OP!$C$83=2,$AA285,IF(OP!$C$83=3,$AB285,)))+$K286-$O286-$P286-$AS286&lt;OP!$C$142,0,$AS286)</f>
        <v>0</v>
      </c>
      <c r="V286" s="9"/>
      <c r="W286" s="19">
        <f ca="1">MAX(SUM($K$4:K286),0)</f>
        <v>2000000</v>
      </c>
      <c r="X286" s="19"/>
      <c r="Y286" s="19">
        <f t="shared" ca="1" si="188"/>
        <v>1920000</v>
      </c>
      <c r="Z286" s="2">
        <f ca="1">IF(MIN($Z$4:Z285)=0,0,MAX(0,($Z285+$K286-$O286-$P286)*IF(AND(F286="F",$D$3&lt;&gt;$G$3),((1+(-J286))^(H286/MIN(G286,365))),((1+(-J286))^(1/12)))-$U286))</f>
        <v>572729.54424499033</v>
      </c>
      <c r="AA286" s="2">
        <f ca="1">IF(MIN($AA$4:AA285)=0,0,MAX(0,($AA285+$K286-$O286-$P286)*IF(AND(F286="F",$D$3&lt;&gt;$G$3),((1+$AA$1)^(H286/MIN(G286,365))),((1+$AA$1)^(1/12)))-$U286))</f>
        <v>1920000</v>
      </c>
      <c r="AB286" s="2">
        <f ca="1">IF(MIN($AB$4:AB285)=0,0,MAX(0,($AB285+$K286-$O286-$P286)*IF(AND(F286="F",$D$3&lt;&gt;$G$3),((1+(J286))^(H286/MIN(G286,365))),((1+(J286))^(1/12)))-$U286))</f>
        <v>6067580.2882204792</v>
      </c>
      <c r="AC286" s="5"/>
      <c r="AD286" s="5"/>
      <c r="AE286" s="5"/>
      <c r="AF286" s="282">
        <f t="shared" ca="1" si="171"/>
        <v>572730</v>
      </c>
      <c r="AG286" s="282">
        <f t="shared" ca="1" si="172"/>
        <v>1920000</v>
      </c>
      <c r="AH286" s="282">
        <f t="shared" ca="1" si="173"/>
        <v>6067580</v>
      </c>
      <c r="AI286" s="23" t="str">
        <f t="shared" ca="1" si="189"/>
        <v>24-8</v>
      </c>
      <c r="AJ286" s="282">
        <f ca="1">IF(E286&gt;111,,IF(AND(OP!$C$99=1,T286="F"),Z286,IF(AND(OP!$C$99=2,COUNTIF($T$4:T286,"F")=1),OP!$C$97+IF(F286="F",OP!$C$98,0),"")))</f>
        <v>54527</v>
      </c>
      <c r="AK286" s="282">
        <f ca="1">IF(E286&gt;111,,IF(AND(OP!$D$99=1,T286="F"),AA286,IF(AND(OP!$D$99=2,COUNTIF($T$4:T286,"F")=1),OP!$D$97+IF(F286="F",OP!$D$98,0),"")))</f>
        <v>74177</v>
      </c>
      <c r="AL286" s="282">
        <f ca="1">IF(E286&gt;111,,IF(AND(OP!$E$99=1,T286="F"),AB286,IF(AND(OP!$E$99=2,COUNTIF($T$4:T286,"F")=1),OP!$E$97+IF(F286="F",OP!$E$98,0),"")))</f>
        <v>99404</v>
      </c>
      <c r="AM286" s="1">
        <f t="shared" ca="1" si="163"/>
        <v>8</v>
      </c>
      <c r="AN286" s="1" t="str">
        <f ca="1">IF(OR(VLOOKUP($A286,MP,5,0)="半年繳",VLOOKUP($A286,MP,5,0)="季繳",VLOOKUP($A286,MP,5,0)="月繳"),1,"")</f>
        <v/>
      </c>
      <c r="AO286" s="1">
        <f t="shared" ca="1" si="174"/>
        <v>0</v>
      </c>
      <c r="AP286" s="1" t="str">
        <f ca="1">IF(AND(A286&lt;=OP!$C$120,COUNTIF(PAY,C286)=1),1,"")</f>
        <v/>
      </c>
      <c r="AR286" s="301">
        <f ca="1">IF(繳費報酬率資料!$A$1=1,$AY286+$AZ286,$BF286+$BG286)</f>
        <v>0</v>
      </c>
      <c r="AS286" s="1">
        <f ca="1">IF(C286&lt;&gt;IF($C$3=1,12,$C$3-1),0,IF(繳費報酬率資料!$A$1&lt;&gt;1,VLOOKUP($A286,MP,8,0),IF(AND($A286&gt;=OP!$C$79,$A286&lt;=OP!$C$80),OP!$C$78,)))</f>
        <v>0</v>
      </c>
      <c r="AT286" s="298">
        <f t="shared" ca="1" si="175"/>
        <v>0</v>
      </c>
      <c r="AU286" s="298">
        <f ca="1">IF(AND(A286&lt;=OP!$C$120,COUNTIF(PAY,C286)=1),OP!$C$123,0)</f>
        <v>0</v>
      </c>
      <c r="AV286" s="298">
        <f ca="1">IF(AND(A286&gt;=OP!$C$132,A286&lt;=OP!$C$133,$C$3=C286),OP!$C$135,0)</f>
        <v>0</v>
      </c>
      <c r="AW286" s="180">
        <f t="shared" ca="1" si="176"/>
        <v>0.05</v>
      </c>
      <c r="AX286" s="180">
        <f t="shared" ca="1" si="177"/>
        <v>0.05</v>
      </c>
      <c r="AY286" s="286">
        <f t="shared" ca="1" si="178"/>
        <v>0</v>
      </c>
      <c r="AZ286" s="286">
        <f t="shared" ca="1" si="179"/>
        <v>0</v>
      </c>
      <c r="BA286" s="286">
        <f t="shared" ca="1" si="180"/>
        <v>0</v>
      </c>
      <c r="BB286" s="286">
        <f t="shared" ca="1" si="181"/>
        <v>0</v>
      </c>
      <c r="BC286" s="286">
        <f t="shared" ca="1" si="182"/>
        <v>0</v>
      </c>
      <c r="BD286" s="180">
        <f t="shared" ca="1" si="183"/>
        <v>0.05</v>
      </c>
      <c r="BE286" s="180">
        <f t="shared" ca="1" si="184"/>
        <v>0.05</v>
      </c>
      <c r="BF286" s="286">
        <f t="shared" ca="1" si="185"/>
        <v>0</v>
      </c>
      <c r="BG286" s="286">
        <f t="shared" ca="1" si="186"/>
        <v>0</v>
      </c>
    </row>
    <row r="287" spans="1:59">
      <c r="A287" s="1">
        <f t="shared" ca="1" si="166"/>
        <v>24</v>
      </c>
      <c r="B287" s="1">
        <f t="shared" ca="1" si="159"/>
        <v>130</v>
      </c>
      <c r="C287" s="1">
        <f t="shared" ca="1" si="160"/>
        <v>1</v>
      </c>
      <c r="D287" s="1">
        <f ca="1">MIN($D$3,VLOOKUP(C287,OP!$S$30:$T$41,2))</f>
        <v>2</v>
      </c>
      <c r="E287" s="1">
        <f t="shared" ca="1" si="161"/>
        <v>78</v>
      </c>
      <c r="F287" s="11" t="str">
        <f t="shared" ca="1" si="167"/>
        <v/>
      </c>
      <c r="G287" s="8">
        <f t="shared" ca="1" si="191"/>
        <v>365</v>
      </c>
      <c r="H287" s="8">
        <f t="shared" ca="1" si="168"/>
        <v>31</v>
      </c>
      <c r="I287" s="8" t="str">
        <f t="shared" ca="1" si="165"/>
        <v>241</v>
      </c>
      <c r="J287" s="13">
        <f>IF(繳費報酬率資料!$A$1=1,VALUE(OP!$C$121),VLOOKUP(A287,MP,2,0))</f>
        <v>0.05</v>
      </c>
      <c r="K287" s="14">
        <f ca="1">IF(SUM($K$4:K286,IF(繳費報酬率資料!$A$1=1,$AU287+$AV287,$BB287+$BC287))&gt;OP!$L$58,0,IF(繳費報酬率資料!$A$1=1,$AU287+$AV287,$BB287+$BC287))</f>
        <v>0</v>
      </c>
      <c r="L287" s="2"/>
      <c r="M287" s="2"/>
      <c r="N287" s="2"/>
      <c r="O287" s="261">
        <f t="shared" ca="1" si="169"/>
        <v>0</v>
      </c>
      <c r="P287" s="261">
        <f t="shared" ca="1" si="187"/>
        <v>0</v>
      </c>
      <c r="Q287" s="3">
        <f ca="1">IF(A287&gt;MAX(OP!$R$17:$R$26),0,VLOOKUP(A287,fees,3,FALSE))</f>
        <v>0</v>
      </c>
      <c r="R287" s="200" t="str">
        <f t="shared" ca="1" si="170"/>
        <v/>
      </c>
      <c r="S287" s="9" t="str">
        <f ca="1">IF(COUNTIF(($T$4:T286),"F")&gt;=1,"",IF(OR(C288&lt;&gt;$C$3,E287=""),"",A287))</f>
        <v/>
      </c>
      <c r="T287" s="20" t="str">
        <f t="shared" ca="1" si="162"/>
        <v/>
      </c>
      <c r="U287" s="2">
        <f ca="1">IF(IF(OP!$C$83=1,$Z286,IF(OP!$C$83=2,$AA286,IF(OP!$C$83=3,$AB286,)))+$K287-$O287-$P287-$AS287&lt;OP!$C$142,0,$AS287)</f>
        <v>0</v>
      </c>
      <c r="V287" s="9"/>
      <c r="W287" s="19">
        <f ca="1">MAX(SUM($K$4:K287),0)</f>
        <v>2000000</v>
      </c>
      <c r="X287" s="19"/>
      <c r="Y287" s="19">
        <f t="shared" ca="1" si="188"/>
        <v>1920000</v>
      </c>
      <c r="Z287" s="2">
        <f ca="1">IF(MIN($Z$4:Z286)=0,0,MAX(0,($Z286+$K287-$O287-$P287)*IF(AND(F287="F",$D$3&lt;&gt;$G$3),((1+(-J287))^(H287/MIN(G287,365))),((1+(-J287))^(1/12)))-$U287))</f>
        <v>570286.67016545846</v>
      </c>
      <c r="AA287" s="2">
        <f ca="1">IF(MIN($AA$4:AA286)=0,0,MAX(0,($AA286+$K287-$O287-$P287)*IF(AND(F287="F",$D$3&lt;&gt;$G$3),((1+$AA$1)^(H287/MIN(G287,365))),((1+$AA$1)^(1/12)))-$U287))</f>
        <v>1920000</v>
      </c>
      <c r="AB287" s="2">
        <f ca="1">IF(MIN($AB$4:AB286)=0,0,MAX(0,($AB286+$K287-$O287-$P287)*IF(AND(F287="F",$D$3&lt;&gt;$G$3),((1+(J287))^(H287/MIN(G287,365))),((1+(J287))^(1/12)))-$U287))</f>
        <v>6092300.3613819145</v>
      </c>
      <c r="AC287" s="5"/>
      <c r="AD287" s="5"/>
      <c r="AE287" s="5"/>
      <c r="AF287" s="282">
        <f t="shared" ca="1" si="171"/>
        <v>570287</v>
      </c>
      <c r="AG287" s="282">
        <f t="shared" ca="1" si="172"/>
        <v>1920000</v>
      </c>
      <c r="AH287" s="282">
        <f t="shared" ca="1" si="173"/>
        <v>6092300</v>
      </c>
      <c r="AI287" s="23" t="str">
        <f t="shared" ca="1" si="189"/>
        <v>24-9</v>
      </c>
      <c r="AJ287" s="282">
        <f ca="1">IF(E287&gt;111,,IF(AND(OP!$C$99=1,T287="F"),Z287,IF(AND(OP!$C$99=2,COUNTIF($T$4:T287,"F")=1),OP!$C$97+IF(F287="F",OP!$C$98,0),"")))</f>
        <v>54527</v>
      </c>
      <c r="AK287" s="282">
        <f ca="1">IF(E287&gt;111,,IF(AND(OP!$D$99=1,T287="F"),AA287,IF(AND(OP!$D$99=2,COUNTIF($T$4:T287,"F")=1),OP!$D$97+IF(F287="F",OP!$D$98,0),"")))</f>
        <v>74177</v>
      </c>
      <c r="AL287" s="282">
        <f ca="1">IF(E287&gt;111,,IF(AND(OP!$E$99=1,T287="F"),AB287,IF(AND(OP!$E$99=2,COUNTIF($T$4:T287,"F")=1),OP!$E$97+IF(F287="F",OP!$E$98,0),"")))</f>
        <v>99404</v>
      </c>
      <c r="AM287" s="1">
        <f t="shared" ca="1" si="163"/>
        <v>9</v>
      </c>
      <c r="AN287" s="1" t="str">
        <f ca="1">IF(OR(VLOOKUP($A287,MP,5,0)="月繳"),1,"")</f>
        <v/>
      </c>
      <c r="AO287" s="1">
        <f t="shared" ca="1" si="174"/>
        <v>0</v>
      </c>
      <c r="AP287" s="1" t="str">
        <f ca="1">IF(AND(A287&lt;=OP!$C$120,COUNTIF(PAY,C287)=1),1,"")</f>
        <v/>
      </c>
      <c r="AR287" s="301">
        <f ca="1">IF(繳費報酬率資料!$A$1=1,$AY287+$AZ287,$BF287+$BG287)</f>
        <v>0</v>
      </c>
      <c r="AS287" s="1">
        <f ca="1">IF(C287&lt;&gt;IF($C$3=1,12,$C$3-1),0,IF(繳費報酬率資料!$A$1&lt;&gt;1,VLOOKUP($A287,MP,8,0),IF(AND($A287&gt;=OP!$C$79,$A287&lt;=OP!$C$80),OP!$C$78,)))</f>
        <v>0</v>
      </c>
      <c r="AT287" s="298">
        <f t="shared" ca="1" si="175"/>
        <v>0</v>
      </c>
      <c r="AU287" s="298">
        <f ca="1">IF(AND(A287&lt;=OP!$C$120,COUNTIF(PAY,C287)=1),OP!$C$123,0)</f>
        <v>0</v>
      </c>
      <c r="AV287" s="298">
        <f ca="1">IF(AND(A287&gt;=OP!$C$132,A287&lt;=OP!$C$133,$C$3=C287),OP!$C$135,0)</f>
        <v>0</v>
      </c>
      <c r="AW287" s="180">
        <f t="shared" ca="1" si="176"/>
        <v>0.05</v>
      </c>
      <c r="AX287" s="180">
        <f t="shared" ca="1" si="177"/>
        <v>0.05</v>
      </c>
      <c r="AY287" s="286">
        <f t="shared" ca="1" si="178"/>
        <v>0</v>
      </c>
      <c r="AZ287" s="286">
        <f t="shared" ca="1" si="179"/>
        <v>0</v>
      </c>
      <c r="BA287" s="286">
        <f t="shared" ca="1" si="180"/>
        <v>0</v>
      </c>
      <c r="BB287" s="286">
        <f t="shared" ca="1" si="181"/>
        <v>0</v>
      </c>
      <c r="BC287" s="286">
        <f t="shared" ca="1" si="182"/>
        <v>0</v>
      </c>
      <c r="BD287" s="180">
        <f t="shared" ca="1" si="183"/>
        <v>0.05</v>
      </c>
      <c r="BE287" s="180">
        <f t="shared" ca="1" si="184"/>
        <v>0.05</v>
      </c>
      <c r="BF287" s="286">
        <f t="shared" ca="1" si="185"/>
        <v>0</v>
      </c>
      <c r="BG287" s="286">
        <f t="shared" ca="1" si="186"/>
        <v>0</v>
      </c>
    </row>
    <row r="288" spans="1:59">
      <c r="A288" s="1">
        <f t="shared" ca="1" si="166"/>
        <v>24</v>
      </c>
      <c r="B288" s="1">
        <f t="shared" ca="1" si="159"/>
        <v>130</v>
      </c>
      <c r="C288" s="1">
        <f t="shared" ca="1" si="160"/>
        <v>2</v>
      </c>
      <c r="D288" s="1">
        <f ca="1">MIN($D$3,VLOOKUP(C288,OP!$S$30:$T$41,2))</f>
        <v>2</v>
      </c>
      <c r="E288" s="1">
        <f t="shared" ca="1" si="161"/>
        <v>78</v>
      </c>
      <c r="F288" s="11" t="str">
        <f t="shared" ca="1" si="167"/>
        <v/>
      </c>
      <c r="G288" s="8">
        <f t="shared" ca="1" si="191"/>
        <v>365</v>
      </c>
      <c r="H288" s="8">
        <f t="shared" ca="1" si="168"/>
        <v>28</v>
      </c>
      <c r="I288" s="8" t="str">
        <f t="shared" ca="1" si="165"/>
        <v>242</v>
      </c>
      <c r="J288" s="13">
        <f>IF(繳費報酬率資料!$A$1=1,VALUE(OP!$C$121),VLOOKUP(A288,MP,2,0))</f>
        <v>0.05</v>
      </c>
      <c r="K288" s="14">
        <f ca="1">IF(SUM($K$4:K287,IF(繳費報酬率資料!$A$1=1,$AU288+$AV288,$BB288+$BC288))&gt;OP!$L$58,0,IF(繳費報酬率資料!$A$1=1,$AU288+$AV288,$BB288+$BC288))</f>
        <v>0</v>
      </c>
      <c r="L288" s="2"/>
      <c r="M288" s="2"/>
      <c r="N288" s="2"/>
      <c r="O288" s="261">
        <f t="shared" ca="1" si="169"/>
        <v>0</v>
      </c>
      <c r="P288" s="261">
        <f t="shared" ca="1" si="187"/>
        <v>0</v>
      </c>
      <c r="Q288" s="3">
        <f ca="1">IF(A288&gt;MAX(OP!$R$17:$R$26),0,VLOOKUP(A288,fees,3,FALSE))</f>
        <v>0</v>
      </c>
      <c r="R288" s="200" t="str">
        <f t="shared" ca="1" si="170"/>
        <v/>
      </c>
      <c r="S288" s="9" t="str">
        <f ca="1">IF(COUNTIF(($T$4:T287),"F")&gt;=1,"",IF(OR(C289&lt;&gt;$C$3,E288=""),"",A288))</f>
        <v/>
      </c>
      <c r="T288" s="20" t="str">
        <f t="shared" ca="1" si="162"/>
        <v/>
      </c>
      <c r="U288" s="2">
        <f ca="1">IF(IF(OP!$C$83=1,$Z287,IF(OP!$C$83=2,$AA287,IF(OP!$C$83=3,$AB287,)))+$K288-$O288-$P288-$AS288&lt;OP!$C$142,0,$AS288)</f>
        <v>0</v>
      </c>
      <c r="V288" s="9"/>
      <c r="W288" s="19">
        <f ca="1">MAX(SUM($K$4:K288),0)</f>
        <v>2000000</v>
      </c>
      <c r="X288" s="19"/>
      <c r="Y288" s="19">
        <f t="shared" ca="1" si="188"/>
        <v>1920000</v>
      </c>
      <c r="Z288" s="2">
        <f ca="1">IF(MIN($Z$4:Z287)=0,0,MAX(0,($Z287+$K288-$O288-$P288)*IF(AND(F288="F",$D$3&lt;&gt;$G$3),((1+(-J288))^(H288/MIN(G288,365))),((1+(-J288))^(1/12)))-$U288))</f>
        <v>567854.21572260919</v>
      </c>
      <c r="AA288" s="2">
        <f ca="1">IF(MIN($AA$4:AA287)=0,0,MAX(0,($AA287+$K288-$O288-$P288)*IF(AND(F288="F",$D$3&lt;&gt;$G$3),((1+$AA$1)^(H288/MIN(G288,365))),((1+$AA$1)^(1/12)))-$U288))</f>
        <v>1920000</v>
      </c>
      <c r="AB288" s="2">
        <f ca="1">IF(MIN($AB$4:AB287)=0,0,MAX(0,($AB287+$K288-$O288-$P288)*IF(AND(F288="F",$D$3&lt;&gt;$G$3),((1+(J288))^(H288/MIN(G288,365))),((1+(J288))^(1/12)))-$U288))</f>
        <v>6117121.1471813498</v>
      </c>
      <c r="AC288" s="5"/>
      <c r="AD288" s="5"/>
      <c r="AE288" s="5"/>
      <c r="AF288" s="282">
        <f t="shared" ca="1" si="171"/>
        <v>567854</v>
      </c>
      <c r="AG288" s="282">
        <f t="shared" ca="1" si="172"/>
        <v>1920000</v>
      </c>
      <c r="AH288" s="282">
        <f t="shared" ca="1" si="173"/>
        <v>6117121</v>
      </c>
      <c r="AI288" s="23" t="str">
        <f t="shared" ca="1" si="189"/>
        <v>24-10</v>
      </c>
      <c r="AJ288" s="282">
        <f ca="1">IF(E288&gt;111,,IF(AND(OP!$C$99=1,T288="F"),Z288,IF(AND(OP!$C$99=2,COUNTIF($T$4:T288,"F")=1),OP!$C$97+IF(F288="F",OP!$C$98,0),"")))</f>
        <v>54527</v>
      </c>
      <c r="AK288" s="282">
        <f ca="1">IF(E288&gt;111,,IF(AND(OP!$D$99=1,T288="F"),AA288,IF(AND(OP!$D$99=2,COUNTIF($T$4:T288,"F")=1),OP!$D$97+IF(F288="F",OP!$D$98,0),"")))</f>
        <v>74177</v>
      </c>
      <c r="AL288" s="282">
        <f ca="1">IF(E288&gt;111,,IF(AND(OP!$E$99=1,T288="F"),AB288,IF(AND(OP!$E$99=2,COUNTIF($T$4:T288,"F")=1),OP!$E$97+IF(F288="F",OP!$E$98,0),"")))</f>
        <v>99404</v>
      </c>
      <c r="AM288" s="1">
        <f t="shared" ca="1" si="163"/>
        <v>10</v>
      </c>
      <c r="AN288" s="1" t="str">
        <f ca="1">IF(OR(VLOOKUP($A288,MP,5,0)="月繳"),1,"")</f>
        <v/>
      </c>
      <c r="AO288" s="1">
        <f t="shared" ca="1" si="174"/>
        <v>0</v>
      </c>
      <c r="AP288" s="1" t="str">
        <f ca="1">IF(AND(A288&lt;=OP!$C$120,COUNTIF(PAY,C288)=1),1,"")</f>
        <v/>
      </c>
      <c r="AR288" s="301">
        <f ca="1">IF(繳費報酬率資料!$A$1=1,$AY288+$AZ288,$BF288+$BG288)</f>
        <v>0</v>
      </c>
      <c r="AS288" s="1">
        <f ca="1">IF(C288&lt;&gt;IF($C$3=1,12,$C$3-1),0,IF(繳費報酬率資料!$A$1&lt;&gt;1,VLOOKUP($A288,MP,8,0),IF(AND($A288&gt;=OP!$C$79,$A288&lt;=OP!$C$80),OP!$C$78,)))</f>
        <v>0</v>
      </c>
      <c r="AT288" s="298">
        <f t="shared" ca="1" si="175"/>
        <v>0</v>
      </c>
      <c r="AU288" s="298">
        <f ca="1">IF(AND(A288&lt;=OP!$C$120,COUNTIF(PAY,C288)=1),OP!$C$123,0)</f>
        <v>0</v>
      </c>
      <c r="AV288" s="298">
        <f ca="1">IF(AND(A288&gt;=OP!$C$132,A288&lt;=OP!$C$133,$C$3=C288),OP!$C$135,0)</f>
        <v>0</v>
      </c>
      <c r="AW288" s="180">
        <f t="shared" ca="1" si="176"/>
        <v>0.05</v>
      </c>
      <c r="AX288" s="180">
        <f t="shared" ca="1" si="177"/>
        <v>0.05</v>
      </c>
      <c r="AY288" s="286">
        <f t="shared" ca="1" si="178"/>
        <v>0</v>
      </c>
      <c r="AZ288" s="286">
        <f t="shared" ca="1" si="179"/>
        <v>0</v>
      </c>
      <c r="BA288" s="286">
        <f t="shared" ca="1" si="180"/>
        <v>0</v>
      </c>
      <c r="BB288" s="286">
        <f t="shared" ca="1" si="181"/>
        <v>0</v>
      </c>
      <c r="BC288" s="286">
        <f t="shared" ca="1" si="182"/>
        <v>0</v>
      </c>
      <c r="BD288" s="180">
        <f t="shared" ca="1" si="183"/>
        <v>0.05</v>
      </c>
      <c r="BE288" s="180">
        <f t="shared" ca="1" si="184"/>
        <v>0.05</v>
      </c>
      <c r="BF288" s="286">
        <f t="shared" ca="1" si="185"/>
        <v>0</v>
      </c>
      <c r="BG288" s="286">
        <f t="shared" ca="1" si="186"/>
        <v>0</v>
      </c>
    </row>
    <row r="289" spans="1:59">
      <c r="A289" s="1">
        <f t="shared" ca="1" si="166"/>
        <v>24</v>
      </c>
      <c r="B289" s="1">
        <f t="shared" ca="1" si="159"/>
        <v>130</v>
      </c>
      <c r="C289" s="1">
        <f t="shared" ca="1" si="160"/>
        <v>3</v>
      </c>
      <c r="D289" s="1">
        <f ca="1">MIN($D$3,VLOOKUP(C289,OP!$S$30:$T$41,2))</f>
        <v>2</v>
      </c>
      <c r="E289" s="1">
        <f t="shared" ca="1" si="161"/>
        <v>78</v>
      </c>
      <c r="F289" s="11" t="str">
        <f t="shared" ca="1" si="167"/>
        <v/>
      </c>
      <c r="G289" s="8">
        <f t="shared" ca="1" si="191"/>
        <v>365</v>
      </c>
      <c r="H289" s="8">
        <f t="shared" ca="1" si="168"/>
        <v>31</v>
      </c>
      <c r="I289" s="8" t="str">
        <f t="shared" ca="1" si="165"/>
        <v>243</v>
      </c>
      <c r="J289" s="13">
        <f>IF(繳費報酬率資料!$A$1=1,VALUE(OP!$C$121),VLOOKUP(A289,MP,2,0))</f>
        <v>0.05</v>
      </c>
      <c r="K289" s="14">
        <f ca="1">IF(SUM($K$4:K288,IF(繳費報酬率資料!$A$1=1,$AU289+$AV289,$BB289+$BC289))&gt;OP!$L$58,0,IF(繳費報酬率資料!$A$1=1,$AU289+$AV289,$BB289+$BC289))</f>
        <v>0</v>
      </c>
      <c r="L289" s="2"/>
      <c r="M289" s="2"/>
      <c r="N289" s="2"/>
      <c r="O289" s="261">
        <f t="shared" ca="1" si="169"/>
        <v>0</v>
      </c>
      <c r="P289" s="261">
        <f t="shared" ca="1" si="187"/>
        <v>0</v>
      </c>
      <c r="Q289" s="3">
        <f ca="1">IF(A289&gt;MAX(OP!$R$17:$R$26),0,VLOOKUP(A289,fees,3,FALSE))</f>
        <v>0</v>
      </c>
      <c r="R289" s="200" t="str">
        <f t="shared" ca="1" si="170"/>
        <v/>
      </c>
      <c r="S289" s="9" t="str">
        <f ca="1">IF(COUNTIF(($T$4:T288),"F")&gt;=1,"",IF(OR(C290&lt;&gt;$C$3,E289=""),"",A289))</f>
        <v/>
      </c>
      <c r="T289" s="20" t="str">
        <f t="shared" ca="1" si="162"/>
        <v/>
      </c>
      <c r="U289" s="2">
        <f ca="1">IF(IF(OP!$C$83=1,$Z288,IF(OP!$C$83=2,$AA288,IF(OP!$C$83=3,$AB288,)))+$K289-$O289-$P289-$AS289&lt;OP!$C$142,0,$AS289)</f>
        <v>0</v>
      </c>
      <c r="V289" s="9"/>
      <c r="W289" s="19">
        <f ca="1">MAX(SUM($K$4:K289),0)</f>
        <v>2000000</v>
      </c>
      <c r="X289" s="19"/>
      <c r="Y289" s="19">
        <f t="shared" ca="1" si="188"/>
        <v>1920000</v>
      </c>
      <c r="Z289" s="2">
        <f ca="1">IF(MIN($Z$4:Z288)=0,0,MAX(0,($Z288+$K289-$O289-$P289)*IF(AND(F289="F",$D$3&lt;&gt;$G$3),((1+(-J289))^(H289/MIN(G289,365))),((1+(-J289))^(1/12)))-$U289))</f>
        <v>565432.1364733706</v>
      </c>
      <c r="AA289" s="2">
        <f ca="1">IF(MIN($AA$4:AA288)=0,0,MAX(0,($AA288+$K289-$O289-$P289)*IF(AND(F289="F",$D$3&lt;&gt;$G$3),((1+$AA$1)^(H289/MIN(G289,365))),((1+$AA$1)^(1/12)))-$U289))</f>
        <v>1920000</v>
      </c>
      <c r="AB289" s="2">
        <f ca="1">IF(MIN($AB$4:AB288)=0,0,MAX(0,($AB288+$K289-$O289-$P289)*IF(AND(F289="F",$D$3&lt;&gt;$G$3),((1+(J289))^(H289/MIN(G289,365))),((1+(J289))^(1/12)))-$U289))</f>
        <v>6142043.05593454</v>
      </c>
      <c r="AC289" s="5"/>
      <c r="AD289" s="5"/>
      <c r="AE289" s="5"/>
      <c r="AF289" s="282">
        <f t="shared" ca="1" si="171"/>
        <v>565432</v>
      </c>
      <c r="AG289" s="282">
        <f t="shared" ca="1" si="172"/>
        <v>1920000</v>
      </c>
      <c r="AH289" s="282">
        <f t="shared" ca="1" si="173"/>
        <v>6142043</v>
      </c>
      <c r="AI289" s="23" t="str">
        <f t="shared" ca="1" si="189"/>
        <v>24-11</v>
      </c>
      <c r="AJ289" s="282">
        <f ca="1">IF(E289&gt;111,,IF(AND(OP!$C$99=1,T289="F"),Z289,IF(AND(OP!$C$99=2,COUNTIF($T$4:T289,"F")=1),OP!$C$97+IF(F289="F",OP!$C$98,0),"")))</f>
        <v>54527</v>
      </c>
      <c r="AK289" s="282">
        <f ca="1">IF(E289&gt;111,,IF(AND(OP!$D$99=1,T289="F"),AA289,IF(AND(OP!$D$99=2,COUNTIF($T$4:T289,"F")=1),OP!$D$97+IF(F289="F",OP!$D$98,0),"")))</f>
        <v>74177</v>
      </c>
      <c r="AL289" s="282">
        <f ca="1">IF(E289&gt;111,,IF(AND(OP!$E$99=1,T289="F"),AB289,IF(AND(OP!$E$99=2,COUNTIF($T$4:T289,"F")=1),OP!$E$97+IF(F289="F",OP!$E$98,0),"")))</f>
        <v>99404</v>
      </c>
      <c r="AM289" s="1">
        <f t="shared" ca="1" si="163"/>
        <v>11</v>
      </c>
      <c r="AN289" s="1" t="str">
        <f ca="1">IF(OR(VLOOKUP($A289,MP,5,0)="季繳",VLOOKUP($A289,MP,5,0)="月繳"),1,"")</f>
        <v/>
      </c>
      <c r="AO289" s="1">
        <f t="shared" ca="1" si="174"/>
        <v>0</v>
      </c>
      <c r="AP289" s="1" t="str">
        <f ca="1">IF(AND(A289&lt;=OP!$C$120,COUNTIF(PAY,C289)=1),1,"")</f>
        <v/>
      </c>
      <c r="AR289" s="301">
        <f ca="1">IF(繳費報酬率資料!$A$1=1,$AY289+$AZ289,$BF289+$BG289)</f>
        <v>0</v>
      </c>
      <c r="AS289" s="1">
        <f ca="1">IF(C289&lt;&gt;IF($C$3=1,12,$C$3-1),0,IF(繳費報酬率資料!$A$1&lt;&gt;1,VLOOKUP($A289,MP,8,0),IF(AND($A289&gt;=OP!$C$79,$A289&lt;=OP!$C$80),OP!$C$78,)))</f>
        <v>0</v>
      </c>
      <c r="AT289" s="298">
        <f t="shared" ca="1" si="175"/>
        <v>0</v>
      </c>
      <c r="AU289" s="298">
        <f ca="1">IF(AND(A289&lt;=OP!$C$120,COUNTIF(PAY,C289)=1),OP!$C$123,0)</f>
        <v>0</v>
      </c>
      <c r="AV289" s="298">
        <f ca="1">IF(AND(A289&gt;=OP!$C$132,A289&lt;=OP!$C$133,$C$3=C289),OP!$C$135,0)</f>
        <v>0</v>
      </c>
      <c r="AW289" s="180">
        <f t="shared" ca="1" si="176"/>
        <v>0.05</v>
      </c>
      <c r="AX289" s="180">
        <f t="shared" ca="1" si="177"/>
        <v>0.05</v>
      </c>
      <c r="AY289" s="286">
        <f t="shared" ca="1" si="178"/>
        <v>0</v>
      </c>
      <c r="AZ289" s="286">
        <f t="shared" ca="1" si="179"/>
        <v>0</v>
      </c>
      <c r="BA289" s="286">
        <f t="shared" ca="1" si="180"/>
        <v>0</v>
      </c>
      <c r="BB289" s="286">
        <f t="shared" ca="1" si="181"/>
        <v>0</v>
      </c>
      <c r="BC289" s="286">
        <f t="shared" ca="1" si="182"/>
        <v>0</v>
      </c>
      <c r="BD289" s="180">
        <f t="shared" ca="1" si="183"/>
        <v>0.05</v>
      </c>
      <c r="BE289" s="180">
        <f t="shared" ca="1" si="184"/>
        <v>0.05</v>
      </c>
      <c r="BF289" s="286">
        <f t="shared" ca="1" si="185"/>
        <v>0</v>
      </c>
      <c r="BG289" s="286">
        <f t="shared" ca="1" si="186"/>
        <v>0</v>
      </c>
    </row>
    <row r="290" spans="1:59">
      <c r="A290" s="1">
        <f t="shared" ca="1" si="166"/>
        <v>24</v>
      </c>
      <c r="B290" s="1">
        <f t="shared" ca="1" si="159"/>
        <v>130</v>
      </c>
      <c r="C290" s="1">
        <f t="shared" ca="1" si="160"/>
        <v>4</v>
      </c>
      <c r="D290" s="1">
        <f ca="1">MIN($D$3,VLOOKUP(C290,OP!$S$30:$T$41,2))</f>
        <v>2</v>
      </c>
      <c r="E290" s="1">
        <f t="shared" ca="1" si="161"/>
        <v>78</v>
      </c>
      <c r="F290" s="11" t="str">
        <f t="shared" ca="1" si="167"/>
        <v/>
      </c>
      <c r="G290" s="8">
        <f t="shared" ca="1" si="191"/>
        <v>365</v>
      </c>
      <c r="H290" s="8">
        <f t="shared" ca="1" si="168"/>
        <v>30</v>
      </c>
      <c r="I290" s="8" t="str">
        <f t="shared" ca="1" si="165"/>
        <v>244</v>
      </c>
      <c r="J290" s="13">
        <f>IF(繳費報酬率資料!$A$1=1,VALUE(OP!$C$121),VLOOKUP(A290,MP,2,0))</f>
        <v>0.05</v>
      </c>
      <c r="K290" s="14">
        <f ca="1">IF(SUM($K$4:K289,IF(繳費報酬率資料!$A$1=1,$AU290+$AV290,$BB290+$BC290))&gt;OP!$L$58,0,IF(繳費報酬率資料!$A$1=1,$AU290+$AV290,$BB290+$BC290))</f>
        <v>0</v>
      </c>
      <c r="L290" s="2"/>
      <c r="M290" s="2"/>
      <c r="N290" s="2"/>
      <c r="O290" s="261">
        <f t="shared" ca="1" si="169"/>
        <v>0</v>
      </c>
      <c r="P290" s="261">
        <f t="shared" ca="1" si="187"/>
        <v>0</v>
      </c>
      <c r="Q290" s="3">
        <f ca="1">IF(A290&gt;MAX(OP!$R$17:$R$26),0,VLOOKUP(A290,fees,3,FALSE))</f>
        <v>0</v>
      </c>
      <c r="R290" s="200" t="str">
        <f t="shared" ca="1" si="170"/>
        <v/>
      </c>
      <c r="S290" s="9" t="str">
        <f ca="1">IF(COUNTIF(($T$4:T289),"F")&gt;=1,"",IF(OR(C291&lt;&gt;$C$3,E290=""),"",A290))</f>
        <v/>
      </c>
      <c r="T290" s="20" t="str">
        <f t="shared" ca="1" si="162"/>
        <v/>
      </c>
      <c r="U290" s="2">
        <f ca="1">IF(IF(OP!$C$83=1,$Z289,IF(OP!$C$83=2,$AA289,IF(OP!$C$83=3,$AB289,)))+$K290-$O290-$P290-$AS290&lt;OP!$C$142,0,$AS290)</f>
        <v>0</v>
      </c>
      <c r="V290" s="9"/>
      <c r="W290" s="19">
        <f ca="1">MAX(SUM($K$4:K290),0)</f>
        <v>2000000</v>
      </c>
      <c r="X290" s="19"/>
      <c r="Y290" s="19">
        <f t="shared" ca="1" si="188"/>
        <v>1920000</v>
      </c>
      <c r="Z290" s="2">
        <f ca="1">IF(MIN($Z$4:Z289)=0,0,MAX(0,($Z289+$K290-$O290-$P290)*IF(AND(F290="F",$D$3&lt;&gt;$G$3),((1+(-J290))^(H290/MIN(G290,365))),((1+(-J290))^(1/12)))-$U290))</f>
        <v>563020.38816423446</v>
      </c>
      <c r="AA290" s="2">
        <f ca="1">IF(MIN($AA$4:AA289)=0,0,MAX(0,($AA289+$K290-$O290-$P290)*IF(AND(F290="F",$D$3&lt;&gt;$G$3),((1+$AA$1)^(H290/MIN(G290,365))),((1+$AA$1)^(1/12)))-$U290))</f>
        <v>1920000</v>
      </c>
      <c r="AB290" s="2">
        <f ca="1">IF(MIN($AB$4:AB289)=0,0,MAX(0,($AB289+$K290-$O290-$P290)*IF(AND(F290="F",$D$3&lt;&gt;$G$3),((1+(J290))^(H290/MIN(G290,365))),((1+(J290))^(1/12)))-$U290))</f>
        <v>6167066.4996289155</v>
      </c>
      <c r="AC290" s="5"/>
      <c r="AD290" s="5"/>
      <c r="AE290" s="5"/>
      <c r="AF290" s="282">
        <f t="shared" ca="1" si="171"/>
        <v>563020</v>
      </c>
      <c r="AG290" s="282">
        <f t="shared" ca="1" si="172"/>
        <v>1920000</v>
      </c>
      <c r="AH290" s="282">
        <f t="shared" ca="1" si="173"/>
        <v>6167066</v>
      </c>
      <c r="AI290" s="23" t="str">
        <f t="shared" ca="1" si="189"/>
        <v>24-12</v>
      </c>
      <c r="AJ290" s="282">
        <f ca="1">IF(E290&gt;111,,IF(AND(OP!$C$99=1,T290="F"),Z290,IF(AND(OP!$C$99=2,COUNTIF($T$4:T290,"F")=1),OP!$C$97+IF(F290="F",OP!$C$98,0),"")))</f>
        <v>54527</v>
      </c>
      <c r="AK290" s="282">
        <f ca="1">IF(E290&gt;111,,IF(AND(OP!$D$99=1,T290="F"),AA290,IF(AND(OP!$D$99=2,COUNTIF($T$4:T290,"F")=1),OP!$D$97+IF(F290="F",OP!$D$98,0),"")))</f>
        <v>74177</v>
      </c>
      <c r="AL290" s="282">
        <f ca="1">IF(E290&gt;111,,IF(AND(OP!$E$99=1,T290="F"),AB290,IF(AND(OP!$E$99=2,COUNTIF($T$4:T290,"F")=1),OP!$E$97+IF(F290="F",OP!$E$98,0),"")))</f>
        <v>99404</v>
      </c>
      <c r="AM290" s="1">
        <f t="shared" ca="1" si="163"/>
        <v>12</v>
      </c>
      <c r="AN290" s="1" t="str">
        <f ca="1">IF(OR(VLOOKUP($A290,MP,5,0)="月繳"),1,"")</f>
        <v/>
      </c>
      <c r="AO290" s="1">
        <f t="shared" ca="1" si="174"/>
        <v>0</v>
      </c>
      <c r="AP290" s="1" t="str">
        <f ca="1">IF(AND(A290&lt;=OP!$C$120,COUNTIF(PAY,C290)=1),1,"")</f>
        <v/>
      </c>
      <c r="AR290" s="301">
        <f ca="1">IF(繳費報酬率資料!$A$1=1,$AY290+$AZ290,$BF290+$BG290)</f>
        <v>0</v>
      </c>
      <c r="AS290" s="1">
        <f ca="1">IF(C290&lt;&gt;IF($C$3=1,12,$C$3-1),0,IF(繳費報酬率資料!$A$1&lt;&gt;1,VLOOKUP($A290,MP,8,0),IF(AND($A290&gt;=OP!$C$79,$A290&lt;=OP!$C$80),OP!$C$78,)))</f>
        <v>0</v>
      </c>
      <c r="AT290" s="298">
        <f t="shared" ca="1" si="175"/>
        <v>0</v>
      </c>
      <c r="AU290" s="298">
        <f ca="1">IF(AND(A290&lt;=OP!$C$120,COUNTIF(PAY,C290)=1),OP!$C$123,0)</f>
        <v>0</v>
      </c>
      <c r="AV290" s="298">
        <f ca="1">IF(AND(A290&gt;=OP!$C$132,A290&lt;=OP!$C$133,$C$3=C290),OP!$C$135,0)</f>
        <v>0</v>
      </c>
      <c r="AW290" s="180">
        <f t="shared" ca="1" si="176"/>
        <v>0.05</v>
      </c>
      <c r="AX290" s="180">
        <f t="shared" ca="1" si="177"/>
        <v>0.05</v>
      </c>
      <c r="AY290" s="286">
        <f t="shared" ca="1" si="178"/>
        <v>0</v>
      </c>
      <c r="AZ290" s="286">
        <f t="shared" ca="1" si="179"/>
        <v>0</v>
      </c>
      <c r="BA290" s="286">
        <f t="shared" ca="1" si="180"/>
        <v>0</v>
      </c>
      <c r="BB290" s="286">
        <f t="shared" ca="1" si="181"/>
        <v>0</v>
      </c>
      <c r="BC290" s="286">
        <f t="shared" ca="1" si="182"/>
        <v>0</v>
      </c>
      <c r="BD290" s="180">
        <f t="shared" ca="1" si="183"/>
        <v>0.05</v>
      </c>
      <c r="BE290" s="180">
        <f t="shared" ca="1" si="184"/>
        <v>0.05</v>
      </c>
      <c r="BF290" s="286">
        <f t="shared" ca="1" si="185"/>
        <v>0</v>
      </c>
      <c r="BG290" s="286">
        <f t="shared" ca="1" si="186"/>
        <v>0</v>
      </c>
    </row>
    <row r="291" spans="1:59">
      <c r="A291" s="1">
        <f t="shared" ca="1" si="166"/>
        <v>24</v>
      </c>
      <c r="B291" s="1">
        <f t="shared" ca="1" si="159"/>
        <v>130</v>
      </c>
      <c r="C291" s="1">
        <f t="shared" ca="1" si="160"/>
        <v>5</v>
      </c>
      <c r="D291" s="1">
        <f ca="1">MIN($D$3,VLOOKUP(C291,OP!$S$30:$T$41,2))</f>
        <v>2</v>
      </c>
      <c r="E291" s="1">
        <f t="shared" ca="1" si="161"/>
        <v>78</v>
      </c>
      <c r="F291" s="11" t="str">
        <f t="shared" ca="1" si="167"/>
        <v/>
      </c>
      <c r="G291" s="8">
        <f t="shared" ca="1" si="191"/>
        <v>365</v>
      </c>
      <c r="H291" s="8">
        <f t="shared" ca="1" si="168"/>
        <v>31</v>
      </c>
      <c r="I291" s="8" t="str">
        <f t="shared" ca="1" si="165"/>
        <v>245</v>
      </c>
      <c r="J291" s="13">
        <f>IF(繳費報酬率資料!$A$1=1,VALUE(OP!$C$121),VLOOKUP(A291,MP,2,0))</f>
        <v>0.05</v>
      </c>
      <c r="K291" s="14">
        <f ca="1">IF(SUM($K$4:K290,IF(繳費報酬率資料!$A$1=1,$AU291+$AV291,$BB291+$BC291))&gt;OP!$L$58,0,IF(繳費報酬率資料!$A$1=1,$AU291+$AV291,$BB291+$BC291))</f>
        <v>0</v>
      </c>
      <c r="L291" s="2">
        <f ca="1">ROUND(IF(OP!$C$78&lt;(IF(OR($T291="F",$E291&gt;=111),0,Z290+$K291-$O291+IF($C$1=1,OP!$C$78,IF($C292=$C$3,SUM(AC280:AC291,0)))))*5%,0,(OP!$C$78-((IF(OR($T291="F",$E291&gt;=111),0,Z290+$K291-$O291+IF($C$1=1,AC291,IF($C292=$C$3,SUM(AC280:AC291,0)))))*5%))*$Q291),0)</f>
        <v>0</v>
      </c>
      <c r="M291" s="2">
        <f ca="1">ROUND(IF(OP!$C$78&lt;(IF(OR($T291="F",$E291&gt;=111),0,AA290+$K291-$O291+IF($C$1=1,AD291,IF($C292=$C$3,SUM(AD280:AD291,0)))))*5%,0,(OP!$C$78-((IF(OR($T291="F",$E291&gt;=111),0,AA290+$K291-$O291+IF($C$1=1,AD291,IF($C292=$C$3,SUM(AD280:AD291,0)))))*5%))*$Q291),0)</f>
        <v>0</v>
      </c>
      <c r="N291" s="2">
        <f ca="1">ROUND(IF(OP!$C$78&lt;(IF(OR($T291="F",$E291&gt;=111),0,AB290+$K291-$O291+IF($C$1=1,AE291,IF($C292=$C$3,SUM(AE280:AE291,0)))))*5%,0,(OP!$C$78-((IF(OR($T291="F",$E291&gt;=111),0,AB290+$K291-$O291+IF($C$1=1,AE291,IF($C292=$C$3,SUM(AE280:AE291,0)))))*5%))*$Q291),0)</f>
        <v>0</v>
      </c>
      <c r="O291" s="261">
        <f t="shared" ca="1" si="169"/>
        <v>0</v>
      </c>
      <c r="P291" s="261">
        <f t="shared" ca="1" si="187"/>
        <v>0</v>
      </c>
      <c r="Q291" s="3">
        <f ca="1">IF(A291&gt;MAX(OP!$R$17:$R$26),0,VLOOKUP(A291,fees,3,FALSE))</f>
        <v>0</v>
      </c>
      <c r="R291" s="200">
        <f t="shared" ca="1" si="170"/>
        <v>24</v>
      </c>
      <c r="S291" s="9" t="str">
        <f ca="1">IF(COUNTIF(($T$4:T290),"F")&gt;=1,"",IF(OR(C292&lt;&gt;$C$3,E291=""),"",A291))</f>
        <v/>
      </c>
      <c r="T291" s="20" t="str">
        <f t="shared" ca="1" si="162"/>
        <v/>
      </c>
      <c r="U291" s="2">
        <f ca="1">IF(IF(OP!$C$83=1,$Z290,IF(OP!$C$83=2,$AA290,IF(OP!$C$83=3,$AB290,)))+$K291-$O291-$P291-$AS291&lt;OP!$C$142,0,$AS291)</f>
        <v>0</v>
      </c>
      <c r="V291" s="19">
        <f ca="1">SUM(K280:K291)</f>
        <v>0</v>
      </c>
      <c r="W291" s="19">
        <f ca="1">MAX(SUM($K$4:K291),0)</f>
        <v>2000000</v>
      </c>
      <c r="X291" s="19">
        <f ca="1">SUM(O280:P291)</f>
        <v>0</v>
      </c>
      <c r="Y291" s="19">
        <f t="shared" ca="1" si="188"/>
        <v>1920000</v>
      </c>
      <c r="Z291" s="2">
        <f ca="1">IF(MIN($Z$4:Z290)=0,0,MAX(0,($Z290+$K291-$O291-$P291)*IF(AND(F291="F",$D$3&lt;&gt;$G$3),((1+(-J291))^(H291/MIN(G291,365))),((1+(-J291))^(1/12)))-$U291))</f>
        <v>560618.92673044803</v>
      </c>
      <c r="AA291" s="2">
        <f ca="1">IF(MIN($AA$4:AA290)=0,0,MAX(0,($AA290+$K291-$O291-$P291)*IF(AND(F291="F",$D$3&lt;&gt;$G$3),((1+$AA$1)^(H291/MIN(G291,365))),((1+$AA$1)^(1/12)))-$U291))</f>
        <v>1920000</v>
      </c>
      <c r="AB291" s="2">
        <f ca="1">IF(MIN($AB$4:AB290)=0,0,MAX(0,($AB290+$K291-$O291-$P291)*IF(AND(F291="F",$D$3&lt;&gt;$G$3),((1+(J291))^(H291/MIN(G291,365))),((1+(J291))^(1/12)))-$U291))</f>
        <v>6192191.8919303948</v>
      </c>
      <c r="AC291" s="5"/>
      <c r="AD291" s="5"/>
      <c r="AE291" s="5"/>
      <c r="AF291" s="282">
        <f t="shared" ca="1" si="171"/>
        <v>560619</v>
      </c>
      <c r="AG291" s="282">
        <f t="shared" ca="1" si="172"/>
        <v>1920000</v>
      </c>
      <c r="AH291" s="282">
        <f t="shared" ca="1" si="173"/>
        <v>6192192</v>
      </c>
      <c r="AI291" s="23" t="str">
        <f t="shared" ca="1" si="189"/>
        <v>25-1</v>
      </c>
      <c r="AJ291" s="282">
        <f ca="1">IF(E291&gt;111,,IF(AND(OP!$C$99=1,T291="F"),Z291,IF(AND(OP!$C$99=2,COUNTIF($T$4:T291,"F")=1),OP!$C$97+IF(F291="F",OP!$C$98,0),"")))</f>
        <v>54527</v>
      </c>
      <c r="AK291" s="282">
        <f ca="1">IF(E291&gt;111,,IF(AND(OP!$D$99=1,T291="F"),AA291,IF(AND(OP!$D$99=2,COUNTIF($T$4:T291,"F")=1),OP!$D$97+IF(F291="F",OP!$D$98,0),"")))</f>
        <v>74177</v>
      </c>
      <c r="AL291" s="282">
        <f ca="1">IF(E291&gt;111,,IF(AND(OP!$E$99=1,T291="F"),AB291,IF(AND(OP!$E$99=2,COUNTIF($T$4:T291,"F")=1),OP!$E$97+IF(F291="F",OP!$E$98,0),"")))</f>
        <v>99404</v>
      </c>
      <c r="AM291" s="1">
        <f t="shared" ca="1" si="163"/>
        <v>1</v>
      </c>
      <c r="AN291" s="1" t="str">
        <f ca="1">IF(OR(VLOOKUP($A291,MP,5,0)="月繳"),1,"")</f>
        <v/>
      </c>
      <c r="AO291" s="1">
        <f t="shared" ca="1" si="174"/>
        <v>0</v>
      </c>
      <c r="AP291" s="1" t="str">
        <f ca="1">IF(AND(A291&lt;=OP!$C$120,COUNTIF(PAY,C291)=1),1,"")</f>
        <v/>
      </c>
      <c r="AR291" s="301">
        <f ca="1">IF(繳費報酬率資料!$A$1=1,$AY291+$AZ291,$BF291+$BG291)</f>
        <v>0</v>
      </c>
      <c r="AS291" s="1">
        <f ca="1">IF(C291&lt;&gt;IF($C$3=1,12,$C$3-1),0,IF(繳費報酬率資料!$A$1&lt;&gt;1,VLOOKUP($A291,MP,8,0),IF(AND($A291&gt;=OP!$C$79,$A291&lt;=OP!$C$80),OP!$C$78,)))</f>
        <v>0</v>
      </c>
      <c r="AT291" s="298">
        <f t="shared" ca="1" si="175"/>
        <v>0</v>
      </c>
      <c r="AU291" s="298">
        <f ca="1">IF(AND(A291&lt;=OP!$C$120,COUNTIF(PAY,C291)=1),OP!$C$123,0)</f>
        <v>0</v>
      </c>
      <c r="AV291" s="298">
        <f ca="1">IF(AND(A291&gt;=OP!$C$132,A291&lt;=OP!$C$133,$C$3=C291),OP!$C$135,0)</f>
        <v>0</v>
      </c>
      <c r="AW291" s="180">
        <f t="shared" ca="1" si="176"/>
        <v>0.05</v>
      </c>
      <c r="AX291" s="180">
        <f t="shared" ca="1" si="177"/>
        <v>0.05</v>
      </c>
      <c r="AY291" s="286">
        <f t="shared" ca="1" si="178"/>
        <v>0</v>
      </c>
      <c r="AZ291" s="286">
        <f t="shared" ca="1" si="179"/>
        <v>0</v>
      </c>
      <c r="BA291" s="286">
        <f t="shared" ca="1" si="180"/>
        <v>0</v>
      </c>
      <c r="BB291" s="286">
        <f t="shared" ca="1" si="181"/>
        <v>0</v>
      </c>
      <c r="BC291" s="286">
        <f t="shared" ca="1" si="182"/>
        <v>0</v>
      </c>
      <c r="BD291" s="180">
        <f t="shared" ca="1" si="183"/>
        <v>0.05</v>
      </c>
      <c r="BE291" s="180">
        <f t="shared" ca="1" si="184"/>
        <v>0.05</v>
      </c>
      <c r="BF291" s="286">
        <f t="shared" ca="1" si="185"/>
        <v>0</v>
      </c>
      <c r="BG291" s="286">
        <f t="shared" ca="1" si="186"/>
        <v>0</v>
      </c>
    </row>
    <row r="292" spans="1:59">
      <c r="A292" s="1">
        <f t="shared" ca="1" si="166"/>
        <v>25</v>
      </c>
      <c r="B292" s="1">
        <f t="shared" ca="1" si="159"/>
        <v>130</v>
      </c>
      <c r="C292" s="1">
        <f t="shared" ca="1" si="160"/>
        <v>6</v>
      </c>
      <c r="D292" s="1">
        <f ca="1">MIN($D$3,VLOOKUP(C292,OP!$S$30:$T$41,2))</f>
        <v>2</v>
      </c>
      <c r="E292" s="1">
        <f t="shared" ca="1" si="161"/>
        <v>79</v>
      </c>
      <c r="F292" s="11" t="str">
        <f t="shared" ca="1" si="167"/>
        <v/>
      </c>
      <c r="G292" s="6">
        <f ca="1">DATEDIF(DATE(B292+1911,C292,D292),DATE(B304+1911,C304,D304),"d")</f>
        <v>365</v>
      </c>
      <c r="H292" s="8">
        <f t="shared" ca="1" si="168"/>
        <v>30</v>
      </c>
      <c r="I292" s="8" t="str">
        <f t="shared" ca="1" si="165"/>
        <v>256</v>
      </c>
      <c r="J292" s="13">
        <f>IF(繳費報酬率資料!$A$1=1,VALUE(OP!$C$121),VLOOKUP(A292,MP,2,0))</f>
        <v>0.05</v>
      </c>
      <c r="K292" s="14">
        <f ca="1">IF(SUM($K$4:K291,IF(繳費報酬率資料!$A$1=1,$AU292+$AV292,$BB292+$BC292))&gt;OP!$L$58,0,IF(繳費報酬率資料!$A$1=1,$AU292+$AV292,$BB292+$BC292))</f>
        <v>0</v>
      </c>
      <c r="L292" s="2"/>
      <c r="M292" s="2"/>
      <c r="N292" s="2"/>
      <c r="O292" s="261">
        <f t="shared" ca="1" si="169"/>
        <v>0</v>
      </c>
      <c r="P292" s="261">
        <f t="shared" ca="1" si="187"/>
        <v>0</v>
      </c>
      <c r="Q292" s="3">
        <f ca="1">IF(A292&gt;MAX(OP!$R$17:$R$26),0,VLOOKUP(A292,fees,3,FALSE))</f>
        <v>0</v>
      </c>
      <c r="R292" s="200" t="str">
        <f t="shared" ca="1" si="170"/>
        <v/>
      </c>
      <c r="S292" s="9" t="str">
        <f ca="1">IF(COUNTIF(($T$4:T291),"F")&gt;=1,"",IF(OR(C293&lt;&gt;$C$3,E292=""),"",A292))</f>
        <v/>
      </c>
      <c r="T292" s="20" t="str">
        <f t="shared" ca="1" si="162"/>
        <v/>
      </c>
      <c r="U292" s="2">
        <f ca="1">IF(IF(OP!$C$83=1,$Z291,IF(OP!$C$83=2,$AA291,IF(OP!$C$83=3,$AB291,)))+$K292-$O292-$P292-$AS292&lt;OP!$C$142,0,$AS292)</f>
        <v>0</v>
      </c>
      <c r="V292" s="9"/>
      <c r="W292" s="19">
        <f ca="1">MAX(SUM($K$4:K292),0)</f>
        <v>2000000</v>
      </c>
      <c r="X292" s="19"/>
      <c r="Y292" s="19">
        <f t="shared" ca="1" si="188"/>
        <v>1920000</v>
      </c>
      <c r="Z292" s="2">
        <f ca="1">IF(MIN($Z$4:Z291)=0,0,MAX(0,($Z291+$K292-$O292-$P292)*IF(AND(F292="F",$D$3&lt;&gt;$G$3),((1+(-J292))^(H292/MIN(G292,365))),((1+(-J292))^(1/12)))-$U292))</f>
        <v>558227.70829520875</v>
      </c>
      <c r="AA292" s="2">
        <f ca="1">IF(MIN($AA$4:AA291)=0,0,MAX(0,($AA291+$K292-$O292-$P292)*IF(AND(F292="F",$D$3&lt;&gt;$G$3),((1+$AA$1)^(H292/MIN(G292,365))),((1+$AA$1)^(1/12)))-$U292))</f>
        <v>1920000</v>
      </c>
      <c r="AB292" s="2">
        <f ca="1">IF(MIN($AB$4:AB291)=0,0,MAX(0,($AB291+$K292-$O292-$P292)*IF(AND(F292="F",$D$3&lt;&gt;$G$3),((1+(J292))^(H292/MIN(G292,365))),((1+(J292))^(1/12)))-$U292))</f>
        <v>6217419.6481902227</v>
      </c>
      <c r="AC292" s="21"/>
      <c r="AD292" s="21"/>
      <c r="AE292" s="21"/>
      <c r="AF292" s="282">
        <f t="shared" ca="1" si="171"/>
        <v>558228</v>
      </c>
      <c r="AG292" s="282">
        <f t="shared" ca="1" si="172"/>
        <v>1920000</v>
      </c>
      <c r="AH292" s="282">
        <f t="shared" ca="1" si="173"/>
        <v>6217420</v>
      </c>
      <c r="AI292" s="23" t="str">
        <f t="shared" ca="1" si="189"/>
        <v>25-2</v>
      </c>
      <c r="AJ292" s="281">
        <f ca="1">IF(E292&gt;111,,IF(AND(OP!$C$99=1,T292="F"),Z292,IF(AND(OP!$C$99=2,COUNTIF($T$4:T292,"F")=1),OP!$C$97+IF(F292="F",OP!$C$98,0),"")))</f>
        <v>54527</v>
      </c>
      <c r="AK292" s="281">
        <f ca="1">IF(E292&gt;111,,IF(AND(OP!$D$99=1,T292="F"),AA292,IF(AND(OP!$D$99=2,COUNTIF($T$4:T292,"F")=1),OP!$D$97+IF(F292="F",OP!$D$98,0),"")))</f>
        <v>74177</v>
      </c>
      <c r="AL292" s="281">
        <f ca="1">IF(E292&gt;111,,IF(AND(OP!$E$99=1,T292="F"),AB292,IF(AND(OP!$E$99=2,COUNTIF($T$4:T292,"F")=1),OP!$E$97+IF(F292="F",OP!$E$98,0),"")))</f>
        <v>99404</v>
      </c>
      <c r="AM292" s="1">
        <f t="shared" ca="1" si="163"/>
        <v>2</v>
      </c>
      <c r="AN292" s="1">
        <f ca="1">IF(OR(VLOOKUP($A292,MP,5,0)="年繳",VLOOKUP($A292,MP,5,0)="半年繳",VLOOKUP($A292,MP,5,0)="季繳",VLOOKUP($A292,MP,5,0)="月繳"),1,"")</f>
        <v>1</v>
      </c>
      <c r="AO292" s="1">
        <f t="shared" ca="1" si="174"/>
        <v>0</v>
      </c>
      <c r="AP292" s="1" t="str">
        <f ca="1">IF(AND(A292&lt;=OP!$C$120,COUNTIF(PAY,C292)=1),1,"")</f>
        <v/>
      </c>
      <c r="AR292" s="301">
        <f ca="1">IF(繳費報酬率資料!$A$1=1,$AY292+$AZ292,$BF292+$BG292)</f>
        <v>0</v>
      </c>
      <c r="AS292" s="1">
        <f ca="1">IF(C292&lt;&gt;IF($C$3=1,12,$C$3-1),0,IF(繳費報酬率資料!$A$1&lt;&gt;1,VLOOKUP($A292,MP,8,0),IF(AND($A292&gt;=OP!$C$79,$A292&lt;=OP!$C$80),OP!$C$78,)))</f>
        <v>0</v>
      </c>
      <c r="AT292" s="298">
        <f t="shared" ca="1" si="175"/>
        <v>0</v>
      </c>
      <c r="AU292" s="298">
        <f ca="1">IF(AND(A292&lt;=OP!$C$120,COUNTIF(PAY,C292)=1),OP!$C$123,0)</f>
        <v>0</v>
      </c>
      <c r="AV292" s="298">
        <f ca="1">IF(AND(A292&gt;=OP!$C$132,A292&lt;=OP!$C$133,$C$3=C292),OP!$C$135,0)</f>
        <v>0</v>
      </c>
      <c r="AW292" s="180">
        <f t="shared" ca="1" si="176"/>
        <v>0.05</v>
      </c>
      <c r="AX292" s="180">
        <f t="shared" ca="1" si="177"/>
        <v>0.05</v>
      </c>
      <c r="AY292" s="286">
        <f t="shared" ca="1" si="178"/>
        <v>0</v>
      </c>
      <c r="AZ292" s="286">
        <f t="shared" ca="1" si="179"/>
        <v>0</v>
      </c>
      <c r="BA292" s="286">
        <f t="shared" ca="1" si="180"/>
        <v>0</v>
      </c>
      <c r="BB292" s="286">
        <f t="shared" ca="1" si="181"/>
        <v>0</v>
      </c>
      <c r="BC292" s="286">
        <f t="shared" ca="1" si="182"/>
        <v>0</v>
      </c>
      <c r="BD292" s="180">
        <f t="shared" ca="1" si="183"/>
        <v>0.05</v>
      </c>
      <c r="BE292" s="180">
        <f t="shared" ca="1" si="184"/>
        <v>0.05</v>
      </c>
      <c r="BF292" s="286">
        <f t="shared" ca="1" si="185"/>
        <v>0</v>
      </c>
      <c r="BG292" s="286">
        <f t="shared" ca="1" si="186"/>
        <v>0</v>
      </c>
    </row>
    <row r="293" spans="1:59">
      <c r="A293" s="1">
        <f t="shared" ca="1" si="166"/>
        <v>25</v>
      </c>
      <c r="B293" s="1">
        <f t="shared" ca="1" si="159"/>
        <v>130</v>
      </c>
      <c r="C293" s="1">
        <f t="shared" ca="1" si="160"/>
        <v>7</v>
      </c>
      <c r="D293" s="1">
        <f ca="1">MIN($D$3,VLOOKUP(C293,OP!$S$30:$T$41,2))</f>
        <v>2</v>
      </c>
      <c r="E293" s="1">
        <f t="shared" ca="1" si="161"/>
        <v>79</v>
      </c>
      <c r="F293" s="11" t="str">
        <f t="shared" ca="1" si="167"/>
        <v/>
      </c>
      <c r="G293" s="8">
        <f t="shared" ref="G293:G303" ca="1" si="192">G292</f>
        <v>365</v>
      </c>
      <c r="H293" s="8">
        <f t="shared" ca="1" si="168"/>
        <v>31</v>
      </c>
      <c r="I293" s="8" t="str">
        <f t="shared" ca="1" si="165"/>
        <v>257</v>
      </c>
      <c r="J293" s="13">
        <f>IF(繳費報酬率資料!$A$1=1,VALUE(OP!$C$121),VLOOKUP(A293,MP,2,0))</f>
        <v>0.05</v>
      </c>
      <c r="K293" s="14">
        <f ca="1">IF(SUM($K$4:K292,IF(繳費報酬率資料!$A$1=1,$AU293+$AV293,$BB293+$BC293))&gt;OP!$L$58,0,IF(繳費報酬率資料!$A$1=1,$AU293+$AV293,$BB293+$BC293))</f>
        <v>0</v>
      </c>
      <c r="L293" s="2"/>
      <c r="M293" s="2"/>
      <c r="N293" s="2"/>
      <c r="O293" s="261">
        <f t="shared" ca="1" si="169"/>
        <v>0</v>
      </c>
      <c r="P293" s="261">
        <f t="shared" ca="1" si="187"/>
        <v>0</v>
      </c>
      <c r="Q293" s="3">
        <f ca="1">IF(A293&gt;MAX(OP!$R$17:$R$26),0,VLOOKUP(A293,fees,3,FALSE))</f>
        <v>0</v>
      </c>
      <c r="R293" s="200" t="str">
        <f t="shared" ca="1" si="170"/>
        <v/>
      </c>
      <c r="S293" s="9" t="str">
        <f ca="1">IF(COUNTIF(($T$4:T292),"F")&gt;=1,"",IF(OR(C294&lt;&gt;$C$3,E293=""),"",A293))</f>
        <v/>
      </c>
      <c r="T293" s="20" t="str">
        <f t="shared" ca="1" si="162"/>
        <v/>
      </c>
      <c r="U293" s="2">
        <f ca="1">IF(IF(OP!$C$83=1,$Z292,IF(OP!$C$83=2,$AA292,IF(OP!$C$83=3,$AB292,)))+$K293-$O293-$P293-$AS293&lt;OP!$C$142,0,$AS293)</f>
        <v>0</v>
      </c>
      <c r="V293" s="9"/>
      <c r="W293" s="19">
        <f ca="1">MAX(SUM($K$4:K293),0)</f>
        <v>2000000</v>
      </c>
      <c r="X293" s="19"/>
      <c r="Y293" s="19">
        <f t="shared" ca="1" si="188"/>
        <v>1920000</v>
      </c>
      <c r="Z293" s="2">
        <f ca="1">IF(MIN($Z$4:Z292)=0,0,MAX(0,($Z292+$K293-$O293-$P293)*IF(AND(F293="F",$D$3&lt;&gt;$G$3),((1+(-J293))^(H293/MIN(G293,365))),((1+(-J293))^(1/12)))-$U293))</f>
        <v>555846.68916886253</v>
      </c>
      <c r="AA293" s="2">
        <f ca="1">IF(MIN($AA$4:AA292)=0,0,MAX(0,($AA292+$K293-$O293-$P293)*IF(AND(F293="F",$D$3&lt;&gt;$G$3),((1+$AA$1)^(H293/MIN(G293,365))),((1+$AA$1)^(1/12)))-$U293))</f>
        <v>1920000</v>
      </c>
      <c r="AB293" s="2">
        <f ca="1">IF(MIN($AB$4:AB292)=0,0,MAX(0,($AB292+$K293-$O293-$P293)*IF(AND(F293="F",$D$3&lt;&gt;$G$3),((1+(J293))^(H293/MIN(G293,365))),((1+(J293))^(1/12)))-$U293))</f>
        <v>6242750.1854518373</v>
      </c>
      <c r="AC293" s="5"/>
      <c r="AD293" s="5"/>
      <c r="AE293" s="5"/>
      <c r="AF293" s="282">
        <f t="shared" ca="1" si="171"/>
        <v>555847</v>
      </c>
      <c r="AG293" s="282">
        <f t="shared" ca="1" si="172"/>
        <v>1920000</v>
      </c>
      <c r="AH293" s="282">
        <f t="shared" ca="1" si="173"/>
        <v>6242750</v>
      </c>
      <c r="AI293" s="23" t="str">
        <f t="shared" ca="1" si="189"/>
        <v>25-3</v>
      </c>
      <c r="AJ293" s="282">
        <f ca="1">IF(E293&gt;111,,IF(AND(OP!$C$99=1,T293="F"),Z293,IF(AND(OP!$C$99=2,COUNTIF($T$4:T293,"F")=1),OP!$C$97+IF(F293="F",OP!$C$98,0),"")))</f>
        <v>54527</v>
      </c>
      <c r="AK293" s="282">
        <f ca="1">IF(E293&gt;111,,IF(AND(OP!$D$99=1,T293="F"),AA293,IF(AND(OP!$D$99=2,COUNTIF($T$4:T293,"F")=1),OP!$D$97+IF(F293="F",OP!$D$98,0),"")))</f>
        <v>74177</v>
      </c>
      <c r="AL293" s="282">
        <f ca="1">IF(E293&gt;111,,IF(AND(OP!$E$99=1,T293="F"),AB293,IF(AND(OP!$E$99=2,COUNTIF($T$4:T293,"F")=1),OP!$E$97+IF(F293="F",OP!$E$98,0),"")))</f>
        <v>99404</v>
      </c>
      <c r="AM293" s="1">
        <f t="shared" ca="1" si="163"/>
        <v>3</v>
      </c>
      <c r="AN293" s="1" t="str">
        <f ca="1">IF(OR(VLOOKUP($A293,MP,5,0)="月繳"),1,"")</f>
        <v/>
      </c>
      <c r="AO293" s="1">
        <f t="shared" ca="1" si="174"/>
        <v>0</v>
      </c>
      <c r="AP293" s="1" t="str">
        <f ca="1">IF(AND(A293&lt;=OP!$C$120,COUNTIF(PAY,C293)=1),1,"")</f>
        <v/>
      </c>
      <c r="AR293" s="301">
        <f ca="1">IF(繳費報酬率資料!$A$1=1,$AY293+$AZ293,$BF293+$BG293)</f>
        <v>0</v>
      </c>
      <c r="AS293" s="1">
        <f ca="1">IF(C293&lt;&gt;IF($C$3=1,12,$C$3-1),0,IF(繳費報酬率資料!$A$1&lt;&gt;1,VLOOKUP($A293,MP,8,0),IF(AND($A293&gt;=OP!$C$79,$A293&lt;=OP!$C$80),OP!$C$78,)))</f>
        <v>0</v>
      </c>
      <c r="AT293" s="298">
        <f t="shared" ca="1" si="175"/>
        <v>0</v>
      </c>
      <c r="AU293" s="298">
        <f ca="1">IF(AND(A293&lt;=OP!$C$120,COUNTIF(PAY,C293)=1),OP!$C$123,0)</f>
        <v>0</v>
      </c>
      <c r="AV293" s="298">
        <f ca="1">IF(AND(A293&gt;=OP!$C$132,A293&lt;=OP!$C$133,$C$3=C293),OP!$C$135,0)</f>
        <v>0</v>
      </c>
      <c r="AW293" s="180">
        <f t="shared" ca="1" si="176"/>
        <v>0.05</v>
      </c>
      <c r="AX293" s="180">
        <f t="shared" ca="1" si="177"/>
        <v>0.05</v>
      </c>
      <c r="AY293" s="286">
        <f t="shared" ca="1" si="178"/>
        <v>0</v>
      </c>
      <c r="AZ293" s="286">
        <f t="shared" ca="1" si="179"/>
        <v>0</v>
      </c>
      <c r="BA293" s="286">
        <f t="shared" ca="1" si="180"/>
        <v>0</v>
      </c>
      <c r="BB293" s="286">
        <f t="shared" ca="1" si="181"/>
        <v>0</v>
      </c>
      <c r="BC293" s="286">
        <f t="shared" ca="1" si="182"/>
        <v>0</v>
      </c>
      <c r="BD293" s="180">
        <f t="shared" ca="1" si="183"/>
        <v>0.05</v>
      </c>
      <c r="BE293" s="180">
        <f t="shared" ca="1" si="184"/>
        <v>0.05</v>
      </c>
      <c r="BF293" s="286">
        <f t="shared" ca="1" si="185"/>
        <v>0</v>
      </c>
      <c r="BG293" s="286">
        <f t="shared" ca="1" si="186"/>
        <v>0</v>
      </c>
    </row>
    <row r="294" spans="1:59">
      <c r="A294" s="1">
        <f t="shared" ca="1" si="166"/>
        <v>25</v>
      </c>
      <c r="B294" s="1">
        <f t="shared" ca="1" si="159"/>
        <v>130</v>
      </c>
      <c r="C294" s="1">
        <f t="shared" ca="1" si="160"/>
        <v>8</v>
      </c>
      <c r="D294" s="1">
        <f ca="1">MIN($D$3,VLOOKUP(C294,OP!$S$30:$T$41,2))</f>
        <v>2</v>
      </c>
      <c r="E294" s="1">
        <f t="shared" ca="1" si="161"/>
        <v>79</v>
      </c>
      <c r="F294" s="11" t="str">
        <f t="shared" ca="1" si="167"/>
        <v/>
      </c>
      <c r="G294" s="8">
        <f t="shared" ca="1" si="192"/>
        <v>365</v>
      </c>
      <c r="H294" s="8">
        <f t="shared" ca="1" si="168"/>
        <v>31</v>
      </c>
      <c r="I294" s="8" t="str">
        <f t="shared" ca="1" si="165"/>
        <v>258</v>
      </c>
      <c r="J294" s="13">
        <f>IF(繳費報酬率資料!$A$1=1,VALUE(OP!$C$121),VLOOKUP(A294,MP,2,0))</f>
        <v>0.05</v>
      </c>
      <c r="K294" s="14">
        <f ca="1">IF(SUM($K$4:K293,IF(繳費報酬率資料!$A$1=1,$AU294+$AV294,$BB294+$BC294))&gt;OP!$L$58,0,IF(繳費報酬率資料!$A$1=1,$AU294+$AV294,$BB294+$BC294))</f>
        <v>0</v>
      </c>
      <c r="L294" s="2"/>
      <c r="M294" s="2"/>
      <c r="N294" s="2"/>
      <c r="O294" s="261">
        <f t="shared" ca="1" si="169"/>
        <v>0</v>
      </c>
      <c r="P294" s="261">
        <f t="shared" ca="1" si="187"/>
        <v>0</v>
      </c>
      <c r="Q294" s="3">
        <f ca="1">IF(A294&gt;MAX(OP!$R$17:$R$26),0,VLOOKUP(A294,fees,3,FALSE))</f>
        <v>0</v>
      </c>
      <c r="R294" s="200" t="str">
        <f t="shared" ca="1" si="170"/>
        <v/>
      </c>
      <c r="S294" s="9" t="str">
        <f ca="1">IF(COUNTIF(($T$4:T293),"F")&gt;=1,"",IF(OR(C295&lt;&gt;$C$3,E294=""),"",A294))</f>
        <v/>
      </c>
      <c r="T294" s="20" t="str">
        <f t="shared" ca="1" si="162"/>
        <v/>
      </c>
      <c r="U294" s="2">
        <f ca="1">IF(IF(OP!$C$83=1,$Z293,IF(OP!$C$83=2,$AA293,IF(OP!$C$83=3,$AB293,)))+$K294-$O294-$P294-$AS294&lt;OP!$C$142,0,$AS294)</f>
        <v>0</v>
      </c>
      <c r="V294" s="9"/>
      <c r="W294" s="19">
        <f ca="1">MAX(SUM($K$4:K294),0)</f>
        <v>2000000</v>
      </c>
      <c r="X294" s="19"/>
      <c r="Y294" s="19">
        <f t="shared" ca="1" si="188"/>
        <v>1920000</v>
      </c>
      <c r="Z294" s="2">
        <f ca="1">IF(MIN($Z$4:Z293)=0,0,MAX(0,($Z293+$K294-$O294-$P294)*IF(AND(F294="F",$D$3&lt;&gt;$G$3),((1+(-J294))^(H294/MIN(G294,365))),((1+(-J294))^(1/12)))-$U294))</f>
        <v>553475.82584810571</v>
      </c>
      <c r="AA294" s="2">
        <f ca="1">IF(MIN($AA$4:AA293)=0,0,MAX(0,($AA293+$K294-$O294-$P294)*IF(AND(F294="F",$D$3&lt;&gt;$G$3),((1+$AA$1)^(H294/MIN(G294,365))),((1+$AA$1)^(1/12)))-$U294))</f>
        <v>1920000</v>
      </c>
      <c r="AB294" s="2">
        <f ca="1">IF(MIN($AB$4:AB293)=0,0,MAX(0,($AB293+$K294-$O294-$P294)*IF(AND(F294="F",$D$3&lt;&gt;$G$3),((1+(J294))^(H294/MIN(G294,365))),((1+(J294))^(1/12)))-$U294))</f>
        <v>6268183.9224577621</v>
      </c>
      <c r="AC294" s="5"/>
      <c r="AD294" s="5"/>
      <c r="AE294" s="5"/>
      <c r="AF294" s="282">
        <f t="shared" ca="1" si="171"/>
        <v>553476</v>
      </c>
      <c r="AG294" s="282">
        <f t="shared" ca="1" si="172"/>
        <v>1920000</v>
      </c>
      <c r="AH294" s="282">
        <f t="shared" ca="1" si="173"/>
        <v>6268184</v>
      </c>
      <c r="AI294" s="23" t="str">
        <f t="shared" ca="1" si="189"/>
        <v>25-4</v>
      </c>
      <c r="AJ294" s="282">
        <f ca="1">IF(E294&gt;111,,IF(AND(OP!$C$99=1,T294="F"),Z294,IF(AND(OP!$C$99=2,COUNTIF($T$4:T294,"F")=1),OP!$C$97+IF(F294="F",OP!$C$98,0),"")))</f>
        <v>54527</v>
      </c>
      <c r="AK294" s="282">
        <f ca="1">IF(E294&gt;111,,IF(AND(OP!$D$99=1,T294="F"),AA294,IF(AND(OP!$D$99=2,COUNTIF($T$4:T294,"F")=1),OP!$D$97+IF(F294="F",OP!$D$98,0),"")))</f>
        <v>74177</v>
      </c>
      <c r="AL294" s="282">
        <f ca="1">IF(E294&gt;111,,IF(AND(OP!$E$99=1,T294="F"),AB294,IF(AND(OP!$E$99=2,COUNTIF($T$4:T294,"F")=1),OP!$E$97+IF(F294="F",OP!$E$98,0),"")))</f>
        <v>99404</v>
      </c>
      <c r="AM294" s="1">
        <f t="shared" ca="1" si="163"/>
        <v>4</v>
      </c>
      <c r="AN294" s="1" t="str">
        <f ca="1">IF(OR(VLOOKUP($A294,MP,5,0)="月繳"),1,"")</f>
        <v/>
      </c>
      <c r="AO294" s="1">
        <f t="shared" ca="1" si="174"/>
        <v>0</v>
      </c>
      <c r="AP294" s="1" t="str">
        <f ca="1">IF(AND(A294&lt;=OP!$C$120,COUNTIF(PAY,C294)=1),1,"")</f>
        <v/>
      </c>
      <c r="AR294" s="301">
        <f ca="1">IF(繳費報酬率資料!$A$1=1,$AY294+$AZ294,$BF294+$BG294)</f>
        <v>0</v>
      </c>
      <c r="AS294" s="1">
        <f ca="1">IF(C294&lt;&gt;IF($C$3=1,12,$C$3-1),0,IF(繳費報酬率資料!$A$1&lt;&gt;1,VLOOKUP($A294,MP,8,0),IF(AND($A294&gt;=OP!$C$79,$A294&lt;=OP!$C$80),OP!$C$78,)))</f>
        <v>0</v>
      </c>
      <c r="AT294" s="298">
        <f t="shared" ca="1" si="175"/>
        <v>0</v>
      </c>
      <c r="AU294" s="298">
        <f ca="1">IF(AND(A294&lt;=OP!$C$120,COUNTIF(PAY,C294)=1),OP!$C$123,0)</f>
        <v>0</v>
      </c>
      <c r="AV294" s="298">
        <f ca="1">IF(AND(A294&gt;=OP!$C$132,A294&lt;=OP!$C$133,$C$3=C294),OP!$C$135,0)</f>
        <v>0</v>
      </c>
      <c r="AW294" s="180">
        <f t="shared" ca="1" si="176"/>
        <v>0.05</v>
      </c>
      <c r="AX294" s="180">
        <f t="shared" ca="1" si="177"/>
        <v>0.05</v>
      </c>
      <c r="AY294" s="286">
        <f t="shared" ca="1" si="178"/>
        <v>0</v>
      </c>
      <c r="AZ294" s="286">
        <f t="shared" ca="1" si="179"/>
        <v>0</v>
      </c>
      <c r="BA294" s="286">
        <f t="shared" ca="1" si="180"/>
        <v>0</v>
      </c>
      <c r="BB294" s="286">
        <f t="shared" ca="1" si="181"/>
        <v>0</v>
      </c>
      <c r="BC294" s="286">
        <f t="shared" ca="1" si="182"/>
        <v>0</v>
      </c>
      <c r="BD294" s="180">
        <f t="shared" ca="1" si="183"/>
        <v>0.05</v>
      </c>
      <c r="BE294" s="180">
        <f t="shared" ca="1" si="184"/>
        <v>0.05</v>
      </c>
      <c r="BF294" s="286">
        <f t="shared" ca="1" si="185"/>
        <v>0</v>
      </c>
      <c r="BG294" s="286">
        <f t="shared" ca="1" si="186"/>
        <v>0</v>
      </c>
    </row>
    <row r="295" spans="1:59">
      <c r="A295" s="1">
        <f t="shared" ca="1" si="166"/>
        <v>25</v>
      </c>
      <c r="B295" s="1">
        <f t="shared" ca="1" si="159"/>
        <v>130</v>
      </c>
      <c r="C295" s="1">
        <f t="shared" ca="1" si="160"/>
        <v>9</v>
      </c>
      <c r="D295" s="1">
        <f ca="1">MIN($D$3,VLOOKUP(C295,OP!$S$30:$T$41,2))</f>
        <v>2</v>
      </c>
      <c r="E295" s="1">
        <f t="shared" ca="1" si="161"/>
        <v>79</v>
      </c>
      <c r="F295" s="11" t="str">
        <f t="shared" ca="1" si="167"/>
        <v/>
      </c>
      <c r="G295" s="8">
        <f t="shared" ca="1" si="192"/>
        <v>365</v>
      </c>
      <c r="H295" s="8">
        <f t="shared" ca="1" si="168"/>
        <v>30</v>
      </c>
      <c r="I295" s="8" t="str">
        <f t="shared" ca="1" si="165"/>
        <v>259</v>
      </c>
      <c r="J295" s="13">
        <f>IF(繳費報酬率資料!$A$1=1,VALUE(OP!$C$121),VLOOKUP(A295,MP,2,0))</f>
        <v>0.05</v>
      </c>
      <c r="K295" s="14">
        <f ca="1">IF(SUM($K$4:K294,IF(繳費報酬率資料!$A$1=1,$AU295+$AV295,$BB295+$BC295))&gt;OP!$L$58,0,IF(繳費報酬率資料!$A$1=1,$AU295+$AV295,$BB295+$BC295))</f>
        <v>0</v>
      </c>
      <c r="L295" s="2"/>
      <c r="M295" s="2"/>
      <c r="N295" s="2"/>
      <c r="O295" s="261">
        <f t="shared" ca="1" si="169"/>
        <v>0</v>
      </c>
      <c r="P295" s="261">
        <f t="shared" ca="1" si="187"/>
        <v>0</v>
      </c>
      <c r="Q295" s="3">
        <f ca="1">IF(A295&gt;MAX(OP!$R$17:$R$26),0,VLOOKUP(A295,fees,3,FALSE))</f>
        <v>0</v>
      </c>
      <c r="R295" s="200" t="str">
        <f t="shared" ca="1" si="170"/>
        <v/>
      </c>
      <c r="S295" s="9" t="str">
        <f ca="1">IF(COUNTIF(($T$4:T294),"F")&gt;=1,"",IF(OR(C296&lt;&gt;$C$3,E295=""),"",A295))</f>
        <v/>
      </c>
      <c r="T295" s="20" t="str">
        <f t="shared" ca="1" si="162"/>
        <v/>
      </c>
      <c r="U295" s="2">
        <f ca="1">IF(IF(OP!$C$83=1,$Z294,IF(OP!$C$83=2,$AA294,IF(OP!$C$83=3,$AB294,)))+$K295-$O295-$P295-$AS295&lt;OP!$C$142,0,$AS295)</f>
        <v>0</v>
      </c>
      <c r="V295" s="9"/>
      <c r="W295" s="19">
        <f ca="1">MAX(SUM($K$4:K295),0)</f>
        <v>2000000</v>
      </c>
      <c r="X295" s="19"/>
      <c r="Y295" s="19">
        <f t="shared" ca="1" si="188"/>
        <v>1920000</v>
      </c>
      <c r="Z295" s="2">
        <f ca="1">IF(MIN($Z$4:Z294)=0,0,MAX(0,($Z294+$K295-$O295-$P295)*IF(AND(F295="F",$D$3&lt;&gt;$G$3),((1+(-J295))^(H295/MIN(G295,365))),((1+(-J295))^(1/12)))-$U295))</f>
        <v>551115.07501518994</v>
      </c>
      <c r="AA295" s="2">
        <f ca="1">IF(MIN($AA$4:AA294)=0,0,MAX(0,($AA294+$K295-$O295-$P295)*IF(AND(F295="F",$D$3&lt;&gt;$G$3),((1+$AA$1)^(H295/MIN(G295,365))),((1+$AA$1)^(1/12)))-$U295))</f>
        <v>1920000</v>
      </c>
      <c r="AB295" s="2">
        <f ca="1">IF(MIN($AB$4:AB294)=0,0,MAX(0,($AB294+$K295-$O295-$P295)*IF(AND(F295="F",$D$3&lt;&gt;$G$3),((1+(J295))^(H295/MIN(G295,365))),((1+(J295))^(1/12)))-$U295))</f>
        <v>6293721.2796565294</v>
      </c>
      <c r="AC295" s="5"/>
      <c r="AD295" s="5"/>
      <c r="AE295" s="5"/>
      <c r="AF295" s="282">
        <f t="shared" ca="1" si="171"/>
        <v>551115</v>
      </c>
      <c r="AG295" s="282">
        <f t="shared" ca="1" si="172"/>
        <v>1920000</v>
      </c>
      <c r="AH295" s="282">
        <f t="shared" ca="1" si="173"/>
        <v>6293721</v>
      </c>
      <c r="AI295" s="23" t="str">
        <f t="shared" ca="1" si="189"/>
        <v>25-5</v>
      </c>
      <c r="AJ295" s="282">
        <f ca="1">IF(E295&gt;111,,IF(AND(OP!$C$99=1,T295="F"),Z295,IF(AND(OP!$C$99=2,COUNTIF($T$4:T295,"F")=1),OP!$C$97+IF(F295="F",OP!$C$98,0),"")))</f>
        <v>54527</v>
      </c>
      <c r="AK295" s="282">
        <f ca="1">IF(E295&gt;111,,IF(AND(OP!$D$99=1,T295="F"),AA295,IF(AND(OP!$D$99=2,COUNTIF($T$4:T295,"F")=1),OP!$D$97+IF(F295="F",OP!$D$98,0),"")))</f>
        <v>74177</v>
      </c>
      <c r="AL295" s="282">
        <f ca="1">IF(E295&gt;111,,IF(AND(OP!$E$99=1,T295="F"),AB295,IF(AND(OP!$E$99=2,COUNTIF($T$4:T295,"F")=1),OP!$E$97+IF(F295="F",OP!$E$98,0),"")))</f>
        <v>99404</v>
      </c>
      <c r="AM295" s="1">
        <f t="shared" ca="1" si="163"/>
        <v>5</v>
      </c>
      <c r="AN295" s="1" t="str">
        <f ca="1">IF(OR(VLOOKUP($A295,MP,5,0)="季繳",VLOOKUP($A295,MP,5,0)="月繳"),1,"")</f>
        <v/>
      </c>
      <c r="AO295" s="1">
        <f t="shared" ca="1" si="174"/>
        <v>0</v>
      </c>
      <c r="AP295" s="1" t="str">
        <f ca="1">IF(AND(A295&lt;=OP!$C$120,COUNTIF(PAY,C295)=1),1,"")</f>
        <v/>
      </c>
      <c r="AR295" s="301">
        <f ca="1">IF(繳費報酬率資料!$A$1=1,$AY295+$AZ295,$BF295+$BG295)</f>
        <v>0</v>
      </c>
      <c r="AS295" s="1">
        <f ca="1">IF(C295&lt;&gt;IF($C$3=1,12,$C$3-1),0,IF(繳費報酬率資料!$A$1&lt;&gt;1,VLOOKUP($A295,MP,8,0),IF(AND($A295&gt;=OP!$C$79,$A295&lt;=OP!$C$80),OP!$C$78,)))</f>
        <v>0</v>
      </c>
      <c r="AT295" s="298">
        <f t="shared" ca="1" si="175"/>
        <v>0</v>
      </c>
      <c r="AU295" s="298">
        <f ca="1">IF(AND(A295&lt;=OP!$C$120,COUNTIF(PAY,C295)=1),OP!$C$123,0)</f>
        <v>0</v>
      </c>
      <c r="AV295" s="298">
        <f ca="1">IF(AND(A295&gt;=OP!$C$132,A295&lt;=OP!$C$133,$C$3=C295),OP!$C$135,0)</f>
        <v>0</v>
      </c>
      <c r="AW295" s="180">
        <f t="shared" ca="1" si="176"/>
        <v>0.05</v>
      </c>
      <c r="AX295" s="180">
        <f t="shared" ca="1" si="177"/>
        <v>0.05</v>
      </c>
      <c r="AY295" s="286">
        <f t="shared" ca="1" si="178"/>
        <v>0</v>
      </c>
      <c r="AZ295" s="286">
        <f t="shared" ca="1" si="179"/>
        <v>0</v>
      </c>
      <c r="BA295" s="286">
        <f t="shared" ca="1" si="180"/>
        <v>0</v>
      </c>
      <c r="BB295" s="286">
        <f t="shared" ca="1" si="181"/>
        <v>0</v>
      </c>
      <c r="BC295" s="286">
        <f t="shared" ca="1" si="182"/>
        <v>0</v>
      </c>
      <c r="BD295" s="180">
        <f t="shared" ca="1" si="183"/>
        <v>0.05</v>
      </c>
      <c r="BE295" s="180">
        <f t="shared" ca="1" si="184"/>
        <v>0.05</v>
      </c>
      <c r="BF295" s="286">
        <f t="shared" ca="1" si="185"/>
        <v>0</v>
      </c>
      <c r="BG295" s="286">
        <f t="shared" ca="1" si="186"/>
        <v>0</v>
      </c>
    </row>
    <row r="296" spans="1:59">
      <c r="A296" s="1">
        <f t="shared" ca="1" si="166"/>
        <v>25</v>
      </c>
      <c r="B296" s="1">
        <f t="shared" ca="1" si="159"/>
        <v>130</v>
      </c>
      <c r="C296" s="1">
        <f t="shared" ca="1" si="160"/>
        <v>10</v>
      </c>
      <c r="D296" s="1">
        <f ca="1">MIN($D$3,VLOOKUP(C296,OP!$S$30:$T$41,2))</f>
        <v>2</v>
      </c>
      <c r="E296" s="1">
        <f t="shared" ca="1" si="161"/>
        <v>79</v>
      </c>
      <c r="F296" s="11" t="str">
        <f t="shared" ca="1" si="167"/>
        <v/>
      </c>
      <c r="G296" s="8">
        <f t="shared" ca="1" si="192"/>
        <v>365</v>
      </c>
      <c r="H296" s="8">
        <f t="shared" ca="1" si="168"/>
        <v>31</v>
      </c>
      <c r="I296" s="8" t="str">
        <f t="shared" ca="1" si="165"/>
        <v>2510</v>
      </c>
      <c r="J296" s="13">
        <f>IF(繳費報酬率資料!$A$1=1,VALUE(OP!$C$121),VLOOKUP(A296,MP,2,0))</f>
        <v>0.05</v>
      </c>
      <c r="K296" s="14">
        <f ca="1">IF(SUM($K$4:K295,IF(繳費報酬率資料!$A$1=1,$AU296+$AV296,$BB296+$BC296))&gt;OP!$L$58,0,IF(繳費報酬率資料!$A$1=1,$AU296+$AV296,$BB296+$BC296))</f>
        <v>0</v>
      </c>
      <c r="L296" s="2"/>
      <c r="M296" s="2"/>
      <c r="N296" s="2"/>
      <c r="O296" s="261">
        <f t="shared" ca="1" si="169"/>
        <v>0</v>
      </c>
      <c r="P296" s="261">
        <f t="shared" ca="1" si="187"/>
        <v>0</v>
      </c>
      <c r="Q296" s="3">
        <f ca="1">IF(A296&gt;MAX(OP!$R$17:$R$26),0,VLOOKUP(A296,fees,3,FALSE))</f>
        <v>0</v>
      </c>
      <c r="R296" s="200" t="str">
        <f t="shared" ca="1" si="170"/>
        <v/>
      </c>
      <c r="S296" s="9" t="str">
        <f ca="1">IF(COUNTIF(($T$4:T295),"F")&gt;=1,"",IF(OR(C297&lt;&gt;$C$3,E296=""),"",A296))</f>
        <v/>
      </c>
      <c r="T296" s="20" t="str">
        <f t="shared" ca="1" si="162"/>
        <v/>
      </c>
      <c r="U296" s="2">
        <f ca="1">IF(IF(OP!$C$83=1,$Z295,IF(OP!$C$83=2,$AA295,IF(OP!$C$83=3,$AB295,)))+$K296-$O296-$P296-$AS296&lt;OP!$C$142,0,$AS296)</f>
        <v>0</v>
      </c>
      <c r="V296" s="9"/>
      <c r="W296" s="19">
        <f ca="1">MAX(SUM($K$4:K296),0)</f>
        <v>2000000</v>
      </c>
      <c r="X296" s="19"/>
      <c r="Y296" s="19">
        <f t="shared" ca="1" si="188"/>
        <v>1920000</v>
      </c>
      <c r="Z296" s="2">
        <f ca="1">IF(MIN($Z$4:Z295)=0,0,MAX(0,($Z295+$K296-$O296-$P296)*IF(AND(F296="F",$D$3&lt;&gt;$G$3),((1+(-J296))^(H296/MIN(G296,365))),((1+(-J296))^(1/12)))-$U296))</f>
        <v>548764.39353713091</v>
      </c>
      <c r="AA296" s="2">
        <f ca="1">IF(MIN($AA$4:AA295)=0,0,MAX(0,($AA295+$K296-$O296-$P296)*IF(AND(F296="F",$D$3&lt;&gt;$G$3),((1+$AA$1)^(H296/MIN(G296,365))),((1+$AA$1)^(1/12)))-$U296))</f>
        <v>1920000</v>
      </c>
      <c r="AB296" s="2">
        <f ca="1">IF(MIN($AB$4:AB295)=0,0,MAX(0,($AB295+$K296-$O296-$P296)*IF(AND(F296="F",$D$3&lt;&gt;$G$3),((1+(J296))^(H296/MIN(G296,365))),((1+(J296))^(1/12)))-$U296))</f>
        <v>6319362.6792096319</v>
      </c>
      <c r="AC296" s="5"/>
      <c r="AD296" s="5"/>
      <c r="AE296" s="5"/>
      <c r="AF296" s="282">
        <f t="shared" ca="1" si="171"/>
        <v>548764</v>
      </c>
      <c r="AG296" s="282">
        <f t="shared" ca="1" si="172"/>
        <v>1920000</v>
      </c>
      <c r="AH296" s="282">
        <f t="shared" ca="1" si="173"/>
        <v>6319363</v>
      </c>
      <c r="AI296" s="23" t="str">
        <f t="shared" ca="1" si="189"/>
        <v>25-6</v>
      </c>
      <c r="AJ296" s="282">
        <f ca="1">IF(E296&gt;111,,IF(AND(OP!$C$99=1,T296="F"),Z296,IF(AND(OP!$C$99=2,COUNTIF($T$4:T296,"F")=1),OP!$C$97+IF(F296="F",OP!$C$98,0),"")))</f>
        <v>54527</v>
      </c>
      <c r="AK296" s="282">
        <f ca="1">IF(E296&gt;111,,IF(AND(OP!$D$99=1,T296="F"),AA296,IF(AND(OP!$D$99=2,COUNTIF($T$4:T296,"F")=1),OP!$D$97+IF(F296="F",OP!$D$98,0),"")))</f>
        <v>74177</v>
      </c>
      <c r="AL296" s="282">
        <f ca="1">IF(E296&gt;111,,IF(AND(OP!$E$99=1,T296="F"),AB296,IF(AND(OP!$E$99=2,COUNTIF($T$4:T296,"F")=1),OP!$E$97+IF(F296="F",OP!$E$98,0),"")))</f>
        <v>99404</v>
      </c>
      <c r="AM296" s="1">
        <f t="shared" ca="1" si="163"/>
        <v>6</v>
      </c>
      <c r="AN296" s="1" t="str">
        <f ca="1">IF(OR(VLOOKUP($A296,MP,5,0)="月繳"),1,"")</f>
        <v/>
      </c>
      <c r="AO296" s="1">
        <f t="shared" ca="1" si="174"/>
        <v>0</v>
      </c>
      <c r="AP296" s="1" t="str">
        <f ca="1">IF(AND(A296&lt;=OP!$C$120,COUNTIF(PAY,C296)=1),1,"")</f>
        <v/>
      </c>
      <c r="AR296" s="301">
        <f ca="1">IF(繳費報酬率資料!$A$1=1,$AY296+$AZ296,$BF296+$BG296)</f>
        <v>0</v>
      </c>
      <c r="AS296" s="1">
        <f ca="1">IF(C296&lt;&gt;IF($C$3=1,12,$C$3-1),0,IF(繳費報酬率資料!$A$1&lt;&gt;1,VLOOKUP($A296,MP,8,0),IF(AND($A296&gt;=OP!$C$79,$A296&lt;=OP!$C$80),OP!$C$78,)))</f>
        <v>0</v>
      </c>
      <c r="AT296" s="298">
        <f t="shared" ca="1" si="175"/>
        <v>0</v>
      </c>
      <c r="AU296" s="298">
        <f ca="1">IF(AND(A296&lt;=OP!$C$120,COUNTIF(PAY,C296)=1),OP!$C$123,0)</f>
        <v>0</v>
      </c>
      <c r="AV296" s="298">
        <f ca="1">IF(AND(A296&gt;=OP!$C$132,A296&lt;=OP!$C$133,$C$3=C296),OP!$C$135,0)</f>
        <v>0</v>
      </c>
      <c r="AW296" s="180">
        <f t="shared" ca="1" si="176"/>
        <v>0.05</v>
      </c>
      <c r="AX296" s="180">
        <f t="shared" ca="1" si="177"/>
        <v>0.05</v>
      </c>
      <c r="AY296" s="286">
        <f t="shared" ca="1" si="178"/>
        <v>0</v>
      </c>
      <c r="AZ296" s="286">
        <f t="shared" ca="1" si="179"/>
        <v>0</v>
      </c>
      <c r="BA296" s="286">
        <f t="shared" ca="1" si="180"/>
        <v>0</v>
      </c>
      <c r="BB296" s="286">
        <f t="shared" ca="1" si="181"/>
        <v>0</v>
      </c>
      <c r="BC296" s="286">
        <f t="shared" ca="1" si="182"/>
        <v>0</v>
      </c>
      <c r="BD296" s="180">
        <f t="shared" ca="1" si="183"/>
        <v>0.05</v>
      </c>
      <c r="BE296" s="180">
        <f t="shared" ca="1" si="184"/>
        <v>0.05</v>
      </c>
      <c r="BF296" s="286">
        <f t="shared" ca="1" si="185"/>
        <v>0</v>
      </c>
      <c r="BG296" s="286">
        <f t="shared" ca="1" si="186"/>
        <v>0</v>
      </c>
    </row>
    <row r="297" spans="1:59">
      <c r="A297" s="1">
        <f t="shared" ca="1" si="166"/>
        <v>25</v>
      </c>
      <c r="B297" s="1">
        <f t="shared" ca="1" si="159"/>
        <v>130</v>
      </c>
      <c r="C297" s="1">
        <f t="shared" ca="1" si="160"/>
        <v>11</v>
      </c>
      <c r="D297" s="1">
        <f ca="1">MIN($D$3,VLOOKUP(C297,OP!$S$30:$T$41,2))</f>
        <v>2</v>
      </c>
      <c r="E297" s="1">
        <f t="shared" ca="1" si="161"/>
        <v>79</v>
      </c>
      <c r="F297" s="11" t="str">
        <f t="shared" ca="1" si="167"/>
        <v/>
      </c>
      <c r="G297" s="8">
        <f t="shared" ca="1" si="192"/>
        <v>365</v>
      </c>
      <c r="H297" s="8">
        <f t="shared" ca="1" si="168"/>
        <v>30</v>
      </c>
      <c r="I297" s="8" t="str">
        <f t="shared" ca="1" si="165"/>
        <v>2511</v>
      </c>
      <c r="J297" s="13">
        <f>IF(繳費報酬率資料!$A$1=1,VALUE(OP!$C$121),VLOOKUP(A297,MP,2,0))</f>
        <v>0.05</v>
      </c>
      <c r="K297" s="14">
        <f ca="1">IF(SUM($K$4:K296,IF(繳費報酬率資料!$A$1=1,$AU297+$AV297,$BB297+$BC297))&gt;OP!$L$58,0,IF(繳費報酬率資料!$A$1=1,$AU297+$AV297,$BB297+$BC297))</f>
        <v>0</v>
      </c>
      <c r="L297" s="2"/>
      <c r="M297" s="2"/>
      <c r="N297" s="2"/>
      <c r="O297" s="261">
        <f t="shared" ca="1" si="169"/>
        <v>0</v>
      </c>
      <c r="P297" s="261">
        <f t="shared" ca="1" si="187"/>
        <v>0</v>
      </c>
      <c r="Q297" s="3">
        <f ca="1">IF(A297&gt;MAX(OP!$R$17:$R$26),0,VLOOKUP(A297,fees,3,FALSE))</f>
        <v>0</v>
      </c>
      <c r="R297" s="200" t="str">
        <f t="shared" ca="1" si="170"/>
        <v/>
      </c>
      <c r="S297" s="9" t="str">
        <f ca="1">IF(COUNTIF(($T$4:T296),"F")&gt;=1,"",IF(OR(C298&lt;&gt;$C$3,E297=""),"",A297))</f>
        <v/>
      </c>
      <c r="T297" s="20" t="str">
        <f t="shared" ca="1" si="162"/>
        <v/>
      </c>
      <c r="U297" s="2">
        <f ca="1">IF(IF(OP!$C$83=1,$Z296,IF(OP!$C$83=2,$AA296,IF(OP!$C$83=3,$AB296,)))+$K297-$O297-$P297-$AS297&lt;OP!$C$142,0,$AS297)</f>
        <v>0</v>
      </c>
      <c r="V297" s="9"/>
      <c r="W297" s="19">
        <f ca="1">MAX(SUM($K$4:K297),0)</f>
        <v>2000000</v>
      </c>
      <c r="X297" s="19"/>
      <c r="Y297" s="19">
        <f t="shared" ca="1" si="188"/>
        <v>1920000</v>
      </c>
      <c r="Z297" s="2">
        <f ca="1">IF(MIN($Z$4:Z296)=0,0,MAX(0,($Z296+$K297-$O297-$P297)*IF(AND(F297="F",$D$3&lt;&gt;$G$3),((1+(-J297))^(H297/MIN(G297,365))),((1+(-J297))^(1/12)))-$U297))</f>
        <v>546423.73846492032</v>
      </c>
      <c r="AA297" s="2">
        <f ca="1">IF(MIN($AA$4:AA296)=0,0,MAX(0,($AA296+$K297-$O297-$P297)*IF(AND(F297="F",$D$3&lt;&gt;$G$3),((1+$AA$1)^(H297/MIN(G297,365))),((1+$AA$1)^(1/12)))-$U297))</f>
        <v>1920000</v>
      </c>
      <c r="AB297" s="2">
        <f ca="1">IF(MIN($AB$4:AB296)=0,0,MAX(0,($AB296+$K297-$O297-$P297)*IF(AND(F297="F",$D$3&lt;&gt;$G$3),((1+(J297))^(H297/MIN(G297,365))),((1+(J297))^(1/12)))-$U297))</f>
        <v>6345108.5449984996</v>
      </c>
      <c r="AC297" s="5"/>
      <c r="AD297" s="5"/>
      <c r="AE297" s="5"/>
      <c r="AF297" s="282">
        <f t="shared" ca="1" si="171"/>
        <v>546424</v>
      </c>
      <c r="AG297" s="282">
        <f t="shared" ca="1" si="172"/>
        <v>1920000</v>
      </c>
      <c r="AH297" s="282">
        <f t="shared" ca="1" si="173"/>
        <v>6345109</v>
      </c>
      <c r="AI297" s="23" t="str">
        <f t="shared" ca="1" si="189"/>
        <v>25-7</v>
      </c>
      <c r="AJ297" s="282">
        <f ca="1">IF(E297&gt;111,,IF(AND(OP!$C$99=1,T297="F"),Z297,IF(AND(OP!$C$99=2,COUNTIF($T$4:T297,"F")=1),OP!$C$97+IF(F297="F",OP!$C$98,0),"")))</f>
        <v>54527</v>
      </c>
      <c r="AK297" s="282">
        <f ca="1">IF(E297&gt;111,,IF(AND(OP!$D$99=1,T297="F"),AA297,IF(AND(OP!$D$99=2,COUNTIF($T$4:T297,"F")=1),OP!$D$97+IF(F297="F",OP!$D$98,0),"")))</f>
        <v>74177</v>
      </c>
      <c r="AL297" s="282">
        <f ca="1">IF(E297&gt;111,,IF(AND(OP!$E$99=1,T297="F"),AB297,IF(AND(OP!$E$99=2,COUNTIF($T$4:T297,"F")=1),OP!$E$97+IF(F297="F",OP!$E$98,0),"")))</f>
        <v>99404</v>
      </c>
      <c r="AM297" s="1">
        <f t="shared" ca="1" si="163"/>
        <v>7</v>
      </c>
      <c r="AN297" s="1" t="str">
        <f ca="1">IF(OR(VLOOKUP($A297,MP,5,0)="月繳"),1,"")</f>
        <v/>
      </c>
      <c r="AO297" s="1">
        <f t="shared" ca="1" si="174"/>
        <v>0</v>
      </c>
      <c r="AP297" s="1" t="str">
        <f ca="1">IF(AND(A297&lt;=OP!$C$120,COUNTIF(PAY,C297)=1),1,"")</f>
        <v/>
      </c>
      <c r="AR297" s="301">
        <f ca="1">IF(繳費報酬率資料!$A$1=1,$AY297+$AZ297,$BF297+$BG297)</f>
        <v>0</v>
      </c>
      <c r="AS297" s="1">
        <f ca="1">IF(C297&lt;&gt;IF($C$3=1,12,$C$3-1),0,IF(繳費報酬率資料!$A$1&lt;&gt;1,VLOOKUP($A297,MP,8,0),IF(AND($A297&gt;=OP!$C$79,$A297&lt;=OP!$C$80),OP!$C$78,)))</f>
        <v>0</v>
      </c>
      <c r="AT297" s="298">
        <f t="shared" ca="1" si="175"/>
        <v>0</v>
      </c>
      <c r="AU297" s="298">
        <f ca="1">IF(AND(A297&lt;=OP!$C$120,COUNTIF(PAY,C297)=1),OP!$C$123,0)</f>
        <v>0</v>
      </c>
      <c r="AV297" s="298">
        <f ca="1">IF(AND(A297&gt;=OP!$C$132,A297&lt;=OP!$C$133,$C$3=C297),OP!$C$135,0)</f>
        <v>0</v>
      </c>
      <c r="AW297" s="180">
        <f t="shared" ca="1" si="176"/>
        <v>0.05</v>
      </c>
      <c r="AX297" s="180">
        <f t="shared" ca="1" si="177"/>
        <v>0.05</v>
      </c>
      <c r="AY297" s="286">
        <f t="shared" ca="1" si="178"/>
        <v>0</v>
      </c>
      <c r="AZ297" s="286">
        <f t="shared" ca="1" si="179"/>
        <v>0</v>
      </c>
      <c r="BA297" s="286">
        <f t="shared" ca="1" si="180"/>
        <v>0</v>
      </c>
      <c r="BB297" s="286">
        <f t="shared" ca="1" si="181"/>
        <v>0</v>
      </c>
      <c r="BC297" s="286">
        <f t="shared" ca="1" si="182"/>
        <v>0</v>
      </c>
      <c r="BD297" s="180">
        <f t="shared" ca="1" si="183"/>
        <v>0.05</v>
      </c>
      <c r="BE297" s="180">
        <f t="shared" ca="1" si="184"/>
        <v>0.05</v>
      </c>
      <c r="BF297" s="286">
        <f t="shared" ca="1" si="185"/>
        <v>0</v>
      </c>
      <c r="BG297" s="286">
        <f t="shared" ca="1" si="186"/>
        <v>0</v>
      </c>
    </row>
    <row r="298" spans="1:59">
      <c r="A298" s="1">
        <f t="shared" ca="1" si="166"/>
        <v>25</v>
      </c>
      <c r="B298" s="1">
        <f t="shared" ca="1" si="159"/>
        <v>130</v>
      </c>
      <c r="C298" s="1">
        <f t="shared" ca="1" si="160"/>
        <v>12</v>
      </c>
      <c r="D298" s="1">
        <f ca="1">MIN($D$3,VLOOKUP(C298,OP!$S$30:$T$41,2))</f>
        <v>2</v>
      </c>
      <c r="E298" s="1">
        <f t="shared" ca="1" si="161"/>
        <v>79</v>
      </c>
      <c r="F298" s="11" t="str">
        <f t="shared" ca="1" si="167"/>
        <v/>
      </c>
      <c r="G298" s="8">
        <f t="shared" ca="1" si="192"/>
        <v>365</v>
      </c>
      <c r="H298" s="8">
        <f t="shared" ca="1" si="168"/>
        <v>31</v>
      </c>
      <c r="I298" s="8" t="str">
        <f t="shared" ca="1" si="165"/>
        <v>2512</v>
      </c>
      <c r="J298" s="13">
        <f>IF(繳費報酬率資料!$A$1=1,VALUE(OP!$C$121),VLOOKUP(A298,MP,2,0))</f>
        <v>0.05</v>
      </c>
      <c r="K298" s="14">
        <f ca="1">IF(SUM($K$4:K297,IF(繳費報酬率資料!$A$1=1,$AU298+$AV298,$BB298+$BC298))&gt;OP!$L$58,0,IF(繳費報酬率資料!$A$1=1,$AU298+$AV298,$BB298+$BC298))</f>
        <v>0</v>
      </c>
      <c r="L298" s="2"/>
      <c r="M298" s="2"/>
      <c r="N298" s="2"/>
      <c r="O298" s="261">
        <f t="shared" ca="1" si="169"/>
        <v>0</v>
      </c>
      <c r="P298" s="261">
        <f t="shared" ca="1" si="187"/>
        <v>0</v>
      </c>
      <c r="Q298" s="3">
        <f ca="1">IF(A298&gt;MAX(OP!$R$17:$R$26),0,VLOOKUP(A298,fees,3,FALSE))</f>
        <v>0</v>
      </c>
      <c r="R298" s="200" t="str">
        <f t="shared" ca="1" si="170"/>
        <v/>
      </c>
      <c r="S298" s="9" t="str">
        <f ca="1">IF(COUNTIF(($T$4:T297),"F")&gt;=1,"",IF(OR(C299&lt;&gt;$C$3,E298=""),"",A298))</f>
        <v/>
      </c>
      <c r="T298" s="20" t="str">
        <f t="shared" ca="1" si="162"/>
        <v/>
      </c>
      <c r="U298" s="2">
        <f ca="1">IF(IF(OP!$C$83=1,$Z297,IF(OP!$C$83=2,$AA297,IF(OP!$C$83=3,$AB297,)))+$K298-$O298-$P298-$AS298&lt;OP!$C$142,0,$AS298)</f>
        <v>0</v>
      </c>
      <c r="V298" s="9"/>
      <c r="W298" s="19">
        <f ca="1">MAX(SUM($K$4:K298),0)</f>
        <v>2000000</v>
      </c>
      <c r="X298" s="19"/>
      <c r="Y298" s="19">
        <f t="shared" ca="1" si="188"/>
        <v>1920000</v>
      </c>
      <c r="Z298" s="2">
        <f ca="1">IF(MIN($Z$4:Z297)=0,0,MAX(0,($Z297+$K298-$O298-$P298)*IF(AND(F298="F",$D$3&lt;&gt;$G$3),((1+(-J298))^(H298/MIN(G298,365))),((1+(-J298))^(1/12)))-$U298))</f>
        <v>544093.06703274103</v>
      </c>
      <c r="AA298" s="2">
        <f ca="1">IF(MIN($AA$4:AA297)=0,0,MAX(0,($AA297+$K298-$O298-$P298)*IF(AND(F298="F",$D$3&lt;&gt;$G$3),((1+$AA$1)^(H298/MIN(G298,365))),((1+$AA$1)^(1/12)))-$U298))</f>
        <v>1920000</v>
      </c>
      <c r="AB298" s="2">
        <f ca="1">IF(MIN($AB$4:AB297)=0,0,MAX(0,($AB297+$K298-$O298-$P298)*IF(AND(F298="F",$D$3&lt;&gt;$G$3),((1+(J298))^(H298/MIN(G298,365))),((1+(J298))^(1/12)))-$U298))</f>
        <v>6370959.3026315086</v>
      </c>
      <c r="AC298" s="5"/>
      <c r="AD298" s="5"/>
      <c r="AE298" s="5"/>
      <c r="AF298" s="282">
        <f t="shared" ca="1" si="171"/>
        <v>544093</v>
      </c>
      <c r="AG298" s="282">
        <f t="shared" ca="1" si="172"/>
        <v>1920000</v>
      </c>
      <c r="AH298" s="282">
        <f t="shared" ca="1" si="173"/>
        <v>6370959</v>
      </c>
      <c r="AI298" s="23" t="str">
        <f t="shared" ca="1" si="189"/>
        <v>25-8</v>
      </c>
      <c r="AJ298" s="282">
        <f ca="1">IF(E298&gt;111,,IF(AND(OP!$C$99=1,T298="F"),Z298,IF(AND(OP!$C$99=2,COUNTIF($T$4:T298,"F")=1),OP!$C$97+IF(F298="F",OP!$C$98,0),"")))</f>
        <v>54527</v>
      </c>
      <c r="AK298" s="282">
        <f ca="1">IF(E298&gt;111,,IF(AND(OP!$D$99=1,T298="F"),AA298,IF(AND(OP!$D$99=2,COUNTIF($T$4:T298,"F")=1),OP!$D$97+IF(F298="F",OP!$D$98,0),"")))</f>
        <v>74177</v>
      </c>
      <c r="AL298" s="282">
        <f ca="1">IF(E298&gt;111,,IF(AND(OP!$E$99=1,T298="F"),AB298,IF(AND(OP!$E$99=2,COUNTIF($T$4:T298,"F")=1),OP!$E$97+IF(F298="F",OP!$E$98,0),"")))</f>
        <v>99404</v>
      </c>
      <c r="AM298" s="1">
        <f t="shared" ca="1" si="163"/>
        <v>8</v>
      </c>
      <c r="AN298" s="1" t="str">
        <f ca="1">IF(OR(VLOOKUP($A298,MP,5,0)="半年繳",VLOOKUP($A298,MP,5,0)="季繳",VLOOKUP($A298,MP,5,0)="月繳"),1,"")</f>
        <v/>
      </c>
      <c r="AO298" s="1">
        <f t="shared" ca="1" si="174"/>
        <v>0</v>
      </c>
      <c r="AP298" s="1" t="str">
        <f ca="1">IF(AND(A298&lt;=OP!$C$120,COUNTIF(PAY,C298)=1),1,"")</f>
        <v/>
      </c>
      <c r="AR298" s="301">
        <f ca="1">IF(繳費報酬率資料!$A$1=1,$AY298+$AZ298,$BF298+$BG298)</f>
        <v>0</v>
      </c>
      <c r="AS298" s="1">
        <f ca="1">IF(C298&lt;&gt;IF($C$3=1,12,$C$3-1),0,IF(繳費報酬率資料!$A$1&lt;&gt;1,VLOOKUP($A298,MP,8,0),IF(AND($A298&gt;=OP!$C$79,$A298&lt;=OP!$C$80),OP!$C$78,)))</f>
        <v>0</v>
      </c>
      <c r="AT298" s="298">
        <f t="shared" ca="1" si="175"/>
        <v>0</v>
      </c>
      <c r="AU298" s="298">
        <f ca="1">IF(AND(A298&lt;=OP!$C$120,COUNTIF(PAY,C298)=1),OP!$C$123,0)</f>
        <v>0</v>
      </c>
      <c r="AV298" s="298">
        <f ca="1">IF(AND(A298&gt;=OP!$C$132,A298&lt;=OP!$C$133,$C$3=C298),OP!$C$135,0)</f>
        <v>0</v>
      </c>
      <c r="AW298" s="180">
        <f t="shared" ca="1" si="176"/>
        <v>0.05</v>
      </c>
      <c r="AX298" s="180">
        <f t="shared" ca="1" si="177"/>
        <v>0.05</v>
      </c>
      <c r="AY298" s="286">
        <f t="shared" ca="1" si="178"/>
        <v>0</v>
      </c>
      <c r="AZ298" s="286">
        <f t="shared" ca="1" si="179"/>
        <v>0</v>
      </c>
      <c r="BA298" s="286">
        <f t="shared" ca="1" si="180"/>
        <v>0</v>
      </c>
      <c r="BB298" s="286">
        <f t="shared" ca="1" si="181"/>
        <v>0</v>
      </c>
      <c r="BC298" s="286">
        <f t="shared" ca="1" si="182"/>
        <v>0</v>
      </c>
      <c r="BD298" s="180">
        <f t="shared" ca="1" si="183"/>
        <v>0.05</v>
      </c>
      <c r="BE298" s="180">
        <f t="shared" ca="1" si="184"/>
        <v>0.05</v>
      </c>
      <c r="BF298" s="286">
        <f t="shared" ca="1" si="185"/>
        <v>0</v>
      </c>
      <c r="BG298" s="286">
        <f t="shared" ca="1" si="186"/>
        <v>0</v>
      </c>
    </row>
    <row r="299" spans="1:59">
      <c r="A299" s="1">
        <f t="shared" ca="1" si="166"/>
        <v>25</v>
      </c>
      <c r="B299" s="1">
        <f t="shared" ca="1" si="159"/>
        <v>131</v>
      </c>
      <c r="C299" s="1">
        <f t="shared" ca="1" si="160"/>
        <v>1</v>
      </c>
      <c r="D299" s="1">
        <f ca="1">MIN($D$3,VLOOKUP(C299,OP!$S$30:$T$41,2))</f>
        <v>2</v>
      </c>
      <c r="E299" s="1">
        <f t="shared" ca="1" si="161"/>
        <v>79</v>
      </c>
      <c r="F299" s="11" t="str">
        <f t="shared" ca="1" si="167"/>
        <v/>
      </c>
      <c r="G299" s="8">
        <f t="shared" ca="1" si="192"/>
        <v>365</v>
      </c>
      <c r="H299" s="8">
        <f t="shared" ca="1" si="168"/>
        <v>31</v>
      </c>
      <c r="I299" s="8" t="str">
        <f t="shared" ca="1" si="165"/>
        <v>251</v>
      </c>
      <c r="J299" s="13">
        <f>IF(繳費報酬率資料!$A$1=1,VALUE(OP!$C$121),VLOOKUP(A299,MP,2,0))</f>
        <v>0.05</v>
      </c>
      <c r="K299" s="14">
        <f ca="1">IF(SUM($K$4:K298,IF(繳費報酬率資料!$A$1=1,$AU299+$AV299,$BB299+$BC299))&gt;OP!$L$58,0,IF(繳費報酬率資料!$A$1=1,$AU299+$AV299,$BB299+$BC299))</f>
        <v>0</v>
      </c>
      <c r="L299" s="2"/>
      <c r="M299" s="2"/>
      <c r="N299" s="2"/>
      <c r="O299" s="261">
        <f t="shared" ca="1" si="169"/>
        <v>0</v>
      </c>
      <c r="P299" s="261">
        <f t="shared" ca="1" si="187"/>
        <v>0</v>
      </c>
      <c r="Q299" s="3">
        <f ca="1">IF(A299&gt;MAX(OP!$R$17:$R$26),0,VLOOKUP(A299,fees,3,FALSE))</f>
        <v>0</v>
      </c>
      <c r="R299" s="200" t="str">
        <f t="shared" ca="1" si="170"/>
        <v/>
      </c>
      <c r="S299" s="9" t="str">
        <f ca="1">IF(COUNTIF(($T$4:T298),"F")&gt;=1,"",IF(OR(C300&lt;&gt;$C$3,E299=""),"",A299))</f>
        <v/>
      </c>
      <c r="T299" s="20" t="str">
        <f t="shared" ca="1" si="162"/>
        <v/>
      </c>
      <c r="U299" s="2">
        <f ca="1">IF(IF(OP!$C$83=1,$Z298,IF(OP!$C$83=2,$AA298,IF(OP!$C$83=3,$AB298,)))+$K299-$O299-$P299-$AS299&lt;OP!$C$142,0,$AS299)</f>
        <v>0</v>
      </c>
      <c r="V299" s="9"/>
      <c r="W299" s="19">
        <f ca="1">MAX(SUM($K$4:K299),0)</f>
        <v>2000000</v>
      </c>
      <c r="X299" s="19"/>
      <c r="Y299" s="19">
        <f t="shared" ca="1" si="188"/>
        <v>1920000</v>
      </c>
      <c r="Z299" s="2">
        <f ca="1">IF(MIN($Z$4:Z298)=0,0,MAX(0,($Z298+$K299-$O299-$P299)*IF(AND(F299="F",$D$3&lt;&gt;$G$3),((1+(-J299))^(H299/MIN(G299,365))),((1+(-J299))^(1/12)))-$U299))</f>
        <v>541772.33665718569</v>
      </c>
      <c r="AA299" s="2">
        <f ca="1">IF(MIN($AA$4:AA298)=0,0,MAX(0,($AA298+$K299-$O299-$P299)*IF(AND(F299="F",$D$3&lt;&gt;$G$3),((1+$AA$1)^(H299/MIN(G299,365))),((1+$AA$1)^(1/12)))-$U299))</f>
        <v>1920000</v>
      </c>
      <c r="AB299" s="2">
        <f ca="1">IF(MIN($AB$4:AB298)=0,0,MAX(0,($AB298+$K299-$O299-$P299)*IF(AND(F299="F",$D$3&lt;&gt;$G$3),((1+(J299))^(H299/MIN(G299,365))),((1+(J299))^(1/12)))-$U299))</f>
        <v>6396915.379451015</v>
      </c>
      <c r="AC299" s="5"/>
      <c r="AD299" s="5"/>
      <c r="AE299" s="5"/>
      <c r="AF299" s="282">
        <f t="shared" ca="1" si="171"/>
        <v>541772</v>
      </c>
      <c r="AG299" s="282">
        <f t="shared" ca="1" si="172"/>
        <v>1920000</v>
      </c>
      <c r="AH299" s="282">
        <f t="shared" ca="1" si="173"/>
        <v>6396915</v>
      </c>
      <c r="AI299" s="23" t="str">
        <f t="shared" ca="1" si="189"/>
        <v>25-9</v>
      </c>
      <c r="AJ299" s="282">
        <f ca="1">IF(E299&gt;111,,IF(AND(OP!$C$99=1,T299="F"),Z299,IF(AND(OP!$C$99=2,COUNTIF($T$4:T299,"F")=1),OP!$C$97+IF(F299="F",OP!$C$98,0),"")))</f>
        <v>54527</v>
      </c>
      <c r="AK299" s="282">
        <f ca="1">IF(E299&gt;111,,IF(AND(OP!$D$99=1,T299="F"),AA299,IF(AND(OP!$D$99=2,COUNTIF($T$4:T299,"F")=1),OP!$D$97+IF(F299="F",OP!$D$98,0),"")))</f>
        <v>74177</v>
      </c>
      <c r="AL299" s="282">
        <f ca="1">IF(E299&gt;111,,IF(AND(OP!$E$99=1,T299="F"),AB299,IF(AND(OP!$E$99=2,COUNTIF($T$4:T299,"F")=1),OP!$E$97+IF(F299="F",OP!$E$98,0),"")))</f>
        <v>99404</v>
      </c>
      <c r="AM299" s="1">
        <f t="shared" ca="1" si="163"/>
        <v>9</v>
      </c>
      <c r="AN299" s="1" t="str">
        <f ca="1">IF(OR(VLOOKUP($A299,MP,5,0)="月繳"),1,"")</f>
        <v/>
      </c>
      <c r="AO299" s="1">
        <f t="shared" ca="1" si="174"/>
        <v>0</v>
      </c>
      <c r="AP299" s="1" t="str">
        <f ca="1">IF(AND(A299&lt;=OP!$C$120,COUNTIF(PAY,C299)=1),1,"")</f>
        <v/>
      </c>
      <c r="AR299" s="301">
        <f ca="1">IF(繳費報酬率資料!$A$1=1,$AY299+$AZ299,$BF299+$BG299)</f>
        <v>0</v>
      </c>
      <c r="AS299" s="1">
        <f ca="1">IF(C299&lt;&gt;IF($C$3=1,12,$C$3-1),0,IF(繳費報酬率資料!$A$1&lt;&gt;1,VLOOKUP($A299,MP,8,0),IF(AND($A299&gt;=OP!$C$79,$A299&lt;=OP!$C$80),OP!$C$78,)))</f>
        <v>0</v>
      </c>
      <c r="AT299" s="298">
        <f t="shared" ca="1" si="175"/>
        <v>0</v>
      </c>
      <c r="AU299" s="298">
        <f ca="1">IF(AND(A299&lt;=OP!$C$120,COUNTIF(PAY,C299)=1),OP!$C$123,0)</f>
        <v>0</v>
      </c>
      <c r="AV299" s="298">
        <f ca="1">IF(AND(A299&gt;=OP!$C$132,A299&lt;=OP!$C$133,$C$3=C299),OP!$C$135,0)</f>
        <v>0</v>
      </c>
      <c r="AW299" s="180">
        <f t="shared" ca="1" si="176"/>
        <v>0.05</v>
      </c>
      <c r="AX299" s="180">
        <f t="shared" ca="1" si="177"/>
        <v>0.05</v>
      </c>
      <c r="AY299" s="286">
        <f t="shared" ca="1" si="178"/>
        <v>0</v>
      </c>
      <c r="AZ299" s="286">
        <f t="shared" ca="1" si="179"/>
        <v>0</v>
      </c>
      <c r="BA299" s="286">
        <f t="shared" ca="1" si="180"/>
        <v>0</v>
      </c>
      <c r="BB299" s="286">
        <f t="shared" ca="1" si="181"/>
        <v>0</v>
      </c>
      <c r="BC299" s="286">
        <f t="shared" ca="1" si="182"/>
        <v>0</v>
      </c>
      <c r="BD299" s="180">
        <f t="shared" ca="1" si="183"/>
        <v>0.05</v>
      </c>
      <c r="BE299" s="180">
        <f t="shared" ca="1" si="184"/>
        <v>0.05</v>
      </c>
      <c r="BF299" s="286">
        <f t="shared" ca="1" si="185"/>
        <v>0</v>
      </c>
      <c r="BG299" s="286">
        <f t="shared" ca="1" si="186"/>
        <v>0</v>
      </c>
    </row>
    <row r="300" spans="1:59">
      <c r="A300" s="1">
        <f t="shared" ca="1" si="166"/>
        <v>25</v>
      </c>
      <c r="B300" s="1">
        <f t="shared" ca="1" si="159"/>
        <v>131</v>
      </c>
      <c r="C300" s="1">
        <f t="shared" ca="1" si="160"/>
        <v>2</v>
      </c>
      <c r="D300" s="1">
        <f ca="1">MIN($D$3,VLOOKUP(C300,OP!$S$30:$T$41,2))</f>
        <v>2</v>
      </c>
      <c r="E300" s="1">
        <f t="shared" ca="1" si="161"/>
        <v>79</v>
      </c>
      <c r="F300" s="11" t="str">
        <f t="shared" ca="1" si="167"/>
        <v/>
      </c>
      <c r="G300" s="8">
        <f t="shared" ca="1" si="192"/>
        <v>365</v>
      </c>
      <c r="H300" s="8">
        <f t="shared" ca="1" si="168"/>
        <v>28</v>
      </c>
      <c r="I300" s="8" t="str">
        <f t="shared" ca="1" si="165"/>
        <v>252</v>
      </c>
      <c r="J300" s="13">
        <f>IF(繳費報酬率資料!$A$1=1,VALUE(OP!$C$121),VLOOKUP(A300,MP,2,0))</f>
        <v>0.05</v>
      </c>
      <c r="K300" s="14">
        <f ca="1">IF(SUM($K$4:K299,IF(繳費報酬率資料!$A$1=1,$AU300+$AV300,$BB300+$BC300))&gt;OP!$L$58,0,IF(繳費報酬率資料!$A$1=1,$AU300+$AV300,$BB300+$BC300))</f>
        <v>0</v>
      </c>
      <c r="L300" s="2"/>
      <c r="M300" s="2"/>
      <c r="N300" s="2"/>
      <c r="O300" s="261">
        <f t="shared" ca="1" si="169"/>
        <v>0</v>
      </c>
      <c r="P300" s="261">
        <f t="shared" ca="1" si="187"/>
        <v>0</v>
      </c>
      <c r="Q300" s="3">
        <f ca="1">IF(A300&gt;MAX(OP!$R$17:$R$26),0,VLOOKUP(A300,fees,3,FALSE))</f>
        <v>0</v>
      </c>
      <c r="R300" s="200" t="str">
        <f t="shared" ca="1" si="170"/>
        <v/>
      </c>
      <c r="S300" s="9" t="str">
        <f ca="1">IF(COUNTIF(($T$4:T299),"F")&gt;=1,"",IF(OR(C301&lt;&gt;$C$3,E300=""),"",A300))</f>
        <v/>
      </c>
      <c r="T300" s="20" t="str">
        <f t="shared" ca="1" si="162"/>
        <v/>
      </c>
      <c r="U300" s="2">
        <f ca="1">IF(IF(OP!$C$83=1,$Z299,IF(OP!$C$83=2,$AA299,IF(OP!$C$83=3,$AB299,)))+$K300-$O300-$P300-$AS300&lt;OP!$C$142,0,$AS300)</f>
        <v>0</v>
      </c>
      <c r="V300" s="9"/>
      <c r="W300" s="19">
        <f ca="1">MAX(SUM($K$4:K300),0)</f>
        <v>2000000</v>
      </c>
      <c r="X300" s="19"/>
      <c r="Y300" s="19">
        <f t="shared" ca="1" si="188"/>
        <v>1920000</v>
      </c>
      <c r="Z300" s="2">
        <f ca="1">IF(MIN($Z$4:Z299)=0,0,MAX(0,($Z299+$K300-$O300-$P300)*IF(AND(F300="F",$D$3&lt;&gt;$G$3),((1+(-J300))^(H300/MIN(G300,365))),((1+(-J300))^(1/12)))-$U300))</f>
        <v>539461.50493647892</v>
      </c>
      <c r="AA300" s="2">
        <f ca="1">IF(MIN($AA$4:AA299)=0,0,MAX(0,($AA299+$K300-$O300-$P300)*IF(AND(F300="F",$D$3&lt;&gt;$G$3),((1+$AA$1)^(H300/MIN(G300,365))),((1+$AA$1)^(1/12)))-$U300))</f>
        <v>1920000</v>
      </c>
      <c r="AB300" s="2">
        <f ca="1">IF(MIN($AB$4:AB299)=0,0,MAX(0,($AB299+$K300-$O300-$P300)*IF(AND(F300="F",$D$3&lt;&gt;$G$3),((1+(J300))^(H300/MIN(G300,365))),((1+(J300))^(1/12)))-$U300))</f>
        <v>6422977.2045404222</v>
      </c>
      <c r="AC300" s="5"/>
      <c r="AD300" s="5"/>
      <c r="AE300" s="5"/>
      <c r="AF300" s="282">
        <f t="shared" ca="1" si="171"/>
        <v>539462</v>
      </c>
      <c r="AG300" s="282">
        <f t="shared" ca="1" si="172"/>
        <v>1920000</v>
      </c>
      <c r="AH300" s="282">
        <f t="shared" ca="1" si="173"/>
        <v>6422977</v>
      </c>
      <c r="AI300" s="23" t="str">
        <f t="shared" ca="1" si="189"/>
        <v>25-10</v>
      </c>
      <c r="AJ300" s="282">
        <f ca="1">IF(E300&gt;111,,IF(AND(OP!$C$99=1,T300="F"),Z300,IF(AND(OP!$C$99=2,COUNTIF($T$4:T300,"F")=1),OP!$C$97+IF(F300="F",OP!$C$98,0),"")))</f>
        <v>54527</v>
      </c>
      <c r="AK300" s="282">
        <f ca="1">IF(E300&gt;111,,IF(AND(OP!$D$99=1,T300="F"),AA300,IF(AND(OP!$D$99=2,COUNTIF($T$4:T300,"F")=1),OP!$D$97+IF(F300="F",OP!$D$98,0),"")))</f>
        <v>74177</v>
      </c>
      <c r="AL300" s="282">
        <f ca="1">IF(E300&gt;111,,IF(AND(OP!$E$99=1,T300="F"),AB300,IF(AND(OP!$E$99=2,COUNTIF($T$4:T300,"F")=1),OP!$E$97+IF(F300="F",OP!$E$98,0),"")))</f>
        <v>99404</v>
      </c>
      <c r="AM300" s="1">
        <f t="shared" ca="1" si="163"/>
        <v>10</v>
      </c>
      <c r="AN300" s="1" t="str">
        <f ca="1">IF(OR(VLOOKUP($A300,MP,5,0)="月繳"),1,"")</f>
        <v/>
      </c>
      <c r="AO300" s="1">
        <f t="shared" ca="1" si="174"/>
        <v>0</v>
      </c>
      <c r="AP300" s="1" t="str">
        <f ca="1">IF(AND(A300&lt;=OP!$C$120,COUNTIF(PAY,C300)=1),1,"")</f>
        <v/>
      </c>
      <c r="AR300" s="301">
        <f ca="1">IF(繳費報酬率資料!$A$1=1,$AY300+$AZ300,$BF300+$BG300)</f>
        <v>0</v>
      </c>
      <c r="AS300" s="1">
        <f ca="1">IF(C300&lt;&gt;IF($C$3=1,12,$C$3-1),0,IF(繳費報酬率資料!$A$1&lt;&gt;1,VLOOKUP($A300,MP,8,0),IF(AND($A300&gt;=OP!$C$79,$A300&lt;=OP!$C$80),OP!$C$78,)))</f>
        <v>0</v>
      </c>
      <c r="AT300" s="298">
        <f t="shared" ca="1" si="175"/>
        <v>0</v>
      </c>
      <c r="AU300" s="298">
        <f ca="1">IF(AND(A300&lt;=OP!$C$120,COUNTIF(PAY,C300)=1),OP!$C$123,0)</f>
        <v>0</v>
      </c>
      <c r="AV300" s="298">
        <f ca="1">IF(AND(A300&gt;=OP!$C$132,A300&lt;=OP!$C$133,$C$3=C300),OP!$C$135,0)</f>
        <v>0</v>
      </c>
      <c r="AW300" s="180">
        <f t="shared" ca="1" si="176"/>
        <v>0.05</v>
      </c>
      <c r="AX300" s="180">
        <f t="shared" ca="1" si="177"/>
        <v>0.05</v>
      </c>
      <c r="AY300" s="286">
        <f t="shared" ca="1" si="178"/>
        <v>0</v>
      </c>
      <c r="AZ300" s="286">
        <f t="shared" ca="1" si="179"/>
        <v>0</v>
      </c>
      <c r="BA300" s="286">
        <f t="shared" ca="1" si="180"/>
        <v>0</v>
      </c>
      <c r="BB300" s="286">
        <f t="shared" ca="1" si="181"/>
        <v>0</v>
      </c>
      <c r="BC300" s="286">
        <f t="shared" ca="1" si="182"/>
        <v>0</v>
      </c>
      <c r="BD300" s="180">
        <f t="shared" ca="1" si="183"/>
        <v>0.05</v>
      </c>
      <c r="BE300" s="180">
        <f t="shared" ca="1" si="184"/>
        <v>0.05</v>
      </c>
      <c r="BF300" s="286">
        <f t="shared" ca="1" si="185"/>
        <v>0</v>
      </c>
      <c r="BG300" s="286">
        <f t="shared" ca="1" si="186"/>
        <v>0</v>
      </c>
    </row>
    <row r="301" spans="1:59">
      <c r="A301" s="1">
        <f t="shared" ca="1" si="166"/>
        <v>25</v>
      </c>
      <c r="B301" s="1">
        <f t="shared" ca="1" si="159"/>
        <v>131</v>
      </c>
      <c r="C301" s="1">
        <f t="shared" ca="1" si="160"/>
        <v>3</v>
      </c>
      <c r="D301" s="1">
        <f ca="1">MIN($D$3,VLOOKUP(C301,OP!$S$30:$T$41,2))</f>
        <v>2</v>
      </c>
      <c r="E301" s="1">
        <f t="shared" ca="1" si="161"/>
        <v>79</v>
      </c>
      <c r="F301" s="11" t="str">
        <f t="shared" ca="1" si="167"/>
        <v/>
      </c>
      <c r="G301" s="8">
        <f t="shared" ca="1" si="192"/>
        <v>365</v>
      </c>
      <c r="H301" s="8">
        <f t="shared" ca="1" si="168"/>
        <v>31</v>
      </c>
      <c r="I301" s="8" t="str">
        <f t="shared" ca="1" si="165"/>
        <v>253</v>
      </c>
      <c r="J301" s="13">
        <f>IF(繳費報酬率資料!$A$1=1,VALUE(OP!$C$121),VLOOKUP(A301,MP,2,0))</f>
        <v>0.05</v>
      </c>
      <c r="K301" s="14">
        <f ca="1">IF(SUM($K$4:K300,IF(繳費報酬率資料!$A$1=1,$AU301+$AV301,$BB301+$BC301))&gt;OP!$L$58,0,IF(繳費報酬率資料!$A$1=1,$AU301+$AV301,$BB301+$BC301))</f>
        <v>0</v>
      </c>
      <c r="L301" s="2"/>
      <c r="M301" s="2"/>
      <c r="N301" s="2"/>
      <c r="O301" s="261">
        <f t="shared" ca="1" si="169"/>
        <v>0</v>
      </c>
      <c r="P301" s="261">
        <f t="shared" ca="1" si="187"/>
        <v>0</v>
      </c>
      <c r="Q301" s="3">
        <f ca="1">IF(A301&gt;MAX(OP!$R$17:$R$26),0,VLOOKUP(A301,fees,3,FALSE))</f>
        <v>0</v>
      </c>
      <c r="R301" s="200" t="str">
        <f t="shared" ca="1" si="170"/>
        <v/>
      </c>
      <c r="S301" s="9" t="str">
        <f ca="1">IF(COUNTIF(($T$4:T300),"F")&gt;=1,"",IF(OR(C302&lt;&gt;$C$3,E301=""),"",A301))</f>
        <v/>
      </c>
      <c r="T301" s="20" t="str">
        <f t="shared" ca="1" si="162"/>
        <v/>
      </c>
      <c r="U301" s="2">
        <f ca="1">IF(IF(OP!$C$83=1,$Z300,IF(OP!$C$83=2,$AA300,IF(OP!$C$83=3,$AB300,)))+$K301-$O301-$P301-$AS301&lt;OP!$C$142,0,$AS301)</f>
        <v>0</v>
      </c>
      <c r="V301" s="9"/>
      <c r="W301" s="19">
        <f ca="1">MAX(SUM($K$4:K301),0)</f>
        <v>2000000</v>
      </c>
      <c r="X301" s="19"/>
      <c r="Y301" s="19">
        <f t="shared" ca="1" si="188"/>
        <v>1920000</v>
      </c>
      <c r="Z301" s="2">
        <f ca="1">IF(MIN($Z$4:Z300)=0,0,MAX(0,($Z300+$K301-$O301-$P301)*IF(AND(F301="F",$D$3&lt;&gt;$G$3),((1+(-J301))^(H301/MIN(G301,365))),((1+(-J301))^(1/12)))-$U301))</f>
        <v>537160.52964970225</v>
      </c>
      <c r="AA301" s="2">
        <f ca="1">IF(MIN($AA$4:AA300)=0,0,MAX(0,($AA300+$K301-$O301-$P301)*IF(AND(F301="F",$D$3&lt;&gt;$G$3),((1+$AA$1)^(H301/MIN(G301,365))),((1+$AA$1)^(1/12)))-$U301))</f>
        <v>1920000</v>
      </c>
      <c r="AB301" s="2">
        <f ca="1">IF(MIN($AB$4:AB300)=0,0,MAX(0,($AB300+$K301-$O301-$P301)*IF(AND(F301="F",$D$3&lt;&gt;$G$3),((1+(J301))^(H301/MIN(G301,365))),((1+(J301))^(1/12)))-$U301))</f>
        <v>6449145.2087312713</v>
      </c>
      <c r="AC301" s="5"/>
      <c r="AD301" s="5"/>
      <c r="AE301" s="5"/>
      <c r="AF301" s="282">
        <f t="shared" ca="1" si="171"/>
        <v>537161</v>
      </c>
      <c r="AG301" s="282">
        <f t="shared" ca="1" si="172"/>
        <v>1920000</v>
      </c>
      <c r="AH301" s="282">
        <f t="shared" ca="1" si="173"/>
        <v>6449145</v>
      </c>
      <c r="AI301" s="23" t="str">
        <f t="shared" ca="1" si="189"/>
        <v>25-11</v>
      </c>
      <c r="AJ301" s="282">
        <f ca="1">IF(E301&gt;111,,IF(AND(OP!$C$99=1,T301="F"),Z301,IF(AND(OP!$C$99=2,COUNTIF($T$4:T301,"F")=1),OP!$C$97+IF(F301="F",OP!$C$98,0),"")))</f>
        <v>54527</v>
      </c>
      <c r="AK301" s="282">
        <f ca="1">IF(E301&gt;111,,IF(AND(OP!$D$99=1,T301="F"),AA301,IF(AND(OP!$D$99=2,COUNTIF($T$4:T301,"F")=1),OP!$D$97+IF(F301="F",OP!$D$98,0),"")))</f>
        <v>74177</v>
      </c>
      <c r="AL301" s="282">
        <f ca="1">IF(E301&gt;111,,IF(AND(OP!$E$99=1,T301="F"),AB301,IF(AND(OP!$E$99=2,COUNTIF($T$4:T301,"F")=1),OP!$E$97+IF(F301="F",OP!$E$98,0),"")))</f>
        <v>99404</v>
      </c>
      <c r="AM301" s="1">
        <f t="shared" ca="1" si="163"/>
        <v>11</v>
      </c>
      <c r="AN301" s="1" t="str">
        <f ca="1">IF(OR(VLOOKUP($A301,MP,5,0)="季繳",VLOOKUP($A301,MP,5,0)="月繳"),1,"")</f>
        <v/>
      </c>
      <c r="AO301" s="1">
        <f t="shared" ca="1" si="174"/>
        <v>0</v>
      </c>
      <c r="AP301" s="1" t="str">
        <f ca="1">IF(AND(A301&lt;=OP!$C$120,COUNTIF(PAY,C301)=1),1,"")</f>
        <v/>
      </c>
      <c r="AR301" s="301">
        <f ca="1">IF(繳費報酬率資料!$A$1=1,$AY301+$AZ301,$BF301+$BG301)</f>
        <v>0</v>
      </c>
      <c r="AS301" s="1">
        <f ca="1">IF(C301&lt;&gt;IF($C$3=1,12,$C$3-1),0,IF(繳費報酬率資料!$A$1&lt;&gt;1,VLOOKUP($A301,MP,8,0),IF(AND($A301&gt;=OP!$C$79,$A301&lt;=OP!$C$80),OP!$C$78,)))</f>
        <v>0</v>
      </c>
      <c r="AT301" s="298">
        <f t="shared" ca="1" si="175"/>
        <v>0</v>
      </c>
      <c r="AU301" s="298">
        <f ca="1">IF(AND(A301&lt;=OP!$C$120,COUNTIF(PAY,C301)=1),OP!$C$123,0)</f>
        <v>0</v>
      </c>
      <c r="AV301" s="298">
        <f ca="1">IF(AND(A301&gt;=OP!$C$132,A301&lt;=OP!$C$133,$C$3=C301),OP!$C$135,0)</f>
        <v>0</v>
      </c>
      <c r="AW301" s="180">
        <f t="shared" ca="1" si="176"/>
        <v>0.05</v>
      </c>
      <c r="AX301" s="180">
        <f t="shared" ca="1" si="177"/>
        <v>0.05</v>
      </c>
      <c r="AY301" s="286">
        <f t="shared" ca="1" si="178"/>
        <v>0</v>
      </c>
      <c r="AZ301" s="286">
        <f t="shared" ca="1" si="179"/>
        <v>0</v>
      </c>
      <c r="BA301" s="286">
        <f t="shared" ca="1" si="180"/>
        <v>0</v>
      </c>
      <c r="BB301" s="286">
        <f t="shared" ca="1" si="181"/>
        <v>0</v>
      </c>
      <c r="BC301" s="286">
        <f t="shared" ca="1" si="182"/>
        <v>0</v>
      </c>
      <c r="BD301" s="180">
        <f t="shared" ca="1" si="183"/>
        <v>0.05</v>
      </c>
      <c r="BE301" s="180">
        <f t="shared" ca="1" si="184"/>
        <v>0.05</v>
      </c>
      <c r="BF301" s="286">
        <f t="shared" ca="1" si="185"/>
        <v>0</v>
      </c>
      <c r="BG301" s="286">
        <f t="shared" ca="1" si="186"/>
        <v>0</v>
      </c>
    </row>
    <row r="302" spans="1:59">
      <c r="A302" s="1">
        <f t="shared" ca="1" si="166"/>
        <v>25</v>
      </c>
      <c r="B302" s="1">
        <f t="shared" ca="1" si="159"/>
        <v>131</v>
      </c>
      <c r="C302" s="1">
        <f t="shared" ca="1" si="160"/>
        <v>4</v>
      </c>
      <c r="D302" s="1">
        <f ca="1">MIN($D$3,VLOOKUP(C302,OP!$S$30:$T$41,2))</f>
        <v>2</v>
      </c>
      <c r="E302" s="1">
        <f t="shared" ca="1" si="161"/>
        <v>79</v>
      </c>
      <c r="F302" s="11" t="str">
        <f t="shared" ca="1" si="167"/>
        <v/>
      </c>
      <c r="G302" s="8">
        <f t="shared" ca="1" si="192"/>
        <v>365</v>
      </c>
      <c r="H302" s="8">
        <f t="shared" ca="1" si="168"/>
        <v>30</v>
      </c>
      <c r="I302" s="8" t="str">
        <f t="shared" ca="1" si="165"/>
        <v>254</v>
      </c>
      <c r="J302" s="13">
        <f>IF(繳費報酬率資料!$A$1=1,VALUE(OP!$C$121),VLOOKUP(A302,MP,2,0))</f>
        <v>0.05</v>
      </c>
      <c r="K302" s="14">
        <f ca="1">IF(SUM($K$4:K301,IF(繳費報酬率資料!$A$1=1,$AU302+$AV302,$BB302+$BC302))&gt;OP!$L$58,0,IF(繳費報酬率資料!$A$1=1,$AU302+$AV302,$BB302+$BC302))</f>
        <v>0</v>
      </c>
      <c r="L302" s="2"/>
      <c r="M302" s="2"/>
      <c r="N302" s="2"/>
      <c r="O302" s="261">
        <f t="shared" ca="1" si="169"/>
        <v>0</v>
      </c>
      <c r="P302" s="261">
        <f t="shared" ca="1" si="187"/>
        <v>0</v>
      </c>
      <c r="Q302" s="3">
        <f ca="1">IF(A302&gt;MAX(OP!$R$17:$R$26),0,VLOOKUP(A302,fees,3,FALSE))</f>
        <v>0</v>
      </c>
      <c r="R302" s="200" t="str">
        <f t="shared" ca="1" si="170"/>
        <v/>
      </c>
      <c r="S302" s="9" t="str">
        <f ca="1">IF(COUNTIF(($T$4:T301),"F")&gt;=1,"",IF(OR(C303&lt;&gt;$C$3,E302=""),"",A302))</f>
        <v/>
      </c>
      <c r="T302" s="20" t="str">
        <f t="shared" ca="1" si="162"/>
        <v/>
      </c>
      <c r="U302" s="2">
        <f ca="1">IF(IF(OP!$C$83=1,$Z301,IF(OP!$C$83=2,$AA301,IF(OP!$C$83=3,$AB301,)))+$K302-$O302-$P302-$AS302&lt;OP!$C$142,0,$AS302)</f>
        <v>0</v>
      </c>
      <c r="V302" s="9"/>
      <c r="W302" s="19">
        <f ca="1">MAX(SUM($K$4:K302),0)</f>
        <v>2000000</v>
      </c>
      <c r="X302" s="19"/>
      <c r="Y302" s="19">
        <f t="shared" ca="1" si="188"/>
        <v>1920000</v>
      </c>
      <c r="Z302" s="2">
        <f ca="1">IF(MIN($Z$4:Z301)=0,0,MAX(0,($Z301+$K302-$O302-$P302)*IF(AND(F302="F",$D$3&lt;&gt;$G$3),((1+(-J302))^(H302/MIN(G302,365))),((1+(-J302))^(1/12)))-$U302))</f>
        <v>534869.368756023</v>
      </c>
      <c r="AA302" s="2">
        <f ca="1">IF(MIN($AA$4:AA301)=0,0,MAX(0,($AA301+$K302-$O302-$P302)*IF(AND(F302="F",$D$3&lt;&gt;$G$3),((1+$AA$1)^(H302/MIN(G302,365))),((1+$AA$1)^(1/12)))-$U302))</f>
        <v>1920000</v>
      </c>
      <c r="AB302" s="2">
        <f ca="1">IF(MIN($AB$4:AB301)=0,0,MAX(0,($AB301+$K302-$O302-$P302)*IF(AND(F302="F",$D$3&lt;&gt;$G$3),((1+(J302))^(H302/MIN(G302,365))),((1+(J302))^(1/12)))-$U302))</f>
        <v>6475419.8246103656</v>
      </c>
      <c r="AC302" s="5"/>
      <c r="AD302" s="5"/>
      <c r="AE302" s="5"/>
      <c r="AF302" s="282">
        <f t="shared" ca="1" si="171"/>
        <v>534869</v>
      </c>
      <c r="AG302" s="282">
        <f t="shared" ca="1" si="172"/>
        <v>1920000</v>
      </c>
      <c r="AH302" s="282">
        <f t="shared" ca="1" si="173"/>
        <v>6475420</v>
      </c>
      <c r="AI302" s="23" t="str">
        <f t="shared" ca="1" si="189"/>
        <v>25-12</v>
      </c>
      <c r="AJ302" s="282">
        <f ca="1">IF(E302&gt;111,,IF(AND(OP!$C$99=1,T302="F"),Z302,IF(AND(OP!$C$99=2,COUNTIF($T$4:T302,"F")=1),OP!$C$97+IF(F302="F",OP!$C$98,0),"")))</f>
        <v>54527</v>
      </c>
      <c r="AK302" s="282">
        <f ca="1">IF(E302&gt;111,,IF(AND(OP!$D$99=1,T302="F"),AA302,IF(AND(OP!$D$99=2,COUNTIF($T$4:T302,"F")=1),OP!$D$97+IF(F302="F",OP!$D$98,0),"")))</f>
        <v>74177</v>
      </c>
      <c r="AL302" s="282">
        <f ca="1">IF(E302&gt;111,,IF(AND(OP!$E$99=1,T302="F"),AB302,IF(AND(OP!$E$99=2,COUNTIF($T$4:T302,"F")=1),OP!$E$97+IF(F302="F",OP!$E$98,0),"")))</f>
        <v>99404</v>
      </c>
      <c r="AM302" s="1">
        <f t="shared" ca="1" si="163"/>
        <v>12</v>
      </c>
      <c r="AN302" s="1" t="str">
        <f ca="1">IF(OR(VLOOKUP($A302,MP,5,0)="月繳"),1,"")</f>
        <v/>
      </c>
      <c r="AO302" s="1">
        <f t="shared" ca="1" si="174"/>
        <v>0</v>
      </c>
      <c r="AP302" s="1" t="str">
        <f ca="1">IF(AND(A302&lt;=OP!$C$120,COUNTIF(PAY,C302)=1),1,"")</f>
        <v/>
      </c>
      <c r="AR302" s="301">
        <f ca="1">IF(繳費報酬率資料!$A$1=1,$AY302+$AZ302,$BF302+$BG302)</f>
        <v>0</v>
      </c>
      <c r="AS302" s="1">
        <f ca="1">IF(C302&lt;&gt;IF($C$3=1,12,$C$3-1),0,IF(繳費報酬率資料!$A$1&lt;&gt;1,VLOOKUP($A302,MP,8,0),IF(AND($A302&gt;=OP!$C$79,$A302&lt;=OP!$C$80),OP!$C$78,)))</f>
        <v>0</v>
      </c>
      <c r="AT302" s="298">
        <f t="shared" ca="1" si="175"/>
        <v>0</v>
      </c>
      <c r="AU302" s="298">
        <f ca="1">IF(AND(A302&lt;=OP!$C$120,COUNTIF(PAY,C302)=1),OP!$C$123,0)</f>
        <v>0</v>
      </c>
      <c r="AV302" s="298">
        <f ca="1">IF(AND(A302&gt;=OP!$C$132,A302&lt;=OP!$C$133,$C$3=C302),OP!$C$135,0)</f>
        <v>0</v>
      </c>
      <c r="AW302" s="180">
        <f t="shared" ca="1" si="176"/>
        <v>0.05</v>
      </c>
      <c r="AX302" s="180">
        <f t="shared" ca="1" si="177"/>
        <v>0.05</v>
      </c>
      <c r="AY302" s="286">
        <f t="shared" ca="1" si="178"/>
        <v>0</v>
      </c>
      <c r="AZ302" s="286">
        <f t="shared" ca="1" si="179"/>
        <v>0</v>
      </c>
      <c r="BA302" s="286">
        <f t="shared" ca="1" si="180"/>
        <v>0</v>
      </c>
      <c r="BB302" s="286">
        <f t="shared" ca="1" si="181"/>
        <v>0</v>
      </c>
      <c r="BC302" s="286">
        <f t="shared" ca="1" si="182"/>
        <v>0</v>
      </c>
      <c r="BD302" s="180">
        <f t="shared" ca="1" si="183"/>
        <v>0.05</v>
      </c>
      <c r="BE302" s="180">
        <f t="shared" ca="1" si="184"/>
        <v>0.05</v>
      </c>
      <c r="BF302" s="286">
        <f t="shared" ca="1" si="185"/>
        <v>0</v>
      </c>
      <c r="BG302" s="286">
        <f t="shared" ca="1" si="186"/>
        <v>0</v>
      </c>
    </row>
    <row r="303" spans="1:59">
      <c r="A303" s="1">
        <f t="shared" ca="1" si="166"/>
        <v>25</v>
      </c>
      <c r="B303" s="1">
        <f t="shared" ca="1" si="159"/>
        <v>131</v>
      </c>
      <c r="C303" s="1">
        <f t="shared" ca="1" si="160"/>
        <v>5</v>
      </c>
      <c r="D303" s="1">
        <f ca="1">MIN($D$3,VLOOKUP(C303,OP!$S$30:$T$41,2))</f>
        <v>2</v>
      </c>
      <c r="E303" s="1">
        <f t="shared" ca="1" si="161"/>
        <v>79</v>
      </c>
      <c r="F303" s="11" t="str">
        <f t="shared" ca="1" si="167"/>
        <v/>
      </c>
      <c r="G303" s="8">
        <f t="shared" ca="1" si="192"/>
        <v>365</v>
      </c>
      <c r="H303" s="8">
        <f t="shared" ca="1" si="168"/>
        <v>31</v>
      </c>
      <c r="I303" s="8" t="str">
        <f t="shared" ca="1" si="165"/>
        <v>255</v>
      </c>
      <c r="J303" s="13">
        <f>IF(繳費報酬率資料!$A$1=1,VALUE(OP!$C$121),VLOOKUP(A303,MP,2,0))</f>
        <v>0.05</v>
      </c>
      <c r="K303" s="14">
        <f ca="1">IF(SUM($K$4:K302,IF(繳費報酬率資料!$A$1=1,$AU303+$AV303,$BB303+$BC303))&gt;OP!$L$58,0,IF(繳費報酬率資料!$A$1=1,$AU303+$AV303,$BB303+$BC303))</f>
        <v>0</v>
      </c>
      <c r="L303" s="2">
        <f ca="1">ROUND(IF(OP!$C$78&lt;(IF(OR($T303="F",$E303&gt;=111),0,Z302+$K303-$O303+IF($C$1=1,OP!$C$78,IF($C304=$C$3,SUM(AC292:AC303,0)))))*5%,0,(OP!$C$78-((IF(OR($T303="F",$E303&gt;=111),0,Z302+$K303-$O303+IF($C$1=1,AC303,IF($C304=$C$3,SUM(AC292:AC303,0)))))*5%))*$Q303),0)</f>
        <v>0</v>
      </c>
      <c r="M303" s="2">
        <f ca="1">ROUND(IF(OP!$C$78&lt;(IF(OR($T303="F",$E303&gt;=111),0,AA302+$K303-$O303+IF($C$1=1,AD303,IF($C304=$C$3,SUM(AD292:AD303,0)))))*5%,0,(OP!$C$78-((IF(OR($T303="F",$E303&gt;=111),0,AA302+$K303-$O303+IF($C$1=1,AD303,IF($C304=$C$3,SUM(AD292:AD303,0)))))*5%))*$Q303),0)</f>
        <v>0</v>
      </c>
      <c r="N303" s="2">
        <f ca="1">ROUND(IF(OP!$C$78&lt;(IF(OR($T303="F",$E303&gt;=111),0,AB302+$K303-$O303+IF($C$1=1,AE303,IF($C304=$C$3,SUM(AE292:AE303,0)))))*5%,0,(OP!$C$78-((IF(OR($T303="F",$E303&gt;=111),0,AB302+$K303-$O303+IF($C$1=1,AE303,IF($C304=$C$3,SUM(AE292:AE303,0)))))*5%))*$Q303),0)</f>
        <v>0</v>
      </c>
      <c r="O303" s="261">
        <f t="shared" ca="1" si="169"/>
        <v>0</v>
      </c>
      <c r="P303" s="261">
        <f t="shared" ca="1" si="187"/>
        <v>0</v>
      </c>
      <c r="Q303" s="3">
        <f ca="1">IF(A303&gt;MAX(OP!$R$17:$R$26),0,VLOOKUP(A303,fees,3,FALSE))</f>
        <v>0</v>
      </c>
      <c r="R303" s="200">
        <f t="shared" ca="1" si="170"/>
        <v>25</v>
      </c>
      <c r="S303" s="9" t="str">
        <f ca="1">IF(COUNTIF(($T$4:T302),"F")&gt;=1,"",IF(OR(C304&lt;&gt;$C$3,E303=""),"",A303))</f>
        <v/>
      </c>
      <c r="T303" s="20" t="str">
        <f t="shared" ca="1" si="162"/>
        <v/>
      </c>
      <c r="U303" s="2">
        <f ca="1">IF(IF(OP!$C$83=1,$Z302,IF(OP!$C$83=2,$AA302,IF(OP!$C$83=3,$AB302,)))+$K303-$O303-$P303-$AS303&lt;OP!$C$142,0,$AS303)</f>
        <v>0</v>
      </c>
      <c r="V303" s="19">
        <f ca="1">SUM(K292:K303)</f>
        <v>0</v>
      </c>
      <c r="W303" s="19">
        <f ca="1">MAX(SUM($K$4:K303),0)</f>
        <v>2000000</v>
      </c>
      <c r="X303" s="19">
        <f ca="1">SUM(O292:P303)</f>
        <v>0</v>
      </c>
      <c r="Y303" s="19">
        <f t="shared" ca="1" si="188"/>
        <v>1920000</v>
      </c>
      <c r="Z303" s="2">
        <f ca="1">IF(MIN($Z$4:Z302)=0,0,MAX(0,($Z302+$K303-$O303-$P303)*IF(AND(F303="F",$D$3&lt;&gt;$G$3),((1+(-J303))^(H303/MIN(G303,365))),((1+(-J303))^(1/12)))-$U303))</f>
        <v>532587.98039392591</v>
      </c>
      <c r="AA303" s="2">
        <f ca="1">IF(MIN($AA$4:AA302)=0,0,MAX(0,($AA302+$K303-$O303-$P303)*IF(AND(F303="F",$D$3&lt;&gt;$G$3),((1+$AA$1)^(H303/MIN(G303,365))),((1+$AA$1)^(1/12)))-$U303))</f>
        <v>1920000</v>
      </c>
      <c r="AB303" s="2">
        <f ca="1">IF(MIN($AB$4:AB302)=0,0,MAX(0,($AB302+$K303-$O303-$P303)*IF(AND(F303="F",$D$3&lt;&gt;$G$3),((1+(J303))^(H303/MIN(G303,365))),((1+(J303))^(1/12)))-$U303))</f>
        <v>6501801.4865269186</v>
      </c>
      <c r="AC303" s="5"/>
      <c r="AD303" s="5"/>
      <c r="AE303" s="5"/>
      <c r="AF303" s="282">
        <f t="shared" ca="1" si="171"/>
        <v>532588</v>
      </c>
      <c r="AG303" s="282">
        <f t="shared" ca="1" si="172"/>
        <v>1920000</v>
      </c>
      <c r="AH303" s="282">
        <f t="shared" ca="1" si="173"/>
        <v>6501801</v>
      </c>
      <c r="AI303" s="23" t="str">
        <f t="shared" ca="1" si="189"/>
        <v>26-1</v>
      </c>
      <c r="AJ303" s="282">
        <f ca="1">IF(E303&gt;111,,IF(AND(OP!$C$99=1,T303="F"),Z303,IF(AND(OP!$C$99=2,COUNTIF($T$4:T303,"F")=1),OP!$C$97+IF(F303="F",OP!$C$98,0),"")))</f>
        <v>54527</v>
      </c>
      <c r="AK303" s="282">
        <f ca="1">IF(E303&gt;111,,IF(AND(OP!$D$99=1,T303="F"),AA303,IF(AND(OP!$D$99=2,COUNTIF($T$4:T303,"F")=1),OP!$D$97+IF(F303="F",OP!$D$98,0),"")))</f>
        <v>74177</v>
      </c>
      <c r="AL303" s="282">
        <f ca="1">IF(E303&gt;111,,IF(AND(OP!$E$99=1,T303="F"),AB303,IF(AND(OP!$E$99=2,COUNTIF($T$4:T303,"F")=1),OP!$E$97+IF(F303="F",OP!$E$98,0),"")))</f>
        <v>99404</v>
      </c>
      <c r="AM303" s="1">
        <f t="shared" ca="1" si="163"/>
        <v>1</v>
      </c>
      <c r="AN303" s="1" t="str">
        <f ca="1">IF(OR(VLOOKUP($A303,MP,5,0)="月繳"),1,"")</f>
        <v/>
      </c>
      <c r="AO303" s="1">
        <f t="shared" ca="1" si="174"/>
        <v>0</v>
      </c>
      <c r="AP303" s="1" t="str">
        <f ca="1">IF(AND(A303&lt;=OP!$C$120,COUNTIF(PAY,C303)=1),1,"")</f>
        <v/>
      </c>
      <c r="AR303" s="301">
        <f ca="1">IF(繳費報酬率資料!$A$1=1,$AY303+$AZ303,$BF303+$BG303)</f>
        <v>0</v>
      </c>
      <c r="AS303" s="1">
        <f ca="1">IF(C303&lt;&gt;IF($C$3=1,12,$C$3-1),0,IF(繳費報酬率資料!$A$1&lt;&gt;1,VLOOKUP($A303,MP,8,0),IF(AND($A303&gt;=OP!$C$79,$A303&lt;=OP!$C$80),OP!$C$78,)))</f>
        <v>0</v>
      </c>
      <c r="AT303" s="298">
        <f t="shared" ca="1" si="175"/>
        <v>0</v>
      </c>
      <c r="AU303" s="298">
        <f ca="1">IF(AND(A303&lt;=OP!$C$120,COUNTIF(PAY,C303)=1),OP!$C$123,0)</f>
        <v>0</v>
      </c>
      <c r="AV303" s="298">
        <f ca="1">IF(AND(A303&gt;=OP!$C$132,A303&lt;=OP!$C$133,$C$3=C303),OP!$C$135,0)</f>
        <v>0</v>
      </c>
      <c r="AW303" s="180">
        <f t="shared" ca="1" si="176"/>
        <v>0.05</v>
      </c>
      <c r="AX303" s="180">
        <f t="shared" ca="1" si="177"/>
        <v>0.05</v>
      </c>
      <c r="AY303" s="286">
        <f t="shared" ca="1" si="178"/>
        <v>0</v>
      </c>
      <c r="AZ303" s="286">
        <f t="shared" ca="1" si="179"/>
        <v>0</v>
      </c>
      <c r="BA303" s="286">
        <f t="shared" ca="1" si="180"/>
        <v>0</v>
      </c>
      <c r="BB303" s="286">
        <f t="shared" ca="1" si="181"/>
        <v>0</v>
      </c>
      <c r="BC303" s="286">
        <f t="shared" ca="1" si="182"/>
        <v>0</v>
      </c>
      <c r="BD303" s="180">
        <f t="shared" ca="1" si="183"/>
        <v>0.05</v>
      </c>
      <c r="BE303" s="180">
        <f t="shared" ca="1" si="184"/>
        <v>0.05</v>
      </c>
      <c r="BF303" s="286">
        <f t="shared" ca="1" si="185"/>
        <v>0</v>
      </c>
      <c r="BG303" s="286">
        <f t="shared" ca="1" si="186"/>
        <v>0</v>
      </c>
    </row>
    <row r="304" spans="1:59">
      <c r="A304" s="1">
        <f t="shared" ca="1" si="166"/>
        <v>26</v>
      </c>
      <c r="B304" s="1">
        <f t="shared" ca="1" si="159"/>
        <v>131</v>
      </c>
      <c r="C304" s="1">
        <f t="shared" ca="1" si="160"/>
        <v>6</v>
      </c>
      <c r="D304" s="1">
        <f ca="1">MIN($D$3,VLOOKUP(C304,OP!$S$30:$T$41,2))</f>
        <v>2</v>
      </c>
      <c r="E304" s="1">
        <f t="shared" ca="1" si="161"/>
        <v>80</v>
      </c>
      <c r="F304" s="11" t="str">
        <f t="shared" ca="1" si="167"/>
        <v/>
      </c>
      <c r="G304" s="6">
        <f ca="1">DATEDIF(DATE(B304+1911,C304,D304),DATE(B316+1911,C316,D316),"d")</f>
        <v>365</v>
      </c>
      <c r="H304" s="8">
        <f t="shared" ca="1" si="168"/>
        <v>30</v>
      </c>
      <c r="I304" s="8" t="str">
        <f t="shared" ca="1" si="165"/>
        <v>266</v>
      </c>
      <c r="J304" s="13">
        <f>IF(繳費報酬率資料!$A$1=1,VALUE(OP!$C$121),VLOOKUP(A304,MP,2,0))</f>
        <v>0.05</v>
      </c>
      <c r="K304" s="14">
        <f ca="1">IF(SUM($K$4:K303,IF(繳費報酬率資料!$A$1=1,$AU304+$AV304,$BB304+$BC304))&gt;OP!$L$58,0,IF(繳費報酬率資料!$A$1=1,$AU304+$AV304,$BB304+$BC304))</f>
        <v>0</v>
      </c>
      <c r="L304" s="2"/>
      <c r="M304" s="2"/>
      <c r="N304" s="2"/>
      <c r="O304" s="261">
        <f t="shared" ca="1" si="169"/>
        <v>0</v>
      </c>
      <c r="P304" s="261">
        <f t="shared" ca="1" si="187"/>
        <v>0</v>
      </c>
      <c r="Q304" s="3">
        <f ca="1">IF(A304&gt;MAX(OP!$R$17:$R$26),0,VLOOKUP(A304,fees,3,FALSE))</f>
        <v>0</v>
      </c>
      <c r="R304" s="200" t="str">
        <f t="shared" ca="1" si="170"/>
        <v/>
      </c>
      <c r="S304" s="9" t="str">
        <f ca="1">IF(COUNTIF(($T$4:T303),"F")&gt;=1,"",IF(OR(C305&lt;&gt;$C$3,E304=""),"",A304))</f>
        <v/>
      </c>
      <c r="T304" s="20" t="str">
        <f t="shared" ca="1" si="162"/>
        <v/>
      </c>
      <c r="U304" s="2">
        <f ca="1">IF(IF(OP!$C$83=1,$Z303,IF(OP!$C$83=2,$AA303,IF(OP!$C$83=3,$AB303,)))+$K304-$O304-$P304-$AS304&lt;OP!$C$142,0,$AS304)</f>
        <v>0</v>
      </c>
      <c r="V304" s="9"/>
      <c r="W304" s="19">
        <f ca="1">MAX(SUM($K$4:K304),0)</f>
        <v>2000000</v>
      </c>
      <c r="X304" s="19"/>
      <c r="Y304" s="19">
        <f t="shared" ca="1" si="188"/>
        <v>1920000</v>
      </c>
      <c r="Z304" s="2">
        <f ca="1">IF(MIN($Z$4:Z303)=0,0,MAX(0,($Z303+$K304-$O304-$P304)*IF(AND(F304="F",$D$3&lt;&gt;$G$3),((1+(-J304))^(H304/MIN(G304,365))),((1+(-J304))^(1/12)))-$U304))</f>
        <v>530316.32288044866</v>
      </c>
      <c r="AA304" s="2">
        <f ca="1">IF(MIN($AA$4:AA303)=0,0,MAX(0,($AA303+$K304-$O304-$P304)*IF(AND(F304="F",$D$3&lt;&gt;$G$3),((1+$AA$1)^(H304/MIN(G304,365))),((1+$AA$1)^(1/12)))-$U304))</f>
        <v>1920000</v>
      </c>
      <c r="AB304" s="2">
        <f ca="1">IF(MIN($AB$4:AB303)=0,0,MAX(0,($AB303+$K304-$O304-$P304)*IF(AND(F304="F",$D$3&lt;&gt;$G$3),((1+(J304))^(H304/MIN(G304,365))),((1+(J304))^(1/12)))-$U304))</f>
        <v>6528290.6305997381</v>
      </c>
      <c r="AC304" s="21"/>
      <c r="AD304" s="21"/>
      <c r="AE304" s="21"/>
      <c r="AF304" s="282">
        <f t="shared" ca="1" si="171"/>
        <v>530316</v>
      </c>
      <c r="AG304" s="282">
        <f t="shared" ca="1" si="172"/>
        <v>1920000</v>
      </c>
      <c r="AH304" s="282">
        <f t="shared" ca="1" si="173"/>
        <v>6528291</v>
      </c>
      <c r="AI304" s="23" t="str">
        <f t="shared" ca="1" si="189"/>
        <v>26-2</v>
      </c>
      <c r="AJ304" s="281">
        <f ca="1">IF(E304&gt;111,,IF(AND(OP!$C$99=1,T304="F"),Z304,IF(AND(OP!$C$99=2,COUNTIF($T$4:T304,"F")=1),OP!$C$97+IF(F304="F",OP!$C$98,0),"")))</f>
        <v>54527</v>
      </c>
      <c r="AK304" s="281">
        <f ca="1">IF(E304&gt;111,,IF(AND(OP!$D$99=1,T304="F"),AA304,IF(AND(OP!$D$99=2,COUNTIF($T$4:T304,"F")=1),OP!$D$97+IF(F304="F",OP!$D$98,0),"")))</f>
        <v>74177</v>
      </c>
      <c r="AL304" s="281">
        <f ca="1">IF(E304&gt;111,,IF(AND(OP!$E$99=1,T304="F"),AB304,IF(AND(OP!$E$99=2,COUNTIF($T$4:T304,"F")=1),OP!$E$97+IF(F304="F",OP!$E$98,0),"")))</f>
        <v>99404</v>
      </c>
      <c r="AM304" s="1">
        <f t="shared" ca="1" si="163"/>
        <v>2</v>
      </c>
      <c r="AN304" s="1">
        <f ca="1">IF(OR(VLOOKUP($A304,MP,5,0)="年繳",VLOOKUP($A304,MP,5,0)="半年繳",VLOOKUP($A304,MP,5,0)="季繳",VLOOKUP($A304,MP,5,0)="月繳"),1,"")</f>
        <v>1</v>
      </c>
      <c r="AO304" s="1">
        <f t="shared" ca="1" si="174"/>
        <v>0</v>
      </c>
      <c r="AP304" s="1" t="str">
        <f ca="1">IF(AND(A304&lt;=OP!$C$120,COUNTIF(PAY,C304)=1),1,"")</f>
        <v/>
      </c>
      <c r="AR304" s="301">
        <f ca="1">IF(繳費報酬率資料!$A$1=1,$AY304+$AZ304,$BF304+$BG304)</f>
        <v>0</v>
      </c>
      <c r="AS304" s="1">
        <f ca="1">IF(C304&lt;&gt;IF($C$3=1,12,$C$3-1),0,IF(繳費報酬率資料!$A$1&lt;&gt;1,VLOOKUP($A304,MP,8,0),IF(AND($A304&gt;=OP!$C$79,$A304&lt;=OP!$C$80),OP!$C$78,)))</f>
        <v>0</v>
      </c>
      <c r="AT304" s="298">
        <f t="shared" ca="1" si="175"/>
        <v>0</v>
      </c>
      <c r="AU304" s="298">
        <f ca="1">IF(AND(A304&lt;=OP!$C$120,COUNTIF(PAY,C304)=1),OP!$C$123,0)</f>
        <v>0</v>
      </c>
      <c r="AV304" s="298">
        <f ca="1">IF(AND(A304&gt;=OP!$C$132,A304&lt;=OP!$C$133,$C$3=C304),OP!$C$135,0)</f>
        <v>0</v>
      </c>
      <c r="AW304" s="180">
        <f t="shared" ca="1" si="176"/>
        <v>0.05</v>
      </c>
      <c r="AX304" s="180">
        <f t="shared" ca="1" si="177"/>
        <v>0.05</v>
      </c>
      <c r="AY304" s="286">
        <f t="shared" ca="1" si="178"/>
        <v>0</v>
      </c>
      <c r="AZ304" s="286">
        <f t="shared" ca="1" si="179"/>
        <v>0</v>
      </c>
      <c r="BA304" s="286">
        <f t="shared" ca="1" si="180"/>
        <v>0</v>
      </c>
      <c r="BB304" s="286">
        <f t="shared" ca="1" si="181"/>
        <v>0</v>
      </c>
      <c r="BC304" s="286">
        <f t="shared" ca="1" si="182"/>
        <v>0</v>
      </c>
      <c r="BD304" s="180">
        <f t="shared" ca="1" si="183"/>
        <v>0.05</v>
      </c>
      <c r="BE304" s="180">
        <f t="shared" ca="1" si="184"/>
        <v>0.05</v>
      </c>
      <c r="BF304" s="286">
        <f t="shared" ca="1" si="185"/>
        <v>0</v>
      </c>
      <c r="BG304" s="286">
        <f t="shared" ca="1" si="186"/>
        <v>0</v>
      </c>
    </row>
    <row r="305" spans="1:59">
      <c r="A305" s="1">
        <f t="shared" ca="1" si="166"/>
        <v>26</v>
      </c>
      <c r="B305" s="1">
        <f t="shared" ca="1" si="159"/>
        <v>131</v>
      </c>
      <c r="C305" s="1">
        <f t="shared" ca="1" si="160"/>
        <v>7</v>
      </c>
      <c r="D305" s="1">
        <f ca="1">MIN($D$3,VLOOKUP(C305,OP!$S$30:$T$41,2))</f>
        <v>2</v>
      </c>
      <c r="E305" s="1">
        <f t="shared" ca="1" si="161"/>
        <v>80</v>
      </c>
      <c r="F305" s="11" t="str">
        <f t="shared" ca="1" si="167"/>
        <v/>
      </c>
      <c r="G305" s="8">
        <f t="shared" ref="G305:G315" ca="1" si="193">G304</f>
        <v>365</v>
      </c>
      <c r="H305" s="8">
        <f t="shared" ca="1" si="168"/>
        <v>31</v>
      </c>
      <c r="I305" s="8" t="str">
        <f t="shared" ca="1" si="165"/>
        <v>267</v>
      </c>
      <c r="J305" s="13">
        <f>IF(繳費報酬率資料!$A$1=1,VALUE(OP!$C$121),VLOOKUP(A305,MP,2,0))</f>
        <v>0.05</v>
      </c>
      <c r="K305" s="14">
        <f ca="1">IF(SUM($K$4:K304,IF(繳費報酬率資料!$A$1=1,$AU305+$AV305,$BB305+$BC305))&gt;OP!$L$58,0,IF(繳費報酬率資料!$A$1=1,$AU305+$AV305,$BB305+$BC305))</f>
        <v>0</v>
      </c>
      <c r="L305" s="2"/>
      <c r="M305" s="2"/>
      <c r="N305" s="2"/>
      <c r="O305" s="261">
        <f t="shared" ca="1" si="169"/>
        <v>0</v>
      </c>
      <c r="P305" s="261">
        <f t="shared" ca="1" si="187"/>
        <v>0</v>
      </c>
      <c r="Q305" s="3">
        <f ca="1">IF(A305&gt;MAX(OP!$R$17:$R$26),0,VLOOKUP(A305,fees,3,FALSE))</f>
        <v>0</v>
      </c>
      <c r="R305" s="200" t="str">
        <f t="shared" ca="1" si="170"/>
        <v/>
      </c>
      <c r="S305" s="9" t="str">
        <f ca="1">IF(COUNTIF(($T$4:T304),"F")&gt;=1,"",IF(OR(C306&lt;&gt;$C$3,E305=""),"",A305))</f>
        <v/>
      </c>
      <c r="T305" s="20" t="str">
        <f t="shared" ca="1" si="162"/>
        <v/>
      </c>
      <c r="U305" s="2">
        <f ca="1">IF(IF(OP!$C$83=1,$Z304,IF(OP!$C$83=2,$AA304,IF(OP!$C$83=3,$AB304,)))+$K305-$O305-$P305-$AS305&lt;OP!$C$142,0,$AS305)</f>
        <v>0</v>
      </c>
      <c r="V305" s="9"/>
      <c r="W305" s="19">
        <f ca="1">MAX(SUM($K$4:K305),0)</f>
        <v>2000000</v>
      </c>
      <c r="X305" s="19"/>
      <c r="Y305" s="19">
        <f t="shared" ca="1" si="188"/>
        <v>1920000</v>
      </c>
      <c r="Z305" s="2">
        <f ca="1">IF(MIN($Z$4:Z304)=0,0,MAX(0,($Z304+$K305-$O305-$P305)*IF(AND(F305="F",$D$3&lt;&gt;$G$3),((1+(-J305))^(H305/MIN(G305,365))),((1+(-J305))^(1/12)))-$U305))</f>
        <v>528054.35471041978</v>
      </c>
      <c r="AA305" s="2">
        <f ca="1">IF(MIN($AA$4:AA304)=0,0,MAX(0,($AA304+$K305-$O305-$P305)*IF(AND(F305="F",$D$3&lt;&gt;$G$3),((1+$AA$1)^(H305/MIN(G305,365))),((1+$AA$1)^(1/12)))-$U305))</f>
        <v>1920000</v>
      </c>
      <c r="AB305" s="2">
        <f ca="1">IF(MIN($AB$4:AB304)=0,0,MAX(0,($AB304+$K305-$O305-$P305)*IF(AND(F305="F",$D$3&lt;&gt;$G$3),((1+(J305))^(H305/MIN(G305,365))),((1+(J305))^(1/12)))-$U305))</f>
        <v>6554887.6947244331</v>
      </c>
      <c r="AC305" s="5"/>
      <c r="AD305" s="5"/>
      <c r="AE305" s="5"/>
      <c r="AF305" s="282">
        <f t="shared" ca="1" si="171"/>
        <v>528054</v>
      </c>
      <c r="AG305" s="282">
        <f t="shared" ca="1" si="172"/>
        <v>1920000</v>
      </c>
      <c r="AH305" s="282">
        <f t="shared" ca="1" si="173"/>
        <v>6554888</v>
      </c>
      <c r="AI305" s="23" t="str">
        <f t="shared" ca="1" si="189"/>
        <v>26-3</v>
      </c>
      <c r="AJ305" s="282">
        <f ca="1">IF(E305&gt;111,,IF(AND(OP!$C$99=1,T305="F"),Z305,IF(AND(OP!$C$99=2,COUNTIF($T$4:T305,"F")=1),OP!$C$97+IF(F305="F",OP!$C$98,0),"")))</f>
        <v>54527</v>
      </c>
      <c r="AK305" s="282">
        <f ca="1">IF(E305&gt;111,,IF(AND(OP!$D$99=1,T305="F"),AA305,IF(AND(OP!$D$99=2,COUNTIF($T$4:T305,"F")=1),OP!$D$97+IF(F305="F",OP!$D$98,0),"")))</f>
        <v>74177</v>
      </c>
      <c r="AL305" s="282">
        <f ca="1">IF(E305&gt;111,,IF(AND(OP!$E$99=1,T305="F"),AB305,IF(AND(OP!$E$99=2,COUNTIF($T$4:T305,"F")=1),OP!$E$97+IF(F305="F",OP!$E$98,0),"")))</f>
        <v>99404</v>
      </c>
      <c r="AM305" s="1">
        <f t="shared" ca="1" si="163"/>
        <v>3</v>
      </c>
      <c r="AN305" s="1" t="str">
        <f ca="1">IF(OR(VLOOKUP($A305,MP,5,0)="月繳"),1,"")</f>
        <v/>
      </c>
      <c r="AO305" s="1">
        <f t="shared" ca="1" si="174"/>
        <v>0</v>
      </c>
      <c r="AP305" s="1" t="str">
        <f ca="1">IF(AND(A305&lt;=OP!$C$120,COUNTIF(PAY,C305)=1),1,"")</f>
        <v/>
      </c>
      <c r="AR305" s="301">
        <f ca="1">IF(繳費報酬率資料!$A$1=1,$AY305+$AZ305,$BF305+$BG305)</f>
        <v>0</v>
      </c>
      <c r="AS305" s="1">
        <f ca="1">IF(C305&lt;&gt;IF($C$3=1,12,$C$3-1),0,IF(繳費報酬率資料!$A$1&lt;&gt;1,VLOOKUP($A305,MP,8,0),IF(AND($A305&gt;=OP!$C$79,$A305&lt;=OP!$C$80),OP!$C$78,)))</f>
        <v>0</v>
      </c>
      <c r="AT305" s="298">
        <f t="shared" ca="1" si="175"/>
        <v>0</v>
      </c>
      <c r="AU305" s="298">
        <f ca="1">IF(AND(A305&lt;=OP!$C$120,COUNTIF(PAY,C305)=1),OP!$C$123,0)</f>
        <v>0</v>
      </c>
      <c r="AV305" s="298">
        <f ca="1">IF(AND(A305&gt;=OP!$C$132,A305&lt;=OP!$C$133,$C$3=C305),OP!$C$135,0)</f>
        <v>0</v>
      </c>
      <c r="AW305" s="180">
        <f t="shared" ca="1" si="176"/>
        <v>0.05</v>
      </c>
      <c r="AX305" s="180">
        <f t="shared" ca="1" si="177"/>
        <v>0.05</v>
      </c>
      <c r="AY305" s="286">
        <f t="shared" ca="1" si="178"/>
        <v>0</v>
      </c>
      <c r="AZ305" s="286">
        <f t="shared" ca="1" si="179"/>
        <v>0</v>
      </c>
      <c r="BA305" s="286">
        <f t="shared" ca="1" si="180"/>
        <v>0</v>
      </c>
      <c r="BB305" s="286">
        <f t="shared" ca="1" si="181"/>
        <v>0</v>
      </c>
      <c r="BC305" s="286">
        <f t="shared" ca="1" si="182"/>
        <v>0</v>
      </c>
      <c r="BD305" s="180">
        <f t="shared" ca="1" si="183"/>
        <v>0.05</v>
      </c>
      <c r="BE305" s="180">
        <f t="shared" ca="1" si="184"/>
        <v>0.05</v>
      </c>
      <c r="BF305" s="286">
        <f t="shared" ca="1" si="185"/>
        <v>0</v>
      </c>
      <c r="BG305" s="286">
        <f t="shared" ca="1" si="186"/>
        <v>0</v>
      </c>
    </row>
    <row r="306" spans="1:59">
      <c r="A306" s="1">
        <f t="shared" ca="1" si="166"/>
        <v>26</v>
      </c>
      <c r="B306" s="1">
        <f t="shared" ca="1" si="159"/>
        <v>131</v>
      </c>
      <c r="C306" s="1">
        <f t="shared" ca="1" si="160"/>
        <v>8</v>
      </c>
      <c r="D306" s="1">
        <f ca="1">MIN($D$3,VLOOKUP(C306,OP!$S$30:$T$41,2))</f>
        <v>2</v>
      </c>
      <c r="E306" s="1">
        <f t="shared" ca="1" si="161"/>
        <v>80</v>
      </c>
      <c r="F306" s="11" t="str">
        <f t="shared" ca="1" si="167"/>
        <v/>
      </c>
      <c r="G306" s="8">
        <f t="shared" ca="1" si="193"/>
        <v>365</v>
      </c>
      <c r="H306" s="8">
        <f t="shared" ca="1" si="168"/>
        <v>31</v>
      </c>
      <c r="I306" s="8" t="str">
        <f t="shared" ca="1" si="165"/>
        <v>268</v>
      </c>
      <c r="J306" s="13">
        <f>IF(繳費報酬率資料!$A$1=1,VALUE(OP!$C$121),VLOOKUP(A306,MP,2,0))</f>
        <v>0.05</v>
      </c>
      <c r="K306" s="14">
        <f ca="1">IF(SUM($K$4:K305,IF(繳費報酬率資料!$A$1=1,$AU306+$AV306,$BB306+$BC306))&gt;OP!$L$58,0,IF(繳費報酬率資料!$A$1=1,$AU306+$AV306,$BB306+$BC306))</f>
        <v>0</v>
      </c>
      <c r="L306" s="2"/>
      <c r="M306" s="2"/>
      <c r="N306" s="2"/>
      <c r="O306" s="261">
        <f t="shared" ca="1" si="169"/>
        <v>0</v>
      </c>
      <c r="P306" s="261">
        <f t="shared" ca="1" si="187"/>
        <v>0</v>
      </c>
      <c r="Q306" s="3">
        <f ca="1">IF(A306&gt;MAX(OP!$R$17:$R$26),0,VLOOKUP(A306,fees,3,FALSE))</f>
        <v>0</v>
      </c>
      <c r="R306" s="200" t="str">
        <f t="shared" ca="1" si="170"/>
        <v/>
      </c>
      <c r="S306" s="9" t="str">
        <f ca="1">IF(COUNTIF(($T$4:T305),"F")&gt;=1,"",IF(OR(C307&lt;&gt;$C$3,E306=""),"",A306))</f>
        <v/>
      </c>
      <c r="T306" s="20" t="str">
        <f t="shared" ca="1" si="162"/>
        <v/>
      </c>
      <c r="U306" s="2">
        <f ca="1">IF(IF(OP!$C$83=1,$Z305,IF(OP!$C$83=2,$AA305,IF(OP!$C$83=3,$AB305,)))+$K306-$O306-$P306-$AS306&lt;OP!$C$142,0,$AS306)</f>
        <v>0</v>
      </c>
      <c r="V306" s="9"/>
      <c r="W306" s="19">
        <f ca="1">MAX(SUM($K$4:K306),0)</f>
        <v>2000000</v>
      </c>
      <c r="X306" s="19"/>
      <c r="Y306" s="19">
        <f t="shared" ca="1" si="188"/>
        <v>1920000</v>
      </c>
      <c r="Z306" s="2">
        <f ca="1">IF(MIN($Z$4:Z305)=0,0,MAX(0,($Z305+$K306-$O306-$P306)*IF(AND(F306="F",$D$3&lt;&gt;$G$3),((1+(-J306))^(H306/MIN(G306,365))),((1+(-J306))^(1/12)))-$U306))</f>
        <v>525802.03455570072</v>
      </c>
      <c r="AA306" s="2">
        <f ca="1">IF(MIN($AA$4:AA305)=0,0,MAX(0,($AA305+$K306-$O306-$P306)*IF(AND(F306="F",$D$3&lt;&gt;$G$3),((1+$AA$1)^(H306/MIN(G306,365))),((1+$AA$1)^(1/12)))-$U306))</f>
        <v>1920000</v>
      </c>
      <c r="AB306" s="2">
        <f ca="1">IF(MIN($AB$4:AB305)=0,0,MAX(0,($AB305+$K306-$O306-$P306)*IF(AND(F306="F",$D$3&lt;&gt;$G$3),((1+(J306))^(H306/MIN(G306,365))),((1+(J306))^(1/12)))-$U306))</f>
        <v>6581593.1185806543</v>
      </c>
      <c r="AC306" s="5"/>
      <c r="AD306" s="5"/>
      <c r="AE306" s="5"/>
      <c r="AF306" s="282">
        <f t="shared" ca="1" si="171"/>
        <v>525802</v>
      </c>
      <c r="AG306" s="282">
        <f t="shared" ca="1" si="172"/>
        <v>1920000</v>
      </c>
      <c r="AH306" s="282">
        <f t="shared" ca="1" si="173"/>
        <v>6581593</v>
      </c>
      <c r="AI306" s="23" t="str">
        <f t="shared" ca="1" si="189"/>
        <v>26-4</v>
      </c>
      <c r="AJ306" s="282">
        <f ca="1">IF(E306&gt;111,,IF(AND(OP!$C$99=1,T306="F"),Z306,IF(AND(OP!$C$99=2,COUNTIF($T$4:T306,"F")=1),OP!$C$97+IF(F306="F",OP!$C$98,0),"")))</f>
        <v>54527</v>
      </c>
      <c r="AK306" s="282">
        <f ca="1">IF(E306&gt;111,,IF(AND(OP!$D$99=1,T306="F"),AA306,IF(AND(OP!$D$99=2,COUNTIF($T$4:T306,"F")=1),OP!$D$97+IF(F306="F",OP!$D$98,0),"")))</f>
        <v>74177</v>
      </c>
      <c r="AL306" s="282">
        <f ca="1">IF(E306&gt;111,,IF(AND(OP!$E$99=1,T306="F"),AB306,IF(AND(OP!$E$99=2,COUNTIF($T$4:T306,"F")=1),OP!$E$97+IF(F306="F",OP!$E$98,0),"")))</f>
        <v>99404</v>
      </c>
      <c r="AM306" s="1">
        <f t="shared" ca="1" si="163"/>
        <v>4</v>
      </c>
      <c r="AN306" s="1" t="str">
        <f ca="1">IF(OR(VLOOKUP($A306,MP,5,0)="月繳"),1,"")</f>
        <v/>
      </c>
      <c r="AO306" s="1">
        <f t="shared" ca="1" si="174"/>
        <v>0</v>
      </c>
      <c r="AP306" s="1" t="str">
        <f ca="1">IF(AND(A306&lt;=OP!$C$120,COUNTIF(PAY,C306)=1),1,"")</f>
        <v/>
      </c>
      <c r="AR306" s="301">
        <f ca="1">IF(繳費報酬率資料!$A$1=1,$AY306+$AZ306,$BF306+$BG306)</f>
        <v>0</v>
      </c>
      <c r="AS306" s="1">
        <f ca="1">IF(C306&lt;&gt;IF($C$3=1,12,$C$3-1),0,IF(繳費報酬率資料!$A$1&lt;&gt;1,VLOOKUP($A306,MP,8,0),IF(AND($A306&gt;=OP!$C$79,$A306&lt;=OP!$C$80),OP!$C$78,)))</f>
        <v>0</v>
      </c>
      <c r="AT306" s="298">
        <f t="shared" ca="1" si="175"/>
        <v>0</v>
      </c>
      <c r="AU306" s="298">
        <f ca="1">IF(AND(A306&lt;=OP!$C$120,COUNTIF(PAY,C306)=1),OP!$C$123,0)</f>
        <v>0</v>
      </c>
      <c r="AV306" s="298">
        <f ca="1">IF(AND(A306&gt;=OP!$C$132,A306&lt;=OP!$C$133,$C$3=C306),OP!$C$135,0)</f>
        <v>0</v>
      </c>
      <c r="AW306" s="180">
        <f t="shared" ca="1" si="176"/>
        <v>0.05</v>
      </c>
      <c r="AX306" s="180">
        <f t="shared" ca="1" si="177"/>
        <v>0.05</v>
      </c>
      <c r="AY306" s="286">
        <f t="shared" ca="1" si="178"/>
        <v>0</v>
      </c>
      <c r="AZ306" s="286">
        <f t="shared" ca="1" si="179"/>
        <v>0</v>
      </c>
      <c r="BA306" s="286">
        <f t="shared" ca="1" si="180"/>
        <v>0</v>
      </c>
      <c r="BB306" s="286">
        <f t="shared" ca="1" si="181"/>
        <v>0</v>
      </c>
      <c r="BC306" s="286">
        <f t="shared" ca="1" si="182"/>
        <v>0</v>
      </c>
      <c r="BD306" s="180">
        <f t="shared" ca="1" si="183"/>
        <v>0.05</v>
      </c>
      <c r="BE306" s="180">
        <f t="shared" ca="1" si="184"/>
        <v>0.05</v>
      </c>
      <c r="BF306" s="286">
        <f t="shared" ca="1" si="185"/>
        <v>0</v>
      </c>
      <c r="BG306" s="286">
        <f t="shared" ca="1" si="186"/>
        <v>0</v>
      </c>
    </row>
    <row r="307" spans="1:59">
      <c r="A307" s="1">
        <f t="shared" ca="1" si="166"/>
        <v>26</v>
      </c>
      <c r="B307" s="1">
        <f t="shared" ca="1" si="159"/>
        <v>131</v>
      </c>
      <c r="C307" s="1">
        <f t="shared" ca="1" si="160"/>
        <v>9</v>
      </c>
      <c r="D307" s="1">
        <f ca="1">MIN($D$3,VLOOKUP(C307,OP!$S$30:$T$41,2))</f>
        <v>2</v>
      </c>
      <c r="E307" s="1">
        <f t="shared" ca="1" si="161"/>
        <v>80</v>
      </c>
      <c r="F307" s="11" t="str">
        <f t="shared" ca="1" si="167"/>
        <v/>
      </c>
      <c r="G307" s="8">
        <f t="shared" ca="1" si="193"/>
        <v>365</v>
      </c>
      <c r="H307" s="8">
        <f t="shared" ca="1" si="168"/>
        <v>30</v>
      </c>
      <c r="I307" s="8" t="str">
        <f t="shared" ca="1" si="165"/>
        <v>269</v>
      </c>
      <c r="J307" s="13">
        <f>IF(繳費報酬率資料!$A$1=1,VALUE(OP!$C$121),VLOOKUP(A307,MP,2,0))</f>
        <v>0.05</v>
      </c>
      <c r="K307" s="14">
        <f ca="1">IF(SUM($K$4:K306,IF(繳費報酬率資料!$A$1=1,$AU307+$AV307,$BB307+$BC307))&gt;OP!$L$58,0,IF(繳費報酬率資料!$A$1=1,$AU307+$AV307,$BB307+$BC307))</f>
        <v>0</v>
      </c>
      <c r="L307" s="2"/>
      <c r="M307" s="2"/>
      <c r="N307" s="2"/>
      <c r="O307" s="261">
        <f t="shared" ca="1" si="169"/>
        <v>0</v>
      </c>
      <c r="P307" s="261">
        <f t="shared" ca="1" si="187"/>
        <v>0</v>
      </c>
      <c r="Q307" s="3">
        <f ca="1">IF(A307&gt;MAX(OP!$R$17:$R$26),0,VLOOKUP(A307,fees,3,FALSE))</f>
        <v>0</v>
      </c>
      <c r="R307" s="200" t="str">
        <f t="shared" ca="1" si="170"/>
        <v/>
      </c>
      <c r="S307" s="9" t="str">
        <f ca="1">IF(COUNTIF(($T$4:T306),"F")&gt;=1,"",IF(OR(C308&lt;&gt;$C$3,E307=""),"",A307))</f>
        <v/>
      </c>
      <c r="T307" s="20" t="str">
        <f t="shared" ca="1" si="162"/>
        <v/>
      </c>
      <c r="U307" s="2">
        <f ca="1">IF(IF(OP!$C$83=1,$Z306,IF(OP!$C$83=2,$AA306,IF(OP!$C$83=3,$AB306,)))+$K307-$O307-$P307-$AS307&lt;OP!$C$142,0,$AS307)</f>
        <v>0</v>
      </c>
      <c r="V307" s="9"/>
      <c r="W307" s="19">
        <f ca="1">MAX(SUM($K$4:K307),0)</f>
        <v>2000000</v>
      </c>
      <c r="X307" s="19"/>
      <c r="Y307" s="19">
        <f t="shared" ca="1" si="188"/>
        <v>1920000</v>
      </c>
      <c r="Z307" s="2">
        <f ca="1">IF(MIN($Z$4:Z306)=0,0,MAX(0,($Z306+$K307-$O307-$P307)*IF(AND(F307="F",$D$3&lt;&gt;$G$3),((1+(-J307))^(H307/MIN(G307,365))),((1+(-J307))^(1/12)))-$U307))</f>
        <v>523559.32126443071</v>
      </c>
      <c r="AA307" s="2">
        <f ca="1">IF(MIN($AA$4:AA306)=0,0,MAX(0,($AA306+$K307-$O307-$P307)*IF(AND(F307="F",$D$3&lt;&gt;$G$3),((1+$AA$1)^(H307/MIN(G307,365))),((1+$AA$1)^(1/12)))-$U307))</f>
        <v>1920000</v>
      </c>
      <c r="AB307" s="2">
        <f ca="1">IF(MIN($AB$4:AB306)=0,0,MAX(0,($AB306+$K307-$O307-$P307)*IF(AND(F307="F",$D$3&lt;&gt;$G$3),((1+(J307))^(H307/MIN(G307,365))),((1+(J307))^(1/12)))-$U307))</f>
        <v>6608407.3436393598</v>
      </c>
      <c r="AC307" s="5"/>
      <c r="AD307" s="5"/>
      <c r="AE307" s="5"/>
      <c r="AF307" s="282">
        <f t="shared" ca="1" si="171"/>
        <v>523559</v>
      </c>
      <c r="AG307" s="282">
        <f t="shared" ca="1" si="172"/>
        <v>1920000</v>
      </c>
      <c r="AH307" s="282">
        <f t="shared" ca="1" si="173"/>
        <v>6608407</v>
      </c>
      <c r="AI307" s="23" t="str">
        <f t="shared" ca="1" si="189"/>
        <v>26-5</v>
      </c>
      <c r="AJ307" s="282">
        <f ca="1">IF(E307&gt;111,,IF(AND(OP!$C$99=1,T307="F"),Z307,IF(AND(OP!$C$99=2,COUNTIF($T$4:T307,"F")=1),OP!$C$97+IF(F307="F",OP!$C$98,0),"")))</f>
        <v>54527</v>
      </c>
      <c r="AK307" s="282">
        <f ca="1">IF(E307&gt;111,,IF(AND(OP!$D$99=1,T307="F"),AA307,IF(AND(OP!$D$99=2,COUNTIF($T$4:T307,"F")=1),OP!$D$97+IF(F307="F",OP!$D$98,0),"")))</f>
        <v>74177</v>
      </c>
      <c r="AL307" s="282">
        <f ca="1">IF(E307&gt;111,,IF(AND(OP!$E$99=1,T307="F"),AB307,IF(AND(OP!$E$99=2,COUNTIF($T$4:T307,"F")=1),OP!$E$97+IF(F307="F",OP!$E$98,0),"")))</f>
        <v>99404</v>
      </c>
      <c r="AM307" s="1">
        <f t="shared" ca="1" si="163"/>
        <v>5</v>
      </c>
      <c r="AN307" s="1" t="str">
        <f ca="1">IF(OR(VLOOKUP($A307,MP,5,0)="季繳",VLOOKUP($A307,MP,5,0)="月繳"),1,"")</f>
        <v/>
      </c>
      <c r="AO307" s="1">
        <f t="shared" ca="1" si="174"/>
        <v>0</v>
      </c>
      <c r="AP307" s="1" t="str">
        <f ca="1">IF(AND(A307&lt;=OP!$C$120,COUNTIF(PAY,C307)=1),1,"")</f>
        <v/>
      </c>
      <c r="AR307" s="301">
        <f ca="1">IF(繳費報酬率資料!$A$1=1,$AY307+$AZ307,$BF307+$BG307)</f>
        <v>0</v>
      </c>
      <c r="AS307" s="1">
        <f ca="1">IF(C307&lt;&gt;IF($C$3=1,12,$C$3-1),0,IF(繳費報酬率資料!$A$1&lt;&gt;1,VLOOKUP($A307,MP,8,0),IF(AND($A307&gt;=OP!$C$79,$A307&lt;=OP!$C$80),OP!$C$78,)))</f>
        <v>0</v>
      </c>
      <c r="AT307" s="298">
        <f t="shared" ca="1" si="175"/>
        <v>0</v>
      </c>
      <c r="AU307" s="298">
        <f ca="1">IF(AND(A307&lt;=OP!$C$120,COUNTIF(PAY,C307)=1),OP!$C$123,0)</f>
        <v>0</v>
      </c>
      <c r="AV307" s="298">
        <f ca="1">IF(AND(A307&gt;=OP!$C$132,A307&lt;=OP!$C$133,$C$3=C307),OP!$C$135,0)</f>
        <v>0</v>
      </c>
      <c r="AW307" s="180">
        <f t="shared" ca="1" si="176"/>
        <v>0.05</v>
      </c>
      <c r="AX307" s="180">
        <f t="shared" ca="1" si="177"/>
        <v>0.05</v>
      </c>
      <c r="AY307" s="286">
        <f t="shared" ca="1" si="178"/>
        <v>0</v>
      </c>
      <c r="AZ307" s="286">
        <f t="shared" ca="1" si="179"/>
        <v>0</v>
      </c>
      <c r="BA307" s="286">
        <f t="shared" ca="1" si="180"/>
        <v>0</v>
      </c>
      <c r="BB307" s="286">
        <f t="shared" ca="1" si="181"/>
        <v>0</v>
      </c>
      <c r="BC307" s="286">
        <f t="shared" ca="1" si="182"/>
        <v>0</v>
      </c>
      <c r="BD307" s="180">
        <f t="shared" ca="1" si="183"/>
        <v>0.05</v>
      </c>
      <c r="BE307" s="180">
        <f t="shared" ca="1" si="184"/>
        <v>0.05</v>
      </c>
      <c r="BF307" s="286">
        <f t="shared" ca="1" si="185"/>
        <v>0</v>
      </c>
      <c r="BG307" s="286">
        <f t="shared" ca="1" si="186"/>
        <v>0</v>
      </c>
    </row>
    <row r="308" spans="1:59">
      <c r="A308" s="1">
        <f t="shared" ca="1" si="166"/>
        <v>26</v>
      </c>
      <c r="B308" s="1">
        <f t="shared" ca="1" si="159"/>
        <v>131</v>
      </c>
      <c r="C308" s="1">
        <f t="shared" ca="1" si="160"/>
        <v>10</v>
      </c>
      <c r="D308" s="1">
        <f ca="1">MIN($D$3,VLOOKUP(C308,OP!$S$30:$T$41,2))</f>
        <v>2</v>
      </c>
      <c r="E308" s="1">
        <f t="shared" ca="1" si="161"/>
        <v>80</v>
      </c>
      <c r="F308" s="11" t="str">
        <f t="shared" ca="1" si="167"/>
        <v/>
      </c>
      <c r="G308" s="8">
        <f t="shared" ca="1" si="193"/>
        <v>365</v>
      </c>
      <c r="H308" s="8">
        <f t="shared" ca="1" si="168"/>
        <v>31</v>
      </c>
      <c r="I308" s="8" t="str">
        <f t="shared" ca="1" si="165"/>
        <v>2610</v>
      </c>
      <c r="J308" s="13">
        <f>IF(繳費報酬率資料!$A$1=1,VALUE(OP!$C$121),VLOOKUP(A308,MP,2,0))</f>
        <v>0.05</v>
      </c>
      <c r="K308" s="14">
        <f ca="1">IF(SUM($K$4:K307,IF(繳費報酬率資料!$A$1=1,$AU308+$AV308,$BB308+$BC308))&gt;OP!$L$58,0,IF(繳費報酬率資料!$A$1=1,$AU308+$AV308,$BB308+$BC308))</f>
        <v>0</v>
      </c>
      <c r="L308" s="2"/>
      <c r="M308" s="2"/>
      <c r="N308" s="2"/>
      <c r="O308" s="261">
        <f t="shared" ca="1" si="169"/>
        <v>0</v>
      </c>
      <c r="P308" s="261">
        <f t="shared" ca="1" si="187"/>
        <v>0</v>
      </c>
      <c r="Q308" s="3">
        <f ca="1">IF(A308&gt;MAX(OP!$R$17:$R$26),0,VLOOKUP(A308,fees,3,FALSE))</f>
        <v>0</v>
      </c>
      <c r="R308" s="200" t="str">
        <f t="shared" ca="1" si="170"/>
        <v/>
      </c>
      <c r="S308" s="9" t="str">
        <f ca="1">IF(COUNTIF(($T$4:T307),"F")&gt;=1,"",IF(OR(C309&lt;&gt;$C$3,E308=""),"",A308))</f>
        <v/>
      </c>
      <c r="T308" s="20" t="str">
        <f t="shared" ca="1" si="162"/>
        <v/>
      </c>
      <c r="U308" s="2">
        <f ca="1">IF(IF(OP!$C$83=1,$Z307,IF(OP!$C$83=2,$AA307,IF(OP!$C$83=3,$AB307,)))+$K308-$O308-$P308-$AS308&lt;OP!$C$142,0,$AS308)</f>
        <v>0</v>
      </c>
      <c r="V308" s="9"/>
      <c r="W308" s="19">
        <f ca="1">MAX(SUM($K$4:K308),0)</f>
        <v>2000000</v>
      </c>
      <c r="X308" s="19"/>
      <c r="Y308" s="19">
        <f t="shared" ca="1" si="188"/>
        <v>1920000</v>
      </c>
      <c r="Z308" s="2">
        <f ca="1">IF(MIN($Z$4:Z307)=0,0,MAX(0,($Z307+$K308-$O308-$P308)*IF(AND(F308="F",$D$3&lt;&gt;$G$3),((1+(-J308))^(H308/MIN(G308,365))),((1+(-J308))^(1/12)))-$U308))</f>
        <v>521326.1738602746</v>
      </c>
      <c r="AA308" s="2">
        <f ca="1">IF(MIN($AA$4:AA307)=0,0,MAX(0,($AA307+$K308-$O308-$P308)*IF(AND(F308="F",$D$3&lt;&gt;$G$3),((1+$AA$1)^(H308/MIN(G308,365))),((1+$AA$1)^(1/12)))-$U308))</f>
        <v>1920000</v>
      </c>
      <c r="AB308" s="2">
        <f ca="1">IF(MIN($AB$4:AB307)=0,0,MAX(0,($AB307+$K308-$O308-$P308)*IF(AND(F308="F",$D$3&lt;&gt;$G$3),((1+(J308))^(H308/MIN(G308,365))),((1+(J308))^(1/12)))-$U308))</f>
        <v>6635330.8131701173</v>
      </c>
      <c r="AC308" s="5"/>
      <c r="AD308" s="5"/>
      <c r="AE308" s="5"/>
      <c r="AF308" s="282">
        <f t="shared" ca="1" si="171"/>
        <v>521326</v>
      </c>
      <c r="AG308" s="282">
        <f t="shared" ca="1" si="172"/>
        <v>1920000</v>
      </c>
      <c r="AH308" s="282">
        <f t="shared" ca="1" si="173"/>
        <v>6635331</v>
      </c>
      <c r="AI308" s="23" t="str">
        <f t="shared" ca="1" si="189"/>
        <v>26-6</v>
      </c>
      <c r="AJ308" s="282">
        <f ca="1">IF(E308&gt;111,,IF(AND(OP!$C$99=1,T308="F"),Z308,IF(AND(OP!$C$99=2,COUNTIF($T$4:T308,"F")=1),OP!$C$97+IF(F308="F",OP!$C$98,0),"")))</f>
        <v>54527</v>
      </c>
      <c r="AK308" s="282">
        <f ca="1">IF(E308&gt;111,,IF(AND(OP!$D$99=1,T308="F"),AA308,IF(AND(OP!$D$99=2,COUNTIF($T$4:T308,"F")=1),OP!$D$97+IF(F308="F",OP!$D$98,0),"")))</f>
        <v>74177</v>
      </c>
      <c r="AL308" s="282">
        <f ca="1">IF(E308&gt;111,,IF(AND(OP!$E$99=1,T308="F"),AB308,IF(AND(OP!$E$99=2,COUNTIF($T$4:T308,"F")=1),OP!$E$97+IF(F308="F",OP!$E$98,0),"")))</f>
        <v>99404</v>
      </c>
      <c r="AM308" s="1">
        <f t="shared" ca="1" si="163"/>
        <v>6</v>
      </c>
      <c r="AN308" s="1" t="str">
        <f ca="1">IF(OR(VLOOKUP($A308,MP,5,0)="月繳"),1,"")</f>
        <v/>
      </c>
      <c r="AO308" s="1">
        <f t="shared" ca="1" si="174"/>
        <v>0</v>
      </c>
      <c r="AP308" s="1" t="str">
        <f ca="1">IF(AND(A308&lt;=OP!$C$120,COUNTIF(PAY,C308)=1),1,"")</f>
        <v/>
      </c>
      <c r="AR308" s="301">
        <f ca="1">IF(繳費報酬率資料!$A$1=1,$AY308+$AZ308,$BF308+$BG308)</f>
        <v>0</v>
      </c>
      <c r="AS308" s="1">
        <f ca="1">IF(C308&lt;&gt;IF($C$3=1,12,$C$3-1),0,IF(繳費報酬率資料!$A$1&lt;&gt;1,VLOOKUP($A308,MP,8,0),IF(AND($A308&gt;=OP!$C$79,$A308&lt;=OP!$C$80),OP!$C$78,)))</f>
        <v>0</v>
      </c>
      <c r="AT308" s="298">
        <f t="shared" ca="1" si="175"/>
        <v>0</v>
      </c>
      <c r="AU308" s="298">
        <f ca="1">IF(AND(A308&lt;=OP!$C$120,COUNTIF(PAY,C308)=1),OP!$C$123,0)</f>
        <v>0</v>
      </c>
      <c r="AV308" s="298">
        <f ca="1">IF(AND(A308&gt;=OP!$C$132,A308&lt;=OP!$C$133,$C$3=C308),OP!$C$135,0)</f>
        <v>0</v>
      </c>
      <c r="AW308" s="180">
        <f t="shared" ca="1" si="176"/>
        <v>0.05</v>
      </c>
      <c r="AX308" s="180">
        <f t="shared" ca="1" si="177"/>
        <v>0.05</v>
      </c>
      <c r="AY308" s="286">
        <f t="shared" ca="1" si="178"/>
        <v>0</v>
      </c>
      <c r="AZ308" s="286">
        <f t="shared" ca="1" si="179"/>
        <v>0</v>
      </c>
      <c r="BA308" s="286">
        <f t="shared" ca="1" si="180"/>
        <v>0</v>
      </c>
      <c r="BB308" s="286">
        <f t="shared" ca="1" si="181"/>
        <v>0</v>
      </c>
      <c r="BC308" s="286">
        <f t="shared" ca="1" si="182"/>
        <v>0</v>
      </c>
      <c r="BD308" s="180">
        <f t="shared" ca="1" si="183"/>
        <v>0.05</v>
      </c>
      <c r="BE308" s="180">
        <f t="shared" ca="1" si="184"/>
        <v>0.05</v>
      </c>
      <c r="BF308" s="286">
        <f t="shared" ca="1" si="185"/>
        <v>0</v>
      </c>
      <c r="BG308" s="286">
        <f t="shared" ca="1" si="186"/>
        <v>0</v>
      </c>
    </row>
    <row r="309" spans="1:59">
      <c r="A309" s="1">
        <f t="shared" ca="1" si="166"/>
        <v>26</v>
      </c>
      <c r="B309" s="1">
        <f t="shared" ca="1" si="159"/>
        <v>131</v>
      </c>
      <c r="C309" s="1">
        <f t="shared" ca="1" si="160"/>
        <v>11</v>
      </c>
      <c r="D309" s="1">
        <f ca="1">MIN($D$3,VLOOKUP(C309,OP!$S$30:$T$41,2))</f>
        <v>2</v>
      </c>
      <c r="E309" s="1">
        <f t="shared" ca="1" si="161"/>
        <v>80</v>
      </c>
      <c r="F309" s="11" t="str">
        <f t="shared" ca="1" si="167"/>
        <v/>
      </c>
      <c r="G309" s="8">
        <f t="shared" ca="1" si="193"/>
        <v>365</v>
      </c>
      <c r="H309" s="8">
        <f t="shared" ca="1" si="168"/>
        <v>30</v>
      </c>
      <c r="I309" s="8" t="str">
        <f t="shared" ca="1" si="165"/>
        <v>2611</v>
      </c>
      <c r="J309" s="13">
        <f>IF(繳費報酬率資料!$A$1=1,VALUE(OP!$C$121),VLOOKUP(A309,MP,2,0))</f>
        <v>0.05</v>
      </c>
      <c r="K309" s="14">
        <f ca="1">IF(SUM($K$4:K308,IF(繳費報酬率資料!$A$1=1,$AU309+$AV309,$BB309+$BC309))&gt;OP!$L$58,0,IF(繳費報酬率資料!$A$1=1,$AU309+$AV309,$BB309+$BC309))</f>
        <v>0</v>
      </c>
      <c r="L309" s="2"/>
      <c r="M309" s="2"/>
      <c r="N309" s="2"/>
      <c r="O309" s="261">
        <f t="shared" ca="1" si="169"/>
        <v>0</v>
      </c>
      <c r="P309" s="261">
        <f t="shared" ca="1" si="187"/>
        <v>0</v>
      </c>
      <c r="Q309" s="3">
        <f ca="1">IF(A309&gt;MAX(OP!$R$17:$R$26),0,VLOOKUP(A309,fees,3,FALSE))</f>
        <v>0</v>
      </c>
      <c r="R309" s="200" t="str">
        <f t="shared" ca="1" si="170"/>
        <v/>
      </c>
      <c r="S309" s="9" t="str">
        <f ca="1">IF(COUNTIF(($T$4:T308),"F")&gt;=1,"",IF(OR(C310&lt;&gt;$C$3,E309=""),"",A309))</f>
        <v/>
      </c>
      <c r="T309" s="20" t="str">
        <f t="shared" ca="1" si="162"/>
        <v/>
      </c>
      <c r="U309" s="2">
        <f ca="1">IF(IF(OP!$C$83=1,$Z308,IF(OP!$C$83=2,$AA308,IF(OP!$C$83=3,$AB308,)))+$K309-$O309-$P309-$AS309&lt;OP!$C$142,0,$AS309)</f>
        <v>0</v>
      </c>
      <c r="V309" s="9"/>
      <c r="W309" s="19">
        <f ca="1">MAX(SUM($K$4:K309),0)</f>
        <v>2000000</v>
      </c>
      <c r="X309" s="19"/>
      <c r="Y309" s="19">
        <f t="shared" ca="1" si="188"/>
        <v>1920000</v>
      </c>
      <c r="Z309" s="2">
        <f ca="1">IF(MIN($Z$4:Z308)=0,0,MAX(0,($Z308+$K309-$O309-$P309)*IF(AND(F309="F",$D$3&lt;&gt;$G$3),((1+(-J309))^(H309/MIN(G309,365))),((1+(-J309))^(1/12)))-$U309))</f>
        <v>519102.55154167453</v>
      </c>
      <c r="AA309" s="2">
        <f ca="1">IF(MIN($AA$4:AA308)=0,0,MAX(0,($AA308+$K309-$O309-$P309)*IF(AND(F309="F",$D$3&lt;&gt;$G$3),((1+$AA$1)^(H309/MIN(G309,365))),((1+$AA$1)^(1/12)))-$U309))</f>
        <v>1920000</v>
      </c>
      <c r="AB309" s="2">
        <f ca="1">IF(MIN($AB$4:AB308)=0,0,MAX(0,($AB308+$K309-$O309-$P309)*IF(AND(F309="F",$D$3&lt;&gt;$G$3),((1+(J309))^(H309/MIN(G309,365))),((1+(J309))^(1/12)))-$U309))</f>
        <v>6662363.9722484285</v>
      </c>
      <c r="AC309" s="5"/>
      <c r="AD309" s="5"/>
      <c r="AE309" s="5"/>
      <c r="AF309" s="282">
        <f t="shared" ca="1" si="171"/>
        <v>519103</v>
      </c>
      <c r="AG309" s="282">
        <f t="shared" ca="1" si="172"/>
        <v>1920000</v>
      </c>
      <c r="AH309" s="282">
        <f t="shared" ca="1" si="173"/>
        <v>6662364</v>
      </c>
      <c r="AI309" s="23" t="str">
        <f t="shared" ca="1" si="189"/>
        <v>26-7</v>
      </c>
      <c r="AJ309" s="282">
        <f ca="1">IF(E309&gt;111,,IF(AND(OP!$C$99=1,T309="F"),Z309,IF(AND(OP!$C$99=2,COUNTIF($T$4:T309,"F")=1),OP!$C$97+IF(F309="F",OP!$C$98,0),"")))</f>
        <v>54527</v>
      </c>
      <c r="AK309" s="282">
        <f ca="1">IF(E309&gt;111,,IF(AND(OP!$D$99=1,T309="F"),AA309,IF(AND(OP!$D$99=2,COUNTIF($T$4:T309,"F")=1),OP!$D$97+IF(F309="F",OP!$D$98,0),"")))</f>
        <v>74177</v>
      </c>
      <c r="AL309" s="282">
        <f ca="1">IF(E309&gt;111,,IF(AND(OP!$E$99=1,T309="F"),AB309,IF(AND(OP!$E$99=2,COUNTIF($T$4:T309,"F")=1),OP!$E$97+IF(F309="F",OP!$E$98,0),"")))</f>
        <v>99404</v>
      </c>
      <c r="AM309" s="1">
        <f t="shared" ca="1" si="163"/>
        <v>7</v>
      </c>
      <c r="AN309" s="1" t="str">
        <f ca="1">IF(OR(VLOOKUP($A309,MP,5,0)="月繳"),1,"")</f>
        <v/>
      </c>
      <c r="AO309" s="1">
        <f t="shared" ca="1" si="174"/>
        <v>0</v>
      </c>
      <c r="AP309" s="1" t="str">
        <f ca="1">IF(AND(A309&lt;=OP!$C$120,COUNTIF(PAY,C309)=1),1,"")</f>
        <v/>
      </c>
      <c r="AR309" s="301">
        <f ca="1">IF(繳費報酬率資料!$A$1=1,$AY309+$AZ309,$BF309+$BG309)</f>
        <v>0</v>
      </c>
      <c r="AS309" s="1">
        <f ca="1">IF(C309&lt;&gt;IF($C$3=1,12,$C$3-1),0,IF(繳費報酬率資料!$A$1&lt;&gt;1,VLOOKUP($A309,MP,8,0),IF(AND($A309&gt;=OP!$C$79,$A309&lt;=OP!$C$80),OP!$C$78,)))</f>
        <v>0</v>
      </c>
      <c r="AT309" s="298">
        <f t="shared" ca="1" si="175"/>
        <v>0</v>
      </c>
      <c r="AU309" s="298">
        <f ca="1">IF(AND(A309&lt;=OP!$C$120,COUNTIF(PAY,C309)=1),OP!$C$123,0)</f>
        <v>0</v>
      </c>
      <c r="AV309" s="298">
        <f ca="1">IF(AND(A309&gt;=OP!$C$132,A309&lt;=OP!$C$133,$C$3=C309),OP!$C$135,0)</f>
        <v>0</v>
      </c>
      <c r="AW309" s="180">
        <f t="shared" ca="1" si="176"/>
        <v>0.05</v>
      </c>
      <c r="AX309" s="180">
        <f t="shared" ca="1" si="177"/>
        <v>0.05</v>
      </c>
      <c r="AY309" s="286">
        <f t="shared" ca="1" si="178"/>
        <v>0</v>
      </c>
      <c r="AZ309" s="286">
        <f t="shared" ca="1" si="179"/>
        <v>0</v>
      </c>
      <c r="BA309" s="286">
        <f t="shared" ca="1" si="180"/>
        <v>0</v>
      </c>
      <c r="BB309" s="286">
        <f t="shared" ca="1" si="181"/>
        <v>0</v>
      </c>
      <c r="BC309" s="286">
        <f t="shared" ca="1" si="182"/>
        <v>0</v>
      </c>
      <c r="BD309" s="180">
        <f t="shared" ca="1" si="183"/>
        <v>0.05</v>
      </c>
      <c r="BE309" s="180">
        <f t="shared" ca="1" si="184"/>
        <v>0.05</v>
      </c>
      <c r="BF309" s="286">
        <f t="shared" ca="1" si="185"/>
        <v>0</v>
      </c>
      <c r="BG309" s="286">
        <f t="shared" ca="1" si="186"/>
        <v>0</v>
      </c>
    </row>
    <row r="310" spans="1:59">
      <c r="A310" s="1">
        <f t="shared" ca="1" si="166"/>
        <v>26</v>
      </c>
      <c r="B310" s="1">
        <f t="shared" ca="1" si="159"/>
        <v>131</v>
      </c>
      <c r="C310" s="1">
        <f t="shared" ca="1" si="160"/>
        <v>12</v>
      </c>
      <c r="D310" s="1">
        <f ca="1">MIN($D$3,VLOOKUP(C310,OP!$S$30:$T$41,2))</f>
        <v>2</v>
      </c>
      <c r="E310" s="1">
        <f t="shared" ca="1" si="161"/>
        <v>80</v>
      </c>
      <c r="F310" s="11" t="str">
        <f t="shared" ca="1" si="167"/>
        <v/>
      </c>
      <c r="G310" s="8">
        <f t="shared" ca="1" si="193"/>
        <v>365</v>
      </c>
      <c r="H310" s="8">
        <f t="shared" ca="1" si="168"/>
        <v>31</v>
      </c>
      <c r="I310" s="8" t="str">
        <f t="shared" ca="1" si="165"/>
        <v>2612</v>
      </c>
      <c r="J310" s="13">
        <f>IF(繳費報酬率資料!$A$1=1,VALUE(OP!$C$121),VLOOKUP(A310,MP,2,0))</f>
        <v>0.05</v>
      </c>
      <c r="K310" s="14">
        <f ca="1">IF(SUM($K$4:K309,IF(繳費報酬率資料!$A$1=1,$AU310+$AV310,$BB310+$BC310))&gt;OP!$L$58,0,IF(繳費報酬率資料!$A$1=1,$AU310+$AV310,$BB310+$BC310))</f>
        <v>0</v>
      </c>
      <c r="L310" s="2"/>
      <c r="M310" s="2"/>
      <c r="N310" s="2"/>
      <c r="O310" s="261">
        <f t="shared" ca="1" si="169"/>
        <v>0</v>
      </c>
      <c r="P310" s="261">
        <f t="shared" ca="1" si="187"/>
        <v>0</v>
      </c>
      <c r="Q310" s="3">
        <f ca="1">IF(A310&gt;MAX(OP!$R$17:$R$26),0,VLOOKUP(A310,fees,3,FALSE))</f>
        <v>0</v>
      </c>
      <c r="R310" s="200" t="str">
        <f t="shared" ca="1" si="170"/>
        <v/>
      </c>
      <c r="S310" s="9" t="str">
        <f ca="1">IF(COUNTIF(($T$4:T309),"F")&gt;=1,"",IF(OR(C311&lt;&gt;$C$3,E310=""),"",A310))</f>
        <v/>
      </c>
      <c r="T310" s="20" t="str">
        <f t="shared" ca="1" si="162"/>
        <v/>
      </c>
      <c r="U310" s="2">
        <f ca="1">IF(IF(OP!$C$83=1,$Z309,IF(OP!$C$83=2,$AA309,IF(OP!$C$83=3,$AB309,)))+$K310-$O310-$P310-$AS310&lt;OP!$C$142,0,$AS310)</f>
        <v>0</v>
      </c>
      <c r="V310" s="9"/>
      <c r="W310" s="19">
        <f ca="1">MAX(SUM($K$4:K310),0)</f>
        <v>2000000</v>
      </c>
      <c r="X310" s="19"/>
      <c r="Y310" s="19">
        <f t="shared" ca="1" si="188"/>
        <v>1920000</v>
      </c>
      <c r="Z310" s="2">
        <f ca="1">IF(MIN($Z$4:Z309)=0,0,MAX(0,($Z309+$K310-$O310-$P310)*IF(AND(F310="F",$D$3&lt;&gt;$G$3),((1+(-J310))^(H310/MIN(G310,365))),((1+(-J310))^(1/12)))-$U310))</f>
        <v>516888.4136811042</v>
      </c>
      <c r="AA310" s="2">
        <f ca="1">IF(MIN($AA$4:AA309)=0,0,MAX(0,($AA309+$K310-$O310-$P310)*IF(AND(F310="F",$D$3&lt;&gt;$G$3),((1+$AA$1)^(H310/MIN(G310,365))),((1+$AA$1)^(1/12)))-$U310))</f>
        <v>1920000</v>
      </c>
      <c r="AB310" s="2">
        <f ca="1">IF(MIN($AB$4:AB309)=0,0,MAX(0,($AB309+$K310-$O310-$P310)*IF(AND(F310="F",$D$3&lt;&gt;$G$3),((1+(J310))^(H310/MIN(G310,365))),((1+(J310))^(1/12)))-$U310))</f>
        <v>6689507.2677630875</v>
      </c>
      <c r="AC310" s="5"/>
      <c r="AD310" s="5"/>
      <c r="AE310" s="5"/>
      <c r="AF310" s="282">
        <f t="shared" ca="1" si="171"/>
        <v>516888</v>
      </c>
      <c r="AG310" s="282">
        <f t="shared" ca="1" si="172"/>
        <v>1920000</v>
      </c>
      <c r="AH310" s="282">
        <f t="shared" ca="1" si="173"/>
        <v>6689507</v>
      </c>
      <c r="AI310" s="23" t="str">
        <f t="shared" ca="1" si="189"/>
        <v>26-8</v>
      </c>
      <c r="AJ310" s="282">
        <f ca="1">IF(E310&gt;111,,IF(AND(OP!$C$99=1,T310="F"),Z310,IF(AND(OP!$C$99=2,COUNTIF($T$4:T310,"F")=1),OP!$C$97+IF(F310="F",OP!$C$98,0),"")))</f>
        <v>54527</v>
      </c>
      <c r="AK310" s="282">
        <f ca="1">IF(E310&gt;111,,IF(AND(OP!$D$99=1,T310="F"),AA310,IF(AND(OP!$D$99=2,COUNTIF($T$4:T310,"F")=1),OP!$D$97+IF(F310="F",OP!$D$98,0),"")))</f>
        <v>74177</v>
      </c>
      <c r="AL310" s="282">
        <f ca="1">IF(E310&gt;111,,IF(AND(OP!$E$99=1,T310="F"),AB310,IF(AND(OP!$E$99=2,COUNTIF($T$4:T310,"F")=1),OP!$E$97+IF(F310="F",OP!$E$98,0),"")))</f>
        <v>99404</v>
      </c>
      <c r="AM310" s="1">
        <f t="shared" ca="1" si="163"/>
        <v>8</v>
      </c>
      <c r="AN310" s="1" t="str">
        <f ca="1">IF(OR(VLOOKUP($A310,MP,5,0)="半年繳",VLOOKUP($A310,MP,5,0)="季繳",VLOOKUP($A310,MP,5,0)="月繳"),1,"")</f>
        <v/>
      </c>
      <c r="AO310" s="1">
        <f t="shared" ca="1" si="174"/>
        <v>0</v>
      </c>
      <c r="AP310" s="1" t="str">
        <f ca="1">IF(AND(A310&lt;=OP!$C$120,COUNTIF(PAY,C310)=1),1,"")</f>
        <v/>
      </c>
      <c r="AR310" s="301">
        <f ca="1">IF(繳費報酬率資料!$A$1=1,$AY310+$AZ310,$BF310+$BG310)</f>
        <v>0</v>
      </c>
      <c r="AS310" s="1">
        <f ca="1">IF(C310&lt;&gt;IF($C$3=1,12,$C$3-1),0,IF(繳費報酬率資料!$A$1&lt;&gt;1,VLOOKUP($A310,MP,8,0),IF(AND($A310&gt;=OP!$C$79,$A310&lt;=OP!$C$80),OP!$C$78,)))</f>
        <v>0</v>
      </c>
      <c r="AT310" s="298">
        <f t="shared" ca="1" si="175"/>
        <v>0</v>
      </c>
      <c r="AU310" s="298">
        <f ca="1">IF(AND(A310&lt;=OP!$C$120,COUNTIF(PAY,C310)=1),OP!$C$123,0)</f>
        <v>0</v>
      </c>
      <c r="AV310" s="298">
        <f ca="1">IF(AND(A310&gt;=OP!$C$132,A310&lt;=OP!$C$133,$C$3=C310),OP!$C$135,0)</f>
        <v>0</v>
      </c>
      <c r="AW310" s="180">
        <f t="shared" ca="1" si="176"/>
        <v>0.05</v>
      </c>
      <c r="AX310" s="180">
        <f t="shared" ca="1" si="177"/>
        <v>0.05</v>
      </c>
      <c r="AY310" s="286">
        <f t="shared" ca="1" si="178"/>
        <v>0</v>
      </c>
      <c r="AZ310" s="286">
        <f t="shared" ca="1" si="179"/>
        <v>0</v>
      </c>
      <c r="BA310" s="286">
        <f t="shared" ca="1" si="180"/>
        <v>0</v>
      </c>
      <c r="BB310" s="286">
        <f t="shared" ca="1" si="181"/>
        <v>0</v>
      </c>
      <c r="BC310" s="286">
        <f t="shared" ca="1" si="182"/>
        <v>0</v>
      </c>
      <c r="BD310" s="180">
        <f t="shared" ca="1" si="183"/>
        <v>0.05</v>
      </c>
      <c r="BE310" s="180">
        <f t="shared" ca="1" si="184"/>
        <v>0.05</v>
      </c>
      <c r="BF310" s="286">
        <f t="shared" ca="1" si="185"/>
        <v>0</v>
      </c>
      <c r="BG310" s="286">
        <f t="shared" ca="1" si="186"/>
        <v>0</v>
      </c>
    </row>
    <row r="311" spans="1:59">
      <c r="A311" s="1">
        <f t="shared" ca="1" si="166"/>
        <v>26</v>
      </c>
      <c r="B311" s="1">
        <f t="shared" ca="1" si="159"/>
        <v>132</v>
      </c>
      <c r="C311" s="1">
        <f t="shared" ca="1" si="160"/>
        <v>1</v>
      </c>
      <c r="D311" s="1">
        <f ca="1">MIN($D$3,VLOOKUP(C311,OP!$S$30:$T$41,2))</f>
        <v>2</v>
      </c>
      <c r="E311" s="1">
        <f t="shared" ca="1" si="161"/>
        <v>80</v>
      </c>
      <c r="F311" s="11" t="str">
        <f t="shared" ca="1" si="167"/>
        <v/>
      </c>
      <c r="G311" s="8">
        <f t="shared" ca="1" si="193"/>
        <v>365</v>
      </c>
      <c r="H311" s="8">
        <f t="shared" ca="1" si="168"/>
        <v>31</v>
      </c>
      <c r="I311" s="8" t="str">
        <f t="shared" ca="1" si="165"/>
        <v>261</v>
      </c>
      <c r="J311" s="13">
        <f>IF(繳費報酬率資料!$A$1=1,VALUE(OP!$C$121),VLOOKUP(A311,MP,2,0))</f>
        <v>0.05</v>
      </c>
      <c r="K311" s="14">
        <f ca="1">IF(SUM($K$4:K310,IF(繳費報酬率資料!$A$1=1,$AU311+$AV311,$BB311+$BC311))&gt;OP!$L$58,0,IF(繳費報酬率資料!$A$1=1,$AU311+$AV311,$BB311+$BC311))</f>
        <v>0</v>
      </c>
      <c r="L311" s="2"/>
      <c r="M311" s="2"/>
      <c r="N311" s="2"/>
      <c r="O311" s="261">
        <f t="shared" ca="1" si="169"/>
        <v>0</v>
      </c>
      <c r="P311" s="261">
        <f t="shared" ca="1" si="187"/>
        <v>0</v>
      </c>
      <c r="Q311" s="3">
        <f ca="1">IF(A311&gt;MAX(OP!$R$17:$R$26),0,VLOOKUP(A311,fees,3,FALSE))</f>
        <v>0</v>
      </c>
      <c r="R311" s="200" t="str">
        <f t="shared" ca="1" si="170"/>
        <v/>
      </c>
      <c r="S311" s="9" t="str">
        <f ca="1">IF(COUNTIF(($T$4:T310),"F")&gt;=1,"",IF(OR(C312&lt;&gt;$C$3,E311=""),"",A311))</f>
        <v/>
      </c>
      <c r="T311" s="20" t="str">
        <f t="shared" ca="1" si="162"/>
        <v/>
      </c>
      <c r="U311" s="2">
        <f ca="1">IF(IF(OP!$C$83=1,$Z310,IF(OP!$C$83=2,$AA310,IF(OP!$C$83=3,$AB310,)))+$K311-$O311-$P311-$AS311&lt;OP!$C$142,0,$AS311)</f>
        <v>0</v>
      </c>
      <c r="V311" s="9"/>
      <c r="W311" s="19">
        <f ca="1">MAX(SUM($K$4:K311),0)</f>
        <v>2000000</v>
      </c>
      <c r="X311" s="19"/>
      <c r="Y311" s="19">
        <f t="shared" ca="1" si="188"/>
        <v>1920000</v>
      </c>
      <c r="Z311" s="2">
        <f ca="1">IF(MIN($Z$4:Z310)=0,0,MAX(0,($Z310+$K311-$O311-$P311)*IF(AND(F311="F",$D$3&lt;&gt;$G$3),((1+(-J311))^(H311/MIN(G311,365))),((1+(-J311))^(1/12)))-$U311))</f>
        <v>514683.71982432663</v>
      </c>
      <c r="AA311" s="2">
        <f ca="1">IF(MIN($AA$4:AA310)=0,0,MAX(0,($AA310+$K311-$O311-$P311)*IF(AND(F311="F",$D$3&lt;&gt;$G$3),((1+$AA$1)^(H311/MIN(G311,365))),((1+$AA$1)^(1/12)))-$U311))</f>
        <v>1920000</v>
      </c>
      <c r="AB311" s="2">
        <f ca="1">IF(MIN($AB$4:AB310)=0,0,MAX(0,($AB310+$K311-$O311-$P311)*IF(AND(F311="F",$D$3&lt;&gt;$G$3),((1+(J311))^(H311/MIN(G311,365))),((1+(J311))^(1/12)))-$U311))</f>
        <v>6716761.1484235693</v>
      </c>
      <c r="AC311" s="5"/>
      <c r="AD311" s="5"/>
      <c r="AE311" s="5"/>
      <c r="AF311" s="282">
        <f t="shared" ca="1" si="171"/>
        <v>514684</v>
      </c>
      <c r="AG311" s="282">
        <f t="shared" ca="1" si="172"/>
        <v>1920000</v>
      </c>
      <c r="AH311" s="282">
        <f t="shared" ca="1" si="173"/>
        <v>6716761</v>
      </c>
      <c r="AI311" s="23" t="str">
        <f t="shared" ca="1" si="189"/>
        <v>26-9</v>
      </c>
      <c r="AJ311" s="282">
        <f ca="1">IF(E311&gt;111,,IF(AND(OP!$C$99=1,T311="F"),Z311,IF(AND(OP!$C$99=2,COUNTIF($T$4:T311,"F")=1),OP!$C$97+IF(F311="F",OP!$C$98,0),"")))</f>
        <v>54527</v>
      </c>
      <c r="AK311" s="282">
        <f ca="1">IF(E311&gt;111,,IF(AND(OP!$D$99=1,T311="F"),AA311,IF(AND(OP!$D$99=2,COUNTIF($T$4:T311,"F")=1),OP!$D$97+IF(F311="F",OP!$D$98,0),"")))</f>
        <v>74177</v>
      </c>
      <c r="AL311" s="282">
        <f ca="1">IF(E311&gt;111,,IF(AND(OP!$E$99=1,T311="F"),AB311,IF(AND(OP!$E$99=2,COUNTIF($T$4:T311,"F")=1),OP!$E$97+IF(F311="F",OP!$E$98,0),"")))</f>
        <v>99404</v>
      </c>
      <c r="AM311" s="1">
        <f t="shared" ca="1" si="163"/>
        <v>9</v>
      </c>
      <c r="AN311" s="1" t="str">
        <f ca="1">IF(OR(VLOOKUP($A311,MP,5,0)="月繳"),1,"")</f>
        <v/>
      </c>
      <c r="AO311" s="1">
        <f t="shared" ca="1" si="174"/>
        <v>0</v>
      </c>
      <c r="AP311" s="1" t="str">
        <f ca="1">IF(AND(A311&lt;=OP!$C$120,COUNTIF(PAY,C311)=1),1,"")</f>
        <v/>
      </c>
      <c r="AR311" s="301">
        <f ca="1">IF(繳費報酬率資料!$A$1=1,$AY311+$AZ311,$BF311+$BG311)</f>
        <v>0</v>
      </c>
      <c r="AS311" s="1">
        <f ca="1">IF(C311&lt;&gt;IF($C$3=1,12,$C$3-1),0,IF(繳費報酬率資料!$A$1&lt;&gt;1,VLOOKUP($A311,MP,8,0),IF(AND($A311&gt;=OP!$C$79,$A311&lt;=OP!$C$80),OP!$C$78,)))</f>
        <v>0</v>
      </c>
      <c r="AT311" s="298">
        <f t="shared" ca="1" si="175"/>
        <v>0</v>
      </c>
      <c r="AU311" s="298">
        <f ca="1">IF(AND(A311&lt;=OP!$C$120,COUNTIF(PAY,C311)=1),OP!$C$123,0)</f>
        <v>0</v>
      </c>
      <c r="AV311" s="298">
        <f ca="1">IF(AND(A311&gt;=OP!$C$132,A311&lt;=OP!$C$133,$C$3=C311),OP!$C$135,0)</f>
        <v>0</v>
      </c>
      <c r="AW311" s="180">
        <f t="shared" ca="1" si="176"/>
        <v>0.05</v>
      </c>
      <c r="AX311" s="180">
        <f t="shared" ca="1" si="177"/>
        <v>0.05</v>
      </c>
      <c r="AY311" s="286">
        <f t="shared" ca="1" si="178"/>
        <v>0</v>
      </c>
      <c r="AZ311" s="286">
        <f t="shared" ca="1" si="179"/>
        <v>0</v>
      </c>
      <c r="BA311" s="286">
        <f t="shared" ca="1" si="180"/>
        <v>0</v>
      </c>
      <c r="BB311" s="286">
        <f t="shared" ca="1" si="181"/>
        <v>0</v>
      </c>
      <c r="BC311" s="286">
        <f t="shared" ca="1" si="182"/>
        <v>0</v>
      </c>
      <c r="BD311" s="180">
        <f t="shared" ca="1" si="183"/>
        <v>0.05</v>
      </c>
      <c r="BE311" s="180">
        <f t="shared" ca="1" si="184"/>
        <v>0.05</v>
      </c>
      <c r="BF311" s="286">
        <f t="shared" ca="1" si="185"/>
        <v>0</v>
      </c>
      <c r="BG311" s="286">
        <f t="shared" ca="1" si="186"/>
        <v>0</v>
      </c>
    </row>
    <row r="312" spans="1:59">
      <c r="A312" s="1">
        <f t="shared" ca="1" si="166"/>
        <v>26</v>
      </c>
      <c r="B312" s="1">
        <f t="shared" ca="1" si="159"/>
        <v>132</v>
      </c>
      <c r="C312" s="1">
        <f t="shared" ca="1" si="160"/>
        <v>2</v>
      </c>
      <c r="D312" s="1">
        <f ca="1">MIN($D$3,VLOOKUP(C312,OP!$S$30:$T$41,2))</f>
        <v>2</v>
      </c>
      <c r="E312" s="1">
        <f t="shared" ca="1" si="161"/>
        <v>80</v>
      </c>
      <c r="F312" s="11" t="str">
        <f t="shared" ca="1" si="167"/>
        <v/>
      </c>
      <c r="G312" s="8">
        <f t="shared" ca="1" si="193"/>
        <v>365</v>
      </c>
      <c r="H312" s="8">
        <f t="shared" ca="1" si="168"/>
        <v>28</v>
      </c>
      <c r="I312" s="8" t="str">
        <f t="shared" ca="1" si="165"/>
        <v>262</v>
      </c>
      <c r="J312" s="13">
        <f>IF(繳費報酬率資料!$A$1=1,VALUE(OP!$C$121),VLOOKUP(A312,MP,2,0))</f>
        <v>0.05</v>
      </c>
      <c r="K312" s="14">
        <f ca="1">IF(SUM($K$4:K311,IF(繳費報酬率資料!$A$1=1,$AU312+$AV312,$BB312+$BC312))&gt;OP!$L$58,0,IF(繳費報酬率資料!$A$1=1,$AU312+$AV312,$BB312+$BC312))</f>
        <v>0</v>
      </c>
      <c r="L312" s="2"/>
      <c r="M312" s="2"/>
      <c r="N312" s="2"/>
      <c r="O312" s="261">
        <f t="shared" ca="1" si="169"/>
        <v>0</v>
      </c>
      <c r="P312" s="261">
        <f t="shared" ca="1" si="187"/>
        <v>0</v>
      </c>
      <c r="Q312" s="3">
        <f ca="1">IF(A312&gt;MAX(OP!$R$17:$R$26),0,VLOOKUP(A312,fees,3,FALSE))</f>
        <v>0</v>
      </c>
      <c r="R312" s="200" t="str">
        <f t="shared" ca="1" si="170"/>
        <v/>
      </c>
      <c r="S312" s="9" t="str">
        <f ca="1">IF(COUNTIF(($T$4:T311),"F")&gt;=1,"",IF(OR(C313&lt;&gt;$C$3,E312=""),"",A312))</f>
        <v/>
      </c>
      <c r="T312" s="20" t="str">
        <f t="shared" ca="1" si="162"/>
        <v/>
      </c>
      <c r="U312" s="2">
        <f ca="1">IF(IF(OP!$C$83=1,$Z311,IF(OP!$C$83=2,$AA311,IF(OP!$C$83=3,$AB311,)))+$K312-$O312-$P312-$AS312&lt;OP!$C$142,0,$AS312)</f>
        <v>0</v>
      </c>
      <c r="V312" s="9"/>
      <c r="W312" s="19">
        <f ca="1">MAX(SUM($K$4:K312),0)</f>
        <v>2000000</v>
      </c>
      <c r="X312" s="19"/>
      <c r="Y312" s="19">
        <f t="shared" ca="1" si="188"/>
        <v>1920000</v>
      </c>
      <c r="Z312" s="2">
        <f ca="1">IF(MIN($Z$4:Z311)=0,0,MAX(0,($Z311+$K312-$O312-$P312)*IF(AND(F312="F",$D$3&lt;&gt;$G$3),((1+(-J312))^(H312/MIN(G312,365))),((1+(-J312))^(1/12)))-$U312))</f>
        <v>512488.4296896552</v>
      </c>
      <c r="AA312" s="2">
        <f ca="1">IF(MIN($AA$4:AA311)=0,0,MAX(0,($AA311+$K312-$O312-$P312)*IF(AND(F312="F",$D$3&lt;&gt;$G$3),((1+$AA$1)^(H312/MIN(G312,365))),((1+$AA$1)^(1/12)))-$U312))</f>
        <v>1920000</v>
      </c>
      <c r="AB312" s="2">
        <f ca="1">IF(MIN($AB$4:AB311)=0,0,MAX(0,($AB311+$K312-$O312-$P312)*IF(AND(F312="F",$D$3&lt;&gt;$G$3),((1+(J312))^(H312/MIN(G312,365))),((1+(J312))^(1/12)))-$U312))</f>
        <v>6744126.0647674473</v>
      </c>
      <c r="AC312" s="5"/>
      <c r="AD312" s="5"/>
      <c r="AE312" s="5"/>
      <c r="AF312" s="282">
        <f t="shared" ca="1" si="171"/>
        <v>512488</v>
      </c>
      <c r="AG312" s="282">
        <f t="shared" ca="1" si="172"/>
        <v>1920000</v>
      </c>
      <c r="AH312" s="282">
        <f t="shared" ca="1" si="173"/>
        <v>6744126</v>
      </c>
      <c r="AI312" s="23" t="str">
        <f t="shared" ca="1" si="189"/>
        <v>26-10</v>
      </c>
      <c r="AJ312" s="282">
        <f ca="1">IF(E312&gt;111,,IF(AND(OP!$C$99=1,T312="F"),Z312,IF(AND(OP!$C$99=2,COUNTIF($T$4:T312,"F")=1),OP!$C$97+IF(F312="F",OP!$C$98,0),"")))</f>
        <v>54527</v>
      </c>
      <c r="AK312" s="282">
        <f ca="1">IF(E312&gt;111,,IF(AND(OP!$D$99=1,T312="F"),AA312,IF(AND(OP!$D$99=2,COUNTIF($T$4:T312,"F")=1),OP!$D$97+IF(F312="F",OP!$D$98,0),"")))</f>
        <v>74177</v>
      </c>
      <c r="AL312" s="282">
        <f ca="1">IF(E312&gt;111,,IF(AND(OP!$E$99=1,T312="F"),AB312,IF(AND(OP!$E$99=2,COUNTIF($T$4:T312,"F")=1),OP!$E$97+IF(F312="F",OP!$E$98,0),"")))</f>
        <v>99404</v>
      </c>
      <c r="AM312" s="1">
        <f t="shared" ca="1" si="163"/>
        <v>10</v>
      </c>
      <c r="AN312" s="1" t="str">
        <f ca="1">IF(OR(VLOOKUP($A312,MP,5,0)="月繳"),1,"")</f>
        <v/>
      </c>
      <c r="AO312" s="1">
        <f t="shared" ca="1" si="174"/>
        <v>0</v>
      </c>
      <c r="AP312" s="1" t="str">
        <f ca="1">IF(AND(A312&lt;=OP!$C$120,COUNTIF(PAY,C312)=1),1,"")</f>
        <v/>
      </c>
      <c r="AR312" s="301">
        <f ca="1">IF(繳費報酬率資料!$A$1=1,$AY312+$AZ312,$BF312+$BG312)</f>
        <v>0</v>
      </c>
      <c r="AS312" s="1">
        <f ca="1">IF(C312&lt;&gt;IF($C$3=1,12,$C$3-1),0,IF(繳費報酬率資料!$A$1&lt;&gt;1,VLOOKUP($A312,MP,8,0),IF(AND($A312&gt;=OP!$C$79,$A312&lt;=OP!$C$80),OP!$C$78,)))</f>
        <v>0</v>
      </c>
      <c r="AT312" s="298">
        <f t="shared" ca="1" si="175"/>
        <v>0</v>
      </c>
      <c r="AU312" s="298">
        <f ca="1">IF(AND(A312&lt;=OP!$C$120,COUNTIF(PAY,C312)=1),OP!$C$123,0)</f>
        <v>0</v>
      </c>
      <c r="AV312" s="298">
        <f ca="1">IF(AND(A312&gt;=OP!$C$132,A312&lt;=OP!$C$133,$C$3=C312),OP!$C$135,0)</f>
        <v>0</v>
      </c>
      <c r="AW312" s="180">
        <f t="shared" ca="1" si="176"/>
        <v>0.05</v>
      </c>
      <c r="AX312" s="180">
        <f t="shared" ca="1" si="177"/>
        <v>0.05</v>
      </c>
      <c r="AY312" s="286">
        <f t="shared" ca="1" si="178"/>
        <v>0</v>
      </c>
      <c r="AZ312" s="286">
        <f t="shared" ca="1" si="179"/>
        <v>0</v>
      </c>
      <c r="BA312" s="286">
        <f t="shared" ca="1" si="180"/>
        <v>0</v>
      </c>
      <c r="BB312" s="286">
        <f t="shared" ca="1" si="181"/>
        <v>0</v>
      </c>
      <c r="BC312" s="286">
        <f t="shared" ca="1" si="182"/>
        <v>0</v>
      </c>
      <c r="BD312" s="180">
        <f t="shared" ca="1" si="183"/>
        <v>0.05</v>
      </c>
      <c r="BE312" s="180">
        <f t="shared" ca="1" si="184"/>
        <v>0.05</v>
      </c>
      <c r="BF312" s="286">
        <f t="shared" ca="1" si="185"/>
        <v>0</v>
      </c>
      <c r="BG312" s="286">
        <f t="shared" ca="1" si="186"/>
        <v>0</v>
      </c>
    </row>
    <row r="313" spans="1:59">
      <c r="A313" s="1">
        <f t="shared" ca="1" si="166"/>
        <v>26</v>
      </c>
      <c r="B313" s="1">
        <f t="shared" ca="1" si="159"/>
        <v>132</v>
      </c>
      <c r="C313" s="1">
        <f t="shared" ca="1" si="160"/>
        <v>3</v>
      </c>
      <c r="D313" s="1">
        <f ca="1">MIN($D$3,VLOOKUP(C313,OP!$S$30:$T$41,2))</f>
        <v>2</v>
      </c>
      <c r="E313" s="1">
        <f t="shared" ca="1" si="161"/>
        <v>80</v>
      </c>
      <c r="F313" s="11" t="str">
        <f t="shared" ca="1" si="167"/>
        <v/>
      </c>
      <c r="G313" s="8">
        <f t="shared" ca="1" si="193"/>
        <v>365</v>
      </c>
      <c r="H313" s="8">
        <f t="shared" ca="1" si="168"/>
        <v>31</v>
      </c>
      <c r="I313" s="8" t="str">
        <f t="shared" ca="1" si="165"/>
        <v>263</v>
      </c>
      <c r="J313" s="13">
        <f>IF(繳費報酬率資料!$A$1=1,VALUE(OP!$C$121),VLOOKUP(A313,MP,2,0))</f>
        <v>0.05</v>
      </c>
      <c r="K313" s="14">
        <f ca="1">IF(SUM($K$4:K312,IF(繳費報酬率資料!$A$1=1,$AU313+$AV313,$BB313+$BC313))&gt;OP!$L$58,0,IF(繳費報酬率資料!$A$1=1,$AU313+$AV313,$BB313+$BC313))</f>
        <v>0</v>
      </c>
      <c r="L313" s="2"/>
      <c r="M313" s="2"/>
      <c r="N313" s="2"/>
      <c r="O313" s="261">
        <f t="shared" ca="1" si="169"/>
        <v>0</v>
      </c>
      <c r="P313" s="261">
        <f t="shared" ca="1" si="187"/>
        <v>0</v>
      </c>
      <c r="Q313" s="3">
        <f ca="1">IF(A313&gt;MAX(OP!$R$17:$R$26),0,VLOOKUP(A313,fees,3,FALSE))</f>
        <v>0</v>
      </c>
      <c r="R313" s="200" t="str">
        <f t="shared" ca="1" si="170"/>
        <v/>
      </c>
      <c r="S313" s="9" t="str">
        <f ca="1">IF(COUNTIF(($T$4:T312),"F")&gt;=1,"",IF(OR(C314&lt;&gt;$C$3,E313=""),"",A313))</f>
        <v/>
      </c>
      <c r="T313" s="20" t="str">
        <f t="shared" ca="1" si="162"/>
        <v/>
      </c>
      <c r="U313" s="2">
        <f ca="1">IF(IF(OP!$C$83=1,$Z312,IF(OP!$C$83=2,$AA312,IF(OP!$C$83=3,$AB312,)))+$K313-$O313-$P313-$AS313&lt;OP!$C$142,0,$AS313)</f>
        <v>0</v>
      </c>
      <c r="V313" s="9"/>
      <c r="W313" s="19">
        <f ca="1">MAX(SUM($K$4:K313),0)</f>
        <v>2000000</v>
      </c>
      <c r="X313" s="19"/>
      <c r="Y313" s="19">
        <f t="shared" ca="1" si="188"/>
        <v>1920000</v>
      </c>
      <c r="Z313" s="2">
        <f ca="1">IF(MIN($Z$4:Z312)=0,0,MAX(0,($Z312+$K313-$O313-$P313)*IF(AND(F313="F",$D$3&lt;&gt;$G$3),((1+(-J313))^(H313/MIN(G313,365))),((1+(-J313))^(1/12)))-$U313))</f>
        <v>510302.50316721736</v>
      </c>
      <c r="AA313" s="2">
        <f ca="1">IF(MIN($AA$4:AA312)=0,0,MAX(0,($AA312+$K313-$O313-$P313)*IF(AND(F313="F",$D$3&lt;&gt;$G$3),((1+$AA$1)^(H313/MIN(G313,365))),((1+$AA$1)^(1/12)))-$U313))</f>
        <v>1920000</v>
      </c>
      <c r="AB313" s="2">
        <f ca="1">IF(MIN($AB$4:AB312)=0,0,MAX(0,($AB312+$K313-$O313-$P313)*IF(AND(F313="F",$D$3&lt;&gt;$G$3),((1+(J313))^(H313/MIN(G313,365))),((1+(J313))^(1/12)))-$U313))</f>
        <v>6771602.4691678388</v>
      </c>
      <c r="AC313" s="5"/>
      <c r="AD313" s="5"/>
      <c r="AE313" s="5"/>
      <c r="AF313" s="282">
        <f t="shared" ca="1" si="171"/>
        <v>510303</v>
      </c>
      <c r="AG313" s="282">
        <f t="shared" ca="1" si="172"/>
        <v>1920000</v>
      </c>
      <c r="AH313" s="282">
        <f t="shared" ca="1" si="173"/>
        <v>6771602</v>
      </c>
      <c r="AI313" s="23" t="str">
        <f t="shared" ca="1" si="189"/>
        <v>26-11</v>
      </c>
      <c r="AJ313" s="282">
        <f ca="1">IF(E313&gt;111,,IF(AND(OP!$C$99=1,T313="F"),Z313,IF(AND(OP!$C$99=2,COUNTIF($T$4:T313,"F")=1),OP!$C$97+IF(F313="F",OP!$C$98,0),"")))</f>
        <v>54527</v>
      </c>
      <c r="AK313" s="282">
        <f ca="1">IF(E313&gt;111,,IF(AND(OP!$D$99=1,T313="F"),AA313,IF(AND(OP!$D$99=2,COUNTIF($T$4:T313,"F")=1),OP!$D$97+IF(F313="F",OP!$D$98,0),"")))</f>
        <v>74177</v>
      </c>
      <c r="AL313" s="282">
        <f ca="1">IF(E313&gt;111,,IF(AND(OP!$E$99=1,T313="F"),AB313,IF(AND(OP!$E$99=2,COUNTIF($T$4:T313,"F")=1),OP!$E$97+IF(F313="F",OP!$E$98,0),"")))</f>
        <v>99404</v>
      </c>
      <c r="AM313" s="1">
        <f t="shared" ca="1" si="163"/>
        <v>11</v>
      </c>
      <c r="AN313" s="1" t="str">
        <f ca="1">IF(OR(VLOOKUP($A313,MP,5,0)="季繳",VLOOKUP($A313,MP,5,0)="月繳"),1,"")</f>
        <v/>
      </c>
      <c r="AO313" s="1">
        <f t="shared" ca="1" si="174"/>
        <v>0</v>
      </c>
      <c r="AP313" s="1" t="str">
        <f ca="1">IF(AND(A313&lt;=OP!$C$120,COUNTIF(PAY,C313)=1),1,"")</f>
        <v/>
      </c>
      <c r="AR313" s="301">
        <f ca="1">IF(繳費報酬率資料!$A$1=1,$AY313+$AZ313,$BF313+$BG313)</f>
        <v>0</v>
      </c>
      <c r="AS313" s="1">
        <f ca="1">IF(C313&lt;&gt;IF($C$3=1,12,$C$3-1),0,IF(繳費報酬率資料!$A$1&lt;&gt;1,VLOOKUP($A313,MP,8,0),IF(AND($A313&gt;=OP!$C$79,$A313&lt;=OP!$C$80),OP!$C$78,)))</f>
        <v>0</v>
      </c>
      <c r="AT313" s="298">
        <f t="shared" ca="1" si="175"/>
        <v>0</v>
      </c>
      <c r="AU313" s="298">
        <f ca="1">IF(AND(A313&lt;=OP!$C$120,COUNTIF(PAY,C313)=1),OP!$C$123,0)</f>
        <v>0</v>
      </c>
      <c r="AV313" s="298">
        <f ca="1">IF(AND(A313&gt;=OP!$C$132,A313&lt;=OP!$C$133,$C$3=C313),OP!$C$135,0)</f>
        <v>0</v>
      </c>
      <c r="AW313" s="180">
        <f t="shared" ca="1" si="176"/>
        <v>0.05</v>
      </c>
      <c r="AX313" s="180">
        <f t="shared" ca="1" si="177"/>
        <v>0.05</v>
      </c>
      <c r="AY313" s="286">
        <f t="shared" ca="1" si="178"/>
        <v>0</v>
      </c>
      <c r="AZ313" s="286">
        <f t="shared" ca="1" si="179"/>
        <v>0</v>
      </c>
      <c r="BA313" s="286">
        <f t="shared" ca="1" si="180"/>
        <v>0</v>
      </c>
      <c r="BB313" s="286">
        <f t="shared" ca="1" si="181"/>
        <v>0</v>
      </c>
      <c r="BC313" s="286">
        <f t="shared" ca="1" si="182"/>
        <v>0</v>
      </c>
      <c r="BD313" s="180">
        <f t="shared" ca="1" si="183"/>
        <v>0.05</v>
      </c>
      <c r="BE313" s="180">
        <f t="shared" ca="1" si="184"/>
        <v>0.05</v>
      </c>
      <c r="BF313" s="286">
        <f t="shared" ca="1" si="185"/>
        <v>0</v>
      </c>
      <c r="BG313" s="286">
        <f t="shared" ca="1" si="186"/>
        <v>0</v>
      </c>
    </row>
    <row r="314" spans="1:59">
      <c r="A314" s="1">
        <f t="shared" ca="1" si="166"/>
        <v>26</v>
      </c>
      <c r="B314" s="1">
        <f t="shared" ca="1" si="159"/>
        <v>132</v>
      </c>
      <c r="C314" s="1">
        <f t="shared" ca="1" si="160"/>
        <v>4</v>
      </c>
      <c r="D314" s="1">
        <f ca="1">MIN($D$3,VLOOKUP(C314,OP!$S$30:$T$41,2))</f>
        <v>2</v>
      </c>
      <c r="E314" s="1">
        <f t="shared" ca="1" si="161"/>
        <v>80</v>
      </c>
      <c r="F314" s="11" t="str">
        <f t="shared" ca="1" si="167"/>
        <v/>
      </c>
      <c r="G314" s="8">
        <f t="shared" ca="1" si="193"/>
        <v>365</v>
      </c>
      <c r="H314" s="8">
        <f t="shared" ca="1" si="168"/>
        <v>30</v>
      </c>
      <c r="I314" s="8" t="str">
        <f t="shared" ca="1" si="165"/>
        <v>264</v>
      </c>
      <c r="J314" s="13">
        <f>IF(繳費報酬率資料!$A$1=1,VALUE(OP!$C$121),VLOOKUP(A314,MP,2,0))</f>
        <v>0.05</v>
      </c>
      <c r="K314" s="14">
        <f ca="1">IF(SUM($K$4:K313,IF(繳費報酬率資料!$A$1=1,$AU314+$AV314,$BB314+$BC314))&gt;OP!$L$58,0,IF(繳費報酬率資料!$A$1=1,$AU314+$AV314,$BB314+$BC314))</f>
        <v>0</v>
      </c>
      <c r="L314" s="2"/>
      <c r="M314" s="2"/>
      <c r="N314" s="2"/>
      <c r="O314" s="261">
        <f t="shared" ca="1" si="169"/>
        <v>0</v>
      </c>
      <c r="P314" s="261">
        <f t="shared" ca="1" si="187"/>
        <v>0</v>
      </c>
      <c r="Q314" s="3">
        <f ca="1">IF(A314&gt;MAX(OP!$R$17:$R$26),0,VLOOKUP(A314,fees,3,FALSE))</f>
        <v>0</v>
      </c>
      <c r="R314" s="200" t="str">
        <f t="shared" ca="1" si="170"/>
        <v/>
      </c>
      <c r="S314" s="9" t="str">
        <f ca="1">IF(COUNTIF(($T$4:T313),"F")&gt;=1,"",IF(OR(C315&lt;&gt;$C$3,E314=""),"",A314))</f>
        <v/>
      </c>
      <c r="T314" s="20" t="str">
        <f t="shared" ca="1" si="162"/>
        <v/>
      </c>
      <c r="U314" s="2">
        <f ca="1">IF(IF(OP!$C$83=1,$Z313,IF(OP!$C$83=2,$AA313,IF(OP!$C$83=3,$AB313,)))+$K314-$O314-$P314-$AS314&lt;OP!$C$142,0,$AS314)</f>
        <v>0</v>
      </c>
      <c r="V314" s="9"/>
      <c r="W314" s="19">
        <f ca="1">MAX(SUM($K$4:K314),0)</f>
        <v>2000000</v>
      </c>
      <c r="X314" s="19"/>
      <c r="Y314" s="19">
        <f t="shared" ca="1" si="188"/>
        <v>1920000</v>
      </c>
      <c r="Z314" s="2">
        <f ca="1">IF(MIN($Z$4:Z313)=0,0,MAX(0,($Z313+$K314-$O314-$P314)*IF(AND(F314="F",$D$3&lt;&gt;$G$3),((1+(-J314))^(H314/MIN(G314,365))),((1+(-J314))^(1/12)))-$U314))</f>
        <v>508125.900318222</v>
      </c>
      <c r="AA314" s="2">
        <f ca="1">IF(MIN($AA$4:AA313)=0,0,MAX(0,($AA313+$K314-$O314-$P314)*IF(AND(F314="F",$D$3&lt;&gt;$G$3),((1+$AA$1)^(H314/MIN(G314,365))),((1+$AA$1)^(1/12)))-$U314))</f>
        <v>1920000</v>
      </c>
      <c r="AB314" s="2">
        <f ca="1">IF(MIN($AB$4:AB313)=0,0,MAX(0,($AB313+$K314-$O314-$P314)*IF(AND(F314="F",$D$3&lt;&gt;$G$3),((1+(J314))^(H314/MIN(G314,365))),((1+(J314))^(1/12)))-$U314))</f>
        <v>6799190.8158408878</v>
      </c>
      <c r="AC314" s="5"/>
      <c r="AD314" s="5"/>
      <c r="AE314" s="5"/>
      <c r="AF314" s="282">
        <f t="shared" ca="1" si="171"/>
        <v>508126</v>
      </c>
      <c r="AG314" s="282">
        <f t="shared" ca="1" si="172"/>
        <v>1920000</v>
      </c>
      <c r="AH314" s="282">
        <f t="shared" ca="1" si="173"/>
        <v>6799191</v>
      </c>
      <c r="AI314" s="23" t="str">
        <f t="shared" ca="1" si="189"/>
        <v>26-12</v>
      </c>
      <c r="AJ314" s="282">
        <f ca="1">IF(E314&gt;111,,IF(AND(OP!$C$99=1,T314="F"),Z314,IF(AND(OP!$C$99=2,COUNTIF($T$4:T314,"F")=1),OP!$C$97+IF(F314="F",OP!$C$98,0),"")))</f>
        <v>54527</v>
      </c>
      <c r="AK314" s="282">
        <f ca="1">IF(E314&gt;111,,IF(AND(OP!$D$99=1,T314="F"),AA314,IF(AND(OP!$D$99=2,COUNTIF($T$4:T314,"F")=1),OP!$D$97+IF(F314="F",OP!$D$98,0),"")))</f>
        <v>74177</v>
      </c>
      <c r="AL314" s="282">
        <f ca="1">IF(E314&gt;111,,IF(AND(OP!$E$99=1,T314="F"),AB314,IF(AND(OP!$E$99=2,COUNTIF($T$4:T314,"F")=1),OP!$E$97+IF(F314="F",OP!$E$98,0),"")))</f>
        <v>99404</v>
      </c>
      <c r="AM314" s="1">
        <f t="shared" ca="1" si="163"/>
        <v>12</v>
      </c>
      <c r="AN314" s="1" t="str">
        <f ca="1">IF(OR(VLOOKUP($A314,MP,5,0)="月繳"),1,"")</f>
        <v/>
      </c>
      <c r="AO314" s="1">
        <f t="shared" ca="1" si="174"/>
        <v>0</v>
      </c>
      <c r="AP314" s="1" t="str">
        <f ca="1">IF(AND(A314&lt;=OP!$C$120,COUNTIF(PAY,C314)=1),1,"")</f>
        <v/>
      </c>
      <c r="AR314" s="301">
        <f ca="1">IF(繳費報酬率資料!$A$1=1,$AY314+$AZ314,$BF314+$BG314)</f>
        <v>0</v>
      </c>
      <c r="AS314" s="1">
        <f ca="1">IF(C314&lt;&gt;IF($C$3=1,12,$C$3-1),0,IF(繳費報酬率資料!$A$1&lt;&gt;1,VLOOKUP($A314,MP,8,0),IF(AND($A314&gt;=OP!$C$79,$A314&lt;=OP!$C$80),OP!$C$78,)))</f>
        <v>0</v>
      </c>
      <c r="AT314" s="298">
        <f t="shared" ca="1" si="175"/>
        <v>0</v>
      </c>
      <c r="AU314" s="298">
        <f ca="1">IF(AND(A314&lt;=OP!$C$120,COUNTIF(PAY,C314)=1),OP!$C$123,0)</f>
        <v>0</v>
      </c>
      <c r="AV314" s="298">
        <f ca="1">IF(AND(A314&gt;=OP!$C$132,A314&lt;=OP!$C$133,$C$3=C314),OP!$C$135,0)</f>
        <v>0</v>
      </c>
      <c r="AW314" s="180">
        <f t="shared" ca="1" si="176"/>
        <v>0.05</v>
      </c>
      <c r="AX314" s="180">
        <f t="shared" ca="1" si="177"/>
        <v>0.05</v>
      </c>
      <c r="AY314" s="286">
        <f t="shared" ca="1" si="178"/>
        <v>0</v>
      </c>
      <c r="AZ314" s="286">
        <f t="shared" ca="1" si="179"/>
        <v>0</v>
      </c>
      <c r="BA314" s="286">
        <f t="shared" ca="1" si="180"/>
        <v>0</v>
      </c>
      <c r="BB314" s="286">
        <f t="shared" ca="1" si="181"/>
        <v>0</v>
      </c>
      <c r="BC314" s="286">
        <f t="shared" ca="1" si="182"/>
        <v>0</v>
      </c>
      <c r="BD314" s="180">
        <f t="shared" ca="1" si="183"/>
        <v>0.05</v>
      </c>
      <c r="BE314" s="180">
        <f t="shared" ca="1" si="184"/>
        <v>0.05</v>
      </c>
      <c r="BF314" s="286">
        <f t="shared" ca="1" si="185"/>
        <v>0</v>
      </c>
      <c r="BG314" s="286">
        <f t="shared" ca="1" si="186"/>
        <v>0</v>
      </c>
    </row>
    <row r="315" spans="1:59">
      <c r="A315" s="1">
        <f t="shared" ca="1" si="166"/>
        <v>26</v>
      </c>
      <c r="B315" s="1">
        <f t="shared" ca="1" si="159"/>
        <v>132</v>
      </c>
      <c r="C315" s="1">
        <f t="shared" ca="1" si="160"/>
        <v>5</v>
      </c>
      <c r="D315" s="1">
        <f ca="1">MIN($D$3,VLOOKUP(C315,OP!$S$30:$T$41,2))</f>
        <v>2</v>
      </c>
      <c r="E315" s="1">
        <f t="shared" ca="1" si="161"/>
        <v>80</v>
      </c>
      <c r="F315" s="11" t="str">
        <f t="shared" ca="1" si="167"/>
        <v/>
      </c>
      <c r="G315" s="8">
        <f t="shared" ca="1" si="193"/>
        <v>365</v>
      </c>
      <c r="H315" s="8">
        <f t="shared" ca="1" si="168"/>
        <v>31</v>
      </c>
      <c r="I315" s="8" t="str">
        <f t="shared" ca="1" si="165"/>
        <v>265</v>
      </c>
      <c r="J315" s="13">
        <f>IF(繳費報酬率資料!$A$1=1,VALUE(OP!$C$121),VLOOKUP(A315,MP,2,0))</f>
        <v>0.05</v>
      </c>
      <c r="K315" s="14">
        <f ca="1">IF(SUM($K$4:K314,IF(繳費報酬率資料!$A$1=1,$AU315+$AV315,$BB315+$BC315))&gt;OP!$L$58,0,IF(繳費報酬率資料!$A$1=1,$AU315+$AV315,$BB315+$BC315))</f>
        <v>0</v>
      </c>
      <c r="L315" s="2">
        <f ca="1">ROUND(IF(OP!$C$78&lt;(IF(OR($T315="F",$E315&gt;=111),0,Z314+$K315-$O315+IF($C$1=1,OP!$C$78,IF($C316=$C$3,SUM(AC304:AC315,0)))))*5%,0,(OP!$C$78-((IF(OR($T315="F",$E315&gt;=111),0,Z314+$K315-$O315+IF($C$1=1,AC315,IF($C316=$C$3,SUM(AC304:AC315,0)))))*5%))*$Q315),0)</f>
        <v>0</v>
      </c>
      <c r="M315" s="2">
        <f ca="1">ROUND(IF(OP!$C$78&lt;(IF(OR($T315="F",$E315&gt;=111),0,AA314+$K315-$O315+IF($C$1=1,AD315,IF($C316=$C$3,SUM(AD304:AD315,0)))))*5%,0,(OP!$C$78-((IF(OR($T315="F",$E315&gt;=111),0,AA314+$K315-$O315+IF($C$1=1,AD315,IF($C316=$C$3,SUM(AD304:AD315,0)))))*5%))*$Q315),0)</f>
        <v>0</v>
      </c>
      <c r="N315" s="2">
        <f ca="1">ROUND(IF(OP!$C$78&lt;(IF(OR($T315="F",$E315&gt;=111),0,AB314+$K315-$O315+IF($C$1=1,AE315,IF($C316=$C$3,SUM(AE304:AE315,0)))))*5%,0,(OP!$C$78-((IF(OR($T315="F",$E315&gt;=111),0,AB314+$K315-$O315+IF($C$1=1,AE315,IF($C316=$C$3,SUM(AE304:AE315,0)))))*5%))*$Q315),0)</f>
        <v>0</v>
      </c>
      <c r="O315" s="261">
        <f t="shared" ca="1" si="169"/>
        <v>0</v>
      </c>
      <c r="P315" s="261">
        <f t="shared" ca="1" si="187"/>
        <v>0</v>
      </c>
      <c r="Q315" s="3">
        <f ca="1">IF(A315&gt;MAX(OP!$R$17:$R$26),0,VLOOKUP(A315,fees,3,FALSE))</f>
        <v>0</v>
      </c>
      <c r="R315" s="200">
        <f t="shared" ca="1" si="170"/>
        <v>26</v>
      </c>
      <c r="S315" s="9" t="str">
        <f ca="1">IF(COUNTIF(($T$4:T314),"F")&gt;=1,"",IF(OR(C316&lt;&gt;$C$3,E315=""),"",A315))</f>
        <v/>
      </c>
      <c r="T315" s="20" t="str">
        <f t="shared" ca="1" si="162"/>
        <v/>
      </c>
      <c r="U315" s="2">
        <f ca="1">IF(IF(OP!$C$83=1,$Z314,IF(OP!$C$83=2,$AA314,IF(OP!$C$83=3,$AB314,)))+$K315-$O315-$P315-$AS315&lt;OP!$C$142,0,$AS315)</f>
        <v>0</v>
      </c>
      <c r="V315" s="19">
        <f ca="1">SUM(K304:K315)</f>
        <v>0</v>
      </c>
      <c r="W315" s="19">
        <f ca="1">MAX(SUM($K$4:K315),0)</f>
        <v>2000000</v>
      </c>
      <c r="X315" s="19">
        <f ca="1">SUM(O304:P315)</f>
        <v>0</v>
      </c>
      <c r="Y315" s="19">
        <f t="shared" ca="1" si="188"/>
        <v>1920000</v>
      </c>
      <c r="Z315" s="2">
        <f ca="1">IF(MIN($Z$4:Z314)=0,0,MAX(0,($Z314+$K315-$O315-$P315)*IF(AND(F315="F",$D$3&lt;&gt;$G$3),((1+(-J315))^(H315/MIN(G315,365))),((1+(-J315))^(1/12)))-$U315))</f>
        <v>505958.58137422981</v>
      </c>
      <c r="AA315" s="2">
        <f ca="1">IF(MIN($AA$4:AA314)=0,0,MAX(0,($AA314+$K315-$O315-$P315)*IF(AND(F315="F",$D$3&lt;&gt;$G$3),((1+$AA$1)^(H315/MIN(G315,365))),((1+$AA$1)^(1/12)))-$U315))</f>
        <v>1920000</v>
      </c>
      <c r="AB315" s="2">
        <f ca="1">IF(MIN($AB$4:AB314)=0,0,MAX(0,($AB314+$K315-$O315-$P315)*IF(AND(F315="F",$D$3&lt;&gt;$G$3),((1+(J315))^(H315/MIN(G315,365))),((1+(J315))^(1/12)))-$U315))</f>
        <v>6826891.560853269</v>
      </c>
      <c r="AC315" s="5"/>
      <c r="AD315" s="5"/>
      <c r="AE315" s="5"/>
      <c r="AF315" s="282">
        <f t="shared" ca="1" si="171"/>
        <v>505959</v>
      </c>
      <c r="AG315" s="282">
        <f t="shared" ca="1" si="172"/>
        <v>1920000</v>
      </c>
      <c r="AH315" s="282">
        <f t="shared" ca="1" si="173"/>
        <v>6826892</v>
      </c>
      <c r="AI315" s="23" t="str">
        <f t="shared" ca="1" si="189"/>
        <v>27-1</v>
      </c>
      <c r="AJ315" s="282">
        <f ca="1">IF(E315&gt;111,,IF(AND(OP!$C$99=1,T315="F"),Z315,IF(AND(OP!$C$99=2,COUNTIF($T$4:T315,"F")=1),OP!$C$97+IF(F315="F",OP!$C$98,0),"")))</f>
        <v>54527</v>
      </c>
      <c r="AK315" s="282">
        <f ca="1">IF(E315&gt;111,,IF(AND(OP!$D$99=1,T315="F"),AA315,IF(AND(OP!$D$99=2,COUNTIF($T$4:T315,"F")=1),OP!$D$97+IF(F315="F",OP!$D$98,0),"")))</f>
        <v>74177</v>
      </c>
      <c r="AL315" s="282">
        <f ca="1">IF(E315&gt;111,,IF(AND(OP!$E$99=1,T315="F"),AB315,IF(AND(OP!$E$99=2,COUNTIF($T$4:T315,"F")=1),OP!$E$97+IF(F315="F",OP!$E$98,0),"")))</f>
        <v>99404</v>
      </c>
      <c r="AM315" s="1">
        <f t="shared" ca="1" si="163"/>
        <v>1</v>
      </c>
      <c r="AN315" s="1" t="str">
        <f ca="1">IF(OR(VLOOKUP($A315,MP,5,0)="月繳"),1,"")</f>
        <v/>
      </c>
      <c r="AO315" s="1">
        <f t="shared" ca="1" si="174"/>
        <v>0</v>
      </c>
      <c r="AP315" s="1" t="str">
        <f ca="1">IF(AND(A315&lt;=OP!$C$120,COUNTIF(PAY,C315)=1),1,"")</f>
        <v/>
      </c>
      <c r="AR315" s="301">
        <f ca="1">IF(繳費報酬率資料!$A$1=1,$AY315+$AZ315,$BF315+$BG315)</f>
        <v>0</v>
      </c>
      <c r="AS315" s="1">
        <f ca="1">IF(C315&lt;&gt;IF($C$3=1,12,$C$3-1),0,IF(繳費報酬率資料!$A$1&lt;&gt;1,VLOOKUP($A315,MP,8,0),IF(AND($A315&gt;=OP!$C$79,$A315&lt;=OP!$C$80),OP!$C$78,)))</f>
        <v>0</v>
      </c>
      <c r="AT315" s="298">
        <f t="shared" ca="1" si="175"/>
        <v>0</v>
      </c>
      <c r="AU315" s="298">
        <f ca="1">IF(AND(A315&lt;=OP!$C$120,COUNTIF(PAY,C315)=1),OP!$C$123,0)</f>
        <v>0</v>
      </c>
      <c r="AV315" s="298">
        <f ca="1">IF(AND(A315&gt;=OP!$C$132,A315&lt;=OP!$C$133,$C$3=C315),OP!$C$135,0)</f>
        <v>0</v>
      </c>
      <c r="AW315" s="180">
        <f t="shared" ca="1" si="176"/>
        <v>0.05</v>
      </c>
      <c r="AX315" s="180">
        <f t="shared" ca="1" si="177"/>
        <v>0.05</v>
      </c>
      <c r="AY315" s="286">
        <f t="shared" ca="1" si="178"/>
        <v>0</v>
      </c>
      <c r="AZ315" s="286">
        <f t="shared" ca="1" si="179"/>
        <v>0</v>
      </c>
      <c r="BA315" s="286">
        <f t="shared" ca="1" si="180"/>
        <v>0</v>
      </c>
      <c r="BB315" s="286">
        <f t="shared" ca="1" si="181"/>
        <v>0</v>
      </c>
      <c r="BC315" s="286">
        <f t="shared" ca="1" si="182"/>
        <v>0</v>
      </c>
      <c r="BD315" s="180">
        <f t="shared" ca="1" si="183"/>
        <v>0.05</v>
      </c>
      <c r="BE315" s="180">
        <f t="shared" ca="1" si="184"/>
        <v>0.05</v>
      </c>
      <c r="BF315" s="286">
        <f t="shared" ca="1" si="185"/>
        <v>0</v>
      </c>
      <c r="BG315" s="286">
        <f t="shared" ca="1" si="186"/>
        <v>0</v>
      </c>
    </row>
    <row r="316" spans="1:59">
      <c r="A316" s="1">
        <f t="shared" ca="1" si="166"/>
        <v>27</v>
      </c>
      <c r="B316" s="1">
        <f t="shared" ref="B316:B379" ca="1" si="194">IF(C316=1,B315+1,B315)</f>
        <v>132</v>
      </c>
      <c r="C316" s="1">
        <f t="shared" ref="C316:C379" ca="1" si="195">IF(C315=12,1,C315+1)</f>
        <v>6</v>
      </c>
      <c r="D316" s="1">
        <f ca="1">MIN($D$3,VLOOKUP(C316,OP!$S$30:$T$41,2))</f>
        <v>2</v>
      </c>
      <c r="E316" s="1">
        <f t="shared" ref="E316:E379" ca="1" si="196">IF($K$1+A316-1&gt;$D$1,"",$K$1+A316-1)</f>
        <v>81</v>
      </c>
      <c r="F316" s="11" t="str">
        <f t="shared" ca="1" si="167"/>
        <v/>
      </c>
      <c r="G316" s="6">
        <f ca="1">DATEDIF(DATE(B316+1911,C316,D316),DATE(B328+1911,C328,D328),"d")</f>
        <v>366</v>
      </c>
      <c r="H316" s="8">
        <f t="shared" ca="1" si="168"/>
        <v>30</v>
      </c>
      <c r="I316" s="8" t="str">
        <f t="shared" ca="1" si="165"/>
        <v>276</v>
      </c>
      <c r="J316" s="13">
        <f>IF(繳費報酬率資料!$A$1=1,VALUE(OP!$C$121),VLOOKUP(A316,MP,2,0))</f>
        <v>0.05</v>
      </c>
      <c r="K316" s="14">
        <f ca="1">IF(SUM($K$4:K315,IF(繳費報酬率資料!$A$1=1,$AU316+$AV316,$BB316+$BC316))&gt;OP!$L$58,0,IF(繳費報酬率資料!$A$1=1,$AU316+$AV316,$BB316+$BC316))</f>
        <v>0</v>
      </c>
      <c r="L316" s="2"/>
      <c r="M316" s="2"/>
      <c r="N316" s="2"/>
      <c r="O316" s="261">
        <f t="shared" ca="1" si="169"/>
        <v>0</v>
      </c>
      <c r="P316" s="261">
        <f t="shared" ca="1" si="187"/>
        <v>0</v>
      </c>
      <c r="Q316" s="3">
        <f ca="1">IF(A316&gt;MAX(OP!$R$17:$R$26),0,VLOOKUP(A316,fees,3,FALSE))</f>
        <v>0</v>
      </c>
      <c r="R316" s="200" t="str">
        <f t="shared" ca="1" si="170"/>
        <v/>
      </c>
      <c r="S316" s="9" t="str">
        <f ca="1">IF(COUNTIF(($T$4:T315),"F")&gt;=1,"",IF(OR(C317&lt;&gt;$C$3,E316=""),"",A316))</f>
        <v/>
      </c>
      <c r="T316" s="20" t="str">
        <f t="shared" ref="T316:T379" ca="1" si="197">IF(F316&lt;&gt;"","F","")</f>
        <v/>
      </c>
      <c r="U316" s="2">
        <f ca="1">IF(IF(OP!$C$83=1,$Z315,IF(OP!$C$83=2,$AA315,IF(OP!$C$83=3,$AB315,)))+$K316-$O316-$P316-$AS316&lt;OP!$C$142,0,$AS316)</f>
        <v>0</v>
      </c>
      <c r="V316" s="9"/>
      <c r="W316" s="19">
        <f ca="1">MAX(SUM($K$4:K316),0)</f>
        <v>2000000</v>
      </c>
      <c r="X316" s="19"/>
      <c r="Y316" s="19">
        <f t="shared" ca="1" si="188"/>
        <v>1920000</v>
      </c>
      <c r="Z316" s="2">
        <f ca="1">IF(MIN($Z$4:Z315)=0,0,MAX(0,($Z315+$K316-$O316-$P316)*IF(AND(F316="F",$D$3&lt;&gt;$G$3),((1+(-J316))^(H316/MIN(G316,365))),((1+(-J316))^(1/12)))-$U316))</f>
        <v>503800.50673642638</v>
      </c>
      <c r="AA316" s="2">
        <f ca="1">IF(MIN($AA$4:AA315)=0,0,MAX(0,($AA315+$K316-$O316-$P316)*IF(AND(F316="F",$D$3&lt;&gt;$G$3),((1+$AA$1)^(H316/MIN(G316,365))),((1+$AA$1)^(1/12)))-$U316))</f>
        <v>1920000</v>
      </c>
      <c r="AB316" s="2">
        <f ca="1">IF(MIN($AB$4:AB315)=0,0,MAX(0,($AB315+$K316-$O316-$P316)*IF(AND(F316="F",$D$3&lt;&gt;$G$3),((1+(J316))^(H316/MIN(G316,365))),((1+(J316))^(1/12)))-$U316))</f>
        <v>6854705.1621297291</v>
      </c>
      <c r="AC316" s="21"/>
      <c r="AD316" s="21"/>
      <c r="AE316" s="21"/>
      <c r="AF316" s="282">
        <f t="shared" ca="1" si="171"/>
        <v>503801</v>
      </c>
      <c r="AG316" s="282">
        <f t="shared" ca="1" si="172"/>
        <v>1920000</v>
      </c>
      <c r="AH316" s="282">
        <f t="shared" ca="1" si="173"/>
        <v>6854705</v>
      </c>
      <c r="AI316" s="23" t="str">
        <f t="shared" ca="1" si="189"/>
        <v>27-2</v>
      </c>
      <c r="AJ316" s="281">
        <f ca="1">IF(E316&gt;111,,IF(AND(OP!$C$99=1,T316="F"),Z316,IF(AND(OP!$C$99=2,COUNTIF($T$4:T316,"F")=1),OP!$C$97+IF(F316="F",OP!$C$98,0),"")))</f>
        <v>54527</v>
      </c>
      <c r="AK316" s="281">
        <f ca="1">IF(E316&gt;111,,IF(AND(OP!$D$99=1,T316="F"),AA316,IF(AND(OP!$D$99=2,COUNTIF($T$4:T316,"F")=1),OP!$D$97+IF(F316="F",OP!$D$98,0),"")))</f>
        <v>74177</v>
      </c>
      <c r="AL316" s="281">
        <f ca="1">IF(E316&gt;111,,IF(AND(OP!$E$99=1,T316="F"),AB316,IF(AND(OP!$E$99=2,COUNTIF($T$4:T316,"F")=1),OP!$E$97+IF(F316="F",OP!$E$98,0),"")))</f>
        <v>99404</v>
      </c>
      <c r="AM316" s="1">
        <f t="shared" ref="AM316:AM379" ca="1" si="198">IF(AND(AK316&lt;&gt;"",AM315=""),1,IF(AND(AK316&lt;&gt;"",AM315&gt;0),IF(AM315=12,1,AM315+1),""))</f>
        <v>2</v>
      </c>
      <c r="AN316" s="1">
        <f ca="1">IF(OR(VLOOKUP($A316,MP,5,0)="年繳",VLOOKUP($A316,MP,5,0)="半年繳",VLOOKUP($A316,MP,5,0)="季繳",VLOOKUP($A316,MP,5,0)="月繳"),1,"")</f>
        <v>1</v>
      </c>
      <c r="AO316" s="1">
        <f t="shared" ca="1" si="174"/>
        <v>0</v>
      </c>
      <c r="AP316" s="1" t="str">
        <f ca="1">IF(AND(A316&lt;=OP!$C$120,COUNTIF(PAY,C316)=1),1,"")</f>
        <v/>
      </c>
      <c r="AR316" s="301">
        <f ca="1">IF(繳費報酬率資料!$A$1=1,$AY316+$AZ316,$BF316+$BG316)</f>
        <v>0</v>
      </c>
      <c r="AS316" s="1">
        <f ca="1">IF(C316&lt;&gt;IF($C$3=1,12,$C$3-1),0,IF(繳費報酬率資料!$A$1&lt;&gt;1,VLOOKUP($A316,MP,8,0),IF(AND($A316&gt;=OP!$C$79,$A316&lt;=OP!$C$80),OP!$C$78,)))</f>
        <v>0</v>
      </c>
      <c r="AT316" s="298">
        <f t="shared" ca="1" si="175"/>
        <v>0</v>
      </c>
      <c r="AU316" s="298">
        <f ca="1">IF(AND(A316&lt;=OP!$C$120,COUNTIF(PAY,C316)=1),OP!$C$123,0)</f>
        <v>0</v>
      </c>
      <c r="AV316" s="298">
        <f ca="1">IF(AND(A316&gt;=OP!$C$132,A316&lt;=OP!$C$133,$C$3=C316),OP!$C$135,0)</f>
        <v>0</v>
      </c>
      <c r="AW316" s="180">
        <f t="shared" ca="1" si="176"/>
        <v>0.05</v>
      </c>
      <c r="AX316" s="180">
        <f t="shared" ca="1" si="177"/>
        <v>0.05</v>
      </c>
      <c r="AY316" s="286">
        <f t="shared" ca="1" si="178"/>
        <v>0</v>
      </c>
      <c r="AZ316" s="286">
        <f t="shared" ca="1" si="179"/>
        <v>0</v>
      </c>
      <c r="BA316" s="286">
        <f t="shared" ca="1" si="180"/>
        <v>0</v>
      </c>
      <c r="BB316" s="286">
        <f t="shared" ca="1" si="181"/>
        <v>0</v>
      </c>
      <c r="BC316" s="286">
        <f t="shared" ca="1" si="182"/>
        <v>0</v>
      </c>
      <c r="BD316" s="180">
        <f t="shared" ca="1" si="183"/>
        <v>0.05</v>
      </c>
      <c r="BE316" s="180">
        <f t="shared" ca="1" si="184"/>
        <v>0.05</v>
      </c>
      <c r="BF316" s="286">
        <f t="shared" ca="1" si="185"/>
        <v>0</v>
      </c>
      <c r="BG316" s="286">
        <f t="shared" ca="1" si="186"/>
        <v>0</v>
      </c>
    </row>
    <row r="317" spans="1:59">
      <c r="A317" s="1">
        <f t="shared" ca="1" si="166"/>
        <v>27</v>
      </c>
      <c r="B317" s="1">
        <f t="shared" ca="1" si="194"/>
        <v>132</v>
      </c>
      <c r="C317" s="1">
        <f t="shared" ca="1" si="195"/>
        <v>7</v>
      </c>
      <c r="D317" s="1">
        <f ca="1">MIN($D$3,VLOOKUP(C317,OP!$S$30:$T$41,2))</f>
        <v>2</v>
      </c>
      <c r="E317" s="1">
        <f t="shared" ca="1" si="196"/>
        <v>81</v>
      </c>
      <c r="F317" s="11" t="str">
        <f t="shared" ca="1" si="167"/>
        <v/>
      </c>
      <c r="G317" s="8">
        <f t="shared" ref="G317:G327" ca="1" si="199">G316</f>
        <v>366</v>
      </c>
      <c r="H317" s="8">
        <f t="shared" ca="1" si="168"/>
        <v>31</v>
      </c>
      <c r="I317" s="8" t="str">
        <f t="shared" ca="1" si="165"/>
        <v>277</v>
      </c>
      <c r="J317" s="13">
        <f>IF(繳費報酬率資料!$A$1=1,VALUE(OP!$C$121),VLOOKUP(A317,MP,2,0))</f>
        <v>0.05</v>
      </c>
      <c r="K317" s="14">
        <f ca="1">IF(SUM($K$4:K316,IF(繳費報酬率資料!$A$1=1,$AU317+$AV317,$BB317+$BC317))&gt;OP!$L$58,0,IF(繳費報酬率資料!$A$1=1,$AU317+$AV317,$BB317+$BC317))</f>
        <v>0</v>
      </c>
      <c r="L317" s="2"/>
      <c r="M317" s="2"/>
      <c r="N317" s="2"/>
      <c r="O317" s="261">
        <f t="shared" ca="1" si="169"/>
        <v>0</v>
      </c>
      <c r="P317" s="261">
        <f t="shared" ca="1" si="187"/>
        <v>0</v>
      </c>
      <c r="Q317" s="3">
        <f ca="1">IF(A317&gt;MAX(OP!$R$17:$R$26),0,VLOOKUP(A317,fees,3,FALSE))</f>
        <v>0</v>
      </c>
      <c r="R317" s="200" t="str">
        <f t="shared" ca="1" si="170"/>
        <v/>
      </c>
      <c r="S317" s="9" t="str">
        <f ca="1">IF(COUNTIF(($T$4:T316),"F")&gt;=1,"",IF(OR(C318&lt;&gt;$C$3,E317=""),"",A317))</f>
        <v/>
      </c>
      <c r="T317" s="20" t="str">
        <f t="shared" ca="1" si="197"/>
        <v/>
      </c>
      <c r="U317" s="2">
        <f ca="1">IF(IF(OP!$C$83=1,$Z316,IF(OP!$C$83=2,$AA316,IF(OP!$C$83=3,$AB316,)))+$K317-$O317-$P317-$AS317&lt;OP!$C$142,0,$AS317)</f>
        <v>0</v>
      </c>
      <c r="V317" s="9"/>
      <c r="W317" s="19">
        <f ca="1">MAX(SUM($K$4:K317),0)</f>
        <v>2000000</v>
      </c>
      <c r="X317" s="19"/>
      <c r="Y317" s="19">
        <f t="shared" ca="1" si="188"/>
        <v>1920000</v>
      </c>
      <c r="Z317" s="2">
        <f ca="1">IF(MIN($Z$4:Z316)=0,0,MAX(0,($Z316+$K317-$O317-$P317)*IF(AND(F317="F",$D$3&lt;&gt;$G$3),((1+(-J317))^(H317/MIN(G317,365))),((1+(-J317))^(1/12)))-$U317))</f>
        <v>501651.63697489892</v>
      </c>
      <c r="AA317" s="2">
        <f ca="1">IF(MIN($AA$4:AA316)=0,0,MAX(0,($AA316+$K317-$O317-$P317)*IF(AND(F317="F",$D$3&lt;&gt;$G$3),((1+$AA$1)^(H317/MIN(G317,365))),((1+$AA$1)^(1/12)))-$U317))</f>
        <v>1920000</v>
      </c>
      <c r="AB317" s="2">
        <f ca="1">IF(MIN($AB$4:AB316)=0,0,MAX(0,($AB316+$K317-$O317-$P317)*IF(AND(F317="F",$D$3&lt;&gt;$G$3),((1+(J317))^(H317/MIN(G317,365))),((1+(J317))^(1/12)))-$U317))</f>
        <v>6882632.0794606591</v>
      </c>
      <c r="AC317" s="5"/>
      <c r="AD317" s="5"/>
      <c r="AE317" s="5"/>
      <c r="AF317" s="282">
        <f t="shared" ca="1" si="171"/>
        <v>501652</v>
      </c>
      <c r="AG317" s="282">
        <f t="shared" ca="1" si="172"/>
        <v>1920000</v>
      </c>
      <c r="AH317" s="282">
        <f t="shared" ca="1" si="173"/>
        <v>6882632</v>
      </c>
      <c r="AI317" s="23" t="str">
        <f t="shared" ca="1" si="189"/>
        <v>27-3</v>
      </c>
      <c r="AJ317" s="282">
        <f ca="1">IF(E317&gt;111,,IF(AND(OP!$C$99=1,T317="F"),Z317,IF(AND(OP!$C$99=2,COUNTIF($T$4:T317,"F")=1),OP!$C$97+IF(F317="F",OP!$C$98,0),"")))</f>
        <v>54527</v>
      </c>
      <c r="AK317" s="282">
        <f ca="1">IF(E317&gt;111,,IF(AND(OP!$D$99=1,T317="F"),AA317,IF(AND(OP!$D$99=2,COUNTIF($T$4:T317,"F")=1),OP!$D$97+IF(F317="F",OP!$D$98,0),"")))</f>
        <v>74177</v>
      </c>
      <c r="AL317" s="282">
        <f ca="1">IF(E317&gt;111,,IF(AND(OP!$E$99=1,T317="F"),AB317,IF(AND(OP!$E$99=2,COUNTIF($T$4:T317,"F")=1),OP!$E$97+IF(F317="F",OP!$E$98,0),"")))</f>
        <v>99404</v>
      </c>
      <c r="AM317" s="1">
        <f t="shared" ca="1" si="198"/>
        <v>3</v>
      </c>
      <c r="AN317" s="1" t="str">
        <f ca="1">IF(OR(VLOOKUP($A317,MP,5,0)="月繳"),1,"")</f>
        <v/>
      </c>
      <c r="AO317" s="1">
        <f t="shared" ca="1" si="174"/>
        <v>0</v>
      </c>
      <c r="AP317" s="1" t="str">
        <f ca="1">IF(AND(A317&lt;=OP!$C$120,COUNTIF(PAY,C317)=1),1,"")</f>
        <v/>
      </c>
      <c r="AR317" s="301">
        <f ca="1">IF(繳費報酬率資料!$A$1=1,$AY317+$AZ317,$BF317+$BG317)</f>
        <v>0</v>
      </c>
      <c r="AS317" s="1">
        <f ca="1">IF(C317&lt;&gt;IF($C$3=1,12,$C$3-1),0,IF(繳費報酬率資料!$A$1&lt;&gt;1,VLOOKUP($A317,MP,8,0),IF(AND($A317&gt;=OP!$C$79,$A317&lt;=OP!$C$80),OP!$C$78,)))</f>
        <v>0</v>
      </c>
      <c r="AT317" s="298">
        <f t="shared" ca="1" si="175"/>
        <v>0</v>
      </c>
      <c r="AU317" s="298">
        <f ca="1">IF(AND(A317&lt;=OP!$C$120,COUNTIF(PAY,C317)=1),OP!$C$123,0)</f>
        <v>0</v>
      </c>
      <c r="AV317" s="298">
        <f ca="1">IF(AND(A317&gt;=OP!$C$132,A317&lt;=OP!$C$133,$C$3=C317),OP!$C$135,0)</f>
        <v>0</v>
      </c>
      <c r="AW317" s="180">
        <f t="shared" ca="1" si="176"/>
        <v>0.05</v>
      </c>
      <c r="AX317" s="180">
        <f t="shared" ca="1" si="177"/>
        <v>0.05</v>
      </c>
      <c r="AY317" s="286">
        <f t="shared" ca="1" si="178"/>
        <v>0</v>
      </c>
      <c r="AZ317" s="286">
        <f t="shared" ca="1" si="179"/>
        <v>0</v>
      </c>
      <c r="BA317" s="286">
        <f t="shared" ca="1" si="180"/>
        <v>0</v>
      </c>
      <c r="BB317" s="286">
        <f t="shared" ca="1" si="181"/>
        <v>0</v>
      </c>
      <c r="BC317" s="286">
        <f t="shared" ca="1" si="182"/>
        <v>0</v>
      </c>
      <c r="BD317" s="180">
        <f t="shared" ca="1" si="183"/>
        <v>0.05</v>
      </c>
      <c r="BE317" s="180">
        <f t="shared" ca="1" si="184"/>
        <v>0.05</v>
      </c>
      <c r="BF317" s="286">
        <f t="shared" ca="1" si="185"/>
        <v>0</v>
      </c>
      <c r="BG317" s="286">
        <f t="shared" ca="1" si="186"/>
        <v>0</v>
      </c>
    </row>
    <row r="318" spans="1:59">
      <c r="A318" s="1">
        <f t="shared" ca="1" si="166"/>
        <v>27</v>
      </c>
      <c r="B318" s="1">
        <f t="shared" ca="1" si="194"/>
        <v>132</v>
      </c>
      <c r="C318" s="1">
        <f t="shared" ca="1" si="195"/>
        <v>8</v>
      </c>
      <c r="D318" s="1">
        <f ca="1">MIN($D$3,VLOOKUP(C318,OP!$S$30:$T$41,2))</f>
        <v>2</v>
      </c>
      <c r="E318" s="1">
        <f t="shared" ca="1" si="196"/>
        <v>81</v>
      </c>
      <c r="F318" s="11" t="str">
        <f t="shared" ca="1" si="167"/>
        <v/>
      </c>
      <c r="G318" s="8">
        <f t="shared" ca="1" si="199"/>
        <v>366</v>
      </c>
      <c r="H318" s="8">
        <f t="shared" ca="1" si="168"/>
        <v>31</v>
      </c>
      <c r="I318" s="8" t="str">
        <f t="shared" ca="1" si="165"/>
        <v>278</v>
      </c>
      <c r="J318" s="13">
        <f>IF(繳費報酬率資料!$A$1=1,VALUE(OP!$C$121),VLOOKUP(A318,MP,2,0))</f>
        <v>0.05</v>
      </c>
      <c r="K318" s="14">
        <f ca="1">IF(SUM($K$4:K317,IF(繳費報酬率資料!$A$1=1,$AU318+$AV318,$BB318+$BC318))&gt;OP!$L$58,0,IF(繳費報酬率資料!$A$1=1,$AU318+$AV318,$BB318+$BC318))</f>
        <v>0</v>
      </c>
      <c r="L318" s="2"/>
      <c r="M318" s="2"/>
      <c r="N318" s="2"/>
      <c r="O318" s="261">
        <f t="shared" ca="1" si="169"/>
        <v>0</v>
      </c>
      <c r="P318" s="261">
        <f t="shared" ca="1" si="187"/>
        <v>0</v>
      </c>
      <c r="Q318" s="3">
        <f ca="1">IF(A318&gt;MAX(OP!$R$17:$R$26),0,VLOOKUP(A318,fees,3,FALSE))</f>
        <v>0</v>
      </c>
      <c r="R318" s="200" t="str">
        <f t="shared" ca="1" si="170"/>
        <v/>
      </c>
      <c r="S318" s="9" t="str">
        <f ca="1">IF(COUNTIF(($T$4:T317),"F")&gt;=1,"",IF(OR(C319&lt;&gt;$C$3,E318=""),"",A318))</f>
        <v/>
      </c>
      <c r="T318" s="20" t="str">
        <f t="shared" ca="1" si="197"/>
        <v/>
      </c>
      <c r="U318" s="2">
        <f ca="1">IF(IF(OP!$C$83=1,$Z317,IF(OP!$C$83=2,$AA317,IF(OP!$C$83=3,$AB317,)))+$K318-$O318-$P318-$AS318&lt;OP!$C$142,0,$AS318)</f>
        <v>0</v>
      </c>
      <c r="V318" s="9"/>
      <c r="W318" s="19">
        <f ca="1">MAX(SUM($K$4:K318),0)</f>
        <v>2000000</v>
      </c>
      <c r="X318" s="19"/>
      <c r="Y318" s="19">
        <f t="shared" ca="1" si="188"/>
        <v>1920000</v>
      </c>
      <c r="Z318" s="2">
        <f ca="1">IF(MIN($Z$4:Z317)=0,0,MAX(0,($Z317+$K318-$O318-$P318)*IF(AND(F318="F",$D$3&lt;&gt;$G$3),((1+(-J318))^(H318/MIN(G318,365))),((1+(-J318))^(1/12)))-$U318))</f>
        <v>499511.93282791588</v>
      </c>
      <c r="AA318" s="2">
        <f ca="1">IF(MIN($AA$4:AA317)=0,0,MAX(0,($AA317+$K318-$O318-$P318)*IF(AND(F318="F",$D$3&lt;&gt;$G$3),((1+$AA$1)^(H318/MIN(G318,365))),((1+$AA$1)^(1/12)))-$U318))</f>
        <v>1920000</v>
      </c>
      <c r="AB318" s="2">
        <f ca="1">IF(MIN($AB$4:AB317)=0,0,MAX(0,($AB317+$K318-$O318-$P318)*IF(AND(F318="F",$D$3&lt;&gt;$G$3),((1+(J318))^(H318/MIN(G318,365))),((1+(J318))^(1/12)))-$U318))</f>
        <v>6910672.7745096907</v>
      </c>
      <c r="AC318" s="5"/>
      <c r="AD318" s="5"/>
      <c r="AE318" s="5"/>
      <c r="AF318" s="282">
        <f t="shared" ca="1" si="171"/>
        <v>499512</v>
      </c>
      <c r="AG318" s="282">
        <f t="shared" ca="1" si="172"/>
        <v>1920000</v>
      </c>
      <c r="AH318" s="282">
        <f t="shared" ca="1" si="173"/>
        <v>6910673</v>
      </c>
      <c r="AI318" s="23" t="str">
        <f t="shared" ca="1" si="189"/>
        <v>27-4</v>
      </c>
      <c r="AJ318" s="282">
        <f ca="1">IF(E318&gt;111,,IF(AND(OP!$C$99=1,T318="F"),Z318,IF(AND(OP!$C$99=2,COUNTIF($T$4:T318,"F")=1),OP!$C$97+IF(F318="F",OP!$C$98,0),"")))</f>
        <v>54527</v>
      </c>
      <c r="AK318" s="282">
        <f ca="1">IF(E318&gt;111,,IF(AND(OP!$D$99=1,T318="F"),AA318,IF(AND(OP!$D$99=2,COUNTIF($T$4:T318,"F")=1),OP!$D$97+IF(F318="F",OP!$D$98,0),"")))</f>
        <v>74177</v>
      </c>
      <c r="AL318" s="282">
        <f ca="1">IF(E318&gt;111,,IF(AND(OP!$E$99=1,T318="F"),AB318,IF(AND(OP!$E$99=2,COUNTIF($T$4:T318,"F")=1),OP!$E$97+IF(F318="F",OP!$E$98,0),"")))</f>
        <v>99404</v>
      </c>
      <c r="AM318" s="1">
        <f t="shared" ca="1" si="198"/>
        <v>4</v>
      </c>
      <c r="AN318" s="1" t="str">
        <f ca="1">IF(OR(VLOOKUP($A318,MP,5,0)="月繳"),1,"")</f>
        <v/>
      </c>
      <c r="AO318" s="1">
        <f t="shared" ca="1" si="174"/>
        <v>0</v>
      </c>
      <c r="AP318" s="1" t="str">
        <f ca="1">IF(AND(A318&lt;=OP!$C$120,COUNTIF(PAY,C318)=1),1,"")</f>
        <v/>
      </c>
      <c r="AR318" s="301">
        <f ca="1">IF(繳費報酬率資料!$A$1=1,$AY318+$AZ318,$BF318+$BG318)</f>
        <v>0</v>
      </c>
      <c r="AS318" s="1">
        <f ca="1">IF(C318&lt;&gt;IF($C$3=1,12,$C$3-1),0,IF(繳費報酬率資料!$A$1&lt;&gt;1,VLOOKUP($A318,MP,8,0),IF(AND($A318&gt;=OP!$C$79,$A318&lt;=OP!$C$80),OP!$C$78,)))</f>
        <v>0</v>
      </c>
      <c r="AT318" s="298">
        <f t="shared" ca="1" si="175"/>
        <v>0</v>
      </c>
      <c r="AU318" s="298">
        <f ca="1">IF(AND(A318&lt;=OP!$C$120,COUNTIF(PAY,C318)=1),OP!$C$123,0)</f>
        <v>0</v>
      </c>
      <c r="AV318" s="298">
        <f ca="1">IF(AND(A318&gt;=OP!$C$132,A318&lt;=OP!$C$133,$C$3=C318),OP!$C$135,0)</f>
        <v>0</v>
      </c>
      <c r="AW318" s="180">
        <f t="shared" ca="1" si="176"/>
        <v>0.05</v>
      </c>
      <c r="AX318" s="180">
        <f t="shared" ca="1" si="177"/>
        <v>0.05</v>
      </c>
      <c r="AY318" s="286">
        <f t="shared" ca="1" si="178"/>
        <v>0</v>
      </c>
      <c r="AZ318" s="286">
        <f t="shared" ca="1" si="179"/>
        <v>0</v>
      </c>
      <c r="BA318" s="286">
        <f t="shared" ca="1" si="180"/>
        <v>0</v>
      </c>
      <c r="BB318" s="286">
        <f t="shared" ca="1" si="181"/>
        <v>0</v>
      </c>
      <c r="BC318" s="286">
        <f t="shared" ca="1" si="182"/>
        <v>0</v>
      </c>
      <c r="BD318" s="180">
        <f t="shared" ca="1" si="183"/>
        <v>0.05</v>
      </c>
      <c r="BE318" s="180">
        <f t="shared" ca="1" si="184"/>
        <v>0.05</v>
      </c>
      <c r="BF318" s="286">
        <f t="shared" ca="1" si="185"/>
        <v>0</v>
      </c>
      <c r="BG318" s="286">
        <f t="shared" ca="1" si="186"/>
        <v>0</v>
      </c>
    </row>
    <row r="319" spans="1:59">
      <c r="A319" s="1">
        <f t="shared" ca="1" si="166"/>
        <v>27</v>
      </c>
      <c r="B319" s="1">
        <f t="shared" ca="1" si="194"/>
        <v>132</v>
      </c>
      <c r="C319" s="1">
        <f t="shared" ca="1" si="195"/>
        <v>9</v>
      </c>
      <c r="D319" s="1">
        <f ca="1">MIN($D$3,VLOOKUP(C319,OP!$S$30:$T$41,2))</f>
        <v>2</v>
      </c>
      <c r="E319" s="1">
        <f t="shared" ca="1" si="196"/>
        <v>81</v>
      </c>
      <c r="F319" s="11" t="str">
        <f t="shared" ca="1" si="167"/>
        <v/>
      </c>
      <c r="G319" s="8">
        <f t="shared" ca="1" si="199"/>
        <v>366</v>
      </c>
      <c r="H319" s="8">
        <f t="shared" ca="1" si="168"/>
        <v>30</v>
      </c>
      <c r="I319" s="8" t="str">
        <f t="shared" ca="1" si="165"/>
        <v>279</v>
      </c>
      <c r="J319" s="13">
        <f>IF(繳費報酬率資料!$A$1=1,VALUE(OP!$C$121),VLOOKUP(A319,MP,2,0))</f>
        <v>0.05</v>
      </c>
      <c r="K319" s="14">
        <f ca="1">IF(SUM($K$4:K318,IF(繳費報酬率資料!$A$1=1,$AU319+$AV319,$BB319+$BC319))&gt;OP!$L$58,0,IF(繳費報酬率資料!$A$1=1,$AU319+$AV319,$BB319+$BC319))</f>
        <v>0</v>
      </c>
      <c r="L319" s="2"/>
      <c r="M319" s="2"/>
      <c r="N319" s="2"/>
      <c r="O319" s="261">
        <f t="shared" ca="1" si="169"/>
        <v>0</v>
      </c>
      <c r="P319" s="261">
        <f t="shared" ca="1" si="187"/>
        <v>0</v>
      </c>
      <c r="Q319" s="3">
        <f ca="1">IF(A319&gt;MAX(OP!$R$17:$R$26),0,VLOOKUP(A319,fees,3,FALSE))</f>
        <v>0</v>
      </c>
      <c r="R319" s="200" t="str">
        <f t="shared" ca="1" si="170"/>
        <v/>
      </c>
      <c r="S319" s="9" t="str">
        <f ca="1">IF(COUNTIF(($T$4:T318),"F")&gt;=1,"",IF(OR(C320&lt;&gt;$C$3,E319=""),"",A319))</f>
        <v/>
      </c>
      <c r="T319" s="20" t="str">
        <f t="shared" ca="1" si="197"/>
        <v/>
      </c>
      <c r="U319" s="2">
        <f ca="1">IF(IF(OP!$C$83=1,$Z318,IF(OP!$C$83=2,$AA318,IF(OP!$C$83=3,$AB318,)))+$K319-$O319-$P319-$AS319&lt;OP!$C$142,0,$AS319)</f>
        <v>0</v>
      </c>
      <c r="V319" s="9"/>
      <c r="W319" s="19">
        <f ca="1">MAX(SUM($K$4:K319),0)</f>
        <v>2000000</v>
      </c>
      <c r="X319" s="19"/>
      <c r="Y319" s="19">
        <f t="shared" ca="1" si="188"/>
        <v>1920000</v>
      </c>
      <c r="Z319" s="2">
        <f ca="1">IF(MIN($Z$4:Z318)=0,0,MAX(0,($Z318+$K319-$O319-$P319)*IF(AND(F319="F",$D$3&lt;&gt;$G$3),((1+(-J319))^(H319/MIN(G319,365))),((1+(-J319))^(1/12)))-$U319))</f>
        <v>497381.35520120937</v>
      </c>
      <c r="AA319" s="2">
        <f ca="1">IF(MIN($AA$4:AA318)=0,0,MAX(0,($AA318+$K319-$O319-$P319)*IF(AND(F319="F",$D$3&lt;&gt;$G$3),((1+$AA$1)^(H319/MIN(G319,365))),((1+$AA$1)^(1/12)))-$U319))</f>
        <v>1920000</v>
      </c>
      <c r="AB319" s="2">
        <f ca="1">IF(MIN($AB$4:AB318)=0,0,MAX(0,($AB318+$K319-$O319-$P319)*IF(AND(F319="F",$D$3&lt;&gt;$G$3),((1+(J319))^(H319/MIN(G319,365))),((1+(J319))^(1/12)))-$U319))</f>
        <v>6938827.7108213315</v>
      </c>
      <c r="AC319" s="5"/>
      <c r="AD319" s="5"/>
      <c r="AE319" s="5"/>
      <c r="AF319" s="282">
        <f t="shared" ca="1" si="171"/>
        <v>497381</v>
      </c>
      <c r="AG319" s="282">
        <f t="shared" ca="1" si="172"/>
        <v>1920000</v>
      </c>
      <c r="AH319" s="282">
        <f t="shared" ca="1" si="173"/>
        <v>6938828</v>
      </c>
      <c r="AI319" s="23" t="str">
        <f t="shared" ca="1" si="189"/>
        <v>27-5</v>
      </c>
      <c r="AJ319" s="282">
        <f ca="1">IF(E319&gt;111,,IF(AND(OP!$C$99=1,T319="F"),Z319,IF(AND(OP!$C$99=2,COUNTIF($T$4:T319,"F")=1),OP!$C$97+IF(F319="F",OP!$C$98,0),"")))</f>
        <v>54527</v>
      </c>
      <c r="AK319" s="282">
        <f ca="1">IF(E319&gt;111,,IF(AND(OP!$D$99=1,T319="F"),AA319,IF(AND(OP!$D$99=2,COUNTIF($T$4:T319,"F")=1),OP!$D$97+IF(F319="F",OP!$D$98,0),"")))</f>
        <v>74177</v>
      </c>
      <c r="AL319" s="282">
        <f ca="1">IF(E319&gt;111,,IF(AND(OP!$E$99=1,T319="F"),AB319,IF(AND(OP!$E$99=2,COUNTIF($T$4:T319,"F")=1),OP!$E$97+IF(F319="F",OP!$E$98,0),"")))</f>
        <v>99404</v>
      </c>
      <c r="AM319" s="1">
        <f t="shared" ca="1" si="198"/>
        <v>5</v>
      </c>
      <c r="AN319" s="1" t="str">
        <f ca="1">IF(OR(VLOOKUP($A319,MP,5,0)="季繳",VLOOKUP($A319,MP,5,0)="月繳"),1,"")</f>
        <v/>
      </c>
      <c r="AO319" s="1">
        <f t="shared" ca="1" si="174"/>
        <v>0</v>
      </c>
      <c r="AP319" s="1" t="str">
        <f ca="1">IF(AND(A319&lt;=OP!$C$120,COUNTIF(PAY,C319)=1),1,"")</f>
        <v/>
      </c>
      <c r="AR319" s="301">
        <f ca="1">IF(繳費報酬率資料!$A$1=1,$AY319+$AZ319,$BF319+$BG319)</f>
        <v>0</v>
      </c>
      <c r="AS319" s="1">
        <f ca="1">IF(C319&lt;&gt;IF($C$3=1,12,$C$3-1),0,IF(繳費報酬率資料!$A$1&lt;&gt;1,VLOOKUP($A319,MP,8,0),IF(AND($A319&gt;=OP!$C$79,$A319&lt;=OP!$C$80),OP!$C$78,)))</f>
        <v>0</v>
      </c>
      <c r="AT319" s="298">
        <f t="shared" ca="1" si="175"/>
        <v>0</v>
      </c>
      <c r="AU319" s="298">
        <f ca="1">IF(AND(A319&lt;=OP!$C$120,COUNTIF(PAY,C319)=1),OP!$C$123,0)</f>
        <v>0</v>
      </c>
      <c r="AV319" s="298">
        <f ca="1">IF(AND(A319&gt;=OP!$C$132,A319&lt;=OP!$C$133,$C$3=C319),OP!$C$135,0)</f>
        <v>0</v>
      </c>
      <c r="AW319" s="180">
        <f t="shared" ca="1" si="176"/>
        <v>0.05</v>
      </c>
      <c r="AX319" s="180">
        <f t="shared" ca="1" si="177"/>
        <v>0.05</v>
      </c>
      <c r="AY319" s="286">
        <f t="shared" ca="1" si="178"/>
        <v>0</v>
      </c>
      <c r="AZ319" s="286">
        <f t="shared" ca="1" si="179"/>
        <v>0</v>
      </c>
      <c r="BA319" s="286">
        <f t="shared" ca="1" si="180"/>
        <v>0</v>
      </c>
      <c r="BB319" s="286">
        <f t="shared" ca="1" si="181"/>
        <v>0</v>
      </c>
      <c r="BC319" s="286">
        <f t="shared" ca="1" si="182"/>
        <v>0</v>
      </c>
      <c r="BD319" s="180">
        <f t="shared" ca="1" si="183"/>
        <v>0.05</v>
      </c>
      <c r="BE319" s="180">
        <f t="shared" ca="1" si="184"/>
        <v>0.05</v>
      </c>
      <c r="BF319" s="286">
        <f t="shared" ca="1" si="185"/>
        <v>0</v>
      </c>
      <c r="BG319" s="286">
        <f t="shared" ca="1" si="186"/>
        <v>0</v>
      </c>
    </row>
    <row r="320" spans="1:59">
      <c r="A320" s="1">
        <f t="shared" ca="1" si="166"/>
        <v>27</v>
      </c>
      <c r="B320" s="1">
        <f t="shared" ca="1" si="194"/>
        <v>132</v>
      </c>
      <c r="C320" s="1">
        <f t="shared" ca="1" si="195"/>
        <v>10</v>
      </c>
      <c r="D320" s="1">
        <f ca="1">MIN($D$3,VLOOKUP(C320,OP!$S$30:$T$41,2))</f>
        <v>2</v>
      </c>
      <c r="E320" s="1">
        <f t="shared" ca="1" si="196"/>
        <v>81</v>
      </c>
      <c r="F320" s="11" t="str">
        <f t="shared" ca="1" si="167"/>
        <v/>
      </c>
      <c r="G320" s="8">
        <f t="shared" ca="1" si="199"/>
        <v>366</v>
      </c>
      <c r="H320" s="8">
        <f t="shared" ca="1" si="168"/>
        <v>31</v>
      </c>
      <c r="I320" s="8" t="str">
        <f t="shared" ca="1" si="165"/>
        <v>2710</v>
      </c>
      <c r="J320" s="13">
        <f>IF(繳費報酬率資料!$A$1=1,VALUE(OP!$C$121),VLOOKUP(A320,MP,2,0))</f>
        <v>0.05</v>
      </c>
      <c r="K320" s="14">
        <f ca="1">IF(SUM($K$4:K319,IF(繳費報酬率資料!$A$1=1,$AU320+$AV320,$BB320+$BC320))&gt;OP!$L$58,0,IF(繳費報酬率資料!$A$1=1,$AU320+$AV320,$BB320+$BC320))</f>
        <v>0</v>
      </c>
      <c r="L320" s="2"/>
      <c r="M320" s="2"/>
      <c r="N320" s="2"/>
      <c r="O320" s="261">
        <f t="shared" ca="1" si="169"/>
        <v>0</v>
      </c>
      <c r="P320" s="261">
        <f t="shared" ca="1" si="187"/>
        <v>0</v>
      </c>
      <c r="Q320" s="3">
        <f ca="1">IF(A320&gt;MAX(OP!$R$17:$R$26),0,VLOOKUP(A320,fees,3,FALSE))</f>
        <v>0</v>
      </c>
      <c r="R320" s="200" t="str">
        <f t="shared" ca="1" si="170"/>
        <v/>
      </c>
      <c r="S320" s="9" t="str">
        <f ca="1">IF(COUNTIF(($T$4:T319),"F")&gt;=1,"",IF(OR(C321&lt;&gt;$C$3,E320=""),"",A320))</f>
        <v/>
      </c>
      <c r="T320" s="20" t="str">
        <f t="shared" ca="1" si="197"/>
        <v/>
      </c>
      <c r="U320" s="2">
        <f ca="1">IF(IF(OP!$C$83=1,$Z319,IF(OP!$C$83=2,$AA319,IF(OP!$C$83=3,$AB319,)))+$K320-$O320-$P320-$AS320&lt;OP!$C$142,0,$AS320)</f>
        <v>0</v>
      </c>
      <c r="V320" s="9"/>
      <c r="W320" s="19">
        <f ca="1">MAX(SUM($K$4:K320),0)</f>
        <v>2000000</v>
      </c>
      <c r="X320" s="19"/>
      <c r="Y320" s="19">
        <f t="shared" ca="1" si="188"/>
        <v>1920000</v>
      </c>
      <c r="Z320" s="2">
        <f ca="1">IF(MIN($Z$4:Z319)=0,0,MAX(0,($Z319+$K320-$O320-$P320)*IF(AND(F320="F",$D$3&lt;&gt;$G$3),((1+(-J320))^(H320/MIN(G320,365))),((1+(-J320))^(1/12)))-$U320))</f>
        <v>495259.8651672611</v>
      </c>
      <c r="AA320" s="2">
        <f ca="1">IF(MIN($AA$4:AA319)=0,0,MAX(0,($AA319+$K320-$O320-$P320)*IF(AND(F320="F",$D$3&lt;&gt;$G$3),((1+$AA$1)^(H320/MIN(G320,365))),((1+$AA$1)^(1/12)))-$U320))</f>
        <v>1920000</v>
      </c>
      <c r="AB320" s="2">
        <f ca="1">IF(MIN($AB$4:AB319)=0,0,MAX(0,($AB319+$K320-$O320-$P320)*IF(AND(F320="F",$D$3&lt;&gt;$G$3),((1+(J320))^(H320/MIN(G320,365))),((1+(J320))^(1/12)))-$U320))</f>
        <v>6967097.3538286267</v>
      </c>
      <c r="AC320" s="5"/>
      <c r="AD320" s="5"/>
      <c r="AE320" s="5"/>
      <c r="AF320" s="282">
        <f t="shared" ca="1" si="171"/>
        <v>495260</v>
      </c>
      <c r="AG320" s="282">
        <f t="shared" ca="1" si="172"/>
        <v>1920000</v>
      </c>
      <c r="AH320" s="282">
        <f t="shared" ca="1" si="173"/>
        <v>6967097</v>
      </c>
      <c r="AI320" s="23" t="str">
        <f t="shared" ca="1" si="189"/>
        <v>27-6</v>
      </c>
      <c r="AJ320" s="282">
        <f ca="1">IF(E320&gt;111,,IF(AND(OP!$C$99=1,T320="F"),Z320,IF(AND(OP!$C$99=2,COUNTIF($T$4:T320,"F")=1),OP!$C$97+IF(F320="F",OP!$C$98,0),"")))</f>
        <v>54527</v>
      </c>
      <c r="AK320" s="282">
        <f ca="1">IF(E320&gt;111,,IF(AND(OP!$D$99=1,T320="F"),AA320,IF(AND(OP!$D$99=2,COUNTIF($T$4:T320,"F")=1),OP!$D$97+IF(F320="F",OP!$D$98,0),"")))</f>
        <v>74177</v>
      </c>
      <c r="AL320" s="282">
        <f ca="1">IF(E320&gt;111,,IF(AND(OP!$E$99=1,T320="F"),AB320,IF(AND(OP!$E$99=2,COUNTIF($T$4:T320,"F")=1),OP!$E$97+IF(F320="F",OP!$E$98,0),"")))</f>
        <v>99404</v>
      </c>
      <c r="AM320" s="1">
        <f t="shared" ca="1" si="198"/>
        <v>6</v>
      </c>
      <c r="AN320" s="1" t="str">
        <f ca="1">IF(OR(VLOOKUP($A320,MP,5,0)="月繳"),1,"")</f>
        <v/>
      </c>
      <c r="AO320" s="1">
        <f t="shared" ca="1" si="174"/>
        <v>0</v>
      </c>
      <c r="AP320" s="1" t="str">
        <f ca="1">IF(AND(A320&lt;=OP!$C$120,COUNTIF(PAY,C320)=1),1,"")</f>
        <v/>
      </c>
      <c r="AR320" s="301">
        <f ca="1">IF(繳費報酬率資料!$A$1=1,$AY320+$AZ320,$BF320+$BG320)</f>
        <v>0</v>
      </c>
      <c r="AS320" s="1">
        <f ca="1">IF(C320&lt;&gt;IF($C$3=1,12,$C$3-1),0,IF(繳費報酬率資料!$A$1&lt;&gt;1,VLOOKUP($A320,MP,8,0),IF(AND($A320&gt;=OP!$C$79,$A320&lt;=OP!$C$80),OP!$C$78,)))</f>
        <v>0</v>
      </c>
      <c r="AT320" s="298">
        <f t="shared" ca="1" si="175"/>
        <v>0</v>
      </c>
      <c r="AU320" s="298">
        <f ca="1">IF(AND(A320&lt;=OP!$C$120,COUNTIF(PAY,C320)=1),OP!$C$123,0)</f>
        <v>0</v>
      </c>
      <c r="AV320" s="298">
        <f ca="1">IF(AND(A320&gt;=OP!$C$132,A320&lt;=OP!$C$133,$C$3=C320),OP!$C$135,0)</f>
        <v>0</v>
      </c>
      <c r="AW320" s="180">
        <f t="shared" ca="1" si="176"/>
        <v>0.05</v>
      </c>
      <c r="AX320" s="180">
        <f t="shared" ca="1" si="177"/>
        <v>0.05</v>
      </c>
      <c r="AY320" s="286">
        <f t="shared" ca="1" si="178"/>
        <v>0</v>
      </c>
      <c r="AZ320" s="286">
        <f t="shared" ca="1" si="179"/>
        <v>0</v>
      </c>
      <c r="BA320" s="286">
        <f t="shared" ca="1" si="180"/>
        <v>0</v>
      </c>
      <c r="BB320" s="286">
        <f t="shared" ca="1" si="181"/>
        <v>0</v>
      </c>
      <c r="BC320" s="286">
        <f t="shared" ca="1" si="182"/>
        <v>0</v>
      </c>
      <c r="BD320" s="180">
        <f t="shared" ca="1" si="183"/>
        <v>0.05</v>
      </c>
      <c r="BE320" s="180">
        <f t="shared" ca="1" si="184"/>
        <v>0.05</v>
      </c>
      <c r="BF320" s="286">
        <f t="shared" ca="1" si="185"/>
        <v>0</v>
      </c>
      <c r="BG320" s="286">
        <f t="shared" ca="1" si="186"/>
        <v>0</v>
      </c>
    </row>
    <row r="321" spans="1:59">
      <c r="A321" s="1">
        <f t="shared" ca="1" si="166"/>
        <v>27</v>
      </c>
      <c r="B321" s="1">
        <f t="shared" ca="1" si="194"/>
        <v>132</v>
      </c>
      <c r="C321" s="1">
        <f t="shared" ca="1" si="195"/>
        <v>11</v>
      </c>
      <c r="D321" s="1">
        <f ca="1">MIN($D$3,VLOOKUP(C321,OP!$S$30:$T$41,2))</f>
        <v>2</v>
      </c>
      <c r="E321" s="1">
        <f t="shared" ca="1" si="196"/>
        <v>81</v>
      </c>
      <c r="F321" s="11" t="str">
        <f t="shared" ca="1" si="167"/>
        <v/>
      </c>
      <c r="G321" s="8">
        <f t="shared" ca="1" si="199"/>
        <v>366</v>
      </c>
      <c r="H321" s="8">
        <f t="shared" ca="1" si="168"/>
        <v>30</v>
      </c>
      <c r="I321" s="8" t="str">
        <f t="shared" ca="1" si="165"/>
        <v>2711</v>
      </c>
      <c r="J321" s="13">
        <f>IF(繳費報酬率資料!$A$1=1,VALUE(OP!$C$121),VLOOKUP(A321,MP,2,0))</f>
        <v>0.05</v>
      </c>
      <c r="K321" s="14">
        <f ca="1">IF(SUM($K$4:K320,IF(繳費報酬率資料!$A$1=1,$AU321+$AV321,$BB321+$BC321))&gt;OP!$L$58,0,IF(繳費報酬率資料!$A$1=1,$AU321+$AV321,$BB321+$BC321))</f>
        <v>0</v>
      </c>
      <c r="L321" s="2"/>
      <c r="M321" s="2"/>
      <c r="N321" s="2"/>
      <c r="O321" s="261">
        <f t="shared" ca="1" si="169"/>
        <v>0</v>
      </c>
      <c r="P321" s="261">
        <f t="shared" ca="1" si="187"/>
        <v>0</v>
      </c>
      <c r="Q321" s="3">
        <f ca="1">IF(A321&gt;MAX(OP!$R$17:$R$26),0,VLOOKUP(A321,fees,3,FALSE))</f>
        <v>0</v>
      </c>
      <c r="R321" s="200" t="str">
        <f t="shared" ca="1" si="170"/>
        <v/>
      </c>
      <c r="S321" s="9" t="str">
        <f ca="1">IF(COUNTIF(($T$4:T320),"F")&gt;=1,"",IF(OR(C322&lt;&gt;$C$3,E321=""),"",A321))</f>
        <v/>
      </c>
      <c r="T321" s="20" t="str">
        <f t="shared" ca="1" si="197"/>
        <v/>
      </c>
      <c r="U321" s="2">
        <f ca="1">IF(IF(OP!$C$83=1,$Z320,IF(OP!$C$83=2,$AA320,IF(OP!$C$83=3,$AB320,)))+$K321-$O321-$P321-$AS321&lt;OP!$C$142,0,$AS321)</f>
        <v>0</v>
      </c>
      <c r="V321" s="9"/>
      <c r="W321" s="19">
        <f ca="1">MAX(SUM($K$4:K321),0)</f>
        <v>2000000</v>
      </c>
      <c r="X321" s="19"/>
      <c r="Y321" s="19">
        <f t="shared" ca="1" si="188"/>
        <v>1920000</v>
      </c>
      <c r="Z321" s="2">
        <f ca="1">IF(MIN($Z$4:Z320)=0,0,MAX(0,($Z320+$K321-$O321-$P321)*IF(AND(F321="F",$D$3&lt;&gt;$G$3),((1+(-J321))^(H321/MIN(G321,365))),((1+(-J321))^(1/12)))-$U321))</f>
        <v>493147.42396459106</v>
      </c>
      <c r="AA321" s="2">
        <f ca="1">IF(MIN($AA$4:AA320)=0,0,MAX(0,($AA320+$K321-$O321-$P321)*IF(AND(F321="F",$D$3&lt;&gt;$G$3),((1+$AA$1)^(H321/MIN(G321,365))),((1+$AA$1)^(1/12)))-$U321))</f>
        <v>1920000</v>
      </c>
      <c r="AB321" s="2">
        <f ca="1">IF(MIN($AB$4:AB320)=0,0,MAX(0,($AB320+$K321-$O321-$P321)*IF(AND(F321="F",$D$3&lt;&gt;$G$3),((1+(J321))^(H321/MIN(G321,365))),((1+(J321))^(1/12)))-$U321))</f>
        <v>6995482.170860853</v>
      </c>
      <c r="AC321" s="5"/>
      <c r="AD321" s="5"/>
      <c r="AE321" s="5"/>
      <c r="AF321" s="282">
        <f t="shared" ca="1" si="171"/>
        <v>493147</v>
      </c>
      <c r="AG321" s="282">
        <f t="shared" ca="1" si="172"/>
        <v>1920000</v>
      </c>
      <c r="AH321" s="282">
        <f t="shared" ca="1" si="173"/>
        <v>6995482</v>
      </c>
      <c r="AI321" s="23" t="str">
        <f t="shared" ca="1" si="189"/>
        <v>27-7</v>
      </c>
      <c r="AJ321" s="282">
        <f ca="1">IF(E321&gt;111,,IF(AND(OP!$C$99=1,T321="F"),Z321,IF(AND(OP!$C$99=2,COUNTIF($T$4:T321,"F")=1),OP!$C$97+IF(F321="F",OP!$C$98,0),"")))</f>
        <v>54527</v>
      </c>
      <c r="AK321" s="282">
        <f ca="1">IF(E321&gt;111,,IF(AND(OP!$D$99=1,T321="F"),AA321,IF(AND(OP!$D$99=2,COUNTIF($T$4:T321,"F")=1),OP!$D$97+IF(F321="F",OP!$D$98,0),"")))</f>
        <v>74177</v>
      </c>
      <c r="AL321" s="282">
        <f ca="1">IF(E321&gt;111,,IF(AND(OP!$E$99=1,T321="F"),AB321,IF(AND(OP!$E$99=2,COUNTIF($T$4:T321,"F")=1),OP!$E$97+IF(F321="F",OP!$E$98,0),"")))</f>
        <v>99404</v>
      </c>
      <c r="AM321" s="1">
        <f t="shared" ca="1" si="198"/>
        <v>7</v>
      </c>
      <c r="AN321" s="1" t="str">
        <f ca="1">IF(OR(VLOOKUP($A321,MP,5,0)="月繳"),1,"")</f>
        <v/>
      </c>
      <c r="AO321" s="1">
        <f t="shared" ca="1" si="174"/>
        <v>0</v>
      </c>
      <c r="AP321" s="1" t="str">
        <f ca="1">IF(AND(A321&lt;=OP!$C$120,COUNTIF(PAY,C321)=1),1,"")</f>
        <v/>
      </c>
      <c r="AR321" s="301">
        <f ca="1">IF(繳費報酬率資料!$A$1=1,$AY321+$AZ321,$BF321+$BG321)</f>
        <v>0</v>
      </c>
      <c r="AS321" s="1">
        <f ca="1">IF(C321&lt;&gt;IF($C$3=1,12,$C$3-1),0,IF(繳費報酬率資料!$A$1&lt;&gt;1,VLOOKUP($A321,MP,8,0),IF(AND($A321&gt;=OP!$C$79,$A321&lt;=OP!$C$80),OP!$C$78,)))</f>
        <v>0</v>
      </c>
      <c r="AT321" s="298">
        <f t="shared" ca="1" si="175"/>
        <v>0</v>
      </c>
      <c r="AU321" s="298">
        <f ca="1">IF(AND(A321&lt;=OP!$C$120,COUNTIF(PAY,C321)=1),OP!$C$123,0)</f>
        <v>0</v>
      </c>
      <c r="AV321" s="298">
        <f ca="1">IF(AND(A321&gt;=OP!$C$132,A321&lt;=OP!$C$133,$C$3=C321),OP!$C$135,0)</f>
        <v>0</v>
      </c>
      <c r="AW321" s="180">
        <f t="shared" ca="1" si="176"/>
        <v>0.05</v>
      </c>
      <c r="AX321" s="180">
        <f t="shared" ca="1" si="177"/>
        <v>0.05</v>
      </c>
      <c r="AY321" s="286">
        <f t="shared" ca="1" si="178"/>
        <v>0</v>
      </c>
      <c r="AZ321" s="286">
        <f t="shared" ca="1" si="179"/>
        <v>0</v>
      </c>
      <c r="BA321" s="286">
        <f t="shared" ca="1" si="180"/>
        <v>0</v>
      </c>
      <c r="BB321" s="286">
        <f t="shared" ca="1" si="181"/>
        <v>0</v>
      </c>
      <c r="BC321" s="286">
        <f t="shared" ca="1" si="182"/>
        <v>0</v>
      </c>
      <c r="BD321" s="180">
        <f t="shared" ca="1" si="183"/>
        <v>0.05</v>
      </c>
      <c r="BE321" s="180">
        <f t="shared" ca="1" si="184"/>
        <v>0.05</v>
      </c>
      <c r="BF321" s="286">
        <f t="shared" ca="1" si="185"/>
        <v>0</v>
      </c>
      <c r="BG321" s="286">
        <f t="shared" ca="1" si="186"/>
        <v>0</v>
      </c>
    </row>
    <row r="322" spans="1:59">
      <c r="A322" s="1">
        <f t="shared" ca="1" si="166"/>
        <v>27</v>
      </c>
      <c r="B322" s="1">
        <f t="shared" ca="1" si="194"/>
        <v>132</v>
      </c>
      <c r="C322" s="1">
        <f t="shared" ca="1" si="195"/>
        <v>12</v>
      </c>
      <c r="D322" s="1">
        <f ca="1">MIN($D$3,VLOOKUP(C322,OP!$S$30:$T$41,2))</f>
        <v>2</v>
      </c>
      <c r="E322" s="1">
        <f t="shared" ca="1" si="196"/>
        <v>81</v>
      </c>
      <c r="F322" s="11" t="str">
        <f t="shared" ca="1" si="167"/>
        <v/>
      </c>
      <c r="G322" s="8">
        <f t="shared" ca="1" si="199"/>
        <v>366</v>
      </c>
      <c r="H322" s="8">
        <f t="shared" ca="1" si="168"/>
        <v>31</v>
      </c>
      <c r="I322" s="8" t="str">
        <f t="shared" ca="1" si="165"/>
        <v>2712</v>
      </c>
      <c r="J322" s="13">
        <f>IF(繳費報酬率資料!$A$1=1,VALUE(OP!$C$121),VLOOKUP(A322,MP,2,0))</f>
        <v>0.05</v>
      </c>
      <c r="K322" s="14">
        <f ca="1">IF(SUM($K$4:K321,IF(繳費報酬率資料!$A$1=1,$AU322+$AV322,$BB322+$BC322))&gt;OP!$L$58,0,IF(繳費報酬率資料!$A$1=1,$AU322+$AV322,$BB322+$BC322))</f>
        <v>0</v>
      </c>
      <c r="L322" s="2"/>
      <c r="M322" s="2"/>
      <c r="N322" s="2"/>
      <c r="O322" s="261">
        <f t="shared" ca="1" si="169"/>
        <v>0</v>
      </c>
      <c r="P322" s="261">
        <f t="shared" ca="1" si="187"/>
        <v>0</v>
      </c>
      <c r="Q322" s="3">
        <f ca="1">IF(A322&gt;MAX(OP!$R$17:$R$26),0,VLOOKUP(A322,fees,3,FALSE))</f>
        <v>0</v>
      </c>
      <c r="R322" s="200" t="str">
        <f t="shared" ca="1" si="170"/>
        <v/>
      </c>
      <c r="S322" s="9" t="str">
        <f ca="1">IF(COUNTIF(($T$4:T321),"F")&gt;=1,"",IF(OR(C323&lt;&gt;$C$3,E322=""),"",A322))</f>
        <v/>
      </c>
      <c r="T322" s="20" t="str">
        <f t="shared" ca="1" si="197"/>
        <v/>
      </c>
      <c r="U322" s="2">
        <f ca="1">IF(IF(OP!$C$83=1,$Z321,IF(OP!$C$83=2,$AA321,IF(OP!$C$83=3,$AB321,)))+$K322-$O322-$P322-$AS322&lt;OP!$C$142,0,$AS322)</f>
        <v>0</v>
      </c>
      <c r="V322" s="9"/>
      <c r="W322" s="19">
        <f ca="1">MAX(SUM($K$4:K322),0)</f>
        <v>2000000</v>
      </c>
      <c r="X322" s="19"/>
      <c r="Y322" s="19">
        <f t="shared" ca="1" si="188"/>
        <v>1920000</v>
      </c>
      <c r="Z322" s="2">
        <f ca="1">IF(MIN($Z$4:Z321)=0,0,MAX(0,($Z321+$K322-$O322-$P322)*IF(AND(F322="F",$D$3&lt;&gt;$G$3),((1+(-J322))^(H322/MIN(G322,365))),((1+(-J322))^(1/12)))-$U322))</f>
        <v>491043.99299704924</v>
      </c>
      <c r="AA322" s="2">
        <f ca="1">IF(MIN($AA$4:AA321)=0,0,MAX(0,($AA321+$K322-$O322-$P322)*IF(AND(F322="F",$D$3&lt;&gt;$G$3),((1+$AA$1)^(H322/MIN(G322,365))),((1+$AA$1)^(1/12)))-$U322))</f>
        <v>1920000</v>
      </c>
      <c r="AB322" s="2">
        <f ca="1">IF(MIN($AB$4:AB321)=0,0,MAX(0,($AB321+$K322-$O322-$P322)*IF(AND(F322="F",$D$3&lt;&gt;$G$3),((1+(J322))^(H322/MIN(G322,365))),((1+(J322))^(1/12)))-$U322))</f>
        <v>7023982.631151245</v>
      </c>
      <c r="AC322" s="5"/>
      <c r="AD322" s="5"/>
      <c r="AE322" s="5"/>
      <c r="AF322" s="282">
        <f t="shared" ca="1" si="171"/>
        <v>491044</v>
      </c>
      <c r="AG322" s="282">
        <f t="shared" ca="1" si="172"/>
        <v>1920000</v>
      </c>
      <c r="AH322" s="282">
        <f t="shared" ca="1" si="173"/>
        <v>7023983</v>
      </c>
      <c r="AI322" s="23" t="str">
        <f t="shared" ca="1" si="189"/>
        <v>27-8</v>
      </c>
      <c r="AJ322" s="282">
        <f ca="1">IF(E322&gt;111,,IF(AND(OP!$C$99=1,T322="F"),Z322,IF(AND(OP!$C$99=2,COUNTIF($T$4:T322,"F")=1),OP!$C$97+IF(F322="F",OP!$C$98,0),"")))</f>
        <v>54527</v>
      </c>
      <c r="AK322" s="282">
        <f ca="1">IF(E322&gt;111,,IF(AND(OP!$D$99=1,T322="F"),AA322,IF(AND(OP!$D$99=2,COUNTIF($T$4:T322,"F")=1),OP!$D$97+IF(F322="F",OP!$D$98,0),"")))</f>
        <v>74177</v>
      </c>
      <c r="AL322" s="282">
        <f ca="1">IF(E322&gt;111,,IF(AND(OP!$E$99=1,T322="F"),AB322,IF(AND(OP!$E$99=2,COUNTIF($T$4:T322,"F")=1),OP!$E$97+IF(F322="F",OP!$E$98,0),"")))</f>
        <v>99404</v>
      </c>
      <c r="AM322" s="1">
        <f t="shared" ca="1" si="198"/>
        <v>8</v>
      </c>
      <c r="AN322" s="1" t="str">
        <f ca="1">IF(OR(VLOOKUP($A322,MP,5,0)="半年繳",VLOOKUP($A322,MP,5,0)="季繳",VLOOKUP($A322,MP,5,0)="月繳"),1,"")</f>
        <v/>
      </c>
      <c r="AO322" s="1">
        <f t="shared" ca="1" si="174"/>
        <v>0</v>
      </c>
      <c r="AP322" s="1" t="str">
        <f ca="1">IF(AND(A322&lt;=OP!$C$120,COUNTIF(PAY,C322)=1),1,"")</f>
        <v/>
      </c>
      <c r="AR322" s="301">
        <f ca="1">IF(繳費報酬率資料!$A$1=1,$AY322+$AZ322,$BF322+$BG322)</f>
        <v>0</v>
      </c>
      <c r="AS322" s="1">
        <f ca="1">IF(C322&lt;&gt;IF($C$3=1,12,$C$3-1),0,IF(繳費報酬率資料!$A$1&lt;&gt;1,VLOOKUP($A322,MP,8,0),IF(AND($A322&gt;=OP!$C$79,$A322&lt;=OP!$C$80),OP!$C$78,)))</f>
        <v>0</v>
      </c>
      <c r="AT322" s="298">
        <f t="shared" ca="1" si="175"/>
        <v>0</v>
      </c>
      <c r="AU322" s="298">
        <f ca="1">IF(AND(A322&lt;=OP!$C$120,COUNTIF(PAY,C322)=1),OP!$C$123,0)</f>
        <v>0</v>
      </c>
      <c r="AV322" s="298">
        <f ca="1">IF(AND(A322&gt;=OP!$C$132,A322&lt;=OP!$C$133,$C$3=C322),OP!$C$135,0)</f>
        <v>0</v>
      </c>
      <c r="AW322" s="180">
        <f t="shared" ca="1" si="176"/>
        <v>0.05</v>
      </c>
      <c r="AX322" s="180">
        <f t="shared" ca="1" si="177"/>
        <v>0.05</v>
      </c>
      <c r="AY322" s="286">
        <f t="shared" ca="1" si="178"/>
        <v>0</v>
      </c>
      <c r="AZ322" s="286">
        <f t="shared" ca="1" si="179"/>
        <v>0</v>
      </c>
      <c r="BA322" s="286">
        <f t="shared" ca="1" si="180"/>
        <v>0</v>
      </c>
      <c r="BB322" s="286">
        <f t="shared" ca="1" si="181"/>
        <v>0</v>
      </c>
      <c r="BC322" s="286">
        <f t="shared" ca="1" si="182"/>
        <v>0</v>
      </c>
      <c r="BD322" s="180">
        <f t="shared" ca="1" si="183"/>
        <v>0.05</v>
      </c>
      <c r="BE322" s="180">
        <f t="shared" ca="1" si="184"/>
        <v>0.05</v>
      </c>
      <c r="BF322" s="286">
        <f t="shared" ca="1" si="185"/>
        <v>0</v>
      </c>
      <c r="BG322" s="286">
        <f t="shared" ca="1" si="186"/>
        <v>0</v>
      </c>
    </row>
    <row r="323" spans="1:59">
      <c r="A323" s="1">
        <f t="shared" ca="1" si="166"/>
        <v>27</v>
      </c>
      <c r="B323" s="1">
        <f t="shared" ca="1" si="194"/>
        <v>133</v>
      </c>
      <c r="C323" s="1">
        <f t="shared" ca="1" si="195"/>
        <v>1</v>
      </c>
      <c r="D323" s="1">
        <f ca="1">MIN($D$3,VLOOKUP(C323,OP!$S$30:$T$41,2))</f>
        <v>2</v>
      </c>
      <c r="E323" s="1">
        <f t="shared" ca="1" si="196"/>
        <v>81</v>
      </c>
      <c r="F323" s="11" t="str">
        <f t="shared" ca="1" si="167"/>
        <v/>
      </c>
      <c r="G323" s="8">
        <f t="shared" ca="1" si="199"/>
        <v>366</v>
      </c>
      <c r="H323" s="8">
        <f t="shared" ca="1" si="168"/>
        <v>31</v>
      </c>
      <c r="I323" s="8" t="str">
        <f t="shared" ca="1" si="165"/>
        <v>271</v>
      </c>
      <c r="J323" s="13">
        <f>IF(繳費報酬率資料!$A$1=1,VALUE(OP!$C$121),VLOOKUP(A323,MP,2,0))</f>
        <v>0.05</v>
      </c>
      <c r="K323" s="14">
        <f ca="1">IF(SUM($K$4:K322,IF(繳費報酬率資料!$A$1=1,$AU323+$AV323,$BB323+$BC323))&gt;OP!$L$58,0,IF(繳費報酬率資料!$A$1=1,$AU323+$AV323,$BB323+$BC323))</f>
        <v>0</v>
      </c>
      <c r="L323" s="2"/>
      <c r="M323" s="2"/>
      <c r="N323" s="2"/>
      <c r="O323" s="261">
        <f t="shared" ca="1" si="169"/>
        <v>0</v>
      </c>
      <c r="P323" s="261">
        <f t="shared" ca="1" si="187"/>
        <v>0</v>
      </c>
      <c r="Q323" s="3">
        <f ca="1">IF(A323&gt;MAX(OP!$R$17:$R$26),0,VLOOKUP(A323,fees,3,FALSE))</f>
        <v>0</v>
      </c>
      <c r="R323" s="200" t="str">
        <f t="shared" ca="1" si="170"/>
        <v/>
      </c>
      <c r="S323" s="9" t="str">
        <f ca="1">IF(COUNTIF(($T$4:T322),"F")&gt;=1,"",IF(OR(C324&lt;&gt;$C$3,E323=""),"",A323))</f>
        <v/>
      </c>
      <c r="T323" s="20" t="str">
        <f t="shared" ca="1" si="197"/>
        <v/>
      </c>
      <c r="U323" s="2">
        <f ca="1">IF(IF(OP!$C$83=1,$Z322,IF(OP!$C$83=2,$AA322,IF(OP!$C$83=3,$AB322,)))+$K323-$O323-$P323-$AS323&lt;OP!$C$142,0,$AS323)</f>
        <v>0</v>
      </c>
      <c r="V323" s="9"/>
      <c r="W323" s="19">
        <f ca="1">MAX(SUM($K$4:K323),0)</f>
        <v>2000000</v>
      </c>
      <c r="X323" s="19"/>
      <c r="Y323" s="19">
        <f t="shared" ca="1" si="188"/>
        <v>1920000</v>
      </c>
      <c r="Z323" s="2">
        <f ca="1">IF(MIN($Z$4:Z322)=0,0,MAX(0,($Z322+$K323-$O323-$P323)*IF(AND(F323="F",$D$3&lt;&gt;$G$3),((1+(-J323))^(H323/MIN(G323,365))),((1+(-J323))^(1/12)))-$U323))</f>
        <v>488949.53383311059</v>
      </c>
      <c r="AA323" s="2">
        <f ca="1">IF(MIN($AA$4:AA322)=0,0,MAX(0,($AA322+$K323-$O323-$P323)*IF(AND(F323="F",$D$3&lt;&gt;$G$3),((1+$AA$1)^(H323/MIN(G323,365))),((1+$AA$1)^(1/12)))-$U323))</f>
        <v>1920000</v>
      </c>
      <c r="AB323" s="2">
        <f ca="1">IF(MIN($AB$4:AB322)=0,0,MAX(0,($AB322+$K323-$O323-$P323)*IF(AND(F323="F",$D$3&lt;&gt;$G$3),((1+(J323))^(H323/MIN(G323,365))),((1+(J323))^(1/12)))-$U323))</f>
        <v>7052599.2058447516</v>
      </c>
      <c r="AC323" s="5"/>
      <c r="AD323" s="5"/>
      <c r="AE323" s="5"/>
      <c r="AF323" s="282">
        <f t="shared" ca="1" si="171"/>
        <v>488950</v>
      </c>
      <c r="AG323" s="282">
        <f t="shared" ca="1" si="172"/>
        <v>1920000</v>
      </c>
      <c r="AH323" s="282">
        <f t="shared" ca="1" si="173"/>
        <v>7052599</v>
      </c>
      <c r="AI323" s="23" t="str">
        <f t="shared" ca="1" si="189"/>
        <v>27-9</v>
      </c>
      <c r="AJ323" s="282">
        <f ca="1">IF(E323&gt;111,,IF(AND(OP!$C$99=1,T323="F"),Z323,IF(AND(OP!$C$99=2,COUNTIF($T$4:T323,"F")=1),OP!$C$97+IF(F323="F",OP!$C$98,0),"")))</f>
        <v>54527</v>
      </c>
      <c r="AK323" s="282">
        <f ca="1">IF(E323&gt;111,,IF(AND(OP!$D$99=1,T323="F"),AA323,IF(AND(OP!$D$99=2,COUNTIF($T$4:T323,"F")=1),OP!$D$97+IF(F323="F",OP!$D$98,0),"")))</f>
        <v>74177</v>
      </c>
      <c r="AL323" s="282">
        <f ca="1">IF(E323&gt;111,,IF(AND(OP!$E$99=1,T323="F"),AB323,IF(AND(OP!$E$99=2,COUNTIF($T$4:T323,"F")=1),OP!$E$97+IF(F323="F",OP!$E$98,0),"")))</f>
        <v>99404</v>
      </c>
      <c r="AM323" s="1">
        <f t="shared" ca="1" si="198"/>
        <v>9</v>
      </c>
      <c r="AN323" s="1" t="str">
        <f ca="1">IF(OR(VLOOKUP($A323,MP,5,0)="月繳"),1,"")</f>
        <v/>
      </c>
      <c r="AO323" s="1">
        <f t="shared" ca="1" si="174"/>
        <v>0</v>
      </c>
      <c r="AP323" s="1" t="str">
        <f ca="1">IF(AND(A323&lt;=OP!$C$120,COUNTIF(PAY,C323)=1),1,"")</f>
        <v/>
      </c>
      <c r="AR323" s="301">
        <f ca="1">IF(繳費報酬率資料!$A$1=1,$AY323+$AZ323,$BF323+$BG323)</f>
        <v>0</v>
      </c>
      <c r="AS323" s="1">
        <f ca="1">IF(C323&lt;&gt;IF($C$3=1,12,$C$3-1),0,IF(繳費報酬率資料!$A$1&lt;&gt;1,VLOOKUP($A323,MP,8,0),IF(AND($A323&gt;=OP!$C$79,$A323&lt;=OP!$C$80),OP!$C$78,)))</f>
        <v>0</v>
      </c>
      <c r="AT323" s="298">
        <f t="shared" ca="1" si="175"/>
        <v>0</v>
      </c>
      <c r="AU323" s="298">
        <f ca="1">IF(AND(A323&lt;=OP!$C$120,COUNTIF(PAY,C323)=1),OP!$C$123,0)</f>
        <v>0</v>
      </c>
      <c r="AV323" s="298">
        <f ca="1">IF(AND(A323&gt;=OP!$C$132,A323&lt;=OP!$C$133,$C$3=C323),OP!$C$135,0)</f>
        <v>0</v>
      </c>
      <c r="AW323" s="180">
        <f t="shared" ca="1" si="176"/>
        <v>0.05</v>
      </c>
      <c r="AX323" s="180">
        <f t="shared" ca="1" si="177"/>
        <v>0.05</v>
      </c>
      <c r="AY323" s="286">
        <f t="shared" ca="1" si="178"/>
        <v>0</v>
      </c>
      <c r="AZ323" s="286">
        <f t="shared" ca="1" si="179"/>
        <v>0</v>
      </c>
      <c r="BA323" s="286">
        <f t="shared" ca="1" si="180"/>
        <v>0</v>
      </c>
      <c r="BB323" s="286">
        <f t="shared" ca="1" si="181"/>
        <v>0</v>
      </c>
      <c r="BC323" s="286">
        <f t="shared" ca="1" si="182"/>
        <v>0</v>
      </c>
      <c r="BD323" s="180">
        <f t="shared" ca="1" si="183"/>
        <v>0.05</v>
      </c>
      <c r="BE323" s="180">
        <f t="shared" ca="1" si="184"/>
        <v>0.05</v>
      </c>
      <c r="BF323" s="286">
        <f t="shared" ca="1" si="185"/>
        <v>0</v>
      </c>
      <c r="BG323" s="286">
        <f t="shared" ca="1" si="186"/>
        <v>0</v>
      </c>
    </row>
    <row r="324" spans="1:59">
      <c r="A324" s="1">
        <f t="shared" ca="1" si="166"/>
        <v>27</v>
      </c>
      <c r="B324" s="1">
        <f t="shared" ca="1" si="194"/>
        <v>133</v>
      </c>
      <c r="C324" s="1">
        <f t="shared" ca="1" si="195"/>
        <v>2</v>
      </c>
      <c r="D324" s="1">
        <f ca="1">MIN($D$3,VLOOKUP(C324,OP!$S$30:$T$41,2))</f>
        <v>2</v>
      </c>
      <c r="E324" s="1">
        <f t="shared" ca="1" si="196"/>
        <v>81</v>
      </c>
      <c r="F324" s="11" t="str">
        <f t="shared" ca="1" si="167"/>
        <v/>
      </c>
      <c r="G324" s="8">
        <f t="shared" ca="1" si="199"/>
        <v>366</v>
      </c>
      <c r="H324" s="8">
        <f t="shared" ca="1" si="168"/>
        <v>29</v>
      </c>
      <c r="I324" s="8" t="str">
        <f t="shared" ref="I324:I387" ca="1" si="200">A324&amp;C324</f>
        <v>272</v>
      </c>
      <c r="J324" s="13">
        <f>IF(繳費報酬率資料!$A$1=1,VALUE(OP!$C$121),VLOOKUP(A324,MP,2,0))</f>
        <v>0.05</v>
      </c>
      <c r="K324" s="14">
        <f ca="1">IF(SUM($K$4:K323,IF(繳費報酬率資料!$A$1=1,$AU324+$AV324,$BB324+$BC324))&gt;OP!$L$58,0,IF(繳費報酬率資料!$A$1=1,$AU324+$AV324,$BB324+$BC324))</f>
        <v>0</v>
      </c>
      <c r="L324" s="2"/>
      <c r="M324" s="2"/>
      <c r="N324" s="2"/>
      <c r="O324" s="261">
        <f t="shared" ca="1" si="169"/>
        <v>0</v>
      </c>
      <c r="P324" s="261">
        <f t="shared" ca="1" si="187"/>
        <v>0</v>
      </c>
      <c r="Q324" s="3">
        <f ca="1">IF(A324&gt;MAX(OP!$R$17:$R$26),0,VLOOKUP(A324,fees,3,FALSE))</f>
        <v>0</v>
      </c>
      <c r="R324" s="200" t="str">
        <f t="shared" ca="1" si="170"/>
        <v/>
      </c>
      <c r="S324" s="9" t="str">
        <f ca="1">IF(COUNTIF(($T$4:T323),"F")&gt;=1,"",IF(OR(C325&lt;&gt;$C$3,E324=""),"",A324))</f>
        <v/>
      </c>
      <c r="T324" s="20" t="str">
        <f t="shared" ca="1" si="197"/>
        <v/>
      </c>
      <c r="U324" s="2">
        <f ca="1">IF(IF(OP!$C$83=1,$Z323,IF(OP!$C$83=2,$AA323,IF(OP!$C$83=3,$AB323,)))+$K324-$O324-$P324-$AS324&lt;OP!$C$142,0,$AS324)</f>
        <v>0</v>
      </c>
      <c r="V324" s="9"/>
      <c r="W324" s="19">
        <f ca="1">MAX(SUM($K$4:K324),0)</f>
        <v>2000000</v>
      </c>
      <c r="X324" s="19"/>
      <c r="Y324" s="19">
        <f t="shared" ca="1" si="188"/>
        <v>1920000</v>
      </c>
      <c r="Z324" s="2">
        <f ca="1">IF(MIN($Z$4:Z323)=0,0,MAX(0,($Z323+$K324-$O324-$P324)*IF(AND(F324="F",$D$3&lt;&gt;$G$3),((1+(-J324))^(H324/MIN(G324,365))),((1+(-J324))^(1/12)))-$U324))</f>
        <v>486864.00820517272</v>
      </c>
      <c r="AA324" s="2">
        <f ca="1">IF(MIN($AA$4:AA323)=0,0,MAX(0,($AA323+$K324-$O324-$P324)*IF(AND(F324="F",$D$3&lt;&gt;$G$3),((1+$AA$1)^(H324/MIN(G324,365))),((1+$AA$1)^(1/12)))-$U324))</f>
        <v>1920000</v>
      </c>
      <c r="AB324" s="2">
        <f ca="1">IF(MIN($AB$4:AB323)=0,0,MAX(0,($AB323+$K324-$O324-$P324)*IF(AND(F324="F",$D$3&lt;&gt;$G$3),((1+(J324))^(H324/MIN(G324,365))),((1+(J324))^(1/12)))-$U324))</f>
        <v>7081332.3680058233</v>
      </c>
      <c r="AC324" s="5"/>
      <c r="AD324" s="5"/>
      <c r="AE324" s="5"/>
      <c r="AF324" s="282">
        <f t="shared" ca="1" si="171"/>
        <v>486864</v>
      </c>
      <c r="AG324" s="282">
        <f t="shared" ca="1" si="172"/>
        <v>1920000</v>
      </c>
      <c r="AH324" s="282">
        <f t="shared" ca="1" si="173"/>
        <v>7081332</v>
      </c>
      <c r="AI324" s="23" t="str">
        <f t="shared" ca="1" si="189"/>
        <v>27-10</v>
      </c>
      <c r="AJ324" s="282">
        <f ca="1">IF(E324&gt;111,,IF(AND(OP!$C$99=1,T324="F"),Z324,IF(AND(OP!$C$99=2,COUNTIF($T$4:T324,"F")=1),OP!$C$97+IF(F324="F",OP!$C$98,0),"")))</f>
        <v>54527</v>
      </c>
      <c r="AK324" s="282">
        <f ca="1">IF(E324&gt;111,,IF(AND(OP!$D$99=1,T324="F"),AA324,IF(AND(OP!$D$99=2,COUNTIF($T$4:T324,"F")=1),OP!$D$97+IF(F324="F",OP!$D$98,0),"")))</f>
        <v>74177</v>
      </c>
      <c r="AL324" s="282">
        <f ca="1">IF(E324&gt;111,,IF(AND(OP!$E$99=1,T324="F"),AB324,IF(AND(OP!$E$99=2,COUNTIF($T$4:T324,"F")=1),OP!$E$97+IF(F324="F",OP!$E$98,0),"")))</f>
        <v>99404</v>
      </c>
      <c r="AM324" s="1">
        <f t="shared" ca="1" si="198"/>
        <v>10</v>
      </c>
      <c r="AN324" s="1" t="str">
        <f ca="1">IF(OR(VLOOKUP($A324,MP,5,0)="月繳"),1,"")</f>
        <v/>
      </c>
      <c r="AO324" s="1">
        <f t="shared" ca="1" si="174"/>
        <v>0</v>
      </c>
      <c r="AP324" s="1" t="str">
        <f ca="1">IF(AND(A324&lt;=OP!$C$120,COUNTIF(PAY,C324)=1),1,"")</f>
        <v/>
      </c>
      <c r="AR324" s="301">
        <f ca="1">IF(繳費報酬率資料!$A$1=1,$AY324+$AZ324,$BF324+$BG324)</f>
        <v>0</v>
      </c>
      <c r="AS324" s="1">
        <f ca="1">IF(C324&lt;&gt;IF($C$3=1,12,$C$3-1),0,IF(繳費報酬率資料!$A$1&lt;&gt;1,VLOOKUP($A324,MP,8,0),IF(AND($A324&gt;=OP!$C$79,$A324&lt;=OP!$C$80),OP!$C$78,)))</f>
        <v>0</v>
      </c>
      <c r="AT324" s="298">
        <f t="shared" ca="1" si="175"/>
        <v>0</v>
      </c>
      <c r="AU324" s="298">
        <f ca="1">IF(AND(A324&lt;=OP!$C$120,COUNTIF(PAY,C324)=1),OP!$C$123,0)</f>
        <v>0</v>
      </c>
      <c r="AV324" s="298">
        <f ca="1">IF(AND(A324&gt;=OP!$C$132,A324&lt;=OP!$C$133,$C$3=C324),OP!$C$135,0)</f>
        <v>0</v>
      </c>
      <c r="AW324" s="180">
        <f t="shared" ca="1" si="176"/>
        <v>0.05</v>
      </c>
      <c r="AX324" s="180">
        <f t="shared" ca="1" si="177"/>
        <v>0.05</v>
      </c>
      <c r="AY324" s="286">
        <f t="shared" ca="1" si="178"/>
        <v>0</v>
      </c>
      <c r="AZ324" s="286">
        <f t="shared" ca="1" si="179"/>
        <v>0</v>
      </c>
      <c r="BA324" s="286">
        <f t="shared" ca="1" si="180"/>
        <v>0</v>
      </c>
      <c r="BB324" s="286">
        <f t="shared" ca="1" si="181"/>
        <v>0</v>
      </c>
      <c r="BC324" s="286">
        <f t="shared" ca="1" si="182"/>
        <v>0</v>
      </c>
      <c r="BD324" s="180">
        <f t="shared" ca="1" si="183"/>
        <v>0.05</v>
      </c>
      <c r="BE324" s="180">
        <f t="shared" ca="1" si="184"/>
        <v>0.05</v>
      </c>
      <c r="BF324" s="286">
        <f t="shared" ca="1" si="185"/>
        <v>0</v>
      </c>
      <c r="BG324" s="286">
        <f t="shared" ca="1" si="186"/>
        <v>0</v>
      </c>
    </row>
    <row r="325" spans="1:59">
      <c r="A325" s="1">
        <f t="shared" ref="A325:A388" ca="1" si="201">IF(C325=$C$4,A324+1,A324)</f>
        <v>27</v>
      </c>
      <c r="B325" s="1">
        <f t="shared" ca="1" si="194"/>
        <v>133</v>
      </c>
      <c r="C325" s="1">
        <f t="shared" ca="1" si="195"/>
        <v>3</v>
      </c>
      <c r="D325" s="1">
        <f ca="1">MIN($D$3,VLOOKUP(C325,OP!$S$30:$T$41,2))</f>
        <v>2</v>
      </c>
      <c r="E325" s="1">
        <f t="shared" ca="1" si="196"/>
        <v>81</v>
      </c>
      <c r="F325" s="11" t="str">
        <f t="shared" ref="F325:F388" ca="1" si="202">IF(AND(DATE($E$3+1911,$F$3,$G$3)&gt;DATE(B325+1911,C325,D325),DATE($E$3+1911,$F$3,$G$3)&lt;=DATE(B326+1911,C326,D326)),"F","")</f>
        <v/>
      </c>
      <c r="G325" s="8">
        <f t="shared" ca="1" si="199"/>
        <v>366</v>
      </c>
      <c r="H325" s="8">
        <f t="shared" ref="H325:H388" ca="1" si="203">DATEDIF(DATE(B325+1911,C325,D325),IF(F325="F",DATE($E$3+1911,$F$3,$G$3),DATE(B326+1911,C326,D326)),"d")</f>
        <v>31</v>
      </c>
      <c r="I325" s="8" t="str">
        <f t="shared" ca="1" si="200"/>
        <v>273</v>
      </c>
      <c r="J325" s="13">
        <f>IF(繳費報酬率資料!$A$1=1,VALUE(OP!$C$121),VLOOKUP(A325,MP,2,0))</f>
        <v>0.05</v>
      </c>
      <c r="K325" s="14">
        <f ca="1">IF(SUM($K$4:K324,IF(繳費報酬率資料!$A$1=1,$AU325+$AV325,$BB325+$BC325))&gt;OP!$L$58,0,IF(繳費報酬率資料!$A$1=1,$AU325+$AV325,$BB325+$BC325))</f>
        <v>0</v>
      </c>
      <c r="L325" s="2"/>
      <c r="M325" s="2"/>
      <c r="N325" s="2"/>
      <c r="O325" s="261">
        <f t="shared" ref="O325:O388" ca="1" si="204">IF(K325=0,0,$AR325)</f>
        <v>0</v>
      </c>
      <c r="P325" s="261">
        <f t="shared" ca="1" si="187"/>
        <v>0</v>
      </c>
      <c r="Q325" s="3">
        <f ca="1">IF(A325&gt;MAX(OP!$R$17:$R$26),0,VLOOKUP(A325,fees,3,FALSE))</f>
        <v>0</v>
      </c>
      <c r="R325" s="200" t="str">
        <f t="shared" ref="R325:R388" ca="1" si="205">IF(OR(C326&lt;&gt;$C$3,E325=""),"",A325)</f>
        <v/>
      </c>
      <c r="S325" s="9" t="str">
        <f ca="1">IF(COUNTIF(($T$4:T324),"F")&gt;=1,"",IF(OR(C326&lt;&gt;$C$3,E325=""),"",A325))</f>
        <v/>
      </c>
      <c r="T325" s="20" t="str">
        <f t="shared" ca="1" si="197"/>
        <v/>
      </c>
      <c r="U325" s="2">
        <f ca="1">IF(IF(OP!$C$83=1,$Z324,IF(OP!$C$83=2,$AA324,IF(OP!$C$83=3,$AB324,)))+$K325-$O325-$P325-$AS325&lt;OP!$C$142,0,$AS325)</f>
        <v>0</v>
      </c>
      <c r="V325" s="9"/>
      <c r="W325" s="19">
        <f ca="1">MAX(SUM($K$4:K325),0)</f>
        <v>2000000</v>
      </c>
      <c r="X325" s="19"/>
      <c r="Y325" s="19">
        <f t="shared" ca="1" si="188"/>
        <v>1920000</v>
      </c>
      <c r="Z325" s="2">
        <f ca="1">IF(MIN($Z$4:Z324)=0,0,MAX(0,($Z324+$K325-$O325-$P325)*IF(AND(F325="F",$D$3&lt;&gt;$G$3),((1+(-J325))^(H325/MIN(G325,365))),((1+(-J325))^(1/12)))-$U325))</f>
        <v>484787.37800885679</v>
      </c>
      <c r="AA325" s="2">
        <f ca="1">IF(MIN($AA$4:AA324)=0,0,MAX(0,($AA324+$K325-$O325-$P325)*IF(AND(F325="F",$D$3&lt;&gt;$G$3),((1+$AA$1)^(H325/MIN(G325,365))),((1+$AA$1)^(1/12)))-$U325))</f>
        <v>1920000</v>
      </c>
      <c r="AB325" s="2">
        <f ca="1">IF(MIN($AB$4:AB324)=0,0,MAX(0,($AB324+$K325-$O325-$P325)*IF(AND(F325="F",$D$3&lt;&gt;$G$3),((1+(J325))^(H325/MIN(G325,365))),((1+(J325))^(1/12)))-$U325))</f>
        <v>7110182.5926262345</v>
      </c>
      <c r="AC325" s="5"/>
      <c r="AD325" s="5"/>
      <c r="AE325" s="5"/>
      <c r="AF325" s="282">
        <f t="shared" ref="AF325:AF388" ca="1" si="206">ROUND(Z325*(1-$Q325),$AF$1)</f>
        <v>484787</v>
      </c>
      <c r="AG325" s="282">
        <f t="shared" ref="AG325:AG388" ca="1" si="207">ROUND(AA325*(1-$Q325),$AF$1)</f>
        <v>1920000</v>
      </c>
      <c r="AH325" s="282">
        <f t="shared" ref="AH325:AH388" ca="1" si="208">ROUND(AB325*(1-$Q325),$AF$1)</f>
        <v>7110183</v>
      </c>
      <c r="AI325" s="23" t="str">
        <f t="shared" ca="1" si="189"/>
        <v>27-11</v>
      </c>
      <c r="AJ325" s="282">
        <f ca="1">IF(E325&gt;111,,IF(AND(OP!$C$99=1,T325="F"),Z325,IF(AND(OP!$C$99=2,COUNTIF($T$4:T325,"F")=1),OP!$C$97+IF(F325="F",OP!$C$98,0),"")))</f>
        <v>54527</v>
      </c>
      <c r="AK325" s="282">
        <f ca="1">IF(E325&gt;111,,IF(AND(OP!$D$99=1,T325="F"),AA325,IF(AND(OP!$D$99=2,COUNTIF($T$4:T325,"F")=1),OP!$D$97+IF(F325="F",OP!$D$98,0),"")))</f>
        <v>74177</v>
      </c>
      <c r="AL325" s="282">
        <f ca="1">IF(E325&gt;111,,IF(AND(OP!$E$99=1,T325="F"),AB325,IF(AND(OP!$E$99=2,COUNTIF($T$4:T325,"F")=1),OP!$E$97+IF(F325="F",OP!$E$98,0),"")))</f>
        <v>99404</v>
      </c>
      <c r="AM325" s="1">
        <f t="shared" ca="1" si="198"/>
        <v>11</v>
      </c>
      <c r="AN325" s="1" t="str">
        <f ca="1">IF(OR(VLOOKUP($A325,MP,5,0)="季繳",VLOOKUP($A325,MP,5,0)="月繳"),1,"")</f>
        <v/>
      </c>
      <c r="AO325" s="1">
        <f t="shared" ref="AO325:AO388" ca="1" si="209">IF(ISNA(VLOOKUP(A325,MP,2,0)),,IF(C325=$C$3,ROUND(VLOOKUP(A325,MP,4,0),0),0)+IF(AN325=1,ROUND(VLOOKUP(A325,MP,6,0),0),0))</f>
        <v>0</v>
      </c>
      <c r="AP325" s="1" t="str">
        <f ca="1">IF(AND(A325&lt;=OP!$C$120,COUNTIF(PAY,C325)=1),1,"")</f>
        <v/>
      </c>
      <c r="AR325" s="301">
        <f ca="1">IF(繳費報酬率資料!$A$1=1,$AY325+$AZ325,$BF325+$BG325)</f>
        <v>0</v>
      </c>
      <c r="AS325" s="1">
        <f ca="1">IF(C325&lt;&gt;IF($C$3=1,12,$C$3-1),0,IF(繳費報酬率資料!$A$1&lt;&gt;1,VLOOKUP($A325,MP,8,0),IF(AND($A325&gt;=OP!$C$79,$A325&lt;=OP!$C$80),OP!$C$78,)))</f>
        <v>0</v>
      </c>
      <c r="AT325" s="298">
        <f t="shared" ref="AT325:AT388" ca="1" si="210">AU325+AV325</f>
        <v>0</v>
      </c>
      <c r="AU325" s="298">
        <f ca="1">IF(AND(A325&lt;=OP!$C$120,COUNTIF(PAY,C325)=1),OP!$C$123,0)</f>
        <v>0</v>
      </c>
      <c r="AV325" s="298">
        <f ca="1">IF(AND(A325&gt;=OP!$C$132,A325&lt;=OP!$C$133,$C$3=C325),OP!$C$135,0)</f>
        <v>0</v>
      </c>
      <c r="AW325" s="180">
        <f t="shared" ref="AW325:AW388" ca="1" si="211">HLOOKUP(IF($AU325&lt;$AY$1,1,IF(AND($AU325&gt;=$AY$1,$AU325&lt;$AZ$1),2,IF(AND($AU325&gt;=$AZ$1,$AU325&lt;$BA$1),3,IF(AND($AU325&gt;=$BA$1),4,1)))),PR,2,0)</f>
        <v>0.05</v>
      </c>
      <c r="AX325" s="180">
        <f t="shared" ref="AX325:AX388" ca="1" si="212">HLOOKUP(IF($AV325&lt;$AY$1,1,IF(AND($AV325&gt;=$AY$1,$AV325&lt;$AZ$1),2,IF(AND($AV325&gt;=$AZ$1,$AV325&lt;$BA$1),3,IF(AND($AV325&gt;=$BA$1),4,1)))),PR,2,0)</f>
        <v>0.05</v>
      </c>
      <c r="AY325" s="286">
        <f t="shared" ref="AY325:AY388" ca="1" si="213">ROUND(AU325*AW325,0)</f>
        <v>0</v>
      </c>
      <c r="AZ325" s="286">
        <f t="shared" ref="AZ325:AZ388" ca="1" si="214">ROUND(AV325*AX325,0)</f>
        <v>0</v>
      </c>
      <c r="BA325" s="286">
        <f t="shared" ref="BA325:BA388" ca="1" si="215">BB325+BC325</f>
        <v>0</v>
      </c>
      <c r="BB325" s="286">
        <f t="shared" ref="BB325:BB388" ca="1" si="216">IF(ISNA(VLOOKUP(A325,MP,2,0)),,IF(C325=$C$3,ROUND(VLOOKUP(A325,MP,6,0),0),0))</f>
        <v>0</v>
      </c>
      <c r="BC325" s="286">
        <f t="shared" ref="BC325:BC388" ca="1" si="217">IF(ISNA(VLOOKUP(A325,MP,4,0)),,IF(AND(C325=$C$3,AN325=1),ROUND(VLOOKUP(A325,MP,4,0),0),0))</f>
        <v>0</v>
      </c>
      <c r="BD325" s="180">
        <f t="shared" ref="BD325:BD388" ca="1" si="218">HLOOKUP(IF($BB325&lt;$AY$1,1,IF(AND($BB325&gt;=$AY$1,$BB325&lt;$AZ$1),2,IF(AND($BB325&gt;=$AZ$1,$BB325&lt;$BA$1),3,IF(AND($BB325&gt;=$BA$1),4,1)))),PR,2,0)</f>
        <v>0.05</v>
      </c>
      <c r="BE325" s="180">
        <f t="shared" ref="BE325:BE388" ca="1" si="219">HLOOKUP(IF($BC325&lt;$AY$1,1,IF(AND($BC325&gt;=$AY$1,$BC325&lt;$AZ$1),2,IF(AND($BC325&gt;=$AZ$1,$BC325&lt;$BA$1),3,IF(AND($BC325&gt;=$BA$1),4,1)))),PR,2,0)</f>
        <v>0.05</v>
      </c>
      <c r="BF325" s="286">
        <f t="shared" ref="BF325:BF388" ca="1" si="220">ROUND(BB325*BD325,0)</f>
        <v>0</v>
      </c>
      <c r="BG325" s="286">
        <f t="shared" ref="BG325:BG388" ca="1" si="221">ROUND(BC325*BE325,0)</f>
        <v>0</v>
      </c>
    </row>
    <row r="326" spans="1:59">
      <c r="A326" s="1">
        <f t="shared" ca="1" si="201"/>
        <v>27</v>
      </c>
      <c r="B326" s="1">
        <f t="shared" ca="1" si="194"/>
        <v>133</v>
      </c>
      <c r="C326" s="1">
        <f t="shared" ca="1" si="195"/>
        <v>4</v>
      </c>
      <c r="D326" s="1">
        <f ca="1">MIN($D$3,VLOOKUP(C326,OP!$S$30:$T$41,2))</f>
        <v>2</v>
      </c>
      <c r="E326" s="1">
        <f t="shared" ca="1" si="196"/>
        <v>81</v>
      </c>
      <c r="F326" s="11" t="str">
        <f t="shared" ca="1" si="202"/>
        <v/>
      </c>
      <c r="G326" s="8">
        <f t="shared" ca="1" si="199"/>
        <v>366</v>
      </c>
      <c r="H326" s="8">
        <f t="shared" ca="1" si="203"/>
        <v>30</v>
      </c>
      <c r="I326" s="8" t="str">
        <f t="shared" ca="1" si="200"/>
        <v>274</v>
      </c>
      <c r="J326" s="13">
        <f>IF(繳費報酬率資料!$A$1=1,VALUE(OP!$C$121),VLOOKUP(A326,MP,2,0))</f>
        <v>0.05</v>
      </c>
      <c r="K326" s="14">
        <f ca="1">IF(SUM($K$4:K325,IF(繳費報酬率資料!$A$1=1,$AU326+$AV326,$BB326+$BC326))&gt;OP!$L$58,0,IF(繳費報酬率資料!$A$1=1,$AU326+$AV326,$BB326+$BC326))</f>
        <v>0</v>
      </c>
      <c r="L326" s="2"/>
      <c r="M326" s="2"/>
      <c r="N326" s="2"/>
      <c r="O326" s="261">
        <f t="shared" ca="1" si="204"/>
        <v>0</v>
      </c>
      <c r="P326" s="261">
        <f t="shared" ref="P326:P389" ca="1" si="222">IF(MAX(Z325:AB325)=0,0,P325)</f>
        <v>0</v>
      </c>
      <c r="Q326" s="3">
        <f ca="1">IF(A326&gt;MAX(OP!$R$17:$R$26),0,VLOOKUP(A326,fees,3,FALSE))</f>
        <v>0</v>
      </c>
      <c r="R326" s="200" t="str">
        <f t="shared" ca="1" si="205"/>
        <v/>
      </c>
      <c r="S326" s="9" t="str">
        <f ca="1">IF(COUNTIF(($T$4:T325),"F")&gt;=1,"",IF(OR(C327&lt;&gt;$C$3,E326=""),"",A326))</f>
        <v/>
      </c>
      <c r="T326" s="20" t="str">
        <f t="shared" ca="1" si="197"/>
        <v/>
      </c>
      <c r="U326" s="2">
        <f ca="1">IF(IF(OP!$C$83=1,$Z325,IF(OP!$C$83=2,$AA325,IF(OP!$C$83=3,$AB325,)))+$K326-$O326-$P326-$AS326&lt;OP!$C$142,0,$AS326)</f>
        <v>0</v>
      </c>
      <c r="V326" s="9"/>
      <c r="W326" s="19">
        <f ca="1">MAX(SUM($K$4:K326),0)</f>
        <v>2000000</v>
      </c>
      <c r="X326" s="19"/>
      <c r="Y326" s="19">
        <f t="shared" ref="Y326:Y389" ca="1" si="223">Y325+K326-O326</f>
        <v>1920000</v>
      </c>
      <c r="Z326" s="2">
        <f ca="1">IF(MIN($Z$4:Z325)=0,0,MAX(0,($Z325+$K326-$O326-$P326)*IF(AND(F326="F",$D$3&lt;&gt;$G$3),((1+(-J326))^(H326/MIN(G326,365))),((1+(-J326))^(1/12)))-$U326))</f>
        <v>482719.60530231125</v>
      </c>
      <c r="AA326" s="2">
        <f ca="1">IF(MIN($AA$4:AA325)=0,0,MAX(0,($AA325+$K326-$O326-$P326)*IF(AND(F326="F",$D$3&lt;&gt;$G$3),((1+$AA$1)^(H326/MIN(G326,365))),((1+$AA$1)^(1/12)))-$U326))</f>
        <v>1920000</v>
      </c>
      <c r="AB326" s="2">
        <f ca="1">IF(MIN($AB$4:AB325)=0,0,MAX(0,($AB325+$K326-$O326-$P326)*IF(AND(F326="F",$D$3&lt;&gt;$G$3),((1+(J326))^(H326/MIN(G326,365))),((1+(J326))^(1/12)))-$U326))</f>
        <v>7139150.3566329358</v>
      </c>
      <c r="AC326" s="5"/>
      <c r="AD326" s="5"/>
      <c r="AE326" s="5"/>
      <c r="AF326" s="282">
        <f t="shared" ca="1" si="206"/>
        <v>482720</v>
      </c>
      <c r="AG326" s="282">
        <f t="shared" ca="1" si="207"/>
        <v>1920000</v>
      </c>
      <c r="AH326" s="282">
        <f t="shared" ca="1" si="208"/>
        <v>7139150</v>
      </c>
      <c r="AI326" s="23" t="str">
        <f t="shared" ca="1" si="189"/>
        <v>27-12</v>
      </c>
      <c r="AJ326" s="282">
        <f ca="1">IF(E326&gt;111,,IF(AND(OP!$C$99=1,T326="F"),Z326,IF(AND(OP!$C$99=2,COUNTIF($T$4:T326,"F")=1),OP!$C$97+IF(F326="F",OP!$C$98,0),"")))</f>
        <v>54527</v>
      </c>
      <c r="AK326" s="282">
        <f ca="1">IF(E326&gt;111,,IF(AND(OP!$D$99=1,T326="F"),AA326,IF(AND(OP!$D$99=2,COUNTIF($T$4:T326,"F")=1),OP!$D$97+IF(F326="F",OP!$D$98,0),"")))</f>
        <v>74177</v>
      </c>
      <c r="AL326" s="282">
        <f ca="1">IF(E326&gt;111,,IF(AND(OP!$E$99=1,T326="F"),AB326,IF(AND(OP!$E$99=2,COUNTIF($T$4:T326,"F")=1),OP!$E$97+IF(F326="F",OP!$E$98,0),"")))</f>
        <v>99404</v>
      </c>
      <c r="AM326" s="1">
        <f t="shared" ca="1" si="198"/>
        <v>12</v>
      </c>
      <c r="AN326" s="1" t="str">
        <f ca="1">IF(OR(VLOOKUP($A326,MP,5,0)="月繳"),1,"")</f>
        <v/>
      </c>
      <c r="AO326" s="1">
        <f t="shared" ca="1" si="209"/>
        <v>0</v>
      </c>
      <c r="AP326" s="1" t="str">
        <f ca="1">IF(AND(A326&lt;=OP!$C$120,COUNTIF(PAY,C326)=1),1,"")</f>
        <v/>
      </c>
      <c r="AR326" s="301">
        <f ca="1">IF(繳費報酬率資料!$A$1=1,$AY326+$AZ326,$BF326+$BG326)</f>
        <v>0</v>
      </c>
      <c r="AS326" s="1">
        <f ca="1">IF(C326&lt;&gt;IF($C$3=1,12,$C$3-1),0,IF(繳費報酬率資料!$A$1&lt;&gt;1,VLOOKUP($A326,MP,8,0),IF(AND($A326&gt;=OP!$C$79,$A326&lt;=OP!$C$80),OP!$C$78,)))</f>
        <v>0</v>
      </c>
      <c r="AT326" s="298">
        <f t="shared" ca="1" si="210"/>
        <v>0</v>
      </c>
      <c r="AU326" s="298">
        <f ca="1">IF(AND(A326&lt;=OP!$C$120,COUNTIF(PAY,C326)=1),OP!$C$123,0)</f>
        <v>0</v>
      </c>
      <c r="AV326" s="298">
        <f ca="1">IF(AND(A326&gt;=OP!$C$132,A326&lt;=OP!$C$133,$C$3=C326),OP!$C$135,0)</f>
        <v>0</v>
      </c>
      <c r="AW326" s="180">
        <f t="shared" ca="1" si="211"/>
        <v>0.05</v>
      </c>
      <c r="AX326" s="180">
        <f t="shared" ca="1" si="212"/>
        <v>0.05</v>
      </c>
      <c r="AY326" s="286">
        <f t="shared" ca="1" si="213"/>
        <v>0</v>
      </c>
      <c r="AZ326" s="286">
        <f t="shared" ca="1" si="214"/>
        <v>0</v>
      </c>
      <c r="BA326" s="286">
        <f t="shared" ca="1" si="215"/>
        <v>0</v>
      </c>
      <c r="BB326" s="286">
        <f t="shared" ca="1" si="216"/>
        <v>0</v>
      </c>
      <c r="BC326" s="286">
        <f t="shared" ca="1" si="217"/>
        <v>0</v>
      </c>
      <c r="BD326" s="180">
        <f t="shared" ca="1" si="218"/>
        <v>0.05</v>
      </c>
      <c r="BE326" s="180">
        <f t="shared" ca="1" si="219"/>
        <v>0.05</v>
      </c>
      <c r="BF326" s="286">
        <f t="shared" ca="1" si="220"/>
        <v>0</v>
      </c>
      <c r="BG326" s="286">
        <f t="shared" ca="1" si="221"/>
        <v>0</v>
      </c>
    </row>
    <row r="327" spans="1:59">
      <c r="A327" s="1">
        <f t="shared" ca="1" si="201"/>
        <v>27</v>
      </c>
      <c r="B327" s="1">
        <f t="shared" ca="1" si="194"/>
        <v>133</v>
      </c>
      <c r="C327" s="1">
        <f t="shared" ca="1" si="195"/>
        <v>5</v>
      </c>
      <c r="D327" s="1">
        <f ca="1">MIN($D$3,VLOOKUP(C327,OP!$S$30:$T$41,2))</f>
        <v>2</v>
      </c>
      <c r="E327" s="1">
        <f t="shared" ca="1" si="196"/>
        <v>81</v>
      </c>
      <c r="F327" s="11" t="str">
        <f t="shared" ca="1" si="202"/>
        <v/>
      </c>
      <c r="G327" s="8">
        <f t="shared" ca="1" si="199"/>
        <v>366</v>
      </c>
      <c r="H327" s="8">
        <f t="shared" ca="1" si="203"/>
        <v>31</v>
      </c>
      <c r="I327" s="8" t="str">
        <f t="shared" ca="1" si="200"/>
        <v>275</v>
      </c>
      <c r="J327" s="13">
        <f>IF(繳費報酬率資料!$A$1=1,VALUE(OP!$C$121),VLOOKUP(A327,MP,2,0))</f>
        <v>0.05</v>
      </c>
      <c r="K327" s="14">
        <f ca="1">IF(SUM($K$4:K326,IF(繳費報酬率資料!$A$1=1,$AU327+$AV327,$BB327+$BC327))&gt;OP!$L$58,0,IF(繳費報酬率資料!$A$1=1,$AU327+$AV327,$BB327+$BC327))</f>
        <v>0</v>
      </c>
      <c r="L327" s="2">
        <f ca="1">ROUND(IF(OP!$C$78&lt;(IF(OR($T327="F",$E327&gt;=111),0,Z326+$K327-$O327+IF($C$1=1,OP!$C$78,IF($C328=$C$3,SUM(AC316:AC327,0)))))*5%,0,(OP!$C$78-((IF(OR($T327="F",$E327&gt;=111),0,Z326+$K327-$O327+IF($C$1=1,AC327,IF($C328=$C$3,SUM(AC316:AC327,0)))))*5%))*$Q327),0)</f>
        <v>0</v>
      </c>
      <c r="M327" s="2">
        <f ca="1">ROUND(IF(OP!$C$78&lt;(IF(OR($T327="F",$E327&gt;=111),0,AA326+$K327-$O327+IF($C$1=1,AD327,IF($C328=$C$3,SUM(AD316:AD327,0)))))*5%,0,(OP!$C$78-((IF(OR($T327="F",$E327&gt;=111),0,AA326+$K327-$O327+IF($C$1=1,AD327,IF($C328=$C$3,SUM(AD316:AD327,0)))))*5%))*$Q327),0)</f>
        <v>0</v>
      </c>
      <c r="N327" s="2">
        <f ca="1">ROUND(IF(OP!$C$78&lt;(IF(OR($T327="F",$E327&gt;=111),0,AB326+$K327-$O327+IF($C$1=1,AE327,IF($C328=$C$3,SUM(AE316:AE327,0)))))*5%,0,(OP!$C$78-((IF(OR($T327="F",$E327&gt;=111),0,AB326+$K327-$O327+IF($C$1=1,AE327,IF($C328=$C$3,SUM(AE316:AE327,0)))))*5%))*$Q327),0)</f>
        <v>0</v>
      </c>
      <c r="O327" s="261">
        <f t="shared" ca="1" si="204"/>
        <v>0</v>
      </c>
      <c r="P327" s="261">
        <f t="shared" ca="1" si="222"/>
        <v>0</v>
      </c>
      <c r="Q327" s="3">
        <f ca="1">IF(A327&gt;MAX(OP!$R$17:$R$26),0,VLOOKUP(A327,fees,3,FALSE))</f>
        <v>0</v>
      </c>
      <c r="R327" s="200">
        <f t="shared" ca="1" si="205"/>
        <v>27</v>
      </c>
      <c r="S327" s="9" t="str">
        <f ca="1">IF(COUNTIF(($T$4:T326),"F")&gt;=1,"",IF(OR(C328&lt;&gt;$C$3,E327=""),"",A327))</f>
        <v/>
      </c>
      <c r="T327" s="20" t="str">
        <f t="shared" ca="1" si="197"/>
        <v/>
      </c>
      <c r="U327" s="2">
        <f ca="1">IF(IF(OP!$C$83=1,$Z326,IF(OP!$C$83=2,$AA326,IF(OP!$C$83=3,$AB326,)))+$K327-$O327-$P327-$AS327&lt;OP!$C$142,0,$AS327)</f>
        <v>0</v>
      </c>
      <c r="V327" s="19">
        <f ca="1">SUM(K316:K327)</f>
        <v>0</v>
      </c>
      <c r="W327" s="19">
        <f ca="1">MAX(SUM($K$4:K327),0)</f>
        <v>2000000</v>
      </c>
      <c r="X327" s="19">
        <f ca="1">SUM(O316:P327)</f>
        <v>0</v>
      </c>
      <c r="Y327" s="19">
        <f t="shared" ca="1" si="223"/>
        <v>1920000</v>
      </c>
      <c r="Z327" s="2">
        <f ca="1">IF(MIN($Z$4:Z326)=0,0,MAX(0,($Z326+$K327-$O327-$P327)*IF(AND(F327="F",$D$3&lt;&gt;$G$3),((1+(-J327))^(H327/MIN(G327,365))),((1+(-J327))^(1/12)))-$U327))</f>
        <v>480660.65230551863</v>
      </c>
      <c r="AA327" s="2">
        <f ca="1">IF(MIN($AA$4:AA326)=0,0,MAX(0,($AA326+$K327-$O327-$P327)*IF(AND(F327="F",$D$3&lt;&gt;$G$3),((1+$AA$1)^(H327/MIN(G327,365))),((1+$AA$1)^(1/12)))-$U327))</f>
        <v>1920000</v>
      </c>
      <c r="AB327" s="2">
        <f ca="1">IF(MIN($AB$4:AB326)=0,0,MAX(0,($AB326+$K327-$O327-$P327)*IF(AND(F327="F",$D$3&lt;&gt;$G$3),((1+(J327))^(H327/MIN(G327,365))),((1+(J327))^(1/12)))-$U327))</f>
        <v>7168236.1388959354</v>
      </c>
      <c r="AC327" s="5"/>
      <c r="AD327" s="5"/>
      <c r="AE327" s="5"/>
      <c r="AF327" s="282">
        <f t="shared" ca="1" si="206"/>
        <v>480661</v>
      </c>
      <c r="AG327" s="282">
        <f t="shared" ca="1" si="207"/>
        <v>1920000</v>
      </c>
      <c r="AH327" s="282">
        <f t="shared" ca="1" si="208"/>
        <v>7168236</v>
      </c>
      <c r="AI327" s="23" t="str">
        <f t="shared" ca="1" si="189"/>
        <v>28-1</v>
      </c>
      <c r="AJ327" s="282">
        <f ca="1">IF(E327&gt;111,,IF(AND(OP!$C$99=1,T327="F"),Z327,IF(AND(OP!$C$99=2,COUNTIF($T$4:T327,"F")=1),OP!$C$97+IF(F327="F",OP!$C$98,0),"")))</f>
        <v>54527</v>
      </c>
      <c r="AK327" s="282">
        <f ca="1">IF(E327&gt;111,,IF(AND(OP!$D$99=1,T327="F"),AA327,IF(AND(OP!$D$99=2,COUNTIF($T$4:T327,"F")=1),OP!$D$97+IF(F327="F",OP!$D$98,0),"")))</f>
        <v>74177</v>
      </c>
      <c r="AL327" s="282">
        <f ca="1">IF(E327&gt;111,,IF(AND(OP!$E$99=1,T327="F"),AB327,IF(AND(OP!$E$99=2,COUNTIF($T$4:T327,"F")=1),OP!$E$97+IF(F327="F",OP!$E$98,0),"")))</f>
        <v>99404</v>
      </c>
      <c r="AM327" s="1">
        <f t="shared" ca="1" si="198"/>
        <v>1</v>
      </c>
      <c r="AN327" s="1" t="str">
        <f ca="1">IF(OR(VLOOKUP($A327,MP,5,0)="月繳"),1,"")</f>
        <v/>
      </c>
      <c r="AO327" s="1">
        <f t="shared" ca="1" si="209"/>
        <v>0</v>
      </c>
      <c r="AP327" s="1" t="str">
        <f ca="1">IF(AND(A327&lt;=OP!$C$120,COUNTIF(PAY,C327)=1),1,"")</f>
        <v/>
      </c>
      <c r="AR327" s="301">
        <f ca="1">IF(繳費報酬率資料!$A$1=1,$AY327+$AZ327,$BF327+$BG327)</f>
        <v>0</v>
      </c>
      <c r="AS327" s="1">
        <f ca="1">IF(C327&lt;&gt;IF($C$3=1,12,$C$3-1),0,IF(繳費報酬率資料!$A$1&lt;&gt;1,VLOOKUP($A327,MP,8,0),IF(AND($A327&gt;=OP!$C$79,$A327&lt;=OP!$C$80),OP!$C$78,)))</f>
        <v>0</v>
      </c>
      <c r="AT327" s="298">
        <f t="shared" ca="1" si="210"/>
        <v>0</v>
      </c>
      <c r="AU327" s="298">
        <f ca="1">IF(AND(A327&lt;=OP!$C$120,COUNTIF(PAY,C327)=1),OP!$C$123,0)</f>
        <v>0</v>
      </c>
      <c r="AV327" s="298">
        <f ca="1">IF(AND(A327&gt;=OP!$C$132,A327&lt;=OP!$C$133,$C$3=C327),OP!$C$135,0)</f>
        <v>0</v>
      </c>
      <c r="AW327" s="180">
        <f t="shared" ca="1" si="211"/>
        <v>0.05</v>
      </c>
      <c r="AX327" s="180">
        <f t="shared" ca="1" si="212"/>
        <v>0.05</v>
      </c>
      <c r="AY327" s="286">
        <f t="shared" ca="1" si="213"/>
        <v>0</v>
      </c>
      <c r="AZ327" s="286">
        <f t="shared" ca="1" si="214"/>
        <v>0</v>
      </c>
      <c r="BA327" s="286">
        <f t="shared" ca="1" si="215"/>
        <v>0</v>
      </c>
      <c r="BB327" s="286">
        <f t="shared" ca="1" si="216"/>
        <v>0</v>
      </c>
      <c r="BC327" s="286">
        <f t="shared" ca="1" si="217"/>
        <v>0</v>
      </c>
      <c r="BD327" s="180">
        <f t="shared" ca="1" si="218"/>
        <v>0.05</v>
      </c>
      <c r="BE327" s="180">
        <f t="shared" ca="1" si="219"/>
        <v>0.05</v>
      </c>
      <c r="BF327" s="286">
        <f t="shared" ca="1" si="220"/>
        <v>0</v>
      </c>
      <c r="BG327" s="286">
        <f t="shared" ca="1" si="221"/>
        <v>0</v>
      </c>
    </row>
    <row r="328" spans="1:59">
      <c r="A328" s="1">
        <f t="shared" ca="1" si="201"/>
        <v>28</v>
      </c>
      <c r="B328" s="1">
        <f t="shared" ca="1" si="194"/>
        <v>133</v>
      </c>
      <c r="C328" s="1">
        <f t="shared" ca="1" si="195"/>
        <v>6</v>
      </c>
      <c r="D328" s="1">
        <f ca="1">MIN($D$3,VLOOKUP(C328,OP!$S$30:$T$41,2))</f>
        <v>2</v>
      </c>
      <c r="E328" s="1">
        <f t="shared" ca="1" si="196"/>
        <v>82</v>
      </c>
      <c r="F328" s="11" t="str">
        <f t="shared" ca="1" si="202"/>
        <v/>
      </c>
      <c r="G328" s="6">
        <f ca="1">DATEDIF(DATE(B328+1911,C328,D328),DATE(B340+1911,C340,D340),"d")</f>
        <v>365</v>
      </c>
      <c r="H328" s="8">
        <f t="shared" ca="1" si="203"/>
        <v>30</v>
      </c>
      <c r="I328" s="8" t="str">
        <f t="shared" ca="1" si="200"/>
        <v>286</v>
      </c>
      <c r="J328" s="13">
        <f>IF(繳費報酬率資料!$A$1=1,VALUE(OP!$C$121),VLOOKUP(A328,MP,2,0))</f>
        <v>0.05</v>
      </c>
      <c r="K328" s="14">
        <f ca="1">IF(SUM($K$4:K327,IF(繳費報酬率資料!$A$1=1,$AU328+$AV328,$BB328+$BC328))&gt;OP!$L$58,0,IF(繳費報酬率資料!$A$1=1,$AU328+$AV328,$BB328+$BC328))</f>
        <v>0</v>
      </c>
      <c r="L328" s="2"/>
      <c r="M328" s="2"/>
      <c r="N328" s="2"/>
      <c r="O328" s="261">
        <f t="shared" ca="1" si="204"/>
        <v>0</v>
      </c>
      <c r="P328" s="261">
        <f t="shared" ca="1" si="222"/>
        <v>0</v>
      </c>
      <c r="Q328" s="3">
        <f ca="1">IF(A328&gt;MAX(OP!$R$17:$R$26),0,VLOOKUP(A328,fees,3,FALSE))</f>
        <v>0</v>
      </c>
      <c r="R328" s="200" t="str">
        <f t="shared" ca="1" si="205"/>
        <v/>
      </c>
      <c r="S328" s="9" t="str">
        <f ca="1">IF(COUNTIF(($T$4:T327),"F")&gt;=1,"",IF(OR(C329&lt;&gt;$C$3,E328=""),"",A328))</f>
        <v/>
      </c>
      <c r="T328" s="20" t="str">
        <f t="shared" ca="1" si="197"/>
        <v/>
      </c>
      <c r="U328" s="2">
        <f ca="1">IF(IF(OP!$C$83=1,$Z327,IF(OP!$C$83=2,$AA327,IF(OP!$C$83=3,$AB327,)))+$K328-$O328-$P328-$AS328&lt;OP!$C$142,0,$AS328)</f>
        <v>0</v>
      </c>
      <c r="V328" s="9"/>
      <c r="W328" s="19">
        <f ca="1">MAX(SUM($K$4:K328),0)</f>
        <v>2000000</v>
      </c>
      <c r="X328" s="19"/>
      <c r="Y328" s="19">
        <f t="shared" ca="1" si="223"/>
        <v>1920000</v>
      </c>
      <c r="Z328" s="2">
        <f ca="1">IF(MIN($Z$4:Z327)=0,0,MAX(0,($Z327+$K328-$O328-$P328)*IF(AND(F328="F",$D$3&lt;&gt;$G$3),((1+(-J328))^(H328/MIN(G328,365))),((1+(-J328))^(1/12)))-$U328))</f>
        <v>478610.48139960534</v>
      </c>
      <c r="AA328" s="2">
        <f ca="1">IF(MIN($AA$4:AA327)=0,0,MAX(0,($AA327+$K328-$O328-$P328)*IF(AND(F328="F",$D$3&lt;&gt;$G$3),((1+$AA$1)^(H328/MIN(G328,365))),((1+$AA$1)^(1/12)))-$U328))</f>
        <v>1920000</v>
      </c>
      <c r="AB328" s="2">
        <f ca="1">IF(MIN($AB$4:AB327)=0,0,MAX(0,($AB327+$K328-$O328-$P328)*IF(AND(F328="F",$D$3&lt;&gt;$G$3),((1+(J328))^(H328/MIN(G328,365))),((1+(J328))^(1/12)))-$U328))</f>
        <v>7197440.4202362187</v>
      </c>
      <c r="AC328" s="21"/>
      <c r="AD328" s="21"/>
      <c r="AE328" s="21"/>
      <c r="AF328" s="282">
        <f t="shared" ca="1" si="206"/>
        <v>478610</v>
      </c>
      <c r="AG328" s="282">
        <f t="shared" ca="1" si="207"/>
        <v>1920000</v>
      </c>
      <c r="AH328" s="282">
        <f t="shared" ca="1" si="208"/>
        <v>7197440</v>
      </c>
      <c r="AI328" s="23" t="str">
        <f t="shared" ca="1" si="189"/>
        <v>28-2</v>
      </c>
      <c r="AJ328" s="281">
        <f ca="1">IF(E328&gt;111,,IF(AND(OP!$C$99=1,T328="F"),Z328,IF(AND(OP!$C$99=2,COUNTIF($T$4:T328,"F")=1),OP!$C$97+IF(F328="F",OP!$C$98,0),"")))</f>
        <v>54527</v>
      </c>
      <c r="AK328" s="281">
        <f ca="1">IF(E328&gt;111,,IF(AND(OP!$D$99=1,T328="F"),AA328,IF(AND(OP!$D$99=2,COUNTIF($T$4:T328,"F")=1),OP!$D$97+IF(F328="F",OP!$D$98,0),"")))</f>
        <v>74177</v>
      </c>
      <c r="AL328" s="281">
        <f ca="1">IF(E328&gt;111,,IF(AND(OP!$E$99=1,T328="F"),AB328,IF(AND(OP!$E$99=2,COUNTIF($T$4:T328,"F")=1),OP!$E$97+IF(F328="F",OP!$E$98,0),"")))</f>
        <v>99404</v>
      </c>
      <c r="AM328" s="1">
        <f t="shared" ca="1" si="198"/>
        <v>2</v>
      </c>
      <c r="AN328" s="1" t="e">
        <f ca="1">IF(OR(VLOOKUP($A328,MP,5,0)="年繳",VLOOKUP($A328,MP,5,0)="半年繳",VLOOKUP($A328,MP,5,0)="季繳",VLOOKUP($A328,MP,5,0)="月繳"),1,"")</f>
        <v>#N/A</v>
      </c>
      <c r="AO328" s="1">
        <f t="shared" ca="1" si="209"/>
        <v>0</v>
      </c>
      <c r="AP328" s="1" t="str">
        <f ca="1">IF(AND(A328&lt;=OP!$C$120,COUNTIF(PAY,C328)=1),1,"")</f>
        <v/>
      </c>
      <c r="AR328" s="301">
        <f ca="1">IF(繳費報酬率資料!$A$1=1,$AY328+$AZ328,$BF328+$BG328)</f>
        <v>0</v>
      </c>
      <c r="AS328" s="1">
        <f ca="1">IF(C328&lt;&gt;IF($C$3=1,12,$C$3-1),0,IF(繳費報酬率資料!$A$1&lt;&gt;1,VLOOKUP($A328,MP,8,0),IF(AND($A328&gt;=OP!$C$79,$A328&lt;=OP!$C$80),OP!$C$78,)))</f>
        <v>0</v>
      </c>
      <c r="AT328" s="298">
        <f t="shared" ca="1" si="210"/>
        <v>0</v>
      </c>
      <c r="AU328" s="298">
        <f ca="1">IF(AND(A328&lt;=OP!$C$120,COUNTIF(PAY,C328)=1),OP!$C$123,0)</f>
        <v>0</v>
      </c>
      <c r="AV328" s="298">
        <f ca="1">IF(AND(A328&gt;=OP!$C$132,A328&lt;=OP!$C$133,$C$3=C328),OP!$C$135,0)</f>
        <v>0</v>
      </c>
      <c r="AW328" s="180">
        <f t="shared" ca="1" si="211"/>
        <v>0.05</v>
      </c>
      <c r="AX328" s="180">
        <f t="shared" ca="1" si="212"/>
        <v>0.05</v>
      </c>
      <c r="AY328" s="286">
        <f t="shared" ca="1" si="213"/>
        <v>0</v>
      </c>
      <c r="AZ328" s="286">
        <f t="shared" ca="1" si="214"/>
        <v>0</v>
      </c>
      <c r="BA328" s="286">
        <f t="shared" ca="1" si="215"/>
        <v>0</v>
      </c>
      <c r="BB328" s="286">
        <f t="shared" ca="1" si="216"/>
        <v>0</v>
      </c>
      <c r="BC328" s="286">
        <f t="shared" ca="1" si="217"/>
        <v>0</v>
      </c>
      <c r="BD328" s="180">
        <f t="shared" ca="1" si="218"/>
        <v>0.05</v>
      </c>
      <c r="BE328" s="180">
        <f t="shared" ca="1" si="219"/>
        <v>0.05</v>
      </c>
      <c r="BF328" s="286">
        <f t="shared" ca="1" si="220"/>
        <v>0</v>
      </c>
      <c r="BG328" s="286">
        <f t="shared" ca="1" si="221"/>
        <v>0</v>
      </c>
    </row>
    <row r="329" spans="1:59">
      <c r="A329" s="1">
        <f t="shared" ca="1" si="201"/>
        <v>28</v>
      </c>
      <c r="B329" s="1">
        <f t="shared" ca="1" si="194"/>
        <v>133</v>
      </c>
      <c r="C329" s="1">
        <f t="shared" ca="1" si="195"/>
        <v>7</v>
      </c>
      <c r="D329" s="1">
        <f ca="1">MIN($D$3,VLOOKUP(C329,OP!$S$30:$T$41,2))</f>
        <v>2</v>
      </c>
      <c r="E329" s="1">
        <f t="shared" ca="1" si="196"/>
        <v>82</v>
      </c>
      <c r="F329" s="11" t="str">
        <f t="shared" ca="1" si="202"/>
        <v/>
      </c>
      <c r="G329" s="8">
        <f t="shared" ref="G329:G339" ca="1" si="224">G328</f>
        <v>365</v>
      </c>
      <c r="H329" s="8">
        <f t="shared" ca="1" si="203"/>
        <v>31</v>
      </c>
      <c r="I329" s="8" t="str">
        <f t="shared" ca="1" si="200"/>
        <v>287</v>
      </c>
      <c r="J329" s="13">
        <f>IF(繳費報酬率資料!$A$1=1,VALUE(OP!$C$121),VLOOKUP(A329,MP,2,0))</f>
        <v>0.05</v>
      </c>
      <c r="K329" s="14">
        <f ca="1">IF(SUM($K$4:K328,IF(繳費報酬率資料!$A$1=1,$AU329+$AV329,$BB329+$BC329))&gt;OP!$L$58,0,IF(繳費報酬率資料!$A$1=1,$AU329+$AV329,$BB329+$BC329))</f>
        <v>0</v>
      </c>
      <c r="L329" s="2"/>
      <c r="M329" s="2"/>
      <c r="N329" s="2"/>
      <c r="O329" s="261">
        <f t="shared" ca="1" si="204"/>
        <v>0</v>
      </c>
      <c r="P329" s="261">
        <f t="shared" ca="1" si="222"/>
        <v>0</v>
      </c>
      <c r="Q329" s="3">
        <f ca="1">IF(A329&gt;MAX(OP!$R$17:$R$26),0,VLOOKUP(A329,fees,3,FALSE))</f>
        <v>0</v>
      </c>
      <c r="R329" s="200" t="str">
        <f t="shared" ca="1" si="205"/>
        <v/>
      </c>
      <c r="S329" s="9" t="str">
        <f ca="1">IF(COUNTIF(($T$4:T328),"F")&gt;=1,"",IF(OR(C330&lt;&gt;$C$3,E329=""),"",A329))</f>
        <v/>
      </c>
      <c r="T329" s="20" t="str">
        <f t="shared" ca="1" si="197"/>
        <v/>
      </c>
      <c r="U329" s="2">
        <f ca="1">IF(IF(OP!$C$83=1,$Z328,IF(OP!$C$83=2,$AA328,IF(OP!$C$83=3,$AB328,)))+$K329-$O329-$P329-$AS329&lt;OP!$C$142,0,$AS329)</f>
        <v>0</v>
      </c>
      <c r="V329" s="9"/>
      <c r="W329" s="19">
        <f ca="1">MAX(SUM($K$4:K329),0)</f>
        <v>2000000</v>
      </c>
      <c r="X329" s="19"/>
      <c r="Y329" s="19">
        <f t="shared" ca="1" si="223"/>
        <v>1920000</v>
      </c>
      <c r="Z329" s="2">
        <f ca="1">IF(MIN($Z$4:Z328)=0,0,MAX(0,($Z328+$K329-$O329-$P329)*IF(AND(F329="F",$D$3&lt;&gt;$G$3),((1+(-J329))^(H329/MIN(G329,365))),((1+(-J329))^(1/12)))-$U329))</f>
        <v>476569.05512615427</v>
      </c>
      <c r="AA329" s="2">
        <f ca="1">IF(MIN($AA$4:AA328)=0,0,MAX(0,($AA328+$K329-$O329-$P329)*IF(AND(F329="F",$D$3&lt;&gt;$G$3),((1+$AA$1)^(H329/MIN(G329,365))),((1+$AA$1)^(1/12)))-$U329))</f>
        <v>1920000</v>
      </c>
      <c r="AB329" s="2">
        <f ca="1">IF(MIN($AB$4:AB328)=0,0,MAX(0,($AB328+$K329-$O329-$P329)*IF(AND(F329="F",$D$3&lt;&gt;$G$3),((1+(J329))^(H329/MIN(G329,365))),((1+(J329))^(1/12)))-$U329))</f>
        <v>7226763.6834336948</v>
      </c>
      <c r="AC329" s="5"/>
      <c r="AD329" s="5"/>
      <c r="AE329" s="5"/>
      <c r="AF329" s="282">
        <f t="shared" ca="1" si="206"/>
        <v>476569</v>
      </c>
      <c r="AG329" s="282">
        <f t="shared" ca="1" si="207"/>
        <v>1920000</v>
      </c>
      <c r="AH329" s="282">
        <f t="shared" ca="1" si="208"/>
        <v>7226764</v>
      </c>
      <c r="AI329" s="23" t="str">
        <f t="shared" ca="1" si="189"/>
        <v>28-3</v>
      </c>
      <c r="AJ329" s="282">
        <f ca="1">IF(E329&gt;111,,IF(AND(OP!$C$99=1,T329="F"),Z329,IF(AND(OP!$C$99=2,COUNTIF($T$4:T329,"F")=1),OP!$C$97+IF(F329="F",OP!$C$98,0),"")))</f>
        <v>54527</v>
      </c>
      <c r="AK329" s="282">
        <f ca="1">IF(E329&gt;111,,IF(AND(OP!$D$99=1,T329="F"),AA329,IF(AND(OP!$D$99=2,COUNTIF($T$4:T329,"F")=1),OP!$D$97+IF(F329="F",OP!$D$98,0),"")))</f>
        <v>74177</v>
      </c>
      <c r="AL329" s="282">
        <f ca="1">IF(E329&gt;111,,IF(AND(OP!$E$99=1,T329="F"),AB329,IF(AND(OP!$E$99=2,COUNTIF($T$4:T329,"F")=1),OP!$E$97+IF(F329="F",OP!$E$98,0),"")))</f>
        <v>99404</v>
      </c>
      <c r="AM329" s="1">
        <f t="shared" ca="1" si="198"/>
        <v>3</v>
      </c>
      <c r="AN329" s="1" t="e">
        <f ca="1">IF(OR(VLOOKUP($A329,MP,5,0)="月繳"),1,"")</f>
        <v>#N/A</v>
      </c>
      <c r="AO329" s="1">
        <f t="shared" ca="1" si="209"/>
        <v>0</v>
      </c>
      <c r="AP329" s="1" t="str">
        <f ca="1">IF(AND(A329&lt;=OP!$C$120,COUNTIF(PAY,C329)=1),1,"")</f>
        <v/>
      </c>
      <c r="AR329" s="301">
        <f ca="1">IF(繳費報酬率資料!$A$1=1,$AY329+$AZ329,$BF329+$BG329)</f>
        <v>0</v>
      </c>
      <c r="AS329" s="1">
        <f ca="1">IF(C329&lt;&gt;IF($C$3=1,12,$C$3-1),0,IF(繳費報酬率資料!$A$1&lt;&gt;1,VLOOKUP($A329,MP,8,0),IF(AND($A329&gt;=OP!$C$79,$A329&lt;=OP!$C$80),OP!$C$78,)))</f>
        <v>0</v>
      </c>
      <c r="AT329" s="298">
        <f t="shared" ca="1" si="210"/>
        <v>0</v>
      </c>
      <c r="AU329" s="298">
        <f ca="1">IF(AND(A329&lt;=OP!$C$120,COUNTIF(PAY,C329)=1),OP!$C$123,0)</f>
        <v>0</v>
      </c>
      <c r="AV329" s="298">
        <f ca="1">IF(AND(A329&gt;=OP!$C$132,A329&lt;=OP!$C$133,$C$3=C329),OP!$C$135,0)</f>
        <v>0</v>
      </c>
      <c r="AW329" s="180">
        <f t="shared" ca="1" si="211"/>
        <v>0.05</v>
      </c>
      <c r="AX329" s="180">
        <f t="shared" ca="1" si="212"/>
        <v>0.05</v>
      </c>
      <c r="AY329" s="286">
        <f t="shared" ca="1" si="213"/>
        <v>0</v>
      </c>
      <c r="AZ329" s="286">
        <f t="shared" ca="1" si="214"/>
        <v>0</v>
      </c>
      <c r="BA329" s="286">
        <f t="shared" ca="1" si="215"/>
        <v>0</v>
      </c>
      <c r="BB329" s="286">
        <f t="shared" ca="1" si="216"/>
        <v>0</v>
      </c>
      <c r="BC329" s="286">
        <f t="shared" ca="1" si="217"/>
        <v>0</v>
      </c>
      <c r="BD329" s="180">
        <f t="shared" ca="1" si="218"/>
        <v>0.05</v>
      </c>
      <c r="BE329" s="180">
        <f t="shared" ca="1" si="219"/>
        <v>0.05</v>
      </c>
      <c r="BF329" s="286">
        <f t="shared" ca="1" si="220"/>
        <v>0</v>
      </c>
      <c r="BG329" s="286">
        <f t="shared" ca="1" si="221"/>
        <v>0</v>
      </c>
    </row>
    <row r="330" spans="1:59">
      <c r="A330" s="1">
        <f t="shared" ca="1" si="201"/>
        <v>28</v>
      </c>
      <c r="B330" s="1">
        <f t="shared" ca="1" si="194"/>
        <v>133</v>
      </c>
      <c r="C330" s="1">
        <f t="shared" ca="1" si="195"/>
        <v>8</v>
      </c>
      <c r="D330" s="1">
        <f ca="1">MIN($D$3,VLOOKUP(C330,OP!$S$30:$T$41,2))</f>
        <v>2</v>
      </c>
      <c r="E330" s="1">
        <f t="shared" ca="1" si="196"/>
        <v>82</v>
      </c>
      <c r="F330" s="11" t="str">
        <f t="shared" ca="1" si="202"/>
        <v/>
      </c>
      <c r="G330" s="8">
        <f t="shared" ca="1" si="224"/>
        <v>365</v>
      </c>
      <c r="H330" s="8">
        <f t="shared" ca="1" si="203"/>
        <v>31</v>
      </c>
      <c r="I330" s="8" t="str">
        <f t="shared" ca="1" si="200"/>
        <v>288</v>
      </c>
      <c r="J330" s="13">
        <f>IF(繳費報酬率資料!$A$1=1,VALUE(OP!$C$121),VLOOKUP(A330,MP,2,0))</f>
        <v>0.05</v>
      </c>
      <c r="K330" s="14">
        <f ca="1">IF(SUM($K$4:K329,IF(繳費報酬率資料!$A$1=1,$AU330+$AV330,$BB330+$BC330))&gt;OP!$L$58,0,IF(繳費報酬率資料!$A$1=1,$AU330+$AV330,$BB330+$BC330))</f>
        <v>0</v>
      </c>
      <c r="L330" s="2"/>
      <c r="M330" s="2"/>
      <c r="N330" s="2"/>
      <c r="O330" s="261">
        <f t="shared" ca="1" si="204"/>
        <v>0</v>
      </c>
      <c r="P330" s="261">
        <f t="shared" ca="1" si="222"/>
        <v>0</v>
      </c>
      <c r="Q330" s="3">
        <f ca="1">IF(A330&gt;MAX(OP!$R$17:$R$26),0,VLOOKUP(A330,fees,3,FALSE))</f>
        <v>0</v>
      </c>
      <c r="R330" s="200" t="str">
        <f t="shared" ca="1" si="205"/>
        <v/>
      </c>
      <c r="S330" s="9" t="str">
        <f ca="1">IF(COUNTIF(($T$4:T329),"F")&gt;=1,"",IF(OR(C331&lt;&gt;$C$3,E330=""),"",A330))</f>
        <v/>
      </c>
      <c r="T330" s="20" t="str">
        <f t="shared" ca="1" si="197"/>
        <v/>
      </c>
      <c r="U330" s="2">
        <f ca="1">IF(IF(OP!$C$83=1,$Z329,IF(OP!$C$83=2,$AA329,IF(OP!$C$83=3,$AB329,)))+$K330-$O330-$P330-$AS330&lt;OP!$C$142,0,$AS330)</f>
        <v>0</v>
      </c>
      <c r="V330" s="9"/>
      <c r="W330" s="19">
        <f ca="1">MAX(SUM($K$4:K330),0)</f>
        <v>2000000</v>
      </c>
      <c r="X330" s="19"/>
      <c r="Y330" s="19">
        <f t="shared" ca="1" si="223"/>
        <v>1920000</v>
      </c>
      <c r="Z330" s="2">
        <f ca="1">IF(MIN($Z$4:Z329)=0,0,MAX(0,($Z329+$K330-$O330-$P330)*IF(AND(F330="F",$D$3&lt;&gt;$G$3),((1+(-J330))^(H330/MIN(G330,365))),((1+(-J330))^(1/12)))-$U330))</f>
        <v>474536.33618652035</v>
      </c>
      <c r="AA330" s="2">
        <f ca="1">IF(MIN($AA$4:AA329)=0,0,MAX(0,($AA329+$K330-$O330-$P330)*IF(AND(F330="F",$D$3&lt;&gt;$G$3),((1+$AA$1)^(H330/MIN(G330,365))),((1+$AA$1)^(1/12)))-$U330))</f>
        <v>1920000</v>
      </c>
      <c r="AB330" s="2">
        <f ca="1">IF(MIN($AB$4:AB329)=0,0,MAX(0,($AB329+$K330-$O330-$P330)*IF(AND(F330="F",$D$3&lt;&gt;$G$3),((1+(J330))^(H330/MIN(G330,365))),((1+(J330))^(1/12)))-$U330))</f>
        <v>7256206.4132351782</v>
      </c>
      <c r="AC330" s="5"/>
      <c r="AD330" s="5"/>
      <c r="AE330" s="5"/>
      <c r="AF330" s="282">
        <f t="shared" ca="1" si="206"/>
        <v>474536</v>
      </c>
      <c r="AG330" s="282">
        <f t="shared" ca="1" si="207"/>
        <v>1920000</v>
      </c>
      <c r="AH330" s="282">
        <f t="shared" ca="1" si="208"/>
        <v>7256206</v>
      </c>
      <c r="AI330" s="23" t="str">
        <f t="shared" ca="1" si="189"/>
        <v>28-4</v>
      </c>
      <c r="AJ330" s="282">
        <f ca="1">IF(E330&gt;111,,IF(AND(OP!$C$99=1,T330="F"),Z330,IF(AND(OP!$C$99=2,COUNTIF($T$4:T330,"F")=1),OP!$C$97+IF(F330="F",OP!$C$98,0),"")))</f>
        <v>54527</v>
      </c>
      <c r="AK330" s="282">
        <f ca="1">IF(E330&gt;111,,IF(AND(OP!$D$99=1,T330="F"),AA330,IF(AND(OP!$D$99=2,COUNTIF($T$4:T330,"F")=1),OP!$D$97+IF(F330="F",OP!$D$98,0),"")))</f>
        <v>74177</v>
      </c>
      <c r="AL330" s="282">
        <f ca="1">IF(E330&gt;111,,IF(AND(OP!$E$99=1,T330="F"),AB330,IF(AND(OP!$E$99=2,COUNTIF($T$4:T330,"F")=1),OP!$E$97+IF(F330="F",OP!$E$98,0),"")))</f>
        <v>99404</v>
      </c>
      <c r="AM330" s="1">
        <f t="shared" ca="1" si="198"/>
        <v>4</v>
      </c>
      <c r="AN330" s="1" t="e">
        <f ca="1">IF(OR(VLOOKUP($A330,MP,5,0)="月繳"),1,"")</f>
        <v>#N/A</v>
      </c>
      <c r="AO330" s="1">
        <f t="shared" ca="1" si="209"/>
        <v>0</v>
      </c>
      <c r="AP330" s="1" t="str">
        <f ca="1">IF(AND(A330&lt;=OP!$C$120,COUNTIF(PAY,C330)=1),1,"")</f>
        <v/>
      </c>
      <c r="AR330" s="301">
        <f ca="1">IF(繳費報酬率資料!$A$1=1,$AY330+$AZ330,$BF330+$BG330)</f>
        <v>0</v>
      </c>
      <c r="AS330" s="1">
        <f ca="1">IF(C330&lt;&gt;IF($C$3=1,12,$C$3-1),0,IF(繳費報酬率資料!$A$1&lt;&gt;1,VLOOKUP($A330,MP,8,0),IF(AND($A330&gt;=OP!$C$79,$A330&lt;=OP!$C$80),OP!$C$78,)))</f>
        <v>0</v>
      </c>
      <c r="AT330" s="298">
        <f t="shared" ca="1" si="210"/>
        <v>0</v>
      </c>
      <c r="AU330" s="298">
        <f ca="1">IF(AND(A330&lt;=OP!$C$120,COUNTIF(PAY,C330)=1),OP!$C$123,0)</f>
        <v>0</v>
      </c>
      <c r="AV330" s="298">
        <f ca="1">IF(AND(A330&gt;=OP!$C$132,A330&lt;=OP!$C$133,$C$3=C330),OP!$C$135,0)</f>
        <v>0</v>
      </c>
      <c r="AW330" s="180">
        <f t="shared" ca="1" si="211"/>
        <v>0.05</v>
      </c>
      <c r="AX330" s="180">
        <f t="shared" ca="1" si="212"/>
        <v>0.05</v>
      </c>
      <c r="AY330" s="286">
        <f t="shared" ca="1" si="213"/>
        <v>0</v>
      </c>
      <c r="AZ330" s="286">
        <f t="shared" ca="1" si="214"/>
        <v>0</v>
      </c>
      <c r="BA330" s="286">
        <f t="shared" ca="1" si="215"/>
        <v>0</v>
      </c>
      <c r="BB330" s="286">
        <f t="shared" ca="1" si="216"/>
        <v>0</v>
      </c>
      <c r="BC330" s="286">
        <f t="shared" ca="1" si="217"/>
        <v>0</v>
      </c>
      <c r="BD330" s="180">
        <f t="shared" ca="1" si="218"/>
        <v>0.05</v>
      </c>
      <c r="BE330" s="180">
        <f t="shared" ca="1" si="219"/>
        <v>0.05</v>
      </c>
      <c r="BF330" s="286">
        <f t="shared" ca="1" si="220"/>
        <v>0</v>
      </c>
      <c r="BG330" s="286">
        <f t="shared" ca="1" si="221"/>
        <v>0</v>
      </c>
    </row>
    <row r="331" spans="1:59">
      <c r="A331" s="1">
        <f t="shared" ca="1" si="201"/>
        <v>28</v>
      </c>
      <c r="B331" s="1">
        <f t="shared" ca="1" si="194"/>
        <v>133</v>
      </c>
      <c r="C331" s="1">
        <f t="shared" ca="1" si="195"/>
        <v>9</v>
      </c>
      <c r="D331" s="1">
        <f ca="1">MIN($D$3,VLOOKUP(C331,OP!$S$30:$T$41,2))</f>
        <v>2</v>
      </c>
      <c r="E331" s="1">
        <f t="shared" ca="1" si="196"/>
        <v>82</v>
      </c>
      <c r="F331" s="11" t="str">
        <f t="shared" ca="1" si="202"/>
        <v/>
      </c>
      <c r="G331" s="8">
        <f t="shared" ca="1" si="224"/>
        <v>365</v>
      </c>
      <c r="H331" s="8">
        <f t="shared" ca="1" si="203"/>
        <v>30</v>
      </c>
      <c r="I331" s="8" t="str">
        <f t="shared" ca="1" si="200"/>
        <v>289</v>
      </c>
      <c r="J331" s="13">
        <f>IF(繳費報酬率資料!$A$1=1,VALUE(OP!$C$121),VLOOKUP(A331,MP,2,0))</f>
        <v>0.05</v>
      </c>
      <c r="K331" s="14">
        <f ca="1">IF(SUM($K$4:K330,IF(繳費報酬率資料!$A$1=1,$AU331+$AV331,$BB331+$BC331))&gt;OP!$L$58,0,IF(繳費報酬率資料!$A$1=1,$AU331+$AV331,$BB331+$BC331))</f>
        <v>0</v>
      </c>
      <c r="L331" s="2"/>
      <c r="M331" s="2"/>
      <c r="N331" s="2"/>
      <c r="O331" s="261">
        <f t="shared" ca="1" si="204"/>
        <v>0</v>
      </c>
      <c r="P331" s="261">
        <f t="shared" ca="1" si="222"/>
        <v>0</v>
      </c>
      <c r="Q331" s="3">
        <f ca="1">IF(A331&gt;MAX(OP!$R$17:$R$26),0,VLOOKUP(A331,fees,3,FALSE))</f>
        <v>0</v>
      </c>
      <c r="R331" s="200" t="str">
        <f t="shared" ca="1" si="205"/>
        <v/>
      </c>
      <c r="S331" s="9" t="str">
        <f ca="1">IF(COUNTIF(($T$4:T330),"F")&gt;=1,"",IF(OR(C332&lt;&gt;$C$3,E331=""),"",A331))</f>
        <v/>
      </c>
      <c r="T331" s="20" t="str">
        <f t="shared" ca="1" si="197"/>
        <v/>
      </c>
      <c r="U331" s="2">
        <f ca="1">IF(IF(OP!$C$83=1,$Z330,IF(OP!$C$83=2,$AA330,IF(OP!$C$83=3,$AB330,)))+$K331-$O331-$P331-$AS331&lt;OP!$C$142,0,$AS331)</f>
        <v>0</v>
      </c>
      <c r="V331" s="9"/>
      <c r="W331" s="19">
        <f ca="1">MAX(SUM($K$4:K331),0)</f>
        <v>2000000</v>
      </c>
      <c r="X331" s="19"/>
      <c r="Y331" s="19">
        <f t="shared" ca="1" si="223"/>
        <v>1920000</v>
      </c>
      <c r="Z331" s="2">
        <f ca="1">IF(MIN($Z$4:Z330)=0,0,MAX(0,($Z330+$K331-$O331-$P331)*IF(AND(F331="F",$D$3&lt;&gt;$G$3),((1+(-J331))^(H331/MIN(G331,365))),((1+(-J331))^(1/12)))-$U331))</f>
        <v>472512.28744114918</v>
      </c>
      <c r="AA331" s="2">
        <f ca="1">IF(MIN($AA$4:AA330)=0,0,MAX(0,($AA330+$K331-$O331-$P331)*IF(AND(F331="F",$D$3&lt;&gt;$G$3),((1+$AA$1)^(H331/MIN(G331,365))),((1+$AA$1)^(1/12)))-$U331))</f>
        <v>1920000</v>
      </c>
      <c r="AB331" s="2">
        <f ca="1">IF(MIN($AB$4:AB330)=0,0,MAX(0,($AB330+$K331-$O331-$P331)*IF(AND(F331="F",$D$3&lt;&gt;$G$3),((1+(J331))^(H331/MIN(G331,365))),((1+(J331))^(1/12)))-$U331))</f>
        <v>7285769.0963624017</v>
      </c>
      <c r="AC331" s="5"/>
      <c r="AD331" s="5"/>
      <c r="AE331" s="5"/>
      <c r="AF331" s="282">
        <f t="shared" ca="1" si="206"/>
        <v>472512</v>
      </c>
      <c r="AG331" s="282">
        <f t="shared" ca="1" si="207"/>
        <v>1920000</v>
      </c>
      <c r="AH331" s="282">
        <f t="shared" ca="1" si="208"/>
        <v>7285769</v>
      </c>
      <c r="AI331" s="23" t="str">
        <f t="shared" ca="1" si="189"/>
        <v>28-5</v>
      </c>
      <c r="AJ331" s="282">
        <f ca="1">IF(E331&gt;111,,IF(AND(OP!$C$99=1,T331="F"),Z331,IF(AND(OP!$C$99=2,COUNTIF($T$4:T331,"F")=1),OP!$C$97+IF(F331="F",OP!$C$98,0),"")))</f>
        <v>54527</v>
      </c>
      <c r="AK331" s="282">
        <f ca="1">IF(E331&gt;111,,IF(AND(OP!$D$99=1,T331="F"),AA331,IF(AND(OP!$D$99=2,COUNTIF($T$4:T331,"F")=1),OP!$D$97+IF(F331="F",OP!$D$98,0),"")))</f>
        <v>74177</v>
      </c>
      <c r="AL331" s="282">
        <f ca="1">IF(E331&gt;111,,IF(AND(OP!$E$99=1,T331="F"),AB331,IF(AND(OP!$E$99=2,COUNTIF($T$4:T331,"F")=1),OP!$E$97+IF(F331="F",OP!$E$98,0),"")))</f>
        <v>99404</v>
      </c>
      <c r="AM331" s="1">
        <f t="shared" ca="1" si="198"/>
        <v>5</v>
      </c>
      <c r="AN331" s="1" t="e">
        <f ca="1">IF(OR(VLOOKUP($A331,MP,5,0)="季繳",VLOOKUP($A331,MP,5,0)="月繳"),1,"")</f>
        <v>#N/A</v>
      </c>
      <c r="AO331" s="1">
        <f t="shared" ca="1" si="209"/>
        <v>0</v>
      </c>
      <c r="AP331" s="1" t="str">
        <f ca="1">IF(AND(A331&lt;=OP!$C$120,COUNTIF(PAY,C331)=1),1,"")</f>
        <v/>
      </c>
      <c r="AR331" s="301">
        <f ca="1">IF(繳費報酬率資料!$A$1=1,$AY331+$AZ331,$BF331+$BG331)</f>
        <v>0</v>
      </c>
      <c r="AS331" s="1">
        <f ca="1">IF(C331&lt;&gt;IF($C$3=1,12,$C$3-1),0,IF(繳費報酬率資料!$A$1&lt;&gt;1,VLOOKUP($A331,MP,8,0),IF(AND($A331&gt;=OP!$C$79,$A331&lt;=OP!$C$80),OP!$C$78,)))</f>
        <v>0</v>
      </c>
      <c r="AT331" s="298">
        <f t="shared" ca="1" si="210"/>
        <v>0</v>
      </c>
      <c r="AU331" s="298">
        <f ca="1">IF(AND(A331&lt;=OP!$C$120,COUNTIF(PAY,C331)=1),OP!$C$123,0)</f>
        <v>0</v>
      </c>
      <c r="AV331" s="298">
        <f ca="1">IF(AND(A331&gt;=OP!$C$132,A331&lt;=OP!$C$133,$C$3=C331),OP!$C$135,0)</f>
        <v>0</v>
      </c>
      <c r="AW331" s="180">
        <f t="shared" ca="1" si="211"/>
        <v>0.05</v>
      </c>
      <c r="AX331" s="180">
        <f t="shared" ca="1" si="212"/>
        <v>0.05</v>
      </c>
      <c r="AY331" s="286">
        <f t="shared" ca="1" si="213"/>
        <v>0</v>
      </c>
      <c r="AZ331" s="286">
        <f t="shared" ca="1" si="214"/>
        <v>0</v>
      </c>
      <c r="BA331" s="286">
        <f t="shared" ca="1" si="215"/>
        <v>0</v>
      </c>
      <c r="BB331" s="286">
        <f t="shared" ca="1" si="216"/>
        <v>0</v>
      </c>
      <c r="BC331" s="286">
        <f t="shared" ca="1" si="217"/>
        <v>0</v>
      </c>
      <c r="BD331" s="180">
        <f t="shared" ca="1" si="218"/>
        <v>0.05</v>
      </c>
      <c r="BE331" s="180">
        <f t="shared" ca="1" si="219"/>
        <v>0.05</v>
      </c>
      <c r="BF331" s="286">
        <f t="shared" ca="1" si="220"/>
        <v>0</v>
      </c>
      <c r="BG331" s="286">
        <f t="shared" ca="1" si="221"/>
        <v>0</v>
      </c>
    </row>
    <row r="332" spans="1:59">
      <c r="A332" s="1">
        <f t="shared" ca="1" si="201"/>
        <v>28</v>
      </c>
      <c r="B332" s="1">
        <f t="shared" ca="1" si="194"/>
        <v>133</v>
      </c>
      <c r="C332" s="1">
        <f t="shared" ca="1" si="195"/>
        <v>10</v>
      </c>
      <c r="D332" s="1">
        <f ca="1">MIN($D$3,VLOOKUP(C332,OP!$S$30:$T$41,2))</f>
        <v>2</v>
      </c>
      <c r="E332" s="1">
        <f t="shared" ca="1" si="196"/>
        <v>82</v>
      </c>
      <c r="F332" s="11" t="str">
        <f t="shared" ca="1" si="202"/>
        <v/>
      </c>
      <c r="G332" s="8">
        <f t="shared" ca="1" si="224"/>
        <v>365</v>
      </c>
      <c r="H332" s="8">
        <f t="shared" ca="1" si="203"/>
        <v>31</v>
      </c>
      <c r="I332" s="8" t="str">
        <f t="shared" ca="1" si="200"/>
        <v>2810</v>
      </c>
      <c r="J332" s="13">
        <f>IF(繳費報酬率資料!$A$1=1,VALUE(OP!$C$121),VLOOKUP(A332,MP,2,0))</f>
        <v>0.05</v>
      </c>
      <c r="K332" s="14">
        <f ca="1">IF(SUM($K$4:K331,IF(繳費報酬率資料!$A$1=1,$AU332+$AV332,$BB332+$BC332))&gt;OP!$L$58,0,IF(繳費報酬率資料!$A$1=1,$AU332+$AV332,$BB332+$BC332))</f>
        <v>0</v>
      </c>
      <c r="L332" s="2"/>
      <c r="M332" s="2"/>
      <c r="N332" s="2"/>
      <c r="O332" s="261">
        <f t="shared" ca="1" si="204"/>
        <v>0</v>
      </c>
      <c r="P332" s="261">
        <f t="shared" ca="1" si="222"/>
        <v>0</v>
      </c>
      <c r="Q332" s="3">
        <f ca="1">IF(A332&gt;MAX(OP!$R$17:$R$26),0,VLOOKUP(A332,fees,3,FALSE))</f>
        <v>0</v>
      </c>
      <c r="R332" s="200" t="str">
        <f t="shared" ca="1" si="205"/>
        <v/>
      </c>
      <c r="S332" s="9" t="str">
        <f ca="1">IF(COUNTIF(($T$4:T331),"F")&gt;=1,"",IF(OR(C333&lt;&gt;$C$3,E332=""),"",A332))</f>
        <v/>
      </c>
      <c r="T332" s="20" t="str">
        <f t="shared" ca="1" si="197"/>
        <v/>
      </c>
      <c r="U332" s="2">
        <f ca="1">IF(IF(OP!$C$83=1,$Z331,IF(OP!$C$83=2,$AA331,IF(OP!$C$83=3,$AB331,)))+$K332-$O332-$P332-$AS332&lt;OP!$C$142,0,$AS332)</f>
        <v>0</v>
      </c>
      <c r="V332" s="9"/>
      <c r="W332" s="19">
        <f ca="1">MAX(SUM($K$4:K332),0)</f>
        <v>2000000</v>
      </c>
      <c r="X332" s="19"/>
      <c r="Y332" s="19">
        <f t="shared" ca="1" si="223"/>
        <v>1920000</v>
      </c>
      <c r="Z332" s="2">
        <f ca="1">IF(MIN($Z$4:Z331)=0,0,MAX(0,($Z331+$K332-$O332-$P332)*IF(AND(F332="F",$D$3&lt;&gt;$G$3),((1+(-J332))^(H332/MIN(G332,365))),((1+(-J332))^(1/12)))-$U332))</f>
        <v>470496.87190889829</v>
      </c>
      <c r="AA332" s="2">
        <f ca="1">IF(MIN($AA$4:AA331)=0,0,MAX(0,($AA331+$K332-$O332-$P332)*IF(AND(F332="F",$D$3&lt;&gt;$G$3),((1+$AA$1)^(H332/MIN(G332,365))),((1+$AA$1)^(1/12)))-$U332))</f>
        <v>1920000</v>
      </c>
      <c r="AB332" s="2">
        <f ca="1">IF(MIN($AB$4:AB331)=0,0,MAX(0,($AB331+$K332-$O332-$P332)*IF(AND(F332="F",$D$3&lt;&gt;$G$3),((1+(J332))^(H332/MIN(G332,365))),((1+(J332))^(1/12)))-$U332))</f>
        <v>7315452.2215200616</v>
      </c>
      <c r="AC332" s="5"/>
      <c r="AD332" s="5"/>
      <c r="AE332" s="5"/>
      <c r="AF332" s="282">
        <f t="shared" ca="1" si="206"/>
        <v>470497</v>
      </c>
      <c r="AG332" s="282">
        <f t="shared" ca="1" si="207"/>
        <v>1920000</v>
      </c>
      <c r="AH332" s="282">
        <f t="shared" ca="1" si="208"/>
        <v>7315452</v>
      </c>
      <c r="AI332" s="23" t="str">
        <f t="shared" ref="AI332:AI395" ca="1" si="225">IF($G$3=D333,A333,A332)&amp;"-"&amp;AM332</f>
        <v>28-6</v>
      </c>
      <c r="AJ332" s="282">
        <f ca="1">IF(E332&gt;111,,IF(AND(OP!$C$99=1,T332="F"),Z332,IF(AND(OP!$C$99=2,COUNTIF($T$4:T332,"F")=1),OP!$C$97+IF(F332="F",OP!$C$98,0),"")))</f>
        <v>54527</v>
      </c>
      <c r="AK332" s="282">
        <f ca="1">IF(E332&gt;111,,IF(AND(OP!$D$99=1,T332="F"),AA332,IF(AND(OP!$D$99=2,COUNTIF($T$4:T332,"F")=1),OP!$D$97+IF(F332="F",OP!$D$98,0),"")))</f>
        <v>74177</v>
      </c>
      <c r="AL332" s="282">
        <f ca="1">IF(E332&gt;111,,IF(AND(OP!$E$99=1,T332="F"),AB332,IF(AND(OP!$E$99=2,COUNTIF($T$4:T332,"F")=1),OP!$E$97+IF(F332="F",OP!$E$98,0),"")))</f>
        <v>99404</v>
      </c>
      <c r="AM332" s="1">
        <f t="shared" ca="1" si="198"/>
        <v>6</v>
      </c>
      <c r="AN332" s="1" t="e">
        <f ca="1">IF(OR(VLOOKUP($A332,MP,5,0)="月繳"),1,"")</f>
        <v>#N/A</v>
      </c>
      <c r="AO332" s="1">
        <f t="shared" ca="1" si="209"/>
        <v>0</v>
      </c>
      <c r="AP332" s="1" t="str">
        <f ca="1">IF(AND(A332&lt;=OP!$C$120,COUNTIF(PAY,C332)=1),1,"")</f>
        <v/>
      </c>
      <c r="AR332" s="301">
        <f ca="1">IF(繳費報酬率資料!$A$1=1,$AY332+$AZ332,$BF332+$BG332)</f>
        <v>0</v>
      </c>
      <c r="AS332" s="1">
        <f ca="1">IF(C332&lt;&gt;IF($C$3=1,12,$C$3-1),0,IF(繳費報酬率資料!$A$1&lt;&gt;1,VLOOKUP($A332,MP,8,0),IF(AND($A332&gt;=OP!$C$79,$A332&lt;=OP!$C$80),OP!$C$78,)))</f>
        <v>0</v>
      </c>
      <c r="AT332" s="298">
        <f t="shared" ca="1" si="210"/>
        <v>0</v>
      </c>
      <c r="AU332" s="298">
        <f ca="1">IF(AND(A332&lt;=OP!$C$120,COUNTIF(PAY,C332)=1),OP!$C$123,0)</f>
        <v>0</v>
      </c>
      <c r="AV332" s="298">
        <f ca="1">IF(AND(A332&gt;=OP!$C$132,A332&lt;=OP!$C$133,$C$3=C332),OP!$C$135,0)</f>
        <v>0</v>
      </c>
      <c r="AW332" s="180">
        <f t="shared" ca="1" si="211"/>
        <v>0.05</v>
      </c>
      <c r="AX332" s="180">
        <f t="shared" ca="1" si="212"/>
        <v>0.05</v>
      </c>
      <c r="AY332" s="286">
        <f t="shared" ca="1" si="213"/>
        <v>0</v>
      </c>
      <c r="AZ332" s="286">
        <f t="shared" ca="1" si="214"/>
        <v>0</v>
      </c>
      <c r="BA332" s="286">
        <f t="shared" ca="1" si="215"/>
        <v>0</v>
      </c>
      <c r="BB332" s="286">
        <f t="shared" ca="1" si="216"/>
        <v>0</v>
      </c>
      <c r="BC332" s="286">
        <f t="shared" ca="1" si="217"/>
        <v>0</v>
      </c>
      <c r="BD332" s="180">
        <f t="shared" ca="1" si="218"/>
        <v>0.05</v>
      </c>
      <c r="BE332" s="180">
        <f t="shared" ca="1" si="219"/>
        <v>0.05</v>
      </c>
      <c r="BF332" s="286">
        <f t="shared" ca="1" si="220"/>
        <v>0</v>
      </c>
      <c r="BG332" s="286">
        <f t="shared" ca="1" si="221"/>
        <v>0</v>
      </c>
    </row>
    <row r="333" spans="1:59">
      <c r="A333" s="1">
        <f t="shared" ca="1" si="201"/>
        <v>28</v>
      </c>
      <c r="B333" s="1">
        <f t="shared" ca="1" si="194"/>
        <v>133</v>
      </c>
      <c r="C333" s="1">
        <f t="shared" ca="1" si="195"/>
        <v>11</v>
      </c>
      <c r="D333" s="1">
        <f ca="1">MIN($D$3,VLOOKUP(C333,OP!$S$30:$T$41,2))</f>
        <v>2</v>
      </c>
      <c r="E333" s="1">
        <f t="shared" ca="1" si="196"/>
        <v>82</v>
      </c>
      <c r="F333" s="11" t="str">
        <f t="shared" ca="1" si="202"/>
        <v/>
      </c>
      <c r="G333" s="8">
        <f t="shared" ca="1" si="224"/>
        <v>365</v>
      </c>
      <c r="H333" s="8">
        <f t="shared" ca="1" si="203"/>
        <v>30</v>
      </c>
      <c r="I333" s="8" t="str">
        <f t="shared" ca="1" si="200"/>
        <v>2811</v>
      </c>
      <c r="J333" s="13">
        <f>IF(繳費報酬率資料!$A$1=1,VALUE(OP!$C$121),VLOOKUP(A333,MP,2,0))</f>
        <v>0.05</v>
      </c>
      <c r="K333" s="14">
        <f ca="1">IF(SUM($K$4:K332,IF(繳費報酬率資料!$A$1=1,$AU333+$AV333,$BB333+$BC333))&gt;OP!$L$58,0,IF(繳費報酬率資料!$A$1=1,$AU333+$AV333,$BB333+$BC333))</f>
        <v>0</v>
      </c>
      <c r="L333" s="2"/>
      <c r="M333" s="2"/>
      <c r="N333" s="2"/>
      <c r="O333" s="261">
        <f t="shared" ca="1" si="204"/>
        <v>0</v>
      </c>
      <c r="P333" s="261">
        <f t="shared" ca="1" si="222"/>
        <v>0</v>
      </c>
      <c r="Q333" s="3">
        <f ca="1">IF(A333&gt;MAX(OP!$R$17:$R$26),0,VLOOKUP(A333,fees,3,FALSE))</f>
        <v>0</v>
      </c>
      <c r="R333" s="200" t="str">
        <f t="shared" ca="1" si="205"/>
        <v/>
      </c>
      <c r="S333" s="9" t="str">
        <f ca="1">IF(COUNTIF(($T$4:T332),"F")&gt;=1,"",IF(OR(C334&lt;&gt;$C$3,E333=""),"",A333))</f>
        <v/>
      </c>
      <c r="T333" s="20" t="str">
        <f t="shared" ca="1" si="197"/>
        <v/>
      </c>
      <c r="U333" s="2">
        <f ca="1">IF(IF(OP!$C$83=1,$Z332,IF(OP!$C$83=2,$AA332,IF(OP!$C$83=3,$AB332,)))+$K333-$O333-$P333-$AS333&lt;OP!$C$142,0,$AS333)</f>
        <v>0</v>
      </c>
      <c r="V333" s="9"/>
      <c r="W333" s="19">
        <f ca="1">MAX(SUM($K$4:K333),0)</f>
        <v>2000000</v>
      </c>
      <c r="X333" s="19"/>
      <c r="Y333" s="19">
        <f t="shared" ca="1" si="223"/>
        <v>1920000</v>
      </c>
      <c r="Z333" s="2">
        <f ca="1">IF(MIN($Z$4:Z332)=0,0,MAX(0,($Z332+$K333-$O333-$P333)*IF(AND(F333="F",$D$3&lt;&gt;$G$3),((1+(-J333))^(H333/MIN(G333,365))),((1+(-J333))^(1/12)))-$U333))</f>
        <v>468490.05276636174</v>
      </c>
      <c r="AA333" s="2">
        <f ca="1">IF(MIN($AA$4:AA332)=0,0,MAX(0,($AA332+$K333-$O333-$P333)*IF(AND(F333="F",$D$3&lt;&gt;$G$3),((1+$AA$1)^(H333/MIN(G333,365))),((1+$AA$1)^(1/12)))-$U333))</f>
        <v>1920000</v>
      </c>
      <c r="AB333" s="2">
        <f ca="1">IF(MIN($AB$4:AB332)=0,0,MAX(0,($AB332+$K333-$O333-$P333)*IF(AND(F333="F",$D$3&lt;&gt;$G$3),((1+(J333))^(H333/MIN(G333,365))),((1+(J333))^(1/12)))-$U333))</f>
        <v>7345256.2794038998</v>
      </c>
      <c r="AC333" s="5"/>
      <c r="AD333" s="5"/>
      <c r="AE333" s="5"/>
      <c r="AF333" s="282">
        <f t="shared" ca="1" si="206"/>
        <v>468490</v>
      </c>
      <c r="AG333" s="282">
        <f t="shared" ca="1" si="207"/>
        <v>1920000</v>
      </c>
      <c r="AH333" s="282">
        <f t="shared" ca="1" si="208"/>
        <v>7345256</v>
      </c>
      <c r="AI333" s="23" t="str">
        <f t="shared" ca="1" si="225"/>
        <v>28-7</v>
      </c>
      <c r="AJ333" s="282">
        <f ca="1">IF(E333&gt;111,,IF(AND(OP!$C$99=1,T333="F"),Z333,IF(AND(OP!$C$99=2,COUNTIF($T$4:T333,"F")=1),OP!$C$97+IF(F333="F",OP!$C$98,0),"")))</f>
        <v>54527</v>
      </c>
      <c r="AK333" s="282">
        <f ca="1">IF(E333&gt;111,,IF(AND(OP!$D$99=1,T333="F"),AA333,IF(AND(OP!$D$99=2,COUNTIF($T$4:T333,"F")=1),OP!$D$97+IF(F333="F",OP!$D$98,0),"")))</f>
        <v>74177</v>
      </c>
      <c r="AL333" s="282">
        <f ca="1">IF(E333&gt;111,,IF(AND(OP!$E$99=1,T333="F"),AB333,IF(AND(OP!$E$99=2,COUNTIF($T$4:T333,"F")=1),OP!$E$97+IF(F333="F",OP!$E$98,0),"")))</f>
        <v>99404</v>
      </c>
      <c r="AM333" s="1">
        <f t="shared" ca="1" si="198"/>
        <v>7</v>
      </c>
      <c r="AN333" s="1" t="e">
        <f ca="1">IF(OR(VLOOKUP($A333,MP,5,0)="月繳"),1,"")</f>
        <v>#N/A</v>
      </c>
      <c r="AO333" s="1">
        <f t="shared" ca="1" si="209"/>
        <v>0</v>
      </c>
      <c r="AP333" s="1" t="str">
        <f ca="1">IF(AND(A333&lt;=OP!$C$120,COUNTIF(PAY,C333)=1),1,"")</f>
        <v/>
      </c>
      <c r="AR333" s="301">
        <f ca="1">IF(繳費報酬率資料!$A$1=1,$AY333+$AZ333,$BF333+$BG333)</f>
        <v>0</v>
      </c>
      <c r="AS333" s="1">
        <f ca="1">IF(C333&lt;&gt;IF($C$3=1,12,$C$3-1),0,IF(繳費報酬率資料!$A$1&lt;&gt;1,VLOOKUP($A333,MP,8,0),IF(AND($A333&gt;=OP!$C$79,$A333&lt;=OP!$C$80),OP!$C$78,)))</f>
        <v>0</v>
      </c>
      <c r="AT333" s="298">
        <f t="shared" ca="1" si="210"/>
        <v>0</v>
      </c>
      <c r="AU333" s="298">
        <f ca="1">IF(AND(A333&lt;=OP!$C$120,COUNTIF(PAY,C333)=1),OP!$C$123,0)</f>
        <v>0</v>
      </c>
      <c r="AV333" s="298">
        <f ca="1">IF(AND(A333&gt;=OP!$C$132,A333&lt;=OP!$C$133,$C$3=C333),OP!$C$135,0)</f>
        <v>0</v>
      </c>
      <c r="AW333" s="180">
        <f t="shared" ca="1" si="211"/>
        <v>0.05</v>
      </c>
      <c r="AX333" s="180">
        <f t="shared" ca="1" si="212"/>
        <v>0.05</v>
      </c>
      <c r="AY333" s="286">
        <f t="shared" ca="1" si="213"/>
        <v>0</v>
      </c>
      <c r="AZ333" s="286">
        <f t="shared" ca="1" si="214"/>
        <v>0</v>
      </c>
      <c r="BA333" s="286">
        <f t="shared" ca="1" si="215"/>
        <v>0</v>
      </c>
      <c r="BB333" s="286">
        <f t="shared" ca="1" si="216"/>
        <v>0</v>
      </c>
      <c r="BC333" s="286">
        <f t="shared" ca="1" si="217"/>
        <v>0</v>
      </c>
      <c r="BD333" s="180">
        <f t="shared" ca="1" si="218"/>
        <v>0.05</v>
      </c>
      <c r="BE333" s="180">
        <f t="shared" ca="1" si="219"/>
        <v>0.05</v>
      </c>
      <c r="BF333" s="286">
        <f t="shared" ca="1" si="220"/>
        <v>0</v>
      </c>
      <c r="BG333" s="286">
        <f t="shared" ca="1" si="221"/>
        <v>0</v>
      </c>
    </row>
    <row r="334" spans="1:59">
      <c r="A334" s="1">
        <f t="shared" ca="1" si="201"/>
        <v>28</v>
      </c>
      <c r="B334" s="1">
        <f t="shared" ca="1" si="194"/>
        <v>133</v>
      </c>
      <c r="C334" s="1">
        <f t="shared" ca="1" si="195"/>
        <v>12</v>
      </c>
      <c r="D334" s="1">
        <f ca="1">MIN($D$3,VLOOKUP(C334,OP!$S$30:$T$41,2))</f>
        <v>2</v>
      </c>
      <c r="E334" s="1">
        <f t="shared" ca="1" si="196"/>
        <v>82</v>
      </c>
      <c r="F334" s="11" t="str">
        <f t="shared" ca="1" si="202"/>
        <v/>
      </c>
      <c r="G334" s="8">
        <f t="shared" ca="1" si="224"/>
        <v>365</v>
      </c>
      <c r="H334" s="8">
        <f t="shared" ca="1" si="203"/>
        <v>31</v>
      </c>
      <c r="I334" s="8" t="str">
        <f t="shared" ca="1" si="200"/>
        <v>2812</v>
      </c>
      <c r="J334" s="13">
        <f>IF(繳費報酬率資料!$A$1=1,VALUE(OP!$C$121),VLOOKUP(A334,MP,2,0))</f>
        <v>0.05</v>
      </c>
      <c r="K334" s="14">
        <f ca="1">IF(SUM($K$4:K333,IF(繳費報酬率資料!$A$1=1,$AU334+$AV334,$BB334+$BC334))&gt;OP!$L$58,0,IF(繳費報酬率資料!$A$1=1,$AU334+$AV334,$BB334+$BC334))</f>
        <v>0</v>
      </c>
      <c r="L334" s="2"/>
      <c r="M334" s="2"/>
      <c r="N334" s="2"/>
      <c r="O334" s="261">
        <f t="shared" ca="1" si="204"/>
        <v>0</v>
      </c>
      <c r="P334" s="261">
        <f t="shared" ca="1" si="222"/>
        <v>0</v>
      </c>
      <c r="Q334" s="3">
        <f ca="1">IF(A334&gt;MAX(OP!$R$17:$R$26),0,VLOOKUP(A334,fees,3,FALSE))</f>
        <v>0</v>
      </c>
      <c r="R334" s="200" t="str">
        <f t="shared" ca="1" si="205"/>
        <v/>
      </c>
      <c r="S334" s="9" t="str">
        <f ca="1">IF(COUNTIF(($T$4:T333),"F")&gt;=1,"",IF(OR(C335&lt;&gt;$C$3,E334=""),"",A334))</f>
        <v/>
      </c>
      <c r="T334" s="20" t="str">
        <f t="shared" ca="1" si="197"/>
        <v/>
      </c>
      <c r="U334" s="2">
        <f ca="1">IF(IF(OP!$C$83=1,$Z333,IF(OP!$C$83=2,$AA333,IF(OP!$C$83=3,$AB333,)))+$K334-$O334-$P334-$AS334&lt;OP!$C$142,0,$AS334)</f>
        <v>0</v>
      </c>
      <c r="V334" s="9"/>
      <c r="W334" s="19">
        <f ca="1">MAX(SUM($K$4:K334),0)</f>
        <v>2000000</v>
      </c>
      <c r="X334" s="19"/>
      <c r="Y334" s="19">
        <f t="shared" ca="1" si="223"/>
        <v>1920000</v>
      </c>
      <c r="Z334" s="2">
        <f ca="1">IF(MIN($Z$4:Z333)=0,0,MAX(0,($Z333+$K334-$O334-$P334)*IF(AND(F334="F",$D$3&lt;&gt;$G$3),((1+(-J334))^(H334/MIN(G334,365))),((1+(-J334))^(1/12)))-$U334))</f>
        <v>466491.793347197</v>
      </c>
      <c r="AA334" s="2">
        <f ca="1">IF(MIN($AA$4:AA333)=0,0,MAX(0,($AA333+$K334-$O334-$P334)*IF(AND(F334="F",$D$3&lt;&gt;$G$3),((1+$AA$1)^(H334/MIN(G334,365))),((1+$AA$1)^(1/12)))-$U334))</f>
        <v>1920000</v>
      </c>
      <c r="AB334" s="2">
        <f ca="1">IF(MIN($AB$4:AB333)=0,0,MAX(0,($AB333+$K334-$O334-$P334)*IF(AND(F334="F",$D$3&lt;&gt;$G$3),((1+(J334))^(H334/MIN(G334,365))),((1+(J334))^(1/12)))-$U334))</f>
        <v>7375181.762708812</v>
      </c>
      <c r="AC334" s="5"/>
      <c r="AD334" s="5"/>
      <c r="AE334" s="5"/>
      <c r="AF334" s="282">
        <f t="shared" ca="1" si="206"/>
        <v>466492</v>
      </c>
      <c r="AG334" s="282">
        <f t="shared" ca="1" si="207"/>
        <v>1920000</v>
      </c>
      <c r="AH334" s="282">
        <f t="shared" ca="1" si="208"/>
        <v>7375182</v>
      </c>
      <c r="AI334" s="23" t="str">
        <f t="shared" ca="1" si="225"/>
        <v>28-8</v>
      </c>
      <c r="AJ334" s="282">
        <f ca="1">IF(E334&gt;111,,IF(AND(OP!$C$99=1,T334="F"),Z334,IF(AND(OP!$C$99=2,COUNTIF($T$4:T334,"F")=1),OP!$C$97+IF(F334="F",OP!$C$98,0),"")))</f>
        <v>54527</v>
      </c>
      <c r="AK334" s="282">
        <f ca="1">IF(E334&gt;111,,IF(AND(OP!$D$99=1,T334="F"),AA334,IF(AND(OP!$D$99=2,COUNTIF($T$4:T334,"F")=1),OP!$D$97+IF(F334="F",OP!$D$98,0),"")))</f>
        <v>74177</v>
      </c>
      <c r="AL334" s="282">
        <f ca="1">IF(E334&gt;111,,IF(AND(OP!$E$99=1,T334="F"),AB334,IF(AND(OP!$E$99=2,COUNTIF($T$4:T334,"F")=1),OP!$E$97+IF(F334="F",OP!$E$98,0),"")))</f>
        <v>99404</v>
      </c>
      <c r="AM334" s="1">
        <f t="shared" ca="1" si="198"/>
        <v>8</v>
      </c>
      <c r="AN334" s="1" t="e">
        <f ca="1">IF(OR(VLOOKUP($A334,MP,5,0)="半年繳",VLOOKUP($A334,MP,5,0)="季繳",VLOOKUP($A334,MP,5,0)="月繳"),1,"")</f>
        <v>#N/A</v>
      </c>
      <c r="AO334" s="1">
        <f t="shared" ca="1" si="209"/>
        <v>0</v>
      </c>
      <c r="AP334" s="1" t="str">
        <f ca="1">IF(AND(A334&lt;=OP!$C$120,COUNTIF(PAY,C334)=1),1,"")</f>
        <v/>
      </c>
      <c r="AR334" s="301">
        <f ca="1">IF(繳費報酬率資料!$A$1=1,$AY334+$AZ334,$BF334+$BG334)</f>
        <v>0</v>
      </c>
      <c r="AS334" s="1">
        <f ca="1">IF(C334&lt;&gt;IF($C$3=1,12,$C$3-1),0,IF(繳費報酬率資料!$A$1&lt;&gt;1,VLOOKUP($A334,MP,8,0),IF(AND($A334&gt;=OP!$C$79,$A334&lt;=OP!$C$80),OP!$C$78,)))</f>
        <v>0</v>
      </c>
      <c r="AT334" s="298">
        <f t="shared" ca="1" si="210"/>
        <v>0</v>
      </c>
      <c r="AU334" s="298">
        <f ca="1">IF(AND(A334&lt;=OP!$C$120,COUNTIF(PAY,C334)=1),OP!$C$123,0)</f>
        <v>0</v>
      </c>
      <c r="AV334" s="298">
        <f ca="1">IF(AND(A334&gt;=OP!$C$132,A334&lt;=OP!$C$133,$C$3=C334),OP!$C$135,0)</f>
        <v>0</v>
      </c>
      <c r="AW334" s="180">
        <f t="shared" ca="1" si="211"/>
        <v>0.05</v>
      </c>
      <c r="AX334" s="180">
        <f t="shared" ca="1" si="212"/>
        <v>0.05</v>
      </c>
      <c r="AY334" s="286">
        <f t="shared" ca="1" si="213"/>
        <v>0</v>
      </c>
      <c r="AZ334" s="286">
        <f t="shared" ca="1" si="214"/>
        <v>0</v>
      </c>
      <c r="BA334" s="286">
        <f t="shared" ca="1" si="215"/>
        <v>0</v>
      </c>
      <c r="BB334" s="286">
        <f t="shared" ca="1" si="216"/>
        <v>0</v>
      </c>
      <c r="BC334" s="286">
        <f t="shared" ca="1" si="217"/>
        <v>0</v>
      </c>
      <c r="BD334" s="180">
        <f t="shared" ca="1" si="218"/>
        <v>0.05</v>
      </c>
      <c r="BE334" s="180">
        <f t="shared" ca="1" si="219"/>
        <v>0.05</v>
      </c>
      <c r="BF334" s="286">
        <f t="shared" ca="1" si="220"/>
        <v>0</v>
      </c>
      <c r="BG334" s="286">
        <f t="shared" ca="1" si="221"/>
        <v>0</v>
      </c>
    </row>
    <row r="335" spans="1:59">
      <c r="A335" s="1">
        <f t="shared" ca="1" si="201"/>
        <v>28</v>
      </c>
      <c r="B335" s="1">
        <f t="shared" ca="1" si="194"/>
        <v>134</v>
      </c>
      <c r="C335" s="1">
        <f t="shared" ca="1" si="195"/>
        <v>1</v>
      </c>
      <c r="D335" s="1">
        <f ca="1">MIN($D$3,VLOOKUP(C335,OP!$S$30:$T$41,2))</f>
        <v>2</v>
      </c>
      <c r="E335" s="1">
        <f t="shared" ca="1" si="196"/>
        <v>82</v>
      </c>
      <c r="F335" s="11" t="str">
        <f t="shared" ca="1" si="202"/>
        <v/>
      </c>
      <c r="G335" s="8">
        <f t="shared" ca="1" si="224"/>
        <v>365</v>
      </c>
      <c r="H335" s="8">
        <f t="shared" ca="1" si="203"/>
        <v>31</v>
      </c>
      <c r="I335" s="8" t="str">
        <f t="shared" ca="1" si="200"/>
        <v>281</v>
      </c>
      <c r="J335" s="13">
        <f>IF(繳費報酬率資料!$A$1=1,VALUE(OP!$C$121),VLOOKUP(A335,MP,2,0))</f>
        <v>0.05</v>
      </c>
      <c r="K335" s="14">
        <f ca="1">IF(SUM($K$4:K334,IF(繳費報酬率資料!$A$1=1,$AU335+$AV335,$BB335+$BC335))&gt;OP!$L$58,0,IF(繳費報酬率資料!$A$1=1,$AU335+$AV335,$BB335+$BC335))</f>
        <v>0</v>
      </c>
      <c r="L335" s="2"/>
      <c r="M335" s="2"/>
      <c r="N335" s="2"/>
      <c r="O335" s="261">
        <f t="shared" ca="1" si="204"/>
        <v>0</v>
      </c>
      <c r="P335" s="261">
        <f t="shared" ca="1" si="222"/>
        <v>0</v>
      </c>
      <c r="Q335" s="3">
        <f ca="1">IF(A335&gt;MAX(OP!$R$17:$R$26),0,VLOOKUP(A335,fees,3,FALSE))</f>
        <v>0</v>
      </c>
      <c r="R335" s="200" t="str">
        <f t="shared" ca="1" si="205"/>
        <v/>
      </c>
      <c r="S335" s="9" t="str">
        <f ca="1">IF(COUNTIF(($T$4:T334),"F")&gt;=1,"",IF(OR(C336&lt;&gt;$C$3,E335=""),"",A335))</f>
        <v/>
      </c>
      <c r="T335" s="20" t="str">
        <f t="shared" ca="1" si="197"/>
        <v/>
      </c>
      <c r="U335" s="2">
        <f ca="1">IF(IF(OP!$C$83=1,$Z334,IF(OP!$C$83=2,$AA334,IF(OP!$C$83=3,$AB334,)))+$K335-$O335-$P335-$AS335&lt;OP!$C$142,0,$AS335)</f>
        <v>0</v>
      </c>
      <c r="V335" s="9"/>
      <c r="W335" s="19">
        <f ca="1">MAX(SUM($K$4:K335),0)</f>
        <v>2000000</v>
      </c>
      <c r="X335" s="19"/>
      <c r="Y335" s="19">
        <f t="shared" ca="1" si="223"/>
        <v>1920000</v>
      </c>
      <c r="Z335" s="2">
        <f ca="1">IF(MIN($Z$4:Z334)=0,0,MAX(0,($Z334+$K335-$O335-$P335)*IF(AND(F335="F",$D$3&lt;&gt;$G$3),((1+(-J335))^(H335/MIN(G335,365))),((1+(-J335))^(1/12)))-$U335))</f>
        <v>464502.05714145524</v>
      </c>
      <c r="AA335" s="2">
        <f ca="1">IF(MIN($AA$4:AA334)=0,0,MAX(0,($AA334+$K335-$O335-$P335)*IF(AND(F335="F",$D$3&lt;&gt;$G$3),((1+$AA$1)^(H335/MIN(G335,365))),((1+$AA$1)^(1/12)))-$U335))</f>
        <v>1920000</v>
      </c>
      <c r="AB335" s="2">
        <f ca="1">IF(MIN($AB$4:AB334)=0,0,MAX(0,($AB334+$K335-$O335-$P335)*IF(AND(F335="F",$D$3&lt;&gt;$G$3),((1+(J335))^(H335/MIN(G335,365))),((1+(J335))^(1/12)))-$U335))</f>
        <v>7405229.166136994</v>
      </c>
      <c r="AC335" s="5"/>
      <c r="AD335" s="5"/>
      <c r="AE335" s="5"/>
      <c r="AF335" s="282">
        <f t="shared" ca="1" si="206"/>
        <v>464502</v>
      </c>
      <c r="AG335" s="282">
        <f t="shared" ca="1" si="207"/>
        <v>1920000</v>
      </c>
      <c r="AH335" s="282">
        <f t="shared" ca="1" si="208"/>
        <v>7405229</v>
      </c>
      <c r="AI335" s="23" t="str">
        <f t="shared" ca="1" si="225"/>
        <v>28-9</v>
      </c>
      <c r="AJ335" s="282">
        <f ca="1">IF(E335&gt;111,,IF(AND(OP!$C$99=1,T335="F"),Z335,IF(AND(OP!$C$99=2,COUNTIF($T$4:T335,"F")=1),OP!$C$97+IF(F335="F",OP!$C$98,0),"")))</f>
        <v>54527</v>
      </c>
      <c r="AK335" s="282">
        <f ca="1">IF(E335&gt;111,,IF(AND(OP!$D$99=1,T335="F"),AA335,IF(AND(OP!$D$99=2,COUNTIF($T$4:T335,"F")=1),OP!$D$97+IF(F335="F",OP!$D$98,0),"")))</f>
        <v>74177</v>
      </c>
      <c r="AL335" s="282">
        <f ca="1">IF(E335&gt;111,,IF(AND(OP!$E$99=1,T335="F"),AB335,IF(AND(OP!$E$99=2,COUNTIF($T$4:T335,"F")=1),OP!$E$97+IF(F335="F",OP!$E$98,0),"")))</f>
        <v>99404</v>
      </c>
      <c r="AM335" s="1">
        <f t="shared" ca="1" si="198"/>
        <v>9</v>
      </c>
      <c r="AN335" s="1" t="e">
        <f ca="1">IF(OR(VLOOKUP($A335,MP,5,0)="月繳"),1,"")</f>
        <v>#N/A</v>
      </c>
      <c r="AO335" s="1">
        <f t="shared" ca="1" si="209"/>
        <v>0</v>
      </c>
      <c r="AP335" s="1" t="str">
        <f ca="1">IF(AND(A335&lt;=OP!$C$120,COUNTIF(PAY,C335)=1),1,"")</f>
        <v/>
      </c>
      <c r="AR335" s="301">
        <f ca="1">IF(繳費報酬率資料!$A$1=1,$AY335+$AZ335,$BF335+$BG335)</f>
        <v>0</v>
      </c>
      <c r="AS335" s="1">
        <f ca="1">IF(C335&lt;&gt;IF($C$3=1,12,$C$3-1),0,IF(繳費報酬率資料!$A$1&lt;&gt;1,VLOOKUP($A335,MP,8,0),IF(AND($A335&gt;=OP!$C$79,$A335&lt;=OP!$C$80),OP!$C$78,)))</f>
        <v>0</v>
      </c>
      <c r="AT335" s="298">
        <f t="shared" ca="1" si="210"/>
        <v>0</v>
      </c>
      <c r="AU335" s="298">
        <f ca="1">IF(AND(A335&lt;=OP!$C$120,COUNTIF(PAY,C335)=1),OP!$C$123,0)</f>
        <v>0</v>
      </c>
      <c r="AV335" s="298">
        <f ca="1">IF(AND(A335&gt;=OP!$C$132,A335&lt;=OP!$C$133,$C$3=C335),OP!$C$135,0)</f>
        <v>0</v>
      </c>
      <c r="AW335" s="180">
        <f t="shared" ca="1" si="211"/>
        <v>0.05</v>
      </c>
      <c r="AX335" s="180">
        <f t="shared" ca="1" si="212"/>
        <v>0.05</v>
      </c>
      <c r="AY335" s="286">
        <f t="shared" ca="1" si="213"/>
        <v>0</v>
      </c>
      <c r="AZ335" s="286">
        <f t="shared" ca="1" si="214"/>
        <v>0</v>
      </c>
      <c r="BA335" s="286">
        <f t="shared" ca="1" si="215"/>
        <v>0</v>
      </c>
      <c r="BB335" s="286">
        <f t="shared" ca="1" si="216"/>
        <v>0</v>
      </c>
      <c r="BC335" s="286">
        <f t="shared" ca="1" si="217"/>
        <v>0</v>
      </c>
      <c r="BD335" s="180">
        <f t="shared" ca="1" si="218"/>
        <v>0.05</v>
      </c>
      <c r="BE335" s="180">
        <f t="shared" ca="1" si="219"/>
        <v>0.05</v>
      </c>
      <c r="BF335" s="286">
        <f t="shared" ca="1" si="220"/>
        <v>0</v>
      </c>
      <c r="BG335" s="286">
        <f t="shared" ca="1" si="221"/>
        <v>0</v>
      </c>
    </row>
    <row r="336" spans="1:59">
      <c r="A336" s="1">
        <f t="shared" ca="1" si="201"/>
        <v>28</v>
      </c>
      <c r="B336" s="1">
        <f t="shared" ca="1" si="194"/>
        <v>134</v>
      </c>
      <c r="C336" s="1">
        <f t="shared" ca="1" si="195"/>
        <v>2</v>
      </c>
      <c r="D336" s="1">
        <f ca="1">MIN($D$3,VLOOKUP(C336,OP!$S$30:$T$41,2))</f>
        <v>2</v>
      </c>
      <c r="E336" s="1">
        <f t="shared" ca="1" si="196"/>
        <v>82</v>
      </c>
      <c r="F336" s="11" t="str">
        <f t="shared" ca="1" si="202"/>
        <v/>
      </c>
      <c r="G336" s="8">
        <f t="shared" ca="1" si="224"/>
        <v>365</v>
      </c>
      <c r="H336" s="8">
        <f t="shared" ca="1" si="203"/>
        <v>28</v>
      </c>
      <c r="I336" s="8" t="str">
        <f t="shared" ca="1" si="200"/>
        <v>282</v>
      </c>
      <c r="J336" s="13">
        <f>IF(繳費報酬率資料!$A$1=1,VALUE(OP!$C$121),VLOOKUP(A336,MP,2,0))</f>
        <v>0.05</v>
      </c>
      <c r="K336" s="14">
        <f ca="1">IF(SUM($K$4:K335,IF(繳費報酬率資料!$A$1=1,$AU336+$AV336,$BB336+$BC336))&gt;OP!$L$58,0,IF(繳費報酬率資料!$A$1=1,$AU336+$AV336,$BB336+$BC336))</f>
        <v>0</v>
      </c>
      <c r="L336" s="2"/>
      <c r="M336" s="2"/>
      <c r="N336" s="2"/>
      <c r="O336" s="261">
        <f t="shared" ca="1" si="204"/>
        <v>0</v>
      </c>
      <c r="P336" s="261">
        <f t="shared" ca="1" si="222"/>
        <v>0</v>
      </c>
      <c r="Q336" s="3">
        <f ca="1">IF(A336&gt;MAX(OP!$R$17:$R$26),0,VLOOKUP(A336,fees,3,FALSE))</f>
        <v>0</v>
      </c>
      <c r="R336" s="200" t="str">
        <f t="shared" ca="1" si="205"/>
        <v/>
      </c>
      <c r="S336" s="9" t="str">
        <f ca="1">IF(COUNTIF(($T$4:T335),"F")&gt;=1,"",IF(OR(C337&lt;&gt;$C$3,E336=""),"",A336))</f>
        <v/>
      </c>
      <c r="T336" s="20" t="str">
        <f t="shared" ca="1" si="197"/>
        <v/>
      </c>
      <c r="U336" s="2">
        <f ca="1">IF(IF(OP!$C$83=1,$Z335,IF(OP!$C$83=2,$AA335,IF(OP!$C$83=3,$AB335,)))+$K336-$O336-$P336-$AS336&lt;OP!$C$142,0,$AS336)</f>
        <v>0</v>
      </c>
      <c r="V336" s="9"/>
      <c r="W336" s="19">
        <f ca="1">MAX(SUM($K$4:K336),0)</f>
        <v>2000000</v>
      </c>
      <c r="X336" s="19"/>
      <c r="Y336" s="19">
        <f t="shared" ca="1" si="223"/>
        <v>1920000</v>
      </c>
      <c r="Z336" s="2">
        <f ca="1">IF(MIN($Z$4:Z335)=0,0,MAX(0,($Z335+$K336-$O336-$P336)*IF(AND(F336="F",$D$3&lt;&gt;$G$3),((1+(-J336))^(H336/MIN(G336,365))),((1+(-J336))^(1/12)))-$U336))</f>
        <v>462520.80779491423</v>
      </c>
      <c r="AA336" s="2">
        <f ca="1">IF(MIN($AA$4:AA335)=0,0,MAX(0,($AA335+$K336-$O336-$P336)*IF(AND(F336="F",$D$3&lt;&gt;$G$3),((1+$AA$1)^(H336/MIN(G336,365))),((1+$AA$1)^(1/12)))-$U336))</f>
        <v>1920000</v>
      </c>
      <c r="AB336" s="2">
        <f ca="1">IF(MIN($AB$4:AB335)=0,0,MAX(0,($AB335+$K336-$O336-$P336)*IF(AND(F336="F",$D$3&lt;&gt;$G$3),((1+(J336))^(H336/MIN(G336,365))),((1+(J336))^(1/12)))-$U336))</f>
        <v>7435398.9864061195</v>
      </c>
      <c r="AC336" s="5"/>
      <c r="AD336" s="5"/>
      <c r="AE336" s="5"/>
      <c r="AF336" s="282">
        <f t="shared" ca="1" si="206"/>
        <v>462521</v>
      </c>
      <c r="AG336" s="282">
        <f t="shared" ca="1" si="207"/>
        <v>1920000</v>
      </c>
      <c r="AH336" s="282">
        <f t="shared" ca="1" si="208"/>
        <v>7435399</v>
      </c>
      <c r="AI336" s="23" t="str">
        <f t="shared" ca="1" si="225"/>
        <v>28-10</v>
      </c>
      <c r="AJ336" s="282">
        <f ca="1">IF(E336&gt;111,,IF(AND(OP!$C$99=1,T336="F"),Z336,IF(AND(OP!$C$99=2,COUNTIF($T$4:T336,"F")=1),OP!$C$97+IF(F336="F",OP!$C$98,0),"")))</f>
        <v>54527</v>
      </c>
      <c r="AK336" s="282">
        <f ca="1">IF(E336&gt;111,,IF(AND(OP!$D$99=1,T336="F"),AA336,IF(AND(OP!$D$99=2,COUNTIF($T$4:T336,"F")=1),OP!$D$97+IF(F336="F",OP!$D$98,0),"")))</f>
        <v>74177</v>
      </c>
      <c r="AL336" s="282">
        <f ca="1">IF(E336&gt;111,,IF(AND(OP!$E$99=1,T336="F"),AB336,IF(AND(OP!$E$99=2,COUNTIF($T$4:T336,"F")=1),OP!$E$97+IF(F336="F",OP!$E$98,0),"")))</f>
        <v>99404</v>
      </c>
      <c r="AM336" s="1">
        <f t="shared" ca="1" si="198"/>
        <v>10</v>
      </c>
      <c r="AN336" s="1" t="e">
        <f ca="1">IF(OR(VLOOKUP($A336,MP,5,0)="月繳"),1,"")</f>
        <v>#N/A</v>
      </c>
      <c r="AO336" s="1">
        <f t="shared" ca="1" si="209"/>
        <v>0</v>
      </c>
      <c r="AP336" s="1" t="str">
        <f ca="1">IF(AND(A336&lt;=OP!$C$120,COUNTIF(PAY,C336)=1),1,"")</f>
        <v/>
      </c>
      <c r="AR336" s="301">
        <f ca="1">IF(繳費報酬率資料!$A$1=1,$AY336+$AZ336,$BF336+$BG336)</f>
        <v>0</v>
      </c>
      <c r="AS336" s="1">
        <f ca="1">IF(C336&lt;&gt;IF($C$3=1,12,$C$3-1),0,IF(繳費報酬率資料!$A$1&lt;&gt;1,VLOOKUP($A336,MP,8,0),IF(AND($A336&gt;=OP!$C$79,$A336&lt;=OP!$C$80),OP!$C$78,)))</f>
        <v>0</v>
      </c>
      <c r="AT336" s="298">
        <f t="shared" ca="1" si="210"/>
        <v>0</v>
      </c>
      <c r="AU336" s="298">
        <f ca="1">IF(AND(A336&lt;=OP!$C$120,COUNTIF(PAY,C336)=1),OP!$C$123,0)</f>
        <v>0</v>
      </c>
      <c r="AV336" s="298">
        <f ca="1">IF(AND(A336&gt;=OP!$C$132,A336&lt;=OP!$C$133,$C$3=C336),OP!$C$135,0)</f>
        <v>0</v>
      </c>
      <c r="AW336" s="180">
        <f t="shared" ca="1" si="211"/>
        <v>0.05</v>
      </c>
      <c r="AX336" s="180">
        <f t="shared" ca="1" si="212"/>
        <v>0.05</v>
      </c>
      <c r="AY336" s="286">
        <f t="shared" ca="1" si="213"/>
        <v>0</v>
      </c>
      <c r="AZ336" s="286">
        <f t="shared" ca="1" si="214"/>
        <v>0</v>
      </c>
      <c r="BA336" s="286">
        <f t="shared" ca="1" si="215"/>
        <v>0</v>
      </c>
      <c r="BB336" s="286">
        <f t="shared" ca="1" si="216"/>
        <v>0</v>
      </c>
      <c r="BC336" s="286">
        <f t="shared" ca="1" si="217"/>
        <v>0</v>
      </c>
      <c r="BD336" s="180">
        <f t="shared" ca="1" si="218"/>
        <v>0.05</v>
      </c>
      <c r="BE336" s="180">
        <f t="shared" ca="1" si="219"/>
        <v>0.05</v>
      </c>
      <c r="BF336" s="286">
        <f t="shared" ca="1" si="220"/>
        <v>0</v>
      </c>
      <c r="BG336" s="286">
        <f t="shared" ca="1" si="221"/>
        <v>0</v>
      </c>
    </row>
    <row r="337" spans="1:59">
      <c r="A337" s="1">
        <f t="shared" ca="1" si="201"/>
        <v>28</v>
      </c>
      <c r="B337" s="1">
        <f t="shared" ca="1" si="194"/>
        <v>134</v>
      </c>
      <c r="C337" s="1">
        <f t="shared" ca="1" si="195"/>
        <v>3</v>
      </c>
      <c r="D337" s="1">
        <f ca="1">MIN($D$3,VLOOKUP(C337,OP!$S$30:$T$41,2))</f>
        <v>2</v>
      </c>
      <c r="E337" s="1">
        <f t="shared" ca="1" si="196"/>
        <v>82</v>
      </c>
      <c r="F337" s="11" t="str">
        <f t="shared" ca="1" si="202"/>
        <v/>
      </c>
      <c r="G337" s="8">
        <f t="shared" ca="1" si="224"/>
        <v>365</v>
      </c>
      <c r="H337" s="8">
        <f t="shared" ca="1" si="203"/>
        <v>31</v>
      </c>
      <c r="I337" s="8" t="str">
        <f t="shared" ca="1" si="200"/>
        <v>283</v>
      </c>
      <c r="J337" s="13">
        <f>IF(繳費報酬率資料!$A$1=1,VALUE(OP!$C$121),VLOOKUP(A337,MP,2,0))</f>
        <v>0.05</v>
      </c>
      <c r="K337" s="14">
        <f ca="1">IF(SUM($K$4:K336,IF(繳費報酬率資料!$A$1=1,$AU337+$AV337,$BB337+$BC337))&gt;OP!$L$58,0,IF(繳費報酬率資料!$A$1=1,$AU337+$AV337,$BB337+$BC337))</f>
        <v>0</v>
      </c>
      <c r="L337" s="2"/>
      <c r="M337" s="2"/>
      <c r="N337" s="2"/>
      <c r="O337" s="261">
        <f t="shared" ca="1" si="204"/>
        <v>0</v>
      </c>
      <c r="P337" s="261">
        <f t="shared" ca="1" si="222"/>
        <v>0</v>
      </c>
      <c r="Q337" s="3">
        <f ca="1">IF(A337&gt;MAX(OP!$R$17:$R$26),0,VLOOKUP(A337,fees,3,FALSE))</f>
        <v>0</v>
      </c>
      <c r="R337" s="200" t="str">
        <f t="shared" ca="1" si="205"/>
        <v/>
      </c>
      <c r="S337" s="9" t="str">
        <f ca="1">IF(COUNTIF(($T$4:T336),"F")&gt;=1,"",IF(OR(C338&lt;&gt;$C$3,E337=""),"",A337))</f>
        <v/>
      </c>
      <c r="T337" s="20" t="str">
        <f t="shared" ca="1" si="197"/>
        <v/>
      </c>
      <c r="U337" s="2">
        <f ca="1">IF(IF(OP!$C$83=1,$Z336,IF(OP!$C$83=2,$AA336,IF(OP!$C$83=3,$AB336,)))+$K337-$O337-$P337-$AS337&lt;OP!$C$142,0,$AS337)</f>
        <v>0</v>
      </c>
      <c r="V337" s="9"/>
      <c r="W337" s="19">
        <f ca="1">MAX(SUM($K$4:K337),0)</f>
        <v>2000000</v>
      </c>
      <c r="X337" s="19"/>
      <c r="Y337" s="19">
        <f t="shared" ca="1" si="223"/>
        <v>1920000</v>
      </c>
      <c r="Z337" s="2">
        <f ca="1">IF(MIN($Z$4:Z336)=0,0,MAX(0,($Z336+$K337-$O337-$P337)*IF(AND(F337="F",$D$3&lt;&gt;$G$3),((1+(-J337))^(H337/MIN(G337,365))),((1+(-J337))^(1/12)))-$U337))</f>
        <v>460548.00910841406</v>
      </c>
      <c r="AA337" s="2">
        <f ca="1">IF(MIN($AA$4:AA336)=0,0,MAX(0,($AA336+$K337-$O337-$P337)*IF(AND(F337="F",$D$3&lt;&gt;$G$3),((1+$AA$1)^(H337/MIN(G337,365))),((1+$AA$1)^(1/12)))-$U337))</f>
        <v>1920000</v>
      </c>
      <c r="AB337" s="2">
        <f ca="1">IF(MIN($AB$4:AB336)=0,0,MAX(0,($AB336+$K337-$O337-$P337)*IF(AND(F337="F",$D$3&lt;&gt;$G$3),((1+(J337))^(H337/MIN(G337,365))),((1+(J337))^(1/12)))-$U337))</f>
        <v>7465691.7222575517</v>
      </c>
      <c r="AC337" s="5"/>
      <c r="AD337" s="5"/>
      <c r="AE337" s="5"/>
      <c r="AF337" s="282">
        <f t="shared" ca="1" si="206"/>
        <v>460548</v>
      </c>
      <c r="AG337" s="282">
        <f t="shared" ca="1" si="207"/>
        <v>1920000</v>
      </c>
      <c r="AH337" s="282">
        <f t="shared" ca="1" si="208"/>
        <v>7465692</v>
      </c>
      <c r="AI337" s="23" t="str">
        <f t="shared" ca="1" si="225"/>
        <v>28-11</v>
      </c>
      <c r="AJ337" s="282">
        <f ca="1">IF(E337&gt;111,,IF(AND(OP!$C$99=1,T337="F"),Z337,IF(AND(OP!$C$99=2,COUNTIF($T$4:T337,"F")=1),OP!$C$97+IF(F337="F",OP!$C$98,0),"")))</f>
        <v>54527</v>
      </c>
      <c r="AK337" s="282">
        <f ca="1">IF(E337&gt;111,,IF(AND(OP!$D$99=1,T337="F"),AA337,IF(AND(OP!$D$99=2,COUNTIF($T$4:T337,"F")=1),OP!$D$97+IF(F337="F",OP!$D$98,0),"")))</f>
        <v>74177</v>
      </c>
      <c r="AL337" s="282">
        <f ca="1">IF(E337&gt;111,,IF(AND(OP!$E$99=1,T337="F"),AB337,IF(AND(OP!$E$99=2,COUNTIF($T$4:T337,"F")=1),OP!$E$97+IF(F337="F",OP!$E$98,0),"")))</f>
        <v>99404</v>
      </c>
      <c r="AM337" s="1">
        <f t="shared" ca="1" si="198"/>
        <v>11</v>
      </c>
      <c r="AN337" s="1" t="e">
        <f ca="1">IF(OR(VLOOKUP($A337,MP,5,0)="季繳",VLOOKUP($A337,MP,5,0)="月繳"),1,"")</f>
        <v>#N/A</v>
      </c>
      <c r="AO337" s="1">
        <f t="shared" ca="1" si="209"/>
        <v>0</v>
      </c>
      <c r="AP337" s="1" t="str">
        <f ca="1">IF(AND(A337&lt;=OP!$C$120,COUNTIF(PAY,C337)=1),1,"")</f>
        <v/>
      </c>
      <c r="AR337" s="301">
        <f ca="1">IF(繳費報酬率資料!$A$1=1,$AY337+$AZ337,$BF337+$BG337)</f>
        <v>0</v>
      </c>
      <c r="AS337" s="1">
        <f ca="1">IF(C337&lt;&gt;IF($C$3=1,12,$C$3-1),0,IF(繳費報酬率資料!$A$1&lt;&gt;1,VLOOKUP($A337,MP,8,0),IF(AND($A337&gt;=OP!$C$79,$A337&lt;=OP!$C$80),OP!$C$78,)))</f>
        <v>0</v>
      </c>
      <c r="AT337" s="298">
        <f t="shared" ca="1" si="210"/>
        <v>0</v>
      </c>
      <c r="AU337" s="298">
        <f ca="1">IF(AND(A337&lt;=OP!$C$120,COUNTIF(PAY,C337)=1),OP!$C$123,0)</f>
        <v>0</v>
      </c>
      <c r="AV337" s="298">
        <f ca="1">IF(AND(A337&gt;=OP!$C$132,A337&lt;=OP!$C$133,$C$3=C337),OP!$C$135,0)</f>
        <v>0</v>
      </c>
      <c r="AW337" s="180">
        <f t="shared" ca="1" si="211"/>
        <v>0.05</v>
      </c>
      <c r="AX337" s="180">
        <f t="shared" ca="1" si="212"/>
        <v>0.05</v>
      </c>
      <c r="AY337" s="286">
        <f t="shared" ca="1" si="213"/>
        <v>0</v>
      </c>
      <c r="AZ337" s="286">
        <f t="shared" ca="1" si="214"/>
        <v>0</v>
      </c>
      <c r="BA337" s="286">
        <f t="shared" ca="1" si="215"/>
        <v>0</v>
      </c>
      <c r="BB337" s="286">
        <f t="shared" ca="1" si="216"/>
        <v>0</v>
      </c>
      <c r="BC337" s="286">
        <f t="shared" ca="1" si="217"/>
        <v>0</v>
      </c>
      <c r="BD337" s="180">
        <f t="shared" ca="1" si="218"/>
        <v>0.05</v>
      </c>
      <c r="BE337" s="180">
        <f t="shared" ca="1" si="219"/>
        <v>0.05</v>
      </c>
      <c r="BF337" s="286">
        <f t="shared" ca="1" si="220"/>
        <v>0</v>
      </c>
      <c r="BG337" s="286">
        <f t="shared" ca="1" si="221"/>
        <v>0</v>
      </c>
    </row>
    <row r="338" spans="1:59">
      <c r="A338" s="1">
        <f t="shared" ca="1" si="201"/>
        <v>28</v>
      </c>
      <c r="B338" s="1">
        <f t="shared" ca="1" si="194"/>
        <v>134</v>
      </c>
      <c r="C338" s="1">
        <f t="shared" ca="1" si="195"/>
        <v>4</v>
      </c>
      <c r="D338" s="1">
        <f ca="1">MIN($D$3,VLOOKUP(C338,OP!$S$30:$T$41,2))</f>
        <v>2</v>
      </c>
      <c r="E338" s="1">
        <f t="shared" ca="1" si="196"/>
        <v>82</v>
      </c>
      <c r="F338" s="11" t="str">
        <f t="shared" ca="1" si="202"/>
        <v/>
      </c>
      <c r="G338" s="8">
        <f t="shared" ca="1" si="224"/>
        <v>365</v>
      </c>
      <c r="H338" s="8">
        <f t="shared" ca="1" si="203"/>
        <v>30</v>
      </c>
      <c r="I338" s="8" t="str">
        <f t="shared" ca="1" si="200"/>
        <v>284</v>
      </c>
      <c r="J338" s="13">
        <f>IF(繳費報酬率資料!$A$1=1,VALUE(OP!$C$121),VLOOKUP(A338,MP,2,0))</f>
        <v>0.05</v>
      </c>
      <c r="K338" s="14">
        <f ca="1">IF(SUM($K$4:K337,IF(繳費報酬率資料!$A$1=1,$AU338+$AV338,$BB338+$BC338))&gt;OP!$L$58,0,IF(繳費報酬率資料!$A$1=1,$AU338+$AV338,$BB338+$BC338))</f>
        <v>0</v>
      </c>
      <c r="L338" s="2"/>
      <c r="M338" s="2"/>
      <c r="N338" s="2"/>
      <c r="O338" s="261">
        <f t="shared" ca="1" si="204"/>
        <v>0</v>
      </c>
      <c r="P338" s="261">
        <f t="shared" ca="1" si="222"/>
        <v>0</v>
      </c>
      <c r="Q338" s="3">
        <f ca="1">IF(A338&gt;MAX(OP!$R$17:$R$26),0,VLOOKUP(A338,fees,3,FALSE))</f>
        <v>0</v>
      </c>
      <c r="R338" s="200" t="str">
        <f t="shared" ca="1" si="205"/>
        <v/>
      </c>
      <c r="S338" s="9" t="str">
        <f ca="1">IF(COUNTIF(($T$4:T337),"F")&gt;=1,"",IF(OR(C339&lt;&gt;$C$3,E338=""),"",A338))</f>
        <v/>
      </c>
      <c r="T338" s="20" t="str">
        <f t="shared" ca="1" si="197"/>
        <v/>
      </c>
      <c r="U338" s="2">
        <f ca="1">IF(IF(OP!$C$83=1,$Z337,IF(OP!$C$83=2,$AA337,IF(OP!$C$83=3,$AB337,)))+$K338-$O338-$P338-$AS338&lt;OP!$C$142,0,$AS338)</f>
        <v>0</v>
      </c>
      <c r="V338" s="9"/>
      <c r="W338" s="19">
        <f ca="1">MAX(SUM($K$4:K338),0)</f>
        <v>2000000</v>
      </c>
      <c r="X338" s="19"/>
      <c r="Y338" s="19">
        <f t="shared" ca="1" si="223"/>
        <v>1920000</v>
      </c>
      <c r="Z338" s="2">
        <f ca="1">IF(MIN($Z$4:Z337)=0,0,MAX(0,($Z337+$K338-$O338-$P338)*IF(AND(F338="F",$D$3&lt;&gt;$G$3),((1+(-J338))^(H338/MIN(G338,365))),((1+(-J338))^(1/12)))-$U338))</f>
        <v>458583.62503719574</v>
      </c>
      <c r="AA338" s="2">
        <f ca="1">IF(MIN($AA$4:AA337)=0,0,MAX(0,($AA337+$K338-$O338-$P338)*IF(AND(F338="F",$D$3&lt;&gt;$G$3),((1+$AA$1)^(H338/MIN(G338,365))),((1+$AA$1)^(1/12)))-$U338))</f>
        <v>1920000</v>
      </c>
      <c r="AB338" s="2">
        <f ca="1">IF(MIN($AB$4:AB337)=0,0,MAX(0,($AB337+$K338-$O338-$P338)*IF(AND(F338="F",$D$3&lt;&gt;$G$3),((1+(J338))^(H338/MIN(G338,365))),((1+(J338))^(1/12)))-$U338))</f>
        <v>7496107.8744645882</v>
      </c>
      <c r="AC338" s="5"/>
      <c r="AD338" s="5"/>
      <c r="AE338" s="5"/>
      <c r="AF338" s="282">
        <f t="shared" ca="1" si="206"/>
        <v>458584</v>
      </c>
      <c r="AG338" s="282">
        <f t="shared" ca="1" si="207"/>
        <v>1920000</v>
      </c>
      <c r="AH338" s="282">
        <f t="shared" ca="1" si="208"/>
        <v>7496108</v>
      </c>
      <c r="AI338" s="23" t="str">
        <f t="shared" ca="1" si="225"/>
        <v>28-12</v>
      </c>
      <c r="AJ338" s="282">
        <f ca="1">IF(E338&gt;111,,IF(AND(OP!$C$99=1,T338="F"),Z338,IF(AND(OP!$C$99=2,COUNTIF($T$4:T338,"F")=1),OP!$C$97+IF(F338="F",OP!$C$98,0),"")))</f>
        <v>54527</v>
      </c>
      <c r="AK338" s="282">
        <f ca="1">IF(E338&gt;111,,IF(AND(OP!$D$99=1,T338="F"),AA338,IF(AND(OP!$D$99=2,COUNTIF($T$4:T338,"F")=1),OP!$D$97+IF(F338="F",OP!$D$98,0),"")))</f>
        <v>74177</v>
      </c>
      <c r="AL338" s="282">
        <f ca="1">IF(E338&gt;111,,IF(AND(OP!$E$99=1,T338="F"),AB338,IF(AND(OP!$E$99=2,COUNTIF($T$4:T338,"F")=1),OP!$E$97+IF(F338="F",OP!$E$98,0),"")))</f>
        <v>99404</v>
      </c>
      <c r="AM338" s="1">
        <f t="shared" ca="1" si="198"/>
        <v>12</v>
      </c>
      <c r="AN338" s="1" t="e">
        <f ca="1">IF(OR(VLOOKUP($A338,MP,5,0)="月繳"),1,"")</f>
        <v>#N/A</v>
      </c>
      <c r="AO338" s="1">
        <f t="shared" ca="1" si="209"/>
        <v>0</v>
      </c>
      <c r="AP338" s="1" t="str">
        <f ca="1">IF(AND(A338&lt;=OP!$C$120,COUNTIF(PAY,C338)=1),1,"")</f>
        <v/>
      </c>
      <c r="AR338" s="301">
        <f ca="1">IF(繳費報酬率資料!$A$1=1,$AY338+$AZ338,$BF338+$BG338)</f>
        <v>0</v>
      </c>
      <c r="AS338" s="1">
        <f ca="1">IF(C338&lt;&gt;IF($C$3=1,12,$C$3-1),0,IF(繳費報酬率資料!$A$1&lt;&gt;1,VLOOKUP($A338,MP,8,0),IF(AND($A338&gt;=OP!$C$79,$A338&lt;=OP!$C$80),OP!$C$78,)))</f>
        <v>0</v>
      </c>
      <c r="AT338" s="298">
        <f t="shared" ca="1" si="210"/>
        <v>0</v>
      </c>
      <c r="AU338" s="298">
        <f ca="1">IF(AND(A338&lt;=OP!$C$120,COUNTIF(PAY,C338)=1),OP!$C$123,0)</f>
        <v>0</v>
      </c>
      <c r="AV338" s="298">
        <f ca="1">IF(AND(A338&gt;=OP!$C$132,A338&lt;=OP!$C$133,$C$3=C338),OP!$C$135,0)</f>
        <v>0</v>
      </c>
      <c r="AW338" s="180">
        <f t="shared" ca="1" si="211"/>
        <v>0.05</v>
      </c>
      <c r="AX338" s="180">
        <f t="shared" ca="1" si="212"/>
        <v>0.05</v>
      </c>
      <c r="AY338" s="286">
        <f t="shared" ca="1" si="213"/>
        <v>0</v>
      </c>
      <c r="AZ338" s="286">
        <f t="shared" ca="1" si="214"/>
        <v>0</v>
      </c>
      <c r="BA338" s="286">
        <f t="shared" ca="1" si="215"/>
        <v>0</v>
      </c>
      <c r="BB338" s="286">
        <f t="shared" ca="1" si="216"/>
        <v>0</v>
      </c>
      <c r="BC338" s="286">
        <f t="shared" ca="1" si="217"/>
        <v>0</v>
      </c>
      <c r="BD338" s="180">
        <f t="shared" ca="1" si="218"/>
        <v>0.05</v>
      </c>
      <c r="BE338" s="180">
        <f t="shared" ca="1" si="219"/>
        <v>0.05</v>
      </c>
      <c r="BF338" s="286">
        <f t="shared" ca="1" si="220"/>
        <v>0</v>
      </c>
      <c r="BG338" s="286">
        <f t="shared" ca="1" si="221"/>
        <v>0</v>
      </c>
    </row>
    <row r="339" spans="1:59">
      <c r="A339" s="1">
        <f t="shared" ca="1" si="201"/>
        <v>28</v>
      </c>
      <c r="B339" s="1">
        <f t="shared" ca="1" si="194"/>
        <v>134</v>
      </c>
      <c r="C339" s="1">
        <f t="shared" ca="1" si="195"/>
        <v>5</v>
      </c>
      <c r="D339" s="1">
        <f ca="1">MIN($D$3,VLOOKUP(C339,OP!$S$30:$T$41,2))</f>
        <v>2</v>
      </c>
      <c r="E339" s="1">
        <f t="shared" ca="1" si="196"/>
        <v>82</v>
      </c>
      <c r="F339" s="11" t="str">
        <f t="shared" ca="1" si="202"/>
        <v/>
      </c>
      <c r="G339" s="8">
        <f t="shared" ca="1" si="224"/>
        <v>365</v>
      </c>
      <c r="H339" s="8">
        <f t="shared" ca="1" si="203"/>
        <v>31</v>
      </c>
      <c r="I339" s="8" t="str">
        <f t="shared" ca="1" si="200"/>
        <v>285</v>
      </c>
      <c r="J339" s="13">
        <f>IF(繳費報酬率資料!$A$1=1,VALUE(OP!$C$121),VLOOKUP(A339,MP,2,0))</f>
        <v>0.05</v>
      </c>
      <c r="K339" s="14">
        <f ca="1">IF(SUM($K$4:K338,IF(繳費報酬率資料!$A$1=1,$AU339+$AV339,$BB339+$BC339))&gt;OP!$L$58,0,IF(繳費報酬率資料!$A$1=1,$AU339+$AV339,$BB339+$BC339))</f>
        <v>0</v>
      </c>
      <c r="L339" s="2">
        <f ca="1">ROUND(IF(OP!$C$78&lt;(IF(OR($T339="F",$E339&gt;=111),0,Z338+$K339-$O339+IF($C$1=1,OP!$C$78,IF($C340=$C$3,SUM(AC328:AC339,0)))))*5%,0,(OP!$C$78-((IF(OR($T339="F",$E339&gt;=111),0,Z338+$K339-$O339+IF($C$1=1,AC339,IF($C340=$C$3,SUM(AC328:AC339,0)))))*5%))*$Q339),0)</f>
        <v>0</v>
      </c>
      <c r="M339" s="2">
        <f ca="1">ROUND(IF(OP!$C$78&lt;(IF(OR($T339="F",$E339&gt;=111),0,AA338+$K339-$O339+IF($C$1=1,AD339,IF($C340=$C$3,SUM(AD328:AD339,0)))))*5%,0,(OP!$C$78-((IF(OR($T339="F",$E339&gt;=111),0,AA338+$K339-$O339+IF($C$1=1,AD339,IF($C340=$C$3,SUM(AD328:AD339,0)))))*5%))*$Q339),0)</f>
        <v>0</v>
      </c>
      <c r="N339" s="2">
        <f ca="1">ROUND(IF(OP!$C$78&lt;(IF(OR($T339="F",$E339&gt;=111),0,AB338+$K339-$O339+IF($C$1=1,AE339,IF($C340=$C$3,SUM(AE328:AE339,0)))))*5%,0,(OP!$C$78-((IF(OR($T339="F",$E339&gt;=111),0,AB338+$K339-$O339+IF($C$1=1,AE339,IF($C340=$C$3,SUM(AE328:AE339,0)))))*5%))*$Q339),0)</f>
        <v>0</v>
      </c>
      <c r="O339" s="261">
        <f t="shared" ca="1" si="204"/>
        <v>0</v>
      </c>
      <c r="P339" s="261">
        <f t="shared" ca="1" si="222"/>
        <v>0</v>
      </c>
      <c r="Q339" s="3">
        <f ca="1">IF(A339&gt;MAX(OP!$R$17:$R$26),0,VLOOKUP(A339,fees,3,FALSE))</f>
        <v>0</v>
      </c>
      <c r="R339" s="200">
        <f t="shared" ca="1" si="205"/>
        <v>28</v>
      </c>
      <c r="S339" s="9" t="str">
        <f ca="1">IF(COUNTIF(($T$4:T338),"F")&gt;=1,"",IF(OR(C340&lt;&gt;$C$3,E339=""),"",A339))</f>
        <v/>
      </c>
      <c r="T339" s="20" t="str">
        <f t="shared" ca="1" si="197"/>
        <v/>
      </c>
      <c r="U339" s="2">
        <f ca="1">IF(IF(OP!$C$83=1,$Z338,IF(OP!$C$83=2,$AA338,IF(OP!$C$83=3,$AB338,)))+$K339-$O339-$P339-$AS339&lt;OP!$C$142,0,$AS339)</f>
        <v>0</v>
      </c>
      <c r="V339" s="19">
        <f ca="1">SUM(K328:K339)</f>
        <v>0</v>
      </c>
      <c r="W339" s="19">
        <f ca="1">MAX(SUM($K$4:K339),0)</f>
        <v>2000000</v>
      </c>
      <c r="X339" s="19">
        <f ca="1">SUM(O328:P339)</f>
        <v>0</v>
      </c>
      <c r="Y339" s="19">
        <f t="shared" ca="1" si="223"/>
        <v>1920000</v>
      </c>
      <c r="Z339" s="2">
        <f ca="1">IF(MIN($Z$4:Z338)=0,0,MAX(0,($Z338+$K339-$O339-$P339)*IF(AND(F339="F",$D$3&lt;&gt;$G$3),((1+(-J339))^(H339/MIN(G339,365))),((1+(-J339))^(1/12)))-$U339))</f>
        <v>456627.61969024275</v>
      </c>
      <c r="AA339" s="2">
        <f ca="1">IF(MIN($AA$4:AA338)=0,0,MAX(0,($AA338+$K339-$O339-$P339)*IF(AND(F339="F",$D$3&lt;&gt;$G$3),((1+$AA$1)^(H339/MIN(G339,365))),((1+$AA$1)^(1/12)))-$U339))</f>
        <v>1920000</v>
      </c>
      <c r="AB339" s="2">
        <f ca="1">IF(MIN($AB$4:AB338)=0,0,MAX(0,($AB338+$K339-$O339-$P339)*IF(AND(F339="F",$D$3&lt;&gt;$G$3),((1+(J339))^(H339/MIN(G339,365))),((1+(J339))^(1/12)))-$U339))</f>
        <v>7526647.9458407378</v>
      </c>
      <c r="AC339" s="5"/>
      <c r="AD339" s="5"/>
      <c r="AE339" s="5"/>
      <c r="AF339" s="282">
        <f t="shared" ca="1" si="206"/>
        <v>456628</v>
      </c>
      <c r="AG339" s="282">
        <f t="shared" ca="1" si="207"/>
        <v>1920000</v>
      </c>
      <c r="AH339" s="282">
        <f t="shared" ca="1" si="208"/>
        <v>7526648</v>
      </c>
      <c r="AI339" s="23" t="str">
        <f t="shared" ca="1" si="225"/>
        <v>29-1</v>
      </c>
      <c r="AJ339" s="282">
        <f ca="1">IF(E339&gt;111,,IF(AND(OP!$C$99=1,T339="F"),Z339,IF(AND(OP!$C$99=2,COUNTIF($T$4:T339,"F")=1),OP!$C$97+IF(F339="F",OP!$C$98,0),"")))</f>
        <v>54527</v>
      </c>
      <c r="AK339" s="282">
        <f ca="1">IF(E339&gt;111,,IF(AND(OP!$D$99=1,T339="F"),AA339,IF(AND(OP!$D$99=2,COUNTIF($T$4:T339,"F")=1),OP!$D$97+IF(F339="F",OP!$D$98,0),"")))</f>
        <v>74177</v>
      </c>
      <c r="AL339" s="282">
        <f ca="1">IF(E339&gt;111,,IF(AND(OP!$E$99=1,T339="F"),AB339,IF(AND(OP!$E$99=2,COUNTIF($T$4:T339,"F")=1),OP!$E$97+IF(F339="F",OP!$E$98,0),"")))</f>
        <v>99404</v>
      </c>
      <c r="AM339" s="1">
        <f t="shared" ca="1" si="198"/>
        <v>1</v>
      </c>
      <c r="AN339" s="1" t="e">
        <f ca="1">IF(OR(VLOOKUP($A339,MP,5,0)="月繳"),1,"")</f>
        <v>#N/A</v>
      </c>
      <c r="AO339" s="1">
        <f t="shared" ca="1" si="209"/>
        <v>0</v>
      </c>
      <c r="AP339" s="1" t="str">
        <f ca="1">IF(AND(A339&lt;=OP!$C$120,COUNTIF(PAY,C339)=1),1,"")</f>
        <v/>
      </c>
      <c r="AR339" s="301">
        <f ca="1">IF(繳費報酬率資料!$A$1=1,$AY339+$AZ339,$BF339+$BG339)</f>
        <v>0</v>
      </c>
      <c r="AS339" s="1">
        <f ca="1">IF(C339&lt;&gt;IF($C$3=1,12,$C$3-1),0,IF(繳費報酬率資料!$A$1&lt;&gt;1,VLOOKUP($A339,MP,8,0),IF(AND($A339&gt;=OP!$C$79,$A339&lt;=OP!$C$80),OP!$C$78,)))</f>
        <v>0</v>
      </c>
      <c r="AT339" s="298">
        <f t="shared" ca="1" si="210"/>
        <v>0</v>
      </c>
      <c r="AU339" s="298">
        <f ca="1">IF(AND(A339&lt;=OP!$C$120,COUNTIF(PAY,C339)=1),OP!$C$123,0)</f>
        <v>0</v>
      </c>
      <c r="AV339" s="298">
        <f ca="1">IF(AND(A339&gt;=OP!$C$132,A339&lt;=OP!$C$133,$C$3=C339),OP!$C$135,0)</f>
        <v>0</v>
      </c>
      <c r="AW339" s="180">
        <f t="shared" ca="1" si="211"/>
        <v>0.05</v>
      </c>
      <c r="AX339" s="180">
        <f t="shared" ca="1" si="212"/>
        <v>0.05</v>
      </c>
      <c r="AY339" s="286">
        <f t="shared" ca="1" si="213"/>
        <v>0</v>
      </c>
      <c r="AZ339" s="286">
        <f t="shared" ca="1" si="214"/>
        <v>0</v>
      </c>
      <c r="BA339" s="286">
        <f t="shared" ca="1" si="215"/>
        <v>0</v>
      </c>
      <c r="BB339" s="286">
        <f t="shared" ca="1" si="216"/>
        <v>0</v>
      </c>
      <c r="BC339" s="286">
        <f t="shared" ca="1" si="217"/>
        <v>0</v>
      </c>
      <c r="BD339" s="180">
        <f t="shared" ca="1" si="218"/>
        <v>0.05</v>
      </c>
      <c r="BE339" s="180">
        <f t="shared" ca="1" si="219"/>
        <v>0.05</v>
      </c>
      <c r="BF339" s="286">
        <f t="shared" ca="1" si="220"/>
        <v>0</v>
      </c>
      <c r="BG339" s="286">
        <f t="shared" ca="1" si="221"/>
        <v>0</v>
      </c>
    </row>
    <row r="340" spans="1:59">
      <c r="A340" s="1">
        <f t="shared" ca="1" si="201"/>
        <v>29</v>
      </c>
      <c r="B340" s="1">
        <f t="shared" ca="1" si="194"/>
        <v>134</v>
      </c>
      <c r="C340" s="1">
        <f t="shared" ca="1" si="195"/>
        <v>6</v>
      </c>
      <c r="D340" s="1">
        <f ca="1">MIN($D$3,VLOOKUP(C340,OP!$S$30:$T$41,2))</f>
        <v>2</v>
      </c>
      <c r="E340" s="1">
        <f t="shared" ca="1" si="196"/>
        <v>83</v>
      </c>
      <c r="F340" s="11" t="str">
        <f t="shared" ca="1" si="202"/>
        <v/>
      </c>
      <c r="G340" s="6">
        <f ca="1">DATEDIF(DATE(B340+1911,C340,D340),DATE(B352+1911,C352,D352),"d")</f>
        <v>365</v>
      </c>
      <c r="H340" s="8">
        <f t="shared" ca="1" si="203"/>
        <v>30</v>
      </c>
      <c r="I340" s="8" t="str">
        <f t="shared" ca="1" si="200"/>
        <v>296</v>
      </c>
      <c r="J340" s="13">
        <f>IF(繳費報酬率資料!$A$1=1,VALUE(OP!$C$121),VLOOKUP(A340,MP,2,0))</f>
        <v>0.05</v>
      </c>
      <c r="K340" s="14">
        <f ca="1">IF(SUM($K$4:K339,IF(繳費報酬率資料!$A$1=1,$AU340+$AV340,$BB340+$BC340))&gt;OP!$L$58,0,IF(繳費報酬率資料!$A$1=1,$AU340+$AV340,$BB340+$BC340))</f>
        <v>0</v>
      </c>
      <c r="L340" s="2"/>
      <c r="M340" s="2"/>
      <c r="N340" s="2"/>
      <c r="O340" s="261">
        <f t="shared" ca="1" si="204"/>
        <v>0</v>
      </c>
      <c r="P340" s="261">
        <f t="shared" ca="1" si="222"/>
        <v>0</v>
      </c>
      <c r="Q340" s="3">
        <f ca="1">IF(A340&gt;MAX(OP!$R$17:$R$26),0,VLOOKUP(A340,fees,3,FALSE))</f>
        <v>0</v>
      </c>
      <c r="R340" s="200" t="str">
        <f t="shared" ca="1" si="205"/>
        <v/>
      </c>
      <c r="S340" s="9" t="str">
        <f ca="1">IF(COUNTIF(($T$4:T339),"F")&gt;=1,"",IF(OR(C341&lt;&gt;$C$3,E340=""),"",A340))</f>
        <v/>
      </c>
      <c r="T340" s="20" t="str">
        <f t="shared" ca="1" si="197"/>
        <v/>
      </c>
      <c r="U340" s="2">
        <f ca="1">IF(IF(OP!$C$83=1,$Z339,IF(OP!$C$83=2,$AA339,IF(OP!$C$83=3,$AB339,)))+$K340-$O340-$P340-$AS340&lt;OP!$C$142,0,$AS340)</f>
        <v>0</v>
      </c>
      <c r="V340" s="9"/>
      <c r="W340" s="19">
        <f ca="1">MAX(SUM($K$4:K340),0)</f>
        <v>2000000</v>
      </c>
      <c r="X340" s="19"/>
      <c r="Y340" s="19">
        <f t="shared" ca="1" si="223"/>
        <v>1920000</v>
      </c>
      <c r="Z340" s="2">
        <f ca="1">IF(MIN($Z$4:Z339)=0,0,MAX(0,($Z339+$K340-$O340-$P340)*IF(AND(F340="F",$D$3&lt;&gt;$G$3),((1+(-J340))^(H340/MIN(G340,365))),((1+(-J340))^(1/12)))-$U340))</f>
        <v>454679.95732962515</v>
      </c>
      <c r="AA340" s="2">
        <f ca="1">IF(MIN($AA$4:AA339)=0,0,MAX(0,($AA339+$K340-$O340-$P340)*IF(AND(F340="F",$D$3&lt;&gt;$G$3),((1+$AA$1)^(H340/MIN(G340,365))),((1+$AA$1)^(1/12)))-$U340))</f>
        <v>1920000</v>
      </c>
      <c r="AB340" s="2">
        <f ca="1">IF(MIN($AB$4:AB339)=0,0,MAX(0,($AB339+$K340-$O340-$P340)*IF(AND(F340="F",$D$3&lt;&gt;$G$3),((1+(J340))^(H340/MIN(G340,365))),((1+(J340))^(1/12)))-$U340))</f>
        <v>7557312.441248036</v>
      </c>
      <c r="AC340" s="21"/>
      <c r="AD340" s="21"/>
      <c r="AE340" s="21"/>
      <c r="AF340" s="282">
        <f t="shared" ca="1" si="206"/>
        <v>454680</v>
      </c>
      <c r="AG340" s="282">
        <f t="shared" ca="1" si="207"/>
        <v>1920000</v>
      </c>
      <c r="AH340" s="282">
        <f t="shared" ca="1" si="208"/>
        <v>7557312</v>
      </c>
      <c r="AI340" s="23" t="str">
        <f t="shared" ca="1" si="225"/>
        <v>29-2</v>
      </c>
      <c r="AJ340" s="281">
        <f ca="1">IF(E340&gt;111,,IF(AND(OP!$C$99=1,T340="F"),Z340,IF(AND(OP!$C$99=2,COUNTIF($T$4:T340,"F")=1),OP!$C$97+IF(F340="F",OP!$C$98,0),"")))</f>
        <v>54527</v>
      </c>
      <c r="AK340" s="281">
        <f ca="1">IF(E340&gt;111,,IF(AND(OP!$D$99=1,T340="F"),AA340,IF(AND(OP!$D$99=2,COUNTIF($T$4:T340,"F")=1),OP!$D$97+IF(F340="F",OP!$D$98,0),"")))</f>
        <v>74177</v>
      </c>
      <c r="AL340" s="281">
        <f ca="1">IF(E340&gt;111,,IF(AND(OP!$E$99=1,T340="F"),AB340,IF(AND(OP!$E$99=2,COUNTIF($T$4:T340,"F")=1),OP!$E$97+IF(F340="F",OP!$E$98,0),"")))</f>
        <v>99404</v>
      </c>
      <c r="AM340" s="1">
        <f t="shared" ca="1" si="198"/>
        <v>2</v>
      </c>
      <c r="AN340" s="1" t="e">
        <f ca="1">IF(OR(VLOOKUP($A340,MP,5,0)="年繳",VLOOKUP($A340,MP,5,0)="半年繳",VLOOKUP($A340,MP,5,0)="季繳",VLOOKUP($A340,MP,5,0)="月繳"),1,"")</f>
        <v>#N/A</v>
      </c>
      <c r="AO340" s="1">
        <f t="shared" ca="1" si="209"/>
        <v>0</v>
      </c>
      <c r="AP340" s="1" t="str">
        <f ca="1">IF(AND(A340&lt;=OP!$C$120,COUNTIF(PAY,C340)=1),1,"")</f>
        <v/>
      </c>
      <c r="AR340" s="301">
        <f ca="1">IF(繳費報酬率資料!$A$1=1,$AY340+$AZ340,$BF340+$BG340)</f>
        <v>0</v>
      </c>
      <c r="AS340" s="1">
        <f ca="1">IF(C340&lt;&gt;IF($C$3=1,12,$C$3-1),0,IF(繳費報酬率資料!$A$1&lt;&gt;1,VLOOKUP($A340,MP,8,0),IF(AND($A340&gt;=OP!$C$79,$A340&lt;=OP!$C$80),OP!$C$78,)))</f>
        <v>0</v>
      </c>
      <c r="AT340" s="298">
        <f t="shared" ca="1" si="210"/>
        <v>0</v>
      </c>
      <c r="AU340" s="298">
        <f ca="1">IF(AND(A340&lt;=OP!$C$120,COUNTIF(PAY,C340)=1),OP!$C$123,0)</f>
        <v>0</v>
      </c>
      <c r="AV340" s="298">
        <f ca="1">IF(AND(A340&gt;=OP!$C$132,A340&lt;=OP!$C$133,$C$3=C340),OP!$C$135,0)</f>
        <v>0</v>
      </c>
      <c r="AW340" s="180">
        <f t="shared" ca="1" si="211"/>
        <v>0.05</v>
      </c>
      <c r="AX340" s="180">
        <f t="shared" ca="1" si="212"/>
        <v>0.05</v>
      </c>
      <c r="AY340" s="286">
        <f t="shared" ca="1" si="213"/>
        <v>0</v>
      </c>
      <c r="AZ340" s="286">
        <f t="shared" ca="1" si="214"/>
        <v>0</v>
      </c>
      <c r="BA340" s="286">
        <f t="shared" ca="1" si="215"/>
        <v>0</v>
      </c>
      <c r="BB340" s="286">
        <f t="shared" ca="1" si="216"/>
        <v>0</v>
      </c>
      <c r="BC340" s="286">
        <f t="shared" ca="1" si="217"/>
        <v>0</v>
      </c>
      <c r="BD340" s="180">
        <f t="shared" ca="1" si="218"/>
        <v>0.05</v>
      </c>
      <c r="BE340" s="180">
        <f t="shared" ca="1" si="219"/>
        <v>0.05</v>
      </c>
      <c r="BF340" s="286">
        <f t="shared" ca="1" si="220"/>
        <v>0</v>
      </c>
      <c r="BG340" s="286">
        <f t="shared" ca="1" si="221"/>
        <v>0</v>
      </c>
    </row>
    <row r="341" spans="1:59">
      <c r="A341" s="1">
        <f t="shared" ca="1" si="201"/>
        <v>29</v>
      </c>
      <c r="B341" s="1">
        <f t="shared" ca="1" si="194"/>
        <v>134</v>
      </c>
      <c r="C341" s="1">
        <f t="shared" ca="1" si="195"/>
        <v>7</v>
      </c>
      <c r="D341" s="1">
        <f ca="1">MIN($D$3,VLOOKUP(C341,OP!$S$30:$T$41,2))</f>
        <v>2</v>
      </c>
      <c r="E341" s="1">
        <f t="shared" ca="1" si="196"/>
        <v>83</v>
      </c>
      <c r="F341" s="11" t="str">
        <f t="shared" ca="1" si="202"/>
        <v/>
      </c>
      <c r="G341" s="8">
        <f t="shared" ref="G341:G351" ca="1" si="226">G340</f>
        <v>365</v>
      </c>
      <c r="H341" s="8">
        <f t="shared" ca="1" si="203"/>
        <v>31</v>
      </c>
      <c r="I341" s="8" t="str">
        <f t="shared" ca="1" si="200"/>
        <v>297</v>
      </c>
      <c r="J341" s="13">
        <f>IF(繳費報酬率資料!$A$1=1,VALUE(OP!$C$121),VLOOKUP(A341,MP,2,0))</f>
        <v>0.05</v>
      </c>
      <c r="K341" s="14">
        <f ca="1">IF(SUM($K$4:K340,IF(繳費報酬率資料!$A$1=1,$AU341+$AV341,$BB341+$BC341))&gt;OP!$L$58,0,IF(繳費報酬率資料!$A$1=1,$AU341+$AV341,$BB341+$BC341))</f>
        <v>0</v>
      </c>
      <c r="L341" s="2"/>
      <c r="M341" s="2"/>
      <c r="N341" s="2"/>
      <c r="O341" s="261">
        <f t="shared" ca="1" si="204"/>
        <v>0</v>
      </c>
      <c r="P341" s="261">
        <f t="shared" ca="1" si="222"/>
        <v>0</v>
      </c>
      <c r="Q341" s="3">
        <f ca="1">IF(A341&gt;MAX(OP!$R$17:$R$26),0,VLOOKUP(A341,fees,3,FALSE))</f>
        <v>0</v>
      </c>
      <c r="R341" s="200" t="str">
        <f t="shared" ca="1" si="205"/>
        <v/>
      </c>
      <c r="S341" s="9" t="str">
        <f ca="1">IF(COUNTIF(($T$4:T340),"F")&gt;=1,"",IF(OR(C342&lt;&gt;$C$3,E341=""),"",A341))</f>
        <v/>
      </c>
      <c r="T341" s="20" t="str">
        <f t="shared" ca="1" si="197"/>
        <v/>
      </c>
      <c r="U341" s="2">
        <f ca="1">IF(IF(OP!$C$83=1,$Z340,IF(OP!$C$83=2,$AA340,IF(OP!$C$83=3,$AB340,)))+$K341-$O341-$P341-$AS341&lt;OP!$C$142,0,$AS341)</f>
        <v>0</v>
      </c>
      <c r="V341" s="9"/>
      <c r="W341" s="19">
        <f ca="1">MAX(SUM($K$4:K341),0)</f>
        <v>2000000</v>
      </c>
      <c r="X341" s="19"/>
      <c r="Y341" s="19">
        <f t="shared" ca="1" si="223"/>
        <v>1920000</v>
      </c>
      <c r="Z341" s="2">
        <f ca="1">IF(MIN($Z$4:Z340)=0,0,MAX(0,($Z340+$K341-$O341-$P341)*IF(AND(F341="F",$D$3&lt;&gt;$G$3),((1+(-J341))^(H341/MIN(G341,365))),((1+(-J341))^(1/12)))-$U341))</f>
        <v>452740.6023698466</v>
      </c>
      <c r="AA341" s="2">
        <f ca="1">IF(MIN($AA$4:AA340)=0,0,MAX(0,($AA340+$K341-$O341-$P341)*IF(AND(F341="F",$D$3&lt;&gt;$G$3),((1+$AA$1)^(H341/MIN(G341,365))),((1+$AA$1)^(1/12)))-$U341))</f>
        <v>1920000</v>
      </c>
      <c r="AB341" s="2">
        <f ca="1">IF(MIN($AB$4:AB340)=0,0,MAX(0,($AB340+$K341-$O341-$P341)*IF(AND(F341="F",$D$3&lt;&gt;$G$3),((1+(J341))^(H341/MIN(G341,365))),((1+(J341))^(1/12)))-$U341))</f>
        <v>7588101.8676053863</v>
      </c>
      <c r="AC341" s="5"/>
      <c r="AD341" s="5"/>
      <c r="AE341" s="5"/>
      <c r="AF341" s="282">
        <f t="shared" ca="1" si="206"/>
        <v>452741</v>
      </c>
      <c r="AG341" s="282">
        <f t="shared" ca="1" si="207"/>
        <v>1920000</v>
      </c>
      <c r="AH341" s="282">
        <f t="shared" ca="1" si="208"/>
        <v>7588102</v>
      </c>
      <c r="AI341" s="23" t="str">
        <f t="shared" ca="1" si="225"/>
        <v>29-3</v>
      </c>
      <c r="AJ341" s="282">
        <f ca="1">IF(E341&gt;111,,IF(AND(OP!$C$99=1,T341="F"),Z341,IF(AND(OP!$C$99=2,COUNTIF($T$4:T341,"F")=1),OP!$C$97+IF(F341="F",OP!$C$98,0),"")))</f>
        <v>54527</v>
      </c>
      <c r="AK341" s="282">
        <f ca="1">IF(E341&gt;111,,IF(AND(OP!$D$99=1,T341="F"),AA341,IF(AND(OP!$D$99=2,COUNTIF($T$4:T341,"F")=1),OP!$D$97+IF(F341="F",OP!$D$98,0),"")))</f>
        <v>74177</v>
      </c>
      <c r="AL341" s="282">
        <f ca="1">IF(E341&gt;111,,IF(AND(OP!$E$99=1,T341="F"),AB341,IF(AND(OP!$E$99=2,COUNTIF($T$4:T341,"F")=1),OP!$E$97+IF(F341="F",OP!$E$98,0),"")))</f>
        <v>99404</v>
      </c>
      <c r="AM341" s="1">
        <f t="shared" ca="1" si="198"/>
        <v>3</v>
      </c>
      <c r="AN341" s="1" t="e">
        <f ca="1">IF(OR(VLOOKUP($A341,MP,5,0)="月繳"),1,"")</f>
        <v>#N/A</v>
      </c>
      <c r="AO341" s="1">
        <f t="shared" ca="1" si="209"/>
        <v>0</v>
      </c>
      <c r="AP341" s="1" t="str">
        <f ca="1">IF(AND(A341&lt;=OP!$C$120,COUNTIF(PAY,C341)=1),1,"")</f>
        <v/>
      </c>
      <c r="AR341" s="301">
        <f ca="1">IF(繳費報酬率資料!$A$1=1,$AY341+$AZ341,$BF341+$BG341)</f>
        <v>0</v>
      </c>
      <c r="AS341" s="1">
        <f ca="1">IF(C341&lt;&gt;IF($C$3=1,12,$C$3-1),0,IF(繳費報酬率資料!$A$1&lt;&gt;1,VLOOKUP($A341,MP,8,0),IF(AND($A341&gt;=OP!$C$79,$A341&lt;=OP!$C$80),OP!$C$78,)))</f>
        <v>0</v>
      </c>
      <c r="AT341" s="298">
        <f t="shared" ca="1" si="210"/>
        <v>0</v>
      </c>
      <c r="AU341" s="298">
        <f ca="1">IF(AND(A341&lt;=OP!$C$120,COUNTIF(PAY,C341)=1),OP!$C$123,0)</f>
        <v>0</v>
      </c>
      <c r="AV341" s="298">
        <f ca="1">IF(AND(A341&gt;=OP!$C$132,A341&lt;=OP!$C$133,$C$3=C341),OP!$C$135,0)</f>
        <v>0</v>
      </c>
      <c r="AW341" s="180">
        <f t="shared" ca="1" si="211"/>
        <v>0.05</v>
      </c>
      <c r="AX341" s="180">
        <f t="shared" ca="1" si="212"/>
        <v>0.05</v>
      </c>
      <c r="AY341" s="286">
        <f t="shared" ca="1" si="213"/>
        <v>0</v>
      </c>
      <c r="AZ341" s="286">
        <f t="shared" ca="1" si="214"/>
        <v>0</v>
      </c>
      <c r="BA341" s="286">
        <f t="shared" ca="1" si="215"/>
        <v>0</v>
      </c>
      <c r="BB341" s="286">
        <f t="shared" ca="1" si="216"/>
        <v>0</v>
      </c>
      <c r="BC341" s="286">
        <f t="shared" ca="1" si="217"/>
        <v>0</v>
      </c>
      <c r="BD341" s="180">
        <f t="shared" ca="1" si="218"/>
        <v>0.05</v>
      </c>
      <c r="BE341" s="180">
        <f t="shared" ca="1" si="219"/>
        <v>0.05</v>
      </c>
      <c r="BF341" s="286">
        <f t="shared" ca="1" si="220"/>
        <v>0</v>
      </c>
      <c r="BG341" s="286">
        <f t="shared" ca="1" si="221"/>
        <v>0</v>
      </c>
    </row>
    <row r="342" spans="1:59">
      <c r="A342" s="1">
        <f t="shared" ca="1" si="201"/>
        <v>29</v>
      </c>
      <c r="B342" s="1">
        <f t="shared" ca="1" si="194"/>
        <v>134</v>
      </c>
      <c r="C342" s="1">
        <f t="shared" ca="1" si="195"/>
        <v>8</v>
      </c>
      <c r="D342" s="1">
        <f ca="1">MIN($D$3,VLOOKUP(C342,OP!$S$30:$T$41,2))</f>
        <v>2</v>
      </c>
      <c r="E342" s="1">
        <f t="shared" ca="1" si="196"/>
        <v>83</v>
      </c>
      <c r="F342" s="11" t="str">
        <f t="shared" ca="1" si="202"/>
        <v/>
      </c>
      <c r="G342" s="8">
        <f t="shared" ca="1" si="226"/>
        <v>365</v>
      </c>
      <c r="H342" s="8">
        <f t="shared" ca="1" si="203"/>
        <v>31</v>
      </c>
      <c r="I342" s="8" t="str">
        <f t="shared" ca="1" si="200"/>
        <v>298</v>
      </c>
      <c r="J342" s="13">
        <f>IF(繳費報酬率資料!$A$1=1,VALUE(OP!$C$121),VLOOKUP(A342,MP,2,0))</f>
        <v>0.05</v>
      </c>
      <c r="K342" s="14">
        <f ca="1">IF(SUM($K$4:K341,IF(繳費報酬率資料!$A$1=1,$AU342+$AV342,$BB342+$BC342))&gt;OP!$L$58,0,IF(繳費報酬率資料!$A$1=1,$AU342+$AV342,$BB342+$BC342))</f>
        <v>0</v>
      </c>
      <c r="L342" s="2"/>
      <c r="M342" s="2"/>
      <c r="N342" s="2"/>
      <c r="O342" s="261">
        <f t="shared" ca="1" si="204"/>
        <v>0</v>
      </c>
      <c r="P342" s="261">
        <f t="shared" ca="1" si="222"/>
        <v>0</v>
      </c>
      <c r="Q342" s="3">
        <f ca="1">IF(A342&gt;MAX(OP!$R$17:$R$26),0,VLOOKUP(A342,fees,3,FALSE))</f>
        <v>0</v>
      </c>
      <c r="R342" s="200" t="str">
        <f t="shared" ca="1" si="205"/>
        <v/>
      </c>
      <c r="S342" s="9" t="str">
        <f ca="1">IF(COUNTIF(($T$4:T341),"F")&gt;=1,"",IF(OR(C343&lt;&gt;$C$3,E342=""),"",A342))</f>
        <v/>
      </c>
      <c r="T342" s="20" t="str">
        <f t="shared" ca="1" si="197"/>
        <v/>
      </c>
      <c r="U342" s="2">
        <f ca="1">IF(IF(OP!$C$83=1,$Z341,IF(OP!$C$83=2,$AA341,IF(OP!$C$83=3,$AB341,)))+$K342-$O342-$P342-$AS342&lt;OP!$C$142,0,$AS342)</f>
        <v>0</v>
      </c>
      <c r="V342" s="9"/>
      <c r="W342" s="19">
        <f ca="1">MAX(SUM($K$4:K342),0)</f>
        <v>2000000</v>
      </c>
      <c r="X342" s="19"/>
      <c r="Y342" s="19">
        <f t="shared" ca="1" si="223"/>
        <v>1920000</v>
      </c>
      <c r="Z342" s="2">
        <f ca="1">IF(MIN($Z$4:Z341)=0,0,MAX(0,($Z341+$K342-$O342-$P342)*IF(AND(F342="F",$D$3&lt;&gt;$G$3),((1+(-J342))^(H342/MIN(G342,365))),((1+(-J342))^(1/12)))-$U342))</f>
        <v>450809.5193771944</v>
      </c>
      <c r="AA342" s="2">
        <f ca="1">IF(MIN($AA$4:AA341)=0,0,MAX(0,($AA341+$K342-$O342-$P342)*IF(AND(F342="F",$D$3&lt;&gt;$G$3),((1+$AA$1)^(H342/MIN(G342,365))),((1+$AA$1)^(1/12)))-$U342))</f>
        <v>1920000</v>
      </c>
      <c r="AB342" s="2">
        <f ca="1">IF(MIN($AB$4:AB341)=0,0,MAX(0,($AB341+$K342-$O342-$P342)*IF(AND(F342="F",$D$3&lt;&gt;$G$3),((1+(J342))^(H342/MIN(G342,365))),((1+(J342))^(1/12)))-$U342))</f>
        <v>7619016.7338969437</v>
      </c>
      <c r="AC342" s="5"/>
      <c r="AD342" s="5"/>
      <c r="AE342" s="5"/>
      <c r="AF342" s="282">
        <f t="shared" ca="1" si="206"/>
        <v>450810</v>
      </c>
      <c r="AG342" s="282">
        <f t="shared" ca="1" si="207"/>
        <v>1920000</v>
      </c>
      <c r="AH342" s="282">
        <f t="shared" ca="1" si="208"/>
        <v>7619017</v>
      </c>
      <c r="AI342" s="23" t="str">
        <f t="shared" ca="1" si="225"/>
        <v>29-4</v>
      </c>
      <c r="AJ342" s="282">
        <f ca="1">IF(E342&gt;111,,IF(AND(OP!$C$99=1,T342="F"),Z342,IF(AND(OP!$C$99=2,COUNTIF($T$4:T342,"F")=1),OP!$C$97+IF(F342="F",OP!$C$98,0),"")))</f>
        <v>54527</v>
      </c>
      <c r="AK342" s="282">
        <f ca="1">IF(E342&gt;111,,IF(AND(OP!$D$99=1,T342="F"),AA342,IF(AND(OP!$D$99=2,COUNTIF($T$4:T342,"F")=1),OP!$D$97+IF(F342="F",OP!$D$98,0),"")))</f>
        <v>74177</v>
      </c>
      <c r="AL342" s="282">
        <f ca="1">IF(E342&gt;111,,IF(AND(OP!$E$99=1,T342="F"),AB342,IF(AND(OP!$E$99=2,COUNTIF($T$4:T342,"F")=1),OP!$E$97+IF(F342="F",OP!$E$98,0),"")))</f>
        <v>99404</v>
      </c>
      <c r="AM342" s="1">
        <f t="shared" ca="1" si="198"/>
        <v>4</v>
      </c>
      <c r="AN342" s="1" t="e">
        <f ca="1">IF(OR(VLOOKUP($A342,MP,5,0)="月繳"),1,"")</f>
        <v>#N/A</v>
      </c>
      <c r="AO342" s="1">
        <f t="shared" ca="1" si="209"/>
        <v>0</v>
      </c>
      <c r="AP342" s="1" t="str">
        <f ca="1">IF(AND(A342&lt;=OP!$C$120,COUNTIF(PAY,C342)=1),1,"")</f>
        <v/>
      </c>
      <c r="AR342" s="301">
        <f ca="1">IF(繳費報酬率資料!$A$1=1,$AY342+$AZ342,$BF342+$BG342)</f>
        <v>0</v>
      </c>
      <c r="AS342" s="1">
        <f ca="1">IF(C342&lt;&gt;IF($C$3=1,12,$C$3-1),0,IF(繳費報酬率資料!$A$1&lt;&gt;1,VLOOKUP($A342,MP,8,0),IF(AND($A342&gt;=OP!$C$79,$A342&lt;=OP!$C$80),OP!$C$78,)))</f>
        <v>0</v>
      </c>
      <c r="AT342" s="298">
        <f t="shared" ca="1" si="210"/>
        <v>0</v>
      </c>
      <c r="AU342" s="298">
        <f ca="1">IF(AND(A342&lt;=OP!$C$120,COUNTIF(PAY,C342)=1),OP!$C$123,0)</f>
        <v>0</v>
      </c>
      <c r="AV342" s="298">
        <f ca="1">IF(AND(A342&gt;=OP!$C$132,A342&lt;=OP!$C$133,$C$3=C342),OP!$C$135,0)</f>
        <v>0</v>
      </c>
      <c r="AW342" s="180">
        <f t="shared" ca="1" si="211"/>
        <v>0.05</v>
      </c>
      <c r="AX342" s="180">
        <f t="shared" ca="1" si="212"/>
        <v>0.05</v>
      </c>
      <c r="AY342" s="286">
        <f t="shared" ca="1" si="213"/>
        <v>0</v>
      </c>
      <c r="AZ342" s="286">
        <f t="shared" ca="1" si="214"/>
        <v>0</v>
      </c>
      <c r="BA342" s="286">
        <f t="shared" ca="1" si="215"/>
        <v>0</v>
      </c>
      <c r="BB342" s="286">
        <f t="shared" ca="1" si="216"/>
        <v>0</v>
      </c>
      <c r="BC342" s="286">
        <f t="shared" ca="1" si="217"/>
        <v>0</v>
      </c>
      <c r="BD342" s="180">
        <f t="shared" ca="1" si="218"/>
        <v>0.05</v>
      </c>
      <c r="BE342" s="180">
        <f t="shared" ca="1" si="219"/>
        <v>0.05</v>
      </c>
      <c r="BF342" s="286">
        <f t="shared" ca="1" si="220"/>
        <v>0</v>
      </c>
      <c r="BG342" s="286">
        <f t="shared" ca="1" si="221"/>
        <v>0</v>
      </c>
    </row>
    <row r="343" spans="1:59">
      <c r="A343" s="1">
        <f t="shared" ca="1" si="201"/>
        <v>29</v>
      </c>
      <c r="B343" s="1">
        <f t="shared" ca="1" si="194"/>
        <v>134</v>
      </c>
      <c r="C343" s="1">
        <f t="shared" ca="1" si="195"/>
        <v>9</v>
      </c>
      <c r="D343" s="1">
        <f ca="1">MIN($D$3,VLOOKUP(C343,OP!$S$30:$T$41,2))</f>
        <v>2</v>
      </c>
      <c r="E343" s="1">
        <f t="shared" ca="1" si="196"/>
        <v>83</v>
      </c>
      <c r="F343" s="11" t="str">
        <f t="shared" ca="1" si="202"/>
        <v/>
      </c>
      <c r="G343" s="8">
        <f t="shared" ca="1" si="226"/>
        <v>365</v>
      </c>
      <c r="H343" s="8">
        <f t="shared" ca="1" si="203"/>
        <v>30</v>
      </c>
      <c r="I343" s="8" t="str">
        <f t="shared" ca="1" si="200"/>
        <v>299</v>
      </c>
      <c r="J343" s="13">
        <f>IF(繳費報酬率資料!$A$1=1,VALUE(OP!$C$121),VLOOKUP(A343,MP,2,0))</f>
        <v>0.05</v>
      </c>
      <c r="K343" s="14">
        <f ca="1">IF(SUM($K$4:K342,IF(繳費報酬率資料!$A$1=1,$AU343+$AV343,$BB343+$BC343))&gt;OP!$L$58,0,IF(繳費報酬率資料!$A$1=1,$AU343+$AV343,$BB343+$BC343))</f>
        <v>0</v>
      </c>
      <c r="L343" s="2"/>
      <c r="M343" s="2"/>
      <c r="N343" s="2"/>
      <c r="O343" s="261">
        <f t="shared" ca="1" si="204"/>
        <v>0</v>
      </c>
      <c r="P343" s="261">
        <f t="shared" ca="1" si="222"/>
        <v>0</v>
      </c>
      <c r="Q343" s="3">
        <f ca="1">IF(A343&gt;MAX(OP!$R$17:$R$26),0,VLOOKUP(A343,fees,3,FALSE))</f>
        <v>0</v>
      </c>
      <c r="R343" s="200" t="str">
        <f t="shared" ca="1" si="205"/>
        <v/>
      </c>
      <c r="S343" s="9" t="str">
        <f ca="1">IF(COUNTIF(($T$4:T342),"F")&gt;=1,"",IF(OR(C344&lt;&gt;$C$3,E343=""),"",A343))</f>
        <v/>
      </c>
      <c r="T343" s="20" t="str">
        <f t="shared" ca="1" si="197"/>
        <v/>
      </c>
      <c r="U343" s="2">
        <f ca="1">IF(IF(OP!$C$83=1,$Z342,IF(OP!$C$83=2,$AA342,IF(OP!$C$83=3,$AB342,)))+$K343-$O343-$P343-$AS343&lt;OP!$C$142,0,$AS343)</f>
        <v>0</v>
      </c>
      <c r="V343" s="9"/>
      <c r="W343" s="19">
        <f ca="1">MAX(SUM($K$4:K343),0)</f>
        <v>2000000</v>
      </c>
      <c r="X343" s="19"/>
      <c r="Y343" s="19">
        <f t="shared" ca="1" si="223"/>
        <v>1920000</v>
      </c>
      <c r="Z343" s="2">
        <f ca="1">IF(MIN($Z$4:Z342)=0,0,MAX(0,($Z342+$K343-$O343-$P343)*IF(AND(F343="F",$D$3&lt;&gt;$G$3),((1+(-J343))^(H343/MIN(G343,365))),((1+(-J343))^(1/12)))-$U343))</f>
        <v>448886.67306909175</v>
      </c>
      <c r="AA343" s="2">
        <f ca="1">IF(MIN($AA$4:AA342)=0,0,MAX(0,($AA342+$K343-$O343-$P343)*IF(AND(F343="F",$D$3&lt;&gt;$G$3),((1+$AA$1)^(H343/MIN(G343,365))),((1+$AA$1)^(1/12)))-$U343))</f>
        <v>1920000</v>
      </c>
      <c r="AB343" s="2">
        <f ca="1">IF(MIN($AB$4:AB342)=0,0,MAX(0,($AB342+$K343-$O343-$P343)*IF(AND(F343="F",$D$3&lt;&gt;$G$3),((1+(J343))^(H343/MIN(G343,365))),((1+(J343))^(1/12)))-$U343))</f>
        <v>7650057.5511805285</v>
      </c>
      <c r="AC343" s="5"/>
      <c r="AD343" s="5"/>
      <c r="AE343" s="5"/>
      <c r="AF343" s="282">
        <f t="shared" ca="1" si="206"/>
        <v>448887</v>
      </c>
      <c r="AG343" s="282">
        <f t="shared" ca="1" si="207"/>
        <v>1920000</v>
      </c>
      <c r="AH343" s="282">
        <f t="shared" ca="1" si="208"/>
        <v>7650058</v>
      </c>
      <c r="AI343" s="23" t="str">
        <f t="shared" ca="1" si="225"/>
        <v>29-5</v>
      </c>
      <c r="AJ343" s="282">
        <f ca="1">IF(E343&gt;111,,IF(AND(OP!$C$99=1,T343="F"),Z343,IF(AND(OP!$C$99=2,COUNTIF($T$4:T343,"F")=1),OP!$C$97+IF(F343="F",OP!$C$98,0),"")))</f>
        <v>54527</v>
      </c>
      <c r="AK343" s="282">
        <f ca="1">IF(E343&gt;111,,IF(AND(OP!$D$99=1,T343="F"),AA343,IF(AND(OP!$D$99=2,COUNTIF($T$4:T343,"F")=1),OP!$D$97+IF(F343="F",OP!$D$98,0),"")))</f>
        <v>74177</v>
      </c>
      <c r="AL343" s="282">
        <f ca="1">IF(E343&gt;111,,IF(AND(OP!$E$99=1,T343="F"),AB343,IF(AND(OP!$E$99=2,COUNTIF($T$4:T343,"F")=1),OP!$E$97+IF(F343="F",OP!$E$98,0),"")))</f>
        <v>99404</v>
      </c>
      <c r="AM343" s="1">
        <f t="shared" ca="1" si="198"/>
        <v>5</v>
      </c>
      <c r="AN343" s="1" t="e">
        <f ca="1">IF(OR(VLOOKUP($A343,MP,5,0)="季繳",VLOOKUP($A343,MP,5,0)="月繳"),1,"")</f>
        <v>#N/A</v>
      </c>
      <c r="AO343" s="1">
        <f t="shared" ca="1" si="209"/>
        <v>0</v>
      </c>
      <c r="AP343" s="1" t="str">
        <f ca="1">IF(AND(A343&lt;=OP!$C$120,COUNTIF(PAY,C343)=1),1,"")</f>
        <v/>
      </c>
      <c r="AR343" s="301">
        <f ca="1">IF(繳費報酬率資料!$A$1=1,$AY343+$AZ343,$BF343+$BG343)</f>
        <v>0</v>
      </c>
      <c r="AS343" s="1">
        <f ca="1">IF(C343&lt;&gt;IF($C$3=1,12,$C$3-1),0,IF(繳費報酬率資料!$A$1&lt;&gt;1,VLOOKUP($A343,MP,8,0),IF(AND($A343&gt;=OP!$C$79,$A343&lt;=OP!$C$80),OP!$C$78,)))</f>
        <v>0</v>
      </c>
      <c r="AT343" s="298">
        <f t="shared" ca="1" si="210"/>
        <v>0</v>
      </c>
      <c r="AU343" s="298">
        <f ca="1">IF(AND(A343&lt;=OP!$C$120,COUNTIF(PAY,C343)=1),OP!$C$123,0)</f>
        <v>0</v>
      </c>
      <c r="AV343" s="298">
        <f ca="1">IF(AND(A343&gt;=OP!$C$132,A343&lt;=OP!$C$133,$C$3=C343),OP!$C$135,0)</f>
        <v>0</v>
      </c>
      <c r="AW343" s="180">
        <f t="shared" ca="1" si="211"/>
        <v>0.05</v>
      </c>
      <c r="AX343" s="180">
        <f t="shared" ca="1" si="212"/>
        <v>0.05</v>
      </c>
      <c r="AY343" s="286">
        <f t="shared" ca="1" si="213"/>
        <v>0</v>
      </c>
      <c r="AZ343" s="286">
        <f t="shared" ca="1" si="214"/>
        <v>0</v>
      </c>
      <c r="BA343" s="286">
        <f t="shared" ca="1" si="215"/>
        <v>0</v>
      </c>
      <c r="BB343" s="286">
        <f t="shared" ca="1" si="216"/>
        <v>0</v>
      </c>
      <c r="BC343" s="286">
        <f t="shared" ca="1" si="217"/>
        <v>0</v>
      </c>
      <c r="BD343" s="180">
        <f t="shared" ca="1" si="218"/>
        <v>0.05</v>
      </c>
      <c r="BE343" s="180">
        <f t="shared" ca="1" si="219"/>
        <v>0.05</v>
      </c>
      <c r="BF343" s="286">
        <f t="shared" ca="1" si="220"/>
        <v>0</v>
      </c>
      <c r="BG343" s="286">
        <f t="shared" ca="1" si="221"/>
        <v>0</v>
      </c>
    </row>
    <row r="344" spans="1:59">
      <c r="A344" s="1">
        <f t="shared" ca="1" si="201"/>
        <v>29</v>
      </c>
      <c r="B344" s="1">
        <f t="shared" ca="1" si="194"/>
        <v>134</v>
      </c>
      <c r="C344" s="1">
        <f t="shared" ca="1" si="195"/>
        <v>10</v>
      </c>
      <c r="D344" s="1">
        <f ca="1">MIN($D$3,VLOOKUP(C344,OP!$S$30:$T$41,2))</f>
        <v>2</v>
      </c>
      <c r="E344" s="1">
        <f t="shared" ca="1" si="196"/>
        <v>83</v>
      </c>
      <c r="F344" s="11" t="str">
        <f t="shared" ca="1" si="202"/>
        <v/>
      </c>
      <c r="G344" s="8">
        <f t="shared" ca="1" si="226"/>
        <v>365</v>
      </c>
      <c r="H344" s="8">
        <f t="shared" ca="1" si="203"/>
        <v>31</v>
      </c>
      <c r="I344" s="8" t="str">
        <f t="shared" ca="1" si="200"/>
        <v>2910</v>
      </c>
      <c r="J344" s="13">
        <f>IF(繳費報酬率資料!$A$1=1,VALUE(OP!$C$121),VLOOKUP(A344,MP,2,0))</f>
        <v>0.05</v>
      </c>
      <c r="K344" s="14">
        <f ca="1">IF(SUM($K$4:K343,IF(繳費報酬率資料!$A$1=1,$AU344+$AV344,$BB344+$BC344))&gt;OP!$L$58,0,IF(繳費報酬率資料!$A$1=1,$AU344+$AV344,$BB344+$BC344))</f>
        <v>0</v>
      </c>
      <c r="L344" s="2"/>
      <c r="M344" s="2"/>
      <c r="N344" s="2"/>
      <c r="O344" s="261">
        <f t="shared" ca="1" si="204"/>
        <v>0</v>
      </c>
      <c r="P344" s="261">
        <f t="shared" ca="1" si="222"/>
        <v>0</v>
      </c>
      <c r="Q344" s="3">
        <f ca="1">IF(A344&gt;MAX(OP!$R$17:$R$26),0,VLOOKUP(A344,fees,3,FALSE))</f>
        <v>0</v>
      </c>
      <c r="R344" s="200" t="str">
        <f t="shared" ca="1" si="205"/>
        <v/>
      </c>
      <c r="S344" s="9" t="str">
        <f ca="1">IF(COUNTIF(($T$4:T343),"F")&gt;=1,"",IF(OR(C345&lt;&gt;$C$3,E344=""),"",A344))</f>
        <v/>
      </c>
      <c r="T344" s="20" t="str">
        <f t="shared" ca="1" si="197"/>
        <v/>
      </c>
      <c r="U344" s="2">
        <f ca="1">IF(IF(OP!$C$83=1,$Z343,IF(OP!$C$83=2,$AA343,IF(OP!$C$83=3,$AB343,)))+$K344-$O344-$P344-$AS344&lt;OP!$C$142,0,$AS344)</f>
        <v>0</v>
      </c>
      <c r="V344" s="9"/>
      <c r="W344" s="19">
        <f ca="1">MAX(SUM($K$4:K344),0)</f>
        <v>2000000</v>
      </c>
      <c r="X344" s="19"/>
      <c r="Y344" s="19">
        <f t="shared" ca="1" si="223"/>
        <v>1920000</v>
      </c>
      <c r="Z344" s="2">
        <f ca="1">IF(MIN($Z$4:Z343)=0,0,MAX(0,($Z343+$K344-$O344-$P344)*IF(AND(F344="F",$D$3&lt;&gt;$G$3),((1+(-J344))^(H344/MIN(G344,365))),((1+(-J344))^(1/12)))-$U344))</f>
        <v>446972.02831345343</v>
      </c>
      <c r="AA344" s="2">
        <f ca="1">IF(MIN($AA$4:AA343)=0,0,MAX(0,($AA343+$K344-$O344-$P344)*IF(AND(F344="F",$D$3&lt;&gt;$G$3),((1+$AA$1)^(H344/MIN(G344,365))),((1+$AA$1)^(1/12)))-$U344))</f>
        <v>1920000</v>
      </c>
      <c r="AB344" s="2">
        <f ca="1">IF(MIN($AB$4:AB343)=0,0,MAX(0,($AB343+$K344-$O344-$P344)*IF(AND(F344="F",$D$3&lt;&gt;$G$3),((1+(J344))^(H344/MIN(G344,365))),((1+(J344))^(1/12)))-$U344))</f>
        <v>7681224.832596072</v>
      </c>
      <c r="AC344" s="5"/>
      <c r="AD344" s="5"/>
      <c r="AE344" s="5"/>
      <c r="AF344" s="282">
        <f t="shared" ca="1" si="206"/>
        <v>446972</v>
      </c>
      <c r="AG344" s="282">
        <f t="shared" ca="1" si="207"/>
        <v>1920000</v>
      </c>
      <c r="AH344" s="282">
        <f t="shared" ca="1" si="208"/>
        <v>7681225</v>
      </c>
      <c r="AI344" s="23" t="str">
        <f t="shared" ca="1" si="225"/>
        <v>29-6</v>
      </c>
      <c r="AJ344" s="282">
        <f ca="1">IF(E344&gt;111,,IF(AND(OP!$C$99=1,T344="F"),Z344,IF(AND(OP!$C$99=2,COUNTIF($T$4:T344,"F")=1),OP!$C$97+IF(F344="F",OP!$C$98,0),"")))</f>
        <v>54527</v>
      </c>
      <c r="AK344" s="282">
        <f ca="1">IF(E344&gt;111,,IF(AND(OP!$D$99=1,T344="F"),AA344,IF(AND(OP!$D$99=2,COUNTIF($T$4:T344,"F")=1),OP!$D$97+IF(F344="F",OP!$D$98,0),"")))</f>
        <v>74177</v>
      </c>
      <c r="AL344" s="282">
        <f ca="1">IF(E344&gt;111,,IF(AND(OP!$E$99=1,T344="F"),AB344,IF(AND(OP!$E$99=2,COUNTIF($T$4:T344,"F")=1),OP!$E$97+IF(F344="F",OP!$E$98,0),"")))</f>
        <v>99404</v>
      </c>
      <c r="AM344" s="1">
        <f t="shared" ca="1" si="198"/>
        <v>6</v>
      </c>
      <c r="AN344" s="1" t="e">
        <f ca="1">IF(OR(VLOOKUP($A344,MP,5,0)="月繳"),1,"")</f>
        <v>#N/A</v>
      </c>
      <c r="AO344" s="1">
        <f t="shared" ca="1" si="209"/>
        <v>0</v>
      </c>
      <c r="AP344" s="1" t="str">
        <f ca="1">IF(AND(A344&lt;=OP!$C$120,COUNTIF(PAY,C344)=1),1,"")</f>
        <v/>
      </c>
      <c r="AR344" s="301">
        <f ca="1">IF(繳費報酬率資料!$A$1=1,$AY344+$AZ344,$BF344+$BG344)</f>
        <v>0</v>
      </c>
      <c r="AS344" s="1">
        <f ca="1">IF(C344&lt;&gt;IF($C$3=1,12,$C$3-1),0,IF(繳費報酬率資料!$A$1&lt;&gt;1,VLOOKUP($A344,MP,8,0),IF(AND($A344&gt;=OP!$C$79,$A344&lt;=OP!$C$80),OP!$C$78,)))</f>
        <v>0</v>
      </c>
      <c r="AT344" s="298">
        <f t="shared" ca="1" si="210"/>
        <v>0</v>
      </c>
      <c r="AU344" s="298">
        <f ca="1">IF(AND(A344&lt;=OP!$C$120,COUNTIF(PAY,C344)=1),OP!$C$123,0)</f>
        <v>0</v>
      </c>
      <c r="AV344" s="298">
        <f ca="1">IF(AND(A344&gt;=OP!$C$132,A344&lt;=OP!$C$133,$C$3=C344),OP!$C$135,0)</f>
        <v>0</v>
      </c>
      <c r="AW344" s="180">
        <f t="shared" ca="1" si="211"/>
        <v>0.05</v>
      </c>
      <c r="AX344" s="180">
        <f t="shared" ca="1" si="212"/>
        <v>0.05</v>
      </c>
      <c r="AY344" s="286">
        <f t="shared" ca="1" si="213"/>
        <v>0</v>
      </c>
      <c r="AZ344" s="286">
        <f t="shared" ca="1" si="214"/>
        <v>0</v>
      </c>
      <c r="BA344" s="286">
        <f t="shared" ca="1" si="215"/>
        <v>0</v>
      </c>
      <c r="BB344" s="286">
        <f t="shared" ca="1" si="216"/>
        <v>0</v>
      </c>
      <c r="BC344" s="286">
        <f t="shared" ca="1" si="217"/>
        <v>0</v>
      </c>
      <c r="BD344" s="180">
        <f t="shared" ca="1" si="218"/>
        <v>0.05</v>
      </c>
      <c r="BE344" s="180">
        <f t="shared" ca="1" si="219"/>
        <v>0.05</v>
      </c>
      <c r="BF344" s="286">
        <f t="shared" ca="1" si="220"/>
        <v>0</v>
      </c>
      <c r="BG344" s="286">
        <f t="shared" ca="1" si="221"/>
        <v>0</v>
      </c>
    </row>
    <row r="345" spans="1:59">
      <c r="A345" s="1">
        <f t="shared" ca="1" si="201"/>
        <v>29</v>
      </c>
      <c r="B345" s="1">
        <f t="shared" ca="1" si="194"/>
        <v>134</v>
      </c>
      <c r="C345" s="1">
        <f t="shared" ca="1" si="195"/>
        <v>11</v>
      </c>
      <c r="D345" s="1">
        <f ca="1">MIN($D$3,VLOOKUP(C345,OP!$S$30:$T$41,2))</f>
        <v>2</v>
      </c>
      <c r="E345" s="1">
        <f t="shared" ca="1" si="196"/>
        <v>83</v>
      </c>
      <c r="F345" s="11" t="str">
        <f t="shared" ca="1" si="202"/>
        <v/>
      </c>
      <c r="G345" s="8">
        <f t="shared" ca="1" si="226"/>
        <v>365</v>
      </c>
      <c r="H345" s="8">
        <f t="shared" ca="1" si="203"/>
        <v>30</v>
      </c>
      <c r="I345" s="8" t="str">
        <f t="shared" ca="1" si="200"/>
        <v>2911</v>
      </c>
      <c r="J345" s="13">
        <f>IF(繳費報酬率資料!$A$1=1,VALUE(OP!$C$121),VLOOKUP(A345,MP,2,0))</f>
        <v>0.05</v>
      </c>
      <c r="K345" s="14">
        <f ca="1">IF(SUM($K$4:K344,IF(繳費報酬率資料!$A$1=1,$AU345+$AV345,$BB345+$BC345))&gt;OP!$L$58,0,IF(繳費報酬率資料!$A$1=1,$AU345+$AV345,$BB345+$BC345))</f>
        <v>0</v>
      </c>
      <c r="L345" s="2"/>
      <c r="M345" s="2"/>
      <c r="N345" s="2"/>
      <c r="O345" s="261">
        <f t="shared" ca="1" si="204"/>
        <v>0</v>
      </c>
      <c r="P345" s="261">
        <f t="shared" ca="1" si="222"/>
        <v>0</v>
      </c>
      <c r="Q345" s="3">
        <f ca="1">IF(A345&gt;MAX(OP!$R$17:$R$26),0,VLOOKUP(A345,fees,3,FALSE))</f>
        <v>0</v>
      </c>
      <c r="R345" s="200" t="str">
        <f t="shared" ca="1" si="205"/>
        <v/>
      </c>
      <c r="S345" s="9" t="str">
        <f ca="1">IF(COUNTIF(($T$4:T344),"F")&gt;=1,"",IF(OR(C346&lt;&gt;$C$3,E345=""),"",A345))</f>
        <v/>
      </c>
      <c r="T345" s="20" t="str">
        <f t="shared" ca="1" si="197"/>
        <v/>
      </c>
      <c r="U345" s="2">
        <f ca="1">IF(IF(OP!$C$83=1,$Z344,IF(OP!$C$83=2,$AA344,IF(OP!$C$83=3,$AB344,)))+$K345-$O345-$P345-$AS345&lt;OP!$C$142,0,$AS345)</f>
        <v>0</v>
      </c>
      <c r="V345" s="9"/>
      <c r="W345" s="19">
        <f ca="1">MAX(SUM($K$4:K345),0)</f>
        <v>2000000</v>
      </c>
      <c r="X345" s="19"/>
      <c r="Y345" s="19">
        <f t="shared" ca="1" si="223"/>
        <v>1920000</v>
      </c>
      <c r="Z345" s="2">
        <f ca="1">IF(MIN($Z$4:Z344)=0,0,MAX(0,($Z344+$K345-$O345-$P345)*IF(AND(F345="F",$D$3&lt;&gt;$G$3),((1+(-J345))^(H345/MIN(G345,365))),((1+(-J345))^(1/12)))-$U345))</f>
        <v>445065.55012804369</v>
      </c>
      <c r="AA345" s="2">
        <f ca="1">IF(MIN($AA$4:AA344)=0,0,MAX(0,($AA344+$K345-$O345-$P345)*IF(AND(F345="F",$D$3&lt;&gt;$G$3),((1+$AA$1)^(H345/MIN(G345,365))),((1+$AA$1)^(1/12)))-$U345))</f>
        <v>1920000</v>
      </c>
      <c r="AB345" s="2">
        <f ca="1">IF(MIN($AB$4:AB344)=0,0,MAX(0,($AB344+$K345-$O345-$P345)*IF(AND(F345="F",$D$3&lt;&gt;$G$3),((1+(J345))^(H345/MIN(G345,365))),((1+(J345))^(1/12)))-$U345))</f>
        <v>7712519.0933741024</v>
      </c>
      <c r="AC345" s="5"/>
      <c r="AD345" s="5"/>
      <c r="AE345" s="5"/>
      <c r="AF345" s="282">
        <f t="shared" ca="1" si="206"/>
        <v>445066</v>
      </c>
      <c r="AG345" s="282">
        <f t="shared" ca="1" si="207"/>
        <v>1920000</v>
      </c>
      <c r="AH345" s="282">
        <f t="shared" ca="1" si="208"/>
        <v>7712519</v>
      </c>
      <c r="AI345" s="23" t="str">
        <f t="shared" ca="1" si="225"/>
        <v>29-7</v>
      </c>
      <c r="AJ345" s="282">
        <f ca="1">IF(E345&gt;111,,IF(AND(OP!$C$99=1,T345="F"),Z345,IF(AND(OP!$C$99=2,COUNTIF($T$4:T345,"F")=1),OP!$C$97+IF(F345="F",OP!$C$98,0),"")))</f>
        <v>54527</v>
      </c>
      <c r="AK345" s="282">
        <f ca="1">IF(E345&gt;111,,IF(AND(OP!$D$99=1,T345="F"),AA345,IF(AND(OP!$D$99=2,COUNTIF($T$4:T345,"F")=1),OP!$D$97+IF(F345="F",OP!$D$98,0),"")))</f>
        <v>74177</v>
      </c>
      <c r="AL345" s="282">
        <f ca="1">IF(E345&gt;111,,IF(AND(OP!$E$99=1,T345="F"),AB345,IF(AND(OP!$E$99=2,COUNTIF($T$4:T345,"F")=1),OP!$E$97+IF(F345="F",OP!$E$98,0),"")))</f>
        <v>99404</v>
      </c>
      <c r="AM345" s="1">
        <f t="shared" ca="1" si="198"/>
        <v>7</v>
      </c>
      <c r="AN345" s="1" t="e">
        <f ca="1">IF(OR(VLOOKUP($A345,MP,5,0)="月繳"),1,"")</f>
        <v>#N/A</v>
      </c>
      <c r="AO345" s="1">
        <f t="shared" ca="1" si="209"/>
        <v>0</v>
      </c>
      <c r="AP345" s="1" t="str">
        <f ca="1">IF(AND(A345&lt;=OP!$C$120,COUNTIF(PAY,C345)=1),1,"")</f>
        <v/>
      </c>
      <c r="AR345" s="301">
        <f ca="1">IF(繳費報酬率資料!$A$1=1,$AY345+$AZ345,$BF345+$BG345)</f>
        <v>0</v>
      </c>
      <c r="AS345" s="1">
        <f ca="1">IF(C345&lt;&gt;IF($C$3=1,12,$C$3-1),0,IF(繳費報酬率資料!$A$1&lt;&gt;1,VLOOKUP($A345,MP,8,0),IF(AND($A345&gt;=OP!$C$79,$A345&lt;=OP!$C$80),OP!$C$78,)))</f>
        <v>0</v>
      </c>
      <c r="AT345" s="298">
        <f t="shared" ca="1" si="210"/>
        <v>0</v>
      </c>
      <c r="AU345" s="298">
        <f ca="1">IF(AND(A345&lt;=OP!$C$120,COUNTIF(PAY,C345)=1),OP!$C$123,0)</f>
        <v>0</v>
      </c>
      <c r="AV345" s="298">
        <f ca="1">IF(AND(A345&gt;=OP!$C$132,A345&lt;=OP!$C$133,$C$3=C345),OP!$C$135,0)</f>
        <v>0</v>
      </c>
      <c r="AW345" s="180">
        <f t="shared" ca="1" si="211"/>
        <v>0.05</v>
      </c>
      <c r="AX345" s="180">
        <f t="shared" ca="1" si="212"/>
        <v>0.05</v>
      </c>
      <c r="AY345" s="286">
        <f t="shared" ca="1" si="213"/>
        <v>0</v>
      </c>
      <c r="AZ345" s="286">
        <f t="shared" ca="1" si="214"/>
        <v>0</v>
      </c>
      <c r="BA345" s="286">
        <f t="shared" ca="1" si="215"/>
        <v>0</v>
      </c>
      <c r="BB345" s="286">
        <f t="shared" ca="1" si="216"/>
        <v>0</v>
      </c>
      <c r="BC345" s="286">
        <f t="shared" ca="1" si="217"/>
        <v>0</v>
      </c>
      <c r="BD345" s="180">
        <f t="shared" ca="1" si="218"/>
        <v>0.05</v>
      </c>
      <c r="BE345" s="180">
        <f t="shared" ca="1" si="219"/>
        <v>0.05</v>
      </c>
      <c r="BF345" s="286">
        <f t="shared" ca="1" si="220"/>
        <v>0</v>
      </c>
      <c r="BG345" s="286">
        <f t="shared" ca="1" si="221"/>
        <v>0</v>
      </c>
    </row>
    <row r="346" spans="1:59">
      <c r="A346" s="1">
        <f t="shared" ca="1" si="201"/>
        <v>29</v>
      </c>
      <c r="B346" s="1">
        <f t="shared" ca="1" si="194"/>
        <v>134</v>
      </c>
      <c r="C346" s="1">
        <f t="shared" ca="1" si="195"/>
        <v>12</v>
      </c>
      <c r="D346" s="1">
        <f ca="1">MIN($D$3,VLOOKUP(C346,OP!$S$30:$T$41,2))</f>
        <v>2</v>
      </c>
      <c r="E346" s="1">
        <f t="shared" ca="1" si="196"/>
        <v>83</v>
      </c>
      <c r="F346" s="11" t="str">
        <f t="shared" ca="1" si="202"/>
        <v/>
      </c>
      <c r="G346" s="8">
        <f t="shared" ca="1" si="226"/>
        <v>365</v>
      </c>
      <c r="H346" s="8">
        <f t="shared" ca="1" si="203"/>
        <v>31</v>
      </c>
      <c r="I346" s="8" t="str">
        <f t="shared" ca="1" si="200"/>
        <v>2912</v>
      </c>
      <c r="J346" s="13">
        <f>IF(繳費報酬率資料!$A$1=1,VALUE(OP!$C$121),VLOOKUP(A346,MP,2,0))</f>
        <v>0.05</v>
      </c>
      <c r="K346" s="14">
        <f ca="1">IF(SUM($K$4:K345,IF(繳費報酬率資料!$A$1=1,$AU346+$AV346,$BB346+$BC346))&gt;OP!$L$58,0,IF(繳費報酬率資料!$A$1=1,$AU346+$AV346,$BB346+$BC346))</f>
        <v>0</v>
      </c>
      <c r="L346" s="2"/>
      <c r="M346" s="2"/>
      <c r="N346" s="2"/>
      <c r="O346" s="261">
        <f t="shared" ca="1" si="204"/>
        <v>0</v>
      </c>
      <c r="P346" s="261">
        <f t="shared" ca="1" si="222"/>
        <v>0</v>
      </c>
      <c r="Q346" s="3">
        <f ca="1">IF(A346&gt;MAX(OP!$R$17:$R$26),0,VLOOKUP(A346,fees,3,FALSE))</f>
        <v>0</v>
      </c>
      <c r="R346" s="200" t="str">
        <f t="shared" ca="1" si="205"/>
        <v/>
      </c>
      <c r="S346" s="9" t="str">
        <f ca="1">IF(COUNTIF(($T$4:T345),"F")&gt;=1,"",IF(OR(C347&lt;&gt;$C$3,E346=""),"",A346))</f>
        <v/>
      </c>
      <c r="T346" s="20" t="str">
        <f t="shared" ca="1" si="197"/>
        <v/>
      </c>
      <c r="U346" s="2">
        <f ca="1">IF(IF(OP!$C$83=1,$Z345,IF(OP!$C$83=2,$AA345,IF(OP!$C$83=3,$AB345,)))+$K346-$O346-$P346-$AS346&lt;OP!$C$142,0,$AS346)</f>
        <v>0</v>
      </c>
      <c r="V346" s="9"/>
      <c r="W346" s="19">
        <f ca="1">MAX(SUM($K$4:K346),0)</f>
        <v>2000000</v>
      </c>
      <c r="X346" s="19"/>
      <c r="Y346" s="19">
        <f t="shared" ca="1" si="223"/>
        <v>1920000</v>
      </c>
      <c r="Z346" s="2">
        <f ca="1">IF(MIN($Z$4:Z345)=0,0,MAX(0,($Z345+$K346-$O346-$P346)*IF(AND(F346="F",$D$3&lt;&gt;$G$3),((1+(-J346))^(H346/MIN(G346,365))),((1+(-J346))^(1/12)))-$U346))</f>
        <v>443167.20367983717</v>
      </c>
      <c r="AA346" s="2">
        <f ca="1">IF(MIN($AA$4:AA345)=0,0,MAX(0,($AA345+$K346-$O346-$P346)*IF(AND(F346="F",$D$3&lt;&gt;$G$3),((1+$AA$1)^(H346/MIN(G346,365))),((1+$AA$1)^(1/12)))-$U346))</f>
        <v>1920000</v>
      </c>
      <c r="AB346" s="2">
        <f ca="1">IF(MIN($AB$4:AB345)=0,0,MAX(0,($AB345+$K346-$O346-$P346)*IF(AND(F346="F",$D$3&lt;&gt;$G$3),((1+(J346))^(H346/MIN(G346,365))),((1+(J346))^(1/12)))-$U346))</f>
        <v>7743940.8508442603</v>
      </c>
      <c r="AC346" s="5"/>
      <c r="AD346" s="5"/>
      <c r="AE346" s="5"/>
      <c r="AF346" s="282">
        <f t="shared" ca="1" si="206"/>
        <v>443167</v>
      </c>
      <c r="AG346" s="282">
        <f t="shared" ca="1" si="207"/>
        <v>1920000</v>
      </c>
      <c r="AH346" s="282">
        <f t="shared" ca="1" si="208"/>
        <v>7743941</v>
      </c>
      <c r="AI346" s="23" t="str">
        <f t="shared" ca="1" si="225"/>
        <v>29-8</v>
      </c>
      <c r="AJ346" s="282">
        <f ca="1">IF(E346&gt;111,,IF(AND(OP!$C$99=1,T346="F"),Z346,IF(AND(OP!$C$99=2,COUNTIF($T$4:T346,"F")=1),OP!$C$97+IF(F346="F",OP!$C$98,0),"")))</f>
        <v>54527</v>
      </c>
      <c r="AK346" s="282">
        <f ca="1">IF(E346&gt;111,,IF(AND(OP!$D$99=1,T346="F"),AA346,IF(AND(OP!$D$99=2,COUNTIF($T$4:T346,"F")=1),OP!$D$97+IF(F346="F",OP!$D$98,0),"")))</f>
        <v>74177</v>
      </c>
      <c r="AL346" s="282">
        <f ca="1">IF(E346&gt;111,,IF(AND(OP!$E$99=1,T346="F"),AB346,IF(AND(OP!$E$99=2,COUNTIF($T$4:T346,"F")=1),OP!$E$97+IF(F346="F",OP!$E$98,0),"")))</f>
        <v>99404</v>
      </c>
      <c r="AM346" s="1">
        <f t="shared" ca="1" si="198"/>
        <v>8</v>
      </c>
      <c r="AN346" s="1" t="e">
        <f ca="1">IF(OR(VLOOKUP($A346,MP,5,0)="半年繳",VLOOKUP($A346,MP,5,0)="季繳",VLOOKUP($A346,MP,5,0)="月繳"),1,"")</f>
        <v>#N/A</v>
      </c>
      <c r="AO346" s="1">
        <f t="shared" ca="1" si="209"/>
        <v>0</v>
      </c>
      <c r="AP346" s="1" t="str">
        <f ca="1">IF(AND(A346&lt;=OP!$C$120,COUNTIF(PAY,C346)=1),1,"")</f>
        <v/>
      </c>
      <c r="AR346" s="301">
        <f ca="1">IF(繳費報酬率資料!$A$1=1,$AY346+$AZ346,$BF346+$BG346)</f>
        <v>0</v>
      </c>
      <c r="AS346" s="1">
        <f ca="1">IF(C346&lt;&gt;IF($C$3=1,12,$C$3-1),0,IF(繳費報酬率資料!$A$1&lt;&gt;1,VLOOKUP($A346,MP,8,0),IF(AND($A346&gt;=OP!$C$79,$A346&lt;=OP!$C$80),OP!$C$78,)))</f>
        <v>0</v>
      </c>
      <c r="AT346" s="298">
        <f t="shared" ca="1" si="210"/>
        <v>0</v>
      </c>
      <c r="AU346" s="298">
        <f ca="1">IF(AND(A346&lt;=OP!$C$120,COUNTIF(PAY,C346)=1),OP!$C$123,0)</f>
        <v>0</v>
      </c>
      <c r="AV346" s="298">
        <f ca="1">IF(AND(A346&gt;=OP!$C$132,A346&lt;=OP!$C$133,$C$3=C346),OP!$C$135,0)</f>
        <v>0</v>
      </c>
      <c r="AW346" s="180">
        <f t="shared" ca="1" si="211"/>
        <v>0.05</v>
      </c>
      <c r="AX346" s="180">
        <f t="shared" ca="1" si="212"/>
        <v>0.05</v>
      </c>
      <c r="AY346" s="286">
        <f t="shared" ca="1" si="213"/>
        <v>0</v>
      </c>
      <c r="AZ346" s="286">
        <f t="shared" ca="1" si="214"/>
        <v>0</v>
      </c>
      <c r="BA346" s="286">
        <f t="shared" ca="1" si="215"/>
        <v>0</v>
      </c>
      <c r="BB346" s="286">
        <f t="shared" ca="1" si="216"/>
        <v>0</v>
      </c>
      <c r="BC346" s="286">
        <f t="shared" ca="1" si="217"/>
        <v>0</v>
      </c>
      <c r="BD346" s="180">
        <f t="shared" ca="1" si="218"/>
        <v>0.05</v>
      </c>
      <c r="BE346" s="180">
        <f t="shared" ca="1" si="219"/>
        <v>0.05</v>
      </c>
      <c r="BF346" s="286">
        <f t="shared" ca="1" si="220"/>
        <v>0</v>
      </c>
      <c r="BG346" s="286">
        <f t="shared" ca="1" si="221"/>
        <v>0</v>
      </c>
    </row>
    <row r="347" spans="1:59">
      <c r="A347" s="1">
        <f t="shared" ca="1" si="201"/>
        <v>29</v>
      </c>
      <c r="B347" s="1">
        <f t="shared" ca="1" si="194"/>
        <v>135</v>
      </c>
      <c r="C347" s="1">
        <f t="shared" ca="1" si="195"/>
        <v>1</v>
      </c>
      <c r="D347" s="1">
        <f ca="1">MIN($D$3,VLOOKUP(C347,OP!$S$30:$T$41,2))</f>
        <v>2</v>
      </c>
      <c r="E347" s="1">
        <f t="shared" ca="1" si="196"/>
        <v>83</v>
      </c>
      <c r="F347" s="11" t="str">
        <f t="shared" ca="1" si="202"/>
        <v/>
      </c>
      <c r="G347" s="8">
        <f t="shared" ca="1" si="226"/>
        <v>365</v>
      </c>
      <c r="H347" s="8">
        <f t="shared" ca="1" si="203"/>
        <v>31</v>
      </c>
      <c r="I347" s="8" t="str">
        <f t="shared" ca="1" si="200"/>
        <v>291</v>
      </c>
      <c r="J347" s="13">
        <f>IF(繳費報酬率資料!$A$1=1,VALUE(OP!$C$121),VLOOKUP(A347,MP,2,0))</f>
        <v>0.05</v>
      </c>
      <c r="K347" s="14">
        <f ca="1">IF(SUM($K$4:K346,IF(繳費報酬率資料!$A$1=1,$AU347+$AV347,$BB347+$BC347))&gt;OP!$L$58,0,IF(繳費報酬率資料!$A$1=1,$AU347+$AV347,$BB347+$BC347))</f>
        <v>0</v>
      </c>
      <c r="L347" s="2"/>
      <c r="M347" s="2"/>
      <c r="N347" s="2"/>
      <c r="O347" s="261">
        <f t="shared" ca="1" si="204"/>
        <v>0</v>
      </c>
      <c r="P347" s="261">
        <f t="shared" ca="1" si="222"/>
        <v>0</v>
      </c>
      <c r="Q347" s="3">
        <f ca="1">IF(A347&gt;MAX(OP!$R$17:$R$26),0,VLOOKUP(A347,fees,3,FALSE))</f>
        <v>0</v>
      </c>
      <c r="R347" s="200" t="str">
        <f t="shared" ca="1" si="205"/>
        <v/>
      </c>
      <c r="S347" s="9" t="str">
        <f ca="1">IF(COUNTIF(($T$4:T346),"F")&gt;=1,"",IF(OR(C348&lt;&gt;$C$3,E347=""),"",A347))</f>
        <v/>
      </c>
      <c r="T347" s="20" t="str">
        <f t="shared" ca="1" si="197"/>
        <v/>
      </c>
      <c r="U347" s="2">
        <f ca="1">IF(IF(OP!$C$83=1,$Z346,IF(OP!$C$83=2,$AA346,IF(OP!$C$83=3,$AB346,)))+$K347-$O347-$P347-$AS347&lt;OP!$C$142,0,$AS347)</f>
        <v>0</v>
      </c>
      <c r="V347" s="9"/>
      <c r="W347" s="19">
        <f ca="1">MAX(SUM($K$4:K347),0)</f>
        <v>2000000</v>
      </c>
      <c r="X347" s="19"/>
      <c r="Y347" s="19">
        <f t="shared" ca="1" si="223"/>
        <v>1920000</v>
      </c>
      <c r="Z347" s="2">
        <f ca="1">IF(MIN($Z$4:Z346)=0,0,MAX(0,($Z346+$K347-$O347-$P347)*IF(AND(F347="F",$D$3&lt;&gt;$G$3),((1+(-J347))^(H347/MIN(G347,365))),((1+(-J347))^(1/12)))-$U347))</f>
        <v>441276.95428438252</v>
      </c>
      <c r="AA347" s="2">
        <f ca="1">IF(MIN($AA$4:AA346)=0,0,MAX(0,($AA346+$K347-$O347-$P347)*IF(AND(F347="F",$D$3&lt;&gt;$G$3),((1+$AA$1)^(H347/MIN(G347,365))),((1+$AA$1)^(1/12)))-$U347))</f>
        <v>1920000</v>
      </c>
      <c r="AB347" s="2">
        <f ca="1">IF(MIN($AB$4:AB346)=0,0,MAX(0,($AB346+$K347-$O347-$P347)*IF(AND(F347="F",$D$3&lt;&gt;$G$3),((1+(J347))^(H347/MIN(G347,365))),((1+(J347))^(1/12)))-$U347))</f>
        <v>7775490.6244438514</v>
      </c>
      <c r="AC347" s="5"/>
      <c r="AD347" s="5"/>
      <c r="AE347" s="5"/>
      <c r="AF347" s="282">
        <f t="shared" ca="1" si="206"/>
        <v>441277</v>
      </c>
      <c r="AG347" s="282">
        <f t="shared" ca="1" si="207"/>
        <v>1920000</v>
      </c>
      <c r="AH347" s="282">
        <f t="shared" ca="1" si="208"/>
        <v>7775491</v>
      </c>
      <c r="AI347" s="23" t="str">
        <f t="shared" ca="1" si="225"/>
        <v>29-9</v>
      </c>
      <c r="AJ347" s="282">
        <f ca="1">IF(E347&gt;111,,IF(AND(OP!$C$99=1,T347="F"),Z347,IF(AND(OP!$C$99=2,COUNTIF($T$4:T347,"F")=1),OP!$C$97+IF(F347="F",OP!$C$98,0),"")))</f>
        <v>54527</v>
      </c>
      <c r="AK347" s="282">
        <f ca="1">IF(E347&gt;111,,IF(AND(OP!$D$99=1,T347="F"),AA347,IF(AND(OP!$D$99=2,COUNTIF($T$4:T347,"F")=1),OP!$D$97+IF(F347="F",OP!$D$98,0),"")))</f>
        <v>74177</v>
      </c>
      <c r="AL347" s="282">
        <f ca="1">IF(E347&gt;111,,IF(AND(OP!$E$99=1,T347="F"),AB347,IF(AND(OP!$E$99=2,COUNTIF($T$4:T347,"F")=1),OP!$E$97+IF(F347="F",OP!$E$98,0),"")))</f>
        <v>99404</v>
      </c>
      <c r="AM347" s="1">
        <f t="shared" ca="1" si="198"/>
        <v>9</v>
      </c>
      <c r="AN347" s="1" t="e">
        <f ca="1">IF(OR(VLOOKUP($A347,MP,5,0)="月繳"),1,"")</f>
        <v>#N/A</v>
      </c>
      <c r="AO347" s="1">
        <f t="shared" ca="1" si="209"/>
        <v>0</v>
      </c>
      <c r="AP347" s="1" t="str">
        <f ca="1">IF(AND(A347&lt;=OP!$C$120,COUNTIF(PAY,C347)=1),1,"")</f>
        <v/>
      </c>
      <c r="AR347" s="301">
        <f ca="1">IF(繳費報酬率資料!$A$1=1,$AY347+$AZ347,$BF347+$BG347)</f>
        <v>0</v>
      </c>
      <c r="AS347" s="1">
        <f ca="1">IF(C347&lt;&gt;IF($C$3=1,12,$C$3-1),0,IF(繳費報酬率資料!$A$1&lt;&gt;1,VLOOKUP($A347,MP,8,0),IF(AND($A347&gt;=OP!$C$79,$A347&lt;=OP!$C$80),OP!$C$78,)))</f>
        <v>0</v>
      </c>
      <c r="AT347" s="298">
        <f t="shared" ca="1" si="210"/>
        <v>0</v>
      </c>
      <c r="AU347" s="298">
        <f ca="1">IF(AND(A347&lt;=OP!$C$120,COUNTIF(PAY,C347)=1),OP!$C$123,0)</f>
        <v>0</v>
      </c>
      <c r="AV347" s="298">
        <f ca="1">IF(AND(A347&gt;=OP!$C$132,A347&lt;=OP!$C$133,$C$3=C347),OP!$C$135,0)</f>
        <v>0</v>
      </c>
      <c r="AW347" s="180">
        <f t="shared" ca="1" si="211"/>
        <v>0.05</v>
      </c>
      <c r="AX347" s="180">
        <f t="shared" ca="1" si="212"/>
        <v>0.05</v>
      </c>
      <c r="AY347" s="286">
        <f t="shared" ca="1" si="213"/>
        <v>0</v>
      </c>
      <c r="AZ347" s="286">
        <f t="shared" ca="1" si="214"/>
        <v>0</v>
      </c>
      <c r="BA347" s="286">
        <f t="shared" ca="1" si="215"/>
        <v>0</v>
      </c>
      <c r="BB347" s="286">
        <f t="shared" ca="1" si="216"/>
        <v>0</v>
      </c>
      <c r="BC347" s="286">
        <f t="shared" ca="1" si="217"/>
        <v>0</v>
      </c>
      <c r="BD347" s="180">
        <f t="shared" ca="1" si="218"/>
        <v>0.05</v>
      </c>
      <c r="BE347" s="180">
        <f t="shared" ca="1" si="219"/>
        <v>0.05</v>
      </c>
      <c r="BF347" s="286">
        <f t="shared" ca="1" si="220"/>
        <v>0</v>
      </c>
      <c r="BG347" s="286">
        <f t="shared" ca="1" si="221"/>
        <v>0</v>
      </c>
    </row>
    <row r="348" spans="1:59">
      <c r="A348" s="1">
        <f t="shared" ca="1" si="201"/>
        <v>29</v>
      </c>
      <c r="B348" s="1">
        <f t="shared" ca="1" si="194"/>
        <v>135</v>
      </c>
      <c r="C348" s="1">
        <f t="shared" ca="1" si="195"/>
        <v>2</v>
      </c>
      <c r="D348" s="1">
        <f ca="1">MIN($D$3,VLOOKUP(C348,OP!$S$30:$T$41,2))</f>
        <v>2</v>
      </c>
      <c r="E348" s="1">
        <f t="shared" ca="1" si="196"/>
        <v>83</v>
      </c>
      <c r="F348" s="11" t="str">
        <f t="shared" ca="1" si="202"/>
        <v/>
      </c>
      <c r="G348" s="8">
        <f t="shared" ca="1" si="226"/>
        <v>365</v>
      </c>
      <c r="H348" s="8">
        <f t="shared" ca="1" si="203"/>
        <v>28</v>
      </c>
      <c r="I348" s="8" t="str">
        <f t="shared" ca="1" si="200"/>
        <v>292</v>
      </c>
      <c r="J348" s="13">
        <f>IF(繳費報酬率資料!$A$1=1,VALUE(OP!$C$121),VLOOKUP(A348,MP,2,0))</f>
        <v>0.05</v>
      </c>
      <c r="K348" s="14">
        <f ca="1">IF(SUM($K$4:K347,IF(繳費報酬率資料!$A$1=1,$AU348+$AV348,$BB348+$BC348))&gt;OP!$L$58,0,IF(繳費報酬率資料!$A$1=1,$AU348+$AV348,$BB348+$BC348))</f>
        <v>0</v>
      </c>
      <c r="L348" s="2"/>
      <c r="M348" s="2"/>
      <c r="N348" s="2"/>
      <c r="O348" s="261">
        <f t="shared" ca="1" si="204"/>
        <v>0</v>
      </c>
      <c r="P348" s="261">
        <f t="shared" ca="1" si="222"/>
        <v>0</v>
      </c>
      <c r="Q348" s="3">
        <f ca="1">IF(A348&gt;MAX(OP!$R$17:$R$26),0,VLOOKUP(A348,fees,3,FALSE))</f>
        <v>0</v>
      </c>
      <c r="R348" s="200" t="str">
        <f t="shared" ca="1" si="205"/>
        <v/>
      </c>
      <c r="S348" s="9" t="str">
        <f ca="1">IF(COUNTIF(($T$4:T347),"F")&gt;=1,"",IF(OR(C349&lt;&gt;$C$3,E348=""),"",A348))</f>
        <v/>
      </c>
      <c r="T348" s="20" t="str">
        <f t="shared" ca="1" si="197"/>
        <v/>
      </c>
      <c r="U348" s="2">
        <f ca="1">IF(IF(OP!$C$83=1,$Z347,IF(OP!$C$83=2,$AA347,IF(OP!$C$83=3,$AB347,)))+$K348-$O348-$P348-$AS348&lt;OP!$C$142,0,$AS348)</f>
        <v>0</v>
      </c>
      <c r="V348" s="9"/>
      <c r="W348" s="19">
        <f ca="1">MAX(SUM($K$4:K348),0)</f>
        <v>2000000</v>
      </c>
      <c r="X348" s="19"/>
      <c r="Y348" s="19">
        <f t="shared" ca="1" si="223"/>
        <v>1920000</v>
      </c>
      <c r="Z348" s="2">
        <f ca="1">IF(MIN($Z$4:Z347)=0,0,MAX(0,($Z347+$K348-$O348-$P348)*IF(AND(F348="F",$D$3&lt;&gt;$G$3),((1+(-J348))^(H348/MIN(G348,365))),((1+(-J348))^(1/12)))-$U348))</f>
        <v>439394.76740516856</v>
      </c>
      <c r="AA348" s="2">
        <f ca="1">IF(MIN($AA$4:AA347)=0,0,MAX(0,($AA347+$K348-$O348-$P348)*IF(AND(F348="F",$D$3&lt;&gt;$G$3),((1+$AA$1)^(H348/MIN(G348,365))),((1+$AA$1)^(1/12)))-$U348))</f>
        <v>1920000</v>
      </c>
      <c r="AB348" s="2">
        <f ca="1">IF(MIN($AB$4:AB347)=0,0,MAX(0,($AB347+$K348-$O348-$P348)*IF(AND(F348="F",$D$3&lt;&gt;$G$3),((1+(J348))^(H348/MIN(G348,365))),((1+(J348))^(1/12)))-$U348))</f>
        <v>7807168.9357264331</v>
      </c>
      <c r="AC348" s="5"/>
      <c r="AD348" s="5"/>
      <c r="AE348" s="5"/>
      <c r="AF348" s="282">
        <f t="shared" ca="1" si="206"/>
        <v>439395</v>
      </c>
      <c r="AG348" s="282">
        <f t="shared" ca="1" si="207"/>
        <v>1920000</v>
      </c>
      <c r="AH348" s="282">
        <f t="shared" ca="1" si="208"/>
        <v>7807169</v>
      </c>
      <c r="AI348" s="23" t="str">
        <f t="shared" ca="1" si="225"/>
        <v>29-10</v>
      </c>
      <c r="AJ348" s="282">
        <f ca="1">IF(E348&gt;111,,IF(AND(OP!$C$99=1,T348="F"),Z348,IF(AND(OP!$C$99=2,COUNTIF($T$4:T348,"F")=1),OP!$C$97+IF(F348="F",OP!$C$98,0),"")))</f>
        <v>54527</v>
      </c>
      <c r="AK348" s="282">
        <f ca="1">IF(E348&gt;111,,IF(AND(OP!$D$99=1,T348="F"),AA348,IF(AND(OP!$D$99=2,COUNTIF($T$4:T348,"F")=1),OP!$D$97+IF(F348="F",OP!$D$98,0),"")))</f>
        <v>74177</v>
      </c>
      <c r="AL348" s="282">
        <f ca="1">IF(E348&gt;111,,IF(AND(OP!$E$99=1,T348="F"),AB348,IF(AND(OP!$E$99=2,COUNTIF($T$4:T348,"F")=1),OP!$E$97+IF(F348="F",OP!$E$98,0),"")))</f>
        <v>99404</v>
      </c>
      <c r="AM348" s="1">
        <f t="shared" ca="1" si="198"/>
        <v>10</v>
      </c>
      <c r="AN348" s="1" t="e">
        <f ca="1">IF(OR(VLOOKUP($A348,MP,5,0)="月繳"),1,"")</f>
        <v>#N/A</v>
      </c>
      <c r="AO348" s="1">
        <f t="shared" ca="1" si="209"/>
        <v>0</v>
      </c>
      <c r="AP348" s="1" t="str">
        <f ca="1">IF(AND(A348&lt;=OP!$C$120,COUNTIF(PAY,C348)=1),1,"")</f>
        <v/>
      </c>
      <c r="AR348" s="301">
        <f ca="1">IF(繳費報酬率資料!$A$1=1,$AY348+$AZ348,$BF348+$BG348)</f>
        <v>0</v>
      </c>
      <c r="AS348" s="1">
        <f ca="1">IF(C348&lt;&gt;IF($C$3=1,12,$C$3-1),0,IF(繳費報酬率資料!$A$1&lt;&gt;1,VLOOKUP($A348,MP,8,0),IF(AND($A348&gt;=OP!$C$79,$A348&lt;=OP!$C$80),OP!$C$78,)))</f>
        <v>0</v>
      </c>
      <c r="AT348" s="298">
        <f t="shared" ca="1" si="210"/>
        <v>0</v>
      </c>
      <c r="AU348" s="298">
        <f ca="1">IF(AND(A348&lt;=OP!$C$120,COUNTIF(PAY,C348)=1),OP!$C$123,0)</f>
        <v>0</v>
      </c>
      <c r="AV348" s="298">
        <f ca="1">IF(AND(A348&gt;=OP!$C$132,A348&lt;=OP!$C$133,$C$3=C348),OP!$C$135,0)</f>
        <v>0</v>
      </c>
      <c r="AW348" s="180">
        <f t="shared" ca="1" si="211"/>
        <v>0.05</v>
      </c>
      <c r="AX348" s="180">
        <f t="shared" ca="1" si="212"/>
        <v>0.05</v>
      </c>
      <c r="AY348" s="286">
        <f t="shared" ca="1" si="213"/>
        <v>0</v>
      </c>
      <c r="AZ348" s="286">
        <f t="shared" ca="1" si="214"/>
        <v>0</v>
      </c>
      <c r="BA348" s="286">
        <f t="shared" ca="1" si="215"/>
        <v>0</v>
      </c>
      <c r="BB348" s="286">
        <f t="shared" ca="1" si="216"/>
        <v>0</v>
      </c>
      <c r="BC348" s="286">
        <f t="shared" ca="1" si="217"/>
        <v>0</v>
      </c>
      <c r="BD348" s="180">
        <f t="shared" ca="1" si="218"/>
        <v>0.05</v>
      </c>
      <c r="BE348" s="180">
        <f t="shared" ca="1" si="219"/>
        <v>0.05</v>
      </c>
      <c r="BF348" s="286">
        <f t="shared" ca="1" si="220"/>
        <v>0</v>
      </c>
      <c r="BG348" s="286">
        <f t="shared" ca="1" si="221"/>
        <v>0</v>
      </c>
    </row>
    <row r="349" spans="1:59">
      <c r="A349" s="1">
        <f t="shared" ca="1" si="201"/>
        <v>29</v>
      </c>
      <c r="B349" s="1">
        <f t="shared" ca="1" si="194"/>
        <v>135</v>
      </c>
      <c r="C349" s="1">
        <f t="shared" ca="1" si="195"/>
        <v>3</v>
      </c>
      <c r="D349" s="1">
        <f ca="1">MIN($D$3,VLOOKUP(C349,OP!$S$30:$T$41,2))</f>
        <v>2</v>
      </c>
      <c r="E349" s="1">
        <f t="shared" ca="1" si="196"/>
        <v>83</v>
      </c>
      <c r="F349" s="11" t="str">
        <f t="shared" ca="1" si="202"/>
        <v/>
      </c>
      <c r="G349" s="8">
        <f t="shared" ca="1" si="226"/>
        <v>365</v>
      </c>
      <c r="H349" s="8">
        <f t="shared" ca="1" si="203"/>
        <v>31</v>
      </c>
      <c r="I349" s="8" t="str">
        <f t="shared" ca="1" si="200"/>
        <v>293</v>
      </c>
      <c r="J349" s="13">
        <f>IF(繳費報酬率資料!$A$1=1,VALUE(OP!$C$121),VLOOKUP(A349,MP,2,0))</f>
        <v>0.05</v>
      </c>
      <c r="K349" s="14">
        <f ca="1">IF(SUM($K$4:K348,IF(繳費報酬率資料!$A$1=1,$AU349+$AV349,$BB349+$BC349))&gt;OP!$L$58,0,IF(繳費報酬率資料!$A$1=1,$AU349+$AV349,$BB349+$BC349))</f>
        <v>0</v>
      </c>
      <c r="L349" s="2"/>
      <c r="M349" s="2"/>
      <c r="N349" s="2"/>
      <c r="O349" s="261">
        <f t="shared" ca="1" si="204"/>
        <v>0</v>
      </c>
      <c r="P349" s="261">
        <f t="shared" ca="1" si="222"/>
        <v>0</v>
      </c>
      <c r="Q349" s="3">
        <f ca="1">IF(A349&gt;MAX(OP!$R$17:$R$26),0,VLOOKUP(A349,fees,3,FALSE))</f>
        <v>0</v>
      </c>
      <c r="R349" s="200" t="str">
        <f t="shared" ca="1" si="205"/>
        <v/>
      </c>
      <c r="S349" s="9" t="str">
        <f ca="1">IF(COUNTIF(($T$4:T348),"F")&gt;=1,"",IF(OR(C350&lt;&gt;$C$3,E349=""),"",A349))</f>
        <v/>
      </c>
      <c r="T349" s="20" t="str">
        <f t="shared" ca="1" si="197"/>
        <v/>
      </c>
      <c r="U349" s="2">
        <f ca="1">IF(IF(OP!$C$83=1,$Z348,IF(OP!$C$83=2,$AA348,IF(OP!$C$83=3,$AB348,)))+$K349-$O349-$P349-$AS349&lt;OP!$C$142,0,$AS349)</f>
        <v>0</v>
      </c>
      <c r="V349" s="9"/>
      <c r="W349" s="19">
        <f ca="1">MAX(SUM($K$4:K349),0)</f>
        <v>2000000</v>
      </c>
      <c r="X349" s="19"/>
      <c r="Y349" s="19">
        <f t="shared" ca="1" si="223"/>
        <v>1920000</v>
      </c>
      <c r="Z349" s="2">
        <f ca="1">IF(MIN($Z$4:Z348)=0,0,MAX(0,($Z348+$K349-$O349-$P349)*IF(AND(F349="F",$D$3&lt;&gt;$G$3),((1+(-J349))^(H349/MIN(G349,365))),((1+(-J349))^(1/12)))-$U349))</f>
        <v>437520.6086529934</v>
      </c>
      <c r="AA349" s="2">
        <f ca="1">IF(MIN($AA$4:AA348)=0,0,MAX(0,($AA348+$K349-$O349-$P349)*IF(AND(F349="F",$D$3&lt;&gt;$G$3),((1+$AA$1)^(H349/MIN(G349,365))),((1+$AA$1)^(1/12)))-$U349))</f>
        <v>1920000</v>
      </c>
      <c r="AB349" s="2">
        <f ca="1">IF(MIN($AB$4:AB348)=0,0,MAX(0,($AB348+$K349-$O349-$P349)*IF(AND(F349="F",$D$3&lt;&gt;$G$3),((1+(J349))^(H349/MIN(G349,365))),((1+(J349))^(1/12)))-$U349))</f>
        <v>7838976.3083704365</v>
      </c>
      <c r="AC349" s="5"/>
      <c r="AD349" s="5"/>
      <c r="AE349" s="5"/>
      <c r="AF349" s="282">
        <f t="shared" ca="1" si="206"/>
        <v>437521</v>
      </c>
      <c r="AG349" s="282">
        <f t="shared" ca="1" si="207"/>
        <v>1920000</v>
      </c>
      <c r="AH349" s="282">
        <f t="shared" ca="1" si="208"/>
        <v>7838976</v>
      </c>
      <c r="AI349" s="23" t="str">
        <f t="shared" ca="1" si="225"/>
        <v>29-11</v>
      </c>
      <c r="AJ349" s="282">
        <f ca="1">IF(E349&gt;111,,IF(AND(OP!$C$99=1,T349="F"),Z349,IF(AND(OP!$C$99=2,COUNTIF($T$4:T349,"F")=1),OP!$C$97+IF(F349="F",OP!$C$98,0),"")))</f>
        <v>54527</v>
      </c>
      <c r="AK349" s="282">
        <f ca="1">IF(E349&gt;111,,IF(AND(OP!$D$99=1,T349="F"),AA349,IF(AND(OP!$D$99=2,COUNTIF($T$4:T349,"F")=1),OP!$D$97+IF(F349="F",OP!$D$98,0),"")))</f>
        <v>74177</v>
      </c>
      <c r="AL349" s="282">
        <f ca="1">IF(E349&gt;111,,IF(AND(OP!$E$99=1,T349="F"),AB349,IF(AND(OP!$E$99=2,COUNTIF($T$4:T349,"F")=1),OP!$E$97+IF(F349="F",OP!$E$98,0),"")))</f>
        <v>99404</v>
      </c>
      <c r="AM349" s="1">
        <f t="shared" ca="1" si="198"/>
        <v>11</v>
      </c>
      <c r="AN349" s="1" t="e">
        <f ca="1">IF(OR(VLOOKUP($A349,MP,5,0)="季繳",VLOOKUP($A349,MP,5,0)="月繳"),1,"")</f>
        <v>#N/A</v>
      </c>
      <c r="AO349" s="1">
        <f t="shared" ca="1" si="209"/>
        <v>0</v>
      </c>
      <c r="AP349" s="1" t="str">
        <f ca="1">IF(AND(A349&lt;=OP!$C$120,COUNTIF(PAY,C349)=1),1,"")</f>
        <v/>
      </c>
      <c r="AR349" s="301">
        <f ca="1">IF(繳費報酬率資料!$A$1=1,$AY349+$AZ349,$BF349+$BG349)</f>
        <v>0</v>
      </c>
      <c r="AS349" s="1">
        <f ca="1">IF(C349&lt;&gt;IF($C$3=1,12,$C$3-1),0,IF(繳費報酬率資料!$A$1&lt;&gt;1,VLOOKUP($A349,MP,8,0),IF(AND($A349&gt;=OP!$C$79,$A349&lt;=OP!$C$80),OP!$C$78,)))</f>
        <v>0</v>
      </c>
      <c r="AT349" s="298">
        <f t="shared" ca="1" si="210"/>
        <v>0</v>
      </c>
      <c r="AU349" s="298">
        <f ca="1">IF(AND(A349&lt;=OP!$C$120,COUNTIF(PAY,C349)=1),OP!$C$123,0)</f>
        <v>0</v>
      </c>
      <c r="AV349" s="298">
        <f ca="1">IF(AND(A349&gt;=OP!$C$132,A349&lt;=OP!$C$133,$C$3=C349),OP!$C$135,0)</f>
        <v>0</v>
      </c>
      <c r="AW349" s="180">
        <f t="shared" ca="1" si="211"/>
        <v>0.05</v>
      </c>
      <c r="AX349" s="180">
        <f t="shared" ca="1" si="212"/>
        <v>0.05</v>
      </c>
      <c r="AY349" s="286">
        <f t="shared" ca="1" si="213"/>
        <v>0</v>
      </c>
      <c r="AZ349" s="286">
        <f t="shared" ca="1" si="214"/>
        <v>0</v>
      </c>
      <c r="BA349" s="286">
        <f t="shared" ca="1" si="215"/>
        <v>0</v>
      </c>
      <c r="BB349" s="286">
        <f t="shared" ca="1" si="216"/>
        <v>0</v>
      </c>
      <c r="BC349" s="286">
        <f t="shared" ca="1" si="217"/>
        <v>0</v>
      </c>
      <c r="BD349" s="180">
        <f t="shared" ca="1" si="218"/>
        <v>0.05</v>
      </c>
      <c r="BE349" s="180">
        <f t="shared" ca="1" si="219"/>
        <v>0.05</v>
      </c>
      <c r="BF349" s="286">
        <f t="shared" ca="1" si="220"/>
        <v>0</v>
      </c>
      <c r="BG349" s="286">
        <f t="shared" ca="1" si="221"/>
        <v>0</v>
      </c>
    </row>
    <row r="350" spans="1:59">
      <c r="A350" s="1">
        <f t="shared" ca="1" si="201"/>
        <v>29</v>
      </c>
      <c r="B350" s="1">
        <f t="shared" ca="1" si="194"/>
        <v>135</v>
      </c>
      <c r="C350" s="1">
        <f t="shared" ca="1" si="195"/>
        <v>4</v>
      </c>
      <c r="D350" s="1">
        <f ca="1">MIN($D$3,VLOOKUP(C350,OP!$S$30:$T$41,2))</f>
        <v>2</v>
      </c>
      <c r="E350" s="1">
        <f t="shared" ca="1" si="196"/>
        <v>83</v>
      </c>
      <c r="F350" s="11" t="str">
        <f t="shared" ca="1" si="202"/>
        <v/>
      </c>
      <c r="G350" s="8">
        <f t="shared" ca="1" si="226"/>
        <v>365</v>
      </c>
      <c r="H350" s="8">
        <f t="shared" ca="1" si="203"/>
        <v>30</v>
      </c>
      <c r="I350" s="8" t="str">
        <f t="shared" ca="1" si="200"/>
        <v>294</v>
      </c>
      <c r="J350" s="13">
        <f>IF(繳費報酬率資料!$A$1=1,VALUE(OP!$C$121),VLOOKUP(A350,MP,2,0))</f>
        <v>0.05</v>
      </c>
      <c r="K350" s="14">
        <f ca="1">IF(SUM($K$4:K349,IF(繳費報酬率資料!$A$1=1,$AU350+$AV350,$BB350+$BC350))&gt;OP!$L$58,0,IF(繳費報酬率資料!$A$1=1,$AU350+$AV350,$BB350+$BC350))</f>
        <v>0</v>
      </c>
      <c r="L350" s="2"/>
      <c r="M350" s="2"/>
      <c r="N350" s="2"/>
      <c r="O350" s="261">
        <f t="shared" ca="1" si="204"/>
        <v>0</v>
      </c>
      <c r="P350" s="261">
        <f t="shared" ca="1" si="222"/>
        <v>0</v>
      </c>
      <c r="Q350" s="3">
        <f ca="1">IF(A350&gt;MAX(OP!$R$17:$R$26),0,VLOOKUP(A350,fees,3,FALSE))</f>
        <v>0</v>
      </c>
      <c r="R350" s="200" t="str">
        <f t="shared" ca="1" si="205"/>
        <v/>
      </c>
      <c r="S350" s="9" t="str">
        <f ca="1">IF(COUNTIF(($T$4:T349),"F")&gt;=1,"",IF(OR(C351&lt;&gt;$C$3,E350=""),"",A350))</f>
        <v/>
      </c>
      <c r="T350" s="20" t="str">
        <f t="shared" ca="1" si="197"/>
        <v/>
      </c>
      <c r="U350" s="2">
        <f ca="1">IF(IF(OP!$C$83=1,$Z349,IF(OP!$C$83=2,$AA349,IF(OP!$C$83=3,$AB349,)))+$K350-$O350-$P350-$AS350&lt;OP!$C$142,0,$AS350)</f>
        <v>0</v>
      </c>
      <c r="V350" s="9"/>
      <c r="W350" s="19">
        <f ca="1">MAX(SUM($K$4:K350),0)</f>
        <v>2000000</v>
      </c>
      <c r="X350" s="19"/>
      <c r="Y350" s="19">
        <f t="shared" ca="1" si="223"/>
        <v>1920000</v>
      </c>
      <c r="Z350" s="2">
        <f ca="1">IF(MIN($Z$4:Z349)=0,0,MAX(0,($Z349+$K350-$O350-$P350)*IF(AND(F350="F",$D$3&lt;&gt;$G$3),((1+(-J350))^(H350/MIN(G350,365))),((1+(-J350))^(1/12)))-$U350))</f>
        <v>435654.44378533604</v>
      </c>
      <c r="AA350" s="2">
        <f ca="1">IF(MIN($AA$4:AA349)=0,0,MAX(0,($AA349+$K350-$O350-$P350)*IF(AND(F350="F",$D$3&lt;&gt;$G$3),((1+$AA$1)^(H350/MIN(G350,365))),((1+$AA$1)^(1/12)))-$U350))</f>
        <v>1920000</v>
      </c>
      <c r="AB350" s="2">
        <f ca="1">IF(MIN($AB$4:AB349)=0,0,MAX(0,($AB349+$K350-$O350-$P350)*IF(AND(F350="F",$D$3&lt;&gt;$G$3),((1+(J350))^(H350/MIN(G350,365))),((1+(J350))^(1/12)))-$U350))</f>
        <v>7870913.2681878246</v>
      </c>
      <c r="AC350" s="5"/>
      <c r="AD350" s="5"/>
      <c r="AE350" s="5"/>
      <c r="AF350" s="282">
        <f t="shared" ca="1" si="206"/>
        <v>435654</v>
      </c>
      <c r="AG350" s="282">
        <f t="shared" ca="1" si="207"/>
        <v>1920000</v>
      </c>
      <c r="AH350" s="282">
        <f t="shared" ca="1" si="208"/>
        <v>7870913</v>
      </c>
      <c r="AI350" s="23" t="str">
        <f t="shared" ca="1" si="225"/>
        <v>29-12</v>
      </c>
      <c r="AJ350" s="282">
        <f ca="1">IF(E350&gt;111,,IF(AND(OP!$C$99=1,T350="F"),Z350,IF(AND(OP!$C$99=2,COUNTIF($T$4:T350,"F")=1),OP!$C$97+IF(F350="F",OP!$C$98,0),"")))</f>
        <v>54527</v>
      </c>
      <c r="AK350" s="282">
        <f ca="1">IF(E350&gt;111,,IF(AND(OP!$D$99=1,T350="F"),AA350,IF(AND(OP!$D$99=2,COUNTIF($T$4:T350,"F")=1),OP!$D$97+IF(F350="F",OP!$D$98,0),"")))</f>
        <v>74177</v>
      </c>
      <c r="AL350" s="282">
        <f ca="1">IF(E350&gt;111,,IF(AND(OP!$E$99=1,T350="F"),AB350,IF(AND(OP!$E$99=2,COUNTIF($T$4:T350,"F")=1),OP!$E$97+IF(F350="F",OP!$E$98,0),"")))</f>
        <v>99404</v>
      </c>
      <c r="AM350" s="1">
        <f t="shared" ca="1" si="198"/>
        <v>12</v>
      </c>
      <c r="AN350" s="1" t="e">
        <f ca="1">IF(OR(VLOOKUP($A350,MP,5,0)="月繳"),1,"")</f>
        <v>#N/A</v>
      </c>
      <c r="AO350" s="1">
        <f t="shared" ca="1" si="209"/>
        <v>0</v>
      </c>
      <c r="AP350" s="1" t="str">
        <f ca="1">IF(AND(A350&lt;=OP!$C$120,COUNTIF(PAY,C350)=1),1,"")</f>
        <v/>
      </c>
      <c r="AR350" s="301">
        <f ca="1">IF(繳費報酬率資料!$A$1=1,$AY350+$AZ350,$BF350+$BG350)</f>
        <v>0</v>
      </c>
      <c r="AS350" s="1">
        <f ca="1">IF(C350&lt;&gt;IF($C$3=1,12,$C$3-1),0,IF(繳費報酬率資料!$A$1&lt;&gt;1,VLOOKUP($A350,MP,8,0),IF(AND($A350&gt;=OP!$C$79,$A350&lt;=OP!$C$80),OP!$C$78,)))</f>
        <v>0</v>
      </c>
      <c r="AT350" s="298">
        <f t="shared" ca="1" si="210"/>
        <v>0</v>
      </c>
      <c r="AU350" s="298">
        <f ca="1">IF(AND(A350&lt;=OP!$C$120,COUNTIF(PAY,C350)=1),OP!$C$123,0)</f>
        <v>0</v>
      </c>
      <c r="AV350" s="298">
        <f ca="1">IF(AND(A350&gt;=OP!$C$132,A350&lt;=OP!$C$133,$C$3=C350),OP!$C$135,0)</f>
        <v>0</v>
      </c>
      <c r="AW350" s="180">
        <f t="shared" ca="1" si="211"/>
        <v>0.05</v>
      </c>
      <c r="AX350" s="180">
        <f t="shared" ca="1" si="212"/>
        <v>0.05</v>
      </c>
      <c r="AY350" s="286">
        <f t="shared" ca="1" si="213"/>
        <v>0</v>
      </c>
      <c r="AZ350" s="286">
        <f t="shared" ca="1" si="214"/>
        <v>0</v>
      </c>
      <c r="BA350" s="286">
        <f t="shared" ca="1" si="215"/>
        <v>0</v>
      </c>
      <c r="BB350" s="286">
        <f t="shared" ca="1" si="216"/>
        <v>0</v>
      </c>
      <c r="BC350" s="286">
        <f t="shared" ca="1" si="217"/>
        <v>0</v>
      </c>
      <c r="BD350" s="180">
        <f t="shared" ca="1" si="218"/>
        <v>0.05</v>
      </c>
      <c r="BE350" s="180">
        <f t="shared" ca="1" si="219"/>
        <v>0.05</v>
      </c>
      <c r="BF350" s="286">
        <f t="shared" ca="1" si="220"/>
        <v>0</v>
      </c>
      <c r="BG350" s="286">
        <f t="shared" ca="1" si="221"/>
        <v>0</v>
      </c>
    </row>
    <row r="351" spans="1:59">
      <c r="A351" s="1">
        <f t="shared" ca="1" si="201"/>
        <v>29</v>
      </c>
      <c r="B351" s="1">
        <f t="shared" ca="1" si="194"/>
        <v>135</v>
      </c>
      <c r="C351" s="1">
        <f t="shared" ca="1" si="195"/>
        <v>5</v>
      </c>
      <c r="D351" s="1">
        <f ca="1">MIN($D$3,VLOOKUP(C351,OP!$S$30:$T$41,2))</f>
        <v>2</v>
      </c>
      <c r="E351" s="1">
        <f t="shared" ca="1" si="196"/>
        <v>83</v>
      </c>
      <c r="F351" s="11" t="str">
        <f t="shared" ca="1" si="202"/>
        <v/>
      </c>
      <c r="G351" s="8">
        <f t="shared" ca="1" si="226"/>
        <v>365</v>
      </c>
      <c r="H351" s="8">
        <f t="shared" ca="1" si="203"/>
        <v>31</v>
      </c>
      <c r="I351" s="8" t="str">
        <f t="shared" ca="1" si="200"/>
        <v>295</v>
      </c>
      <c r="J351" s="13">
        <f>IF(繳費報酬率資料!$A$1=1,VALUE(OP!$C$121),VLOOKUP(A351,MP,2,0))</f>
        <v>0.05</v>
      </c>
      <c r="K351" s="14">
        <f ca="1">IF(SUM($K$4:K350,IF(繳費報酬率資料!$A$1=1,$AU351+$AV351,$BB351+$BC351))&gt;OP!$L$58,0,IF(繳費報酬率資料!$A$1=1,$AU351+$AV351,$BB351+$BC351))</f>
        <v>0</v>
      </c>
      <c r="L351" s="2">
        <f ca="1">ROUND(IF(OP!$C$78&lt;(IF(OR($T351="F",$E351&gt;=111),0,Z350+$K351-$O351+IF($C$1=1,OP!$C$78,IF($C352=$C$3,SUM(AC340:AC351,0)))))*5%,0,(OP!$C$78-((IF(OR($T351="F",$E351&gt;=111),0,Z350+$K351-$O351+IF($C$1=1,AC351,IF($C352=$C$3,SUM(AC340:AC351,0)))))*5%))*$Q351),0)</f>
        <v>0</v>
      </c>
      <c r="M351" s="2">
        <f ca="1">ROUND(IF(OP!$C$78&lt;(IF(OR($T351="F",$E351&gt;=111),0,AA350+$K351-$O351+IF($C$1=1,AD351,IF($C352=$C$3,SUM(AD340:AD351,0)))))*5%,0,(OP!$C$78-((IF(OR($T351="F",$E351&gt;=111),0,AA350+$K351-$O351+IF($C$1=1,AD351,IF($C352=$C$3,SUM(AD340:AD351,0)))))*5%))*$Q351),0)</f>
        <v>0</v>
      </c>
      <c r="N351" s="2">
        <f ca="1">ROUND(IF(OP!$C$78&lt;(IF(OR($T351="F",$E351&gt;=111),0,AB350+$K351-$O351+IF($C$1=1,AE351,IF($C352=$C$3,SUM(AE340:AE351,0)))))*5%,0,(OP!$C$78-((IF(OR($T351="F",$E351&gt;=111),0,AB350+$K351-$O351+IF($C$1=1,AE351,IF($C352=$C$3,SUM(AE340:AE351,0)))))*5%))*$Q351),0)</f>
        <v>0</v>
      </c>
      <c r="O351" s="261">
        <f t="shared" ca="1" si="204"/>
        <v>0</v>
      </c>
      <c r="P351" s="261">
        <f t="shared" ca="1" si="222"/>
        <v>0</v>
      </c>
      <c r="Q351" s="3">
        <f ca="1">IF(A351&gt;MAX(OP!$R$17:$R$26),0,VLOOKUP(A351,fees,3,FALSE))</f>
        <v>0</v>
      </c>
      <c r="R351" s="200">
        <f t="shared" ca="1" si="205"/>
        <v>29</v>
      </c>
      <c r="S351" s="9" t="str">
        <f ca="1">IF(COUNTIF(($T$4:T350),"F")&gt;=1,"",IF(OR(C352&lt;&gt;$C$3,E351=""),"",A351))</f>
        <v/>
      </c>
      <c r="T351" s="20" t="str">
        <f t="shared" ca="1" si="197"/>
        <v/>
      </c>
      <c r="U351" s="2">
        <f ca="1">IF(IF(OP!$C$83=1,$Z350,IF(OP!$C$83=2,$AA350,IF(OP!$C$83=3,$AB350,)))+$K351-$O351-$P351-$AS351&lt;OP!$C$142,0,$AS351)</f>
        <v>0</v>
      </c>
      <c r="V351" s="19">
        <f ca="1">SUM(K340:K351)</f>
        <v>0</v>
      </c>
      <c r="W351" s="19">
        <f ca="1">MAX(SUM($K$4:K351),0)</f>
        <v>2000000</v>
      </c>
      <c r="X351" s="19">
        <f ca="1">SUM(O340:P351)</f>
        <v>0</v>
      </c>
      <c r="Y351" s="19">
        <f t="shared" ca="1" si="223"/>
        <v>1920000</v>
      </c>
      <c r="Z351" s="2">
        <f ca="1">IF(MIN($Z$4:Z350)=0,0,MAX(0,($Z350+$K351-$O351-$P351)*IF(AND(F351="F",$D$3&lt;&gt;$G$3),((1+(-J351))^(H351/MIN(G351,365))),((1+(-J351))^(1/12)))-$U351))</f>
        <v>433796.23870573071</v>
      </c>
      <c r="AA351" s="2">
        <f ca="1">IF(MIN($AA$4:AA350)=0,0,MAX(0,($AA350+$K351-$O351-$P351)*IF(AND(F351="F",$D$3&lt;&gt;$G$3),((1+$AA$1)^(H351/MIN(G351,365))),((1+$AA$1)^(1/12)))-$U351))</f>
        <v>1920000</v>
      </c>
      <c r="AB351" s="2">
        <f ca="1">IF(MIN($AB$4:AB350)=0,0,MAX(0,($AB350+$K351-$O351-$P351)*IF(AND(F351="F",$D$3&lt;&gt;$G$3),((1+(J351))^(H351/MIN(G351,365))),((1+(J351))^(1/12)))-$U351))</f>
        <v>7902980.3431327818</v>
      </c>
      <c r="AC351" s="5"/>
      <c r="AD351" s="5"/>
      <c r="AE351" s="5"/>
      <c r="AF351" s="282">
        <f t="shared" ca="1" si="206"/>
        <v>433796</v>
      </c>
      <c r="AG351" s="282">
        <f t="shared" ca="1" si="207"/>
        <v>1920000</v>
      </c>
      <c r="AH351" s="282">
        <f t="shared" ca="1" si="208"/>
        <v>7902980</v>
      </c>
      <c r="AI351" s="23" t="str">
        <f t="shared" ca="1" si="225"/>
        <v>30-1</v>
      </c>
      <c r="AJ351" s="282">
        <f ca="1">IF(E351&gt;111,,IF(AND(OP!$C$99=1,T351="F"),Z351,IF(AND(OP!$C$99=2,COUNTIF($T$4:T351,"F")=1),OP!$C$97+IF(F351="F",OP!$C$98,0),"")))</f>
        <v>54527</v>
      </c>
      <c r="AK351" s="282">
        <f ca="1">IF(E351&gt;111,,IF(AND(OP!$D$99=1,T351="F"),AA351,IF(AND(OP!$D$99=2,COUNTIF($T$4:T351,"F")=1),OP!$D$97+IF(F351="F",OP!$D$98,0),"")))</f>
        <v>74177</v>
      </c>
      <c r="AL351" s="282">
        <f ca="1">IF(E351&gt;111,,IF(AND(OP!$E$99=1,T351="F"),AB351,IF(AND(OP!$E$99=2,COUNTIF($T$4:T351,"F")=1),OP!$E$97+IF(F351="F",OP!$E$98,0),"")))</f>
        <v>99404</v>
      </c>
      <c r="AM351" s="1">
        <f t="shared" ca="1" si="198"/>
        <v>1</v>
      </c>
      <c r="AN351" s="1" t="e">
        <f ca="1">IF(OR(VLOOKUP($A351,MP,5,0)="月繳"),1,"")</f>
        <v>#N/A</v>
      </c>
      <c r="AO351" s="1">
        <f t="shared" ca="1" si="209"/>
        <v>0</v>
      </c>
      <c r="AP351" s="1" t="str">
        <f ca="1">IF(AND(A351&lt;=OP!$C$120,COUNTIF(PAY,C351)=1),1,"")</f>
        <v/>
      </c>
      <c r="AR351" s="301">
        <f ca="1">IF(繳費報酬率資料!$A$1=1,$AY351+$AZ351,$BF351+$BG351)</f>
        <v>0</v>
      </c>
      <c r="AS351" s="1">
        <f ca="1">IF(C351&lt;&gt;IF($C$3=1,12,$C$3-1),0,IF(繳費報酬率資料!$A$1&lt;&gt;1,VLOOKUP($A351,MP,8,0),IF(AND($A351&gt;=OP!$C$79,$A351&lt;=OP!$C$80),OP!$C$78,)))</f>
        <v>0</v>
      </c>
      <c r="AT351" s="298">
        <f t="shared" ca="1" si="210"/>
        <v>0</v>
      </c>
      <c r="AU351" s="298">
        <f ca="1">IF(AND(A351&lt;=OP!$C$120,COUNTIF(PAY,C351)=1),OP!$C$123,0)</f>
        <v>0</v>
      </c>
      <c r="AV351" s="298">
        <f ca="1">IF(AND(A351&gt;=OP!$C$132,A351&lt;=OP!$C$133,$C$3=C351),OP!$C$135,0)</f>
        <v>0</v>
      </c>
      <c r="AW351" s="180">
        <f t="shared" ca="1" si="211"/>
        <v>0.05</v>
      </c>
      <c r="AX351" s="180">
        <f t="shared" ca="1" si="212"/>
        <v>0.05</v>
      </c>
      <c r="AY351" s="286">
        <f t="shared" ca="1" si="213"/>
        <v>0</v>
      </c>
      <c r="AZ351" s="286">
        <f t="shared" ca="1" si="214"/>
        <v>0</v>
      </c>
      <c r="BA351" s="286">
        <f t="shared" ca="1" si="215"/>
        <v>0</v>
      </c>
      <c r="BB351" s="286">
        <f t="shared" ca="1" si="216"/>
        <v>0</v>
      </c>
      <c r="BC351" s="286">
        <f t="shared" ca="1" si="217"/>
        <v>0</v>
      </c>
      <c r="BD351" s="180">
        <f t="shared" ca="1" si="218"/>
        <v>0.05</v>
      </c>
      <c r="BE351" s="180">
        <f t="shared" ca="1" si="219"/>
        <v>0.05</v>
      </c>
      <c r="BF351" s="286">
        <f t="shared" ca="1" si="220"/>
        <v>0</v>
      </c>
      <c r="BG351" s="286">
        <f t="shared" ca="1" si="221"/>
        <v>0</v>
      </c>
    </row>
    <row r="352" spans="1:59">
      <c r="A352" s="1">
        <f t="shared" ca="1" si="201"/>
        <v>30</v>
      </c>
      <c r="B352" s="1">
        <f t="shared" ca="1" si="194"/>
        <v>135</v>
      </c>
      <c r="C352" s="1">
        <f t="shared" ca="1" si="195"/>
        <v>6</v>
      </c>
      <c r="D352" s="1">
        <f ca="1">MIN($D$3,VLOOKUP(C352,OP!$S$30:$T$41,2))</f>
        <v>2</v>
      </c>
      <c r="E352" s="1">
        <f t="shared" ca="1" si="196"/>
        <v>84</v>
      </c>
      <c r="F352" s="11" t="str">
        <f t="shared" ca="1" si="202"/>
        <v/>
      </c>
      <c r="G352" s="6">
        <f ca="1">DATEDIF(DATE(B352+1911,C352,D352),DATE(B364+1911,C364,D364),"d")</f>
        <v>365</v>
      </c>
      <c r="H352" s="8">
        <f t="shared" ca="1" si="203"/>
        <v>30</v>
      </c>
      <c r="I352" s="8" t="str">
        <f t="shared" ca="1" si="200"/>
        <v>306</v>
      </c>
      <c r="J352" s="13">
        <f>IF(繳費報酬率資料!$A$1=1,VALUE(OP!$C$121),VLOOKUP(A352,MP,2,0))</f>
        <v>0.05</v>
      </c>
      <c r="K352" s="14">
        <f ca="1">IF(SUM($K$4:K351,IF(繳費報酬率資料!$A$1=1,$AU352+$AV352,$BB352+$BC352))&gt;OP!$L$58,0,IF(繳費報酬率資料!$A$1=1,$AU352+$AV352,$BB352+$BC352))</f>
        <v>0</v>
      </c>
      <c r="L352" s="2"/>
      <c r="M352" s="2"/>
      <c r="N352" s="2"/>
      <c r="O352" s="261">
        <f t="shared" ca="1" si="204"/>
        <v>0</v>
      </c>
      <c r="P352" s="261">
        <f t="shared" ca="1" si="222"/>
        <v>0</v>
      </c>
      <c r="Q352" s="3">
        <f ca="1">IF(A352&gt;MAX(OP!$R$17:$R$26),0,VLOOKUP(A352,fees,3,FALSE))</f>
        <v>0</v>
      </c>
      <c r="R352" s="200" t="str">
        <f t="shared" ca="1" si="205"/>
        <v/>
      </c>
      <c r="S352" s="9" t="str">
        <f ca="1">IF(COUNTIF(($T$4:T351),"F")&gt;=1,"",IF(OR(C353&lt;&gt;$C$3,E352=""),"",A352))</f>
        <v/>
      </c>
      <c r="T352" s="20" t="str">
        <f t="shared" ca="1" si="197"/>
        <v/>
      </c>
      <c r="U352" s="2">
        <f ca="1">IF(IF(OP!$C$83=1,$Z351,IF(OP!$C$83=2,$AA351,IF(OP!$C$83=3,$AB351,)))+$K352-$O352-$P352-$AS352&lt;OP!$C$142,0,$AS352)</f>
        <v>0</v>
      </c>
      <c r="V352" s="9"/>
      <c r="W352" s="19">
        <f ca="1">MAX(SUM($K$4:K352),0)</f>
        <v>2000000</v>
      </c>
      <c r="X352" s="19"/>
      <c r="Y352" s="19">
        <f t="shared" ca="1" si="223"/>
        <v>1920000</v>
      </c>
      <c r="Z352" s="2">
        <f ca="1">IF(MIN($Z$4:Z351)=0,0,MAX(0,($Z351+$K352-$O352-$P352)*IF(AND(F352="F",$D$3&lt;&gt;$G$3),((1+(-J352))^(H352/MIN(G352,365))),((1+(-J352))^(1/12)))-$U352))</f>
        <v>431945.95946314395</v>
      </c>
      <c r="AA352" s="2">
        <f ca="1">IF(MIN($AA$4:AA351)=0,0,MAX(0,($AA351+$K352-$O352-$P352)*IF(AND(F352="F",$D$3&lt;&gt;$G$3),((1+$AA$1)^(H352/MIN(G352,365))),((1+$AA$1)^(1/12)))-$U352))</f>
        <v>1920000</v>
      </c>
      <c r="AB352" s="2">
        <f ca="1">IF(MIN($AB$4:AB351)=0,0,MAX(0,($AB351+$K352-$O352-$P352)*IF(AND(F352="F",$D$3&lt;&gt;$G$3),((1+(J352))^(H352/MIN(G352,365))),((1+(J352))^(1/12)))-$U352))</f>
        <v>7935178.0633104444</v>
      </c>
      <c r="AC352" s="21"/>
      <c r="AD352" s="21"/>
      <c r="AE352" s="21"/>
      <c r="AF352" s="282">
        <f t="shared" ca="1" si="206"/>
        <v>431946</v>
      </c>
      <c r="AG352" s="282">
        <f t="shared" ca="1" si="207"/>
        <v>1920000</v>
      </c>
      <c r="AH352" s="282">
        <f t="shared" ca="1" si="208"/>
        <v>7935178</v>
      </c>
      <c r="AI352" s="23" t="str">
        <f t="shared" ca="1" si="225"/>
        <v>30-2</v>
      </c>
      <c r="AJ352" s="281">
        <f ca="1">IF(E352&gt;111,,IF(AND(OP!$C$99=1,T352="F"),Z352,IF(AND(OP!$C$99=2,COUNTIF($T$4:T352,"F")=1),OP!$C$97+IF(F352="F",OP!$C$98,0),"")))</f>
        <v>54527</v>
      </c>
      <c r="AK352" s="281">
        <f ca="1">IF(E352&gt;111,,IF(AND(OP!$D$99=1,T352="F"),AA352,IF(AND(OP!$D$99=2,COUNTIF($T$4:T352,"F")=1),OP!$D$97+IF(F352="F",OP!$D$98,0),"")))</f>
        <v>74177</v>
      </c>
      <c r="AL352" s="281">
        <f ca="1">IF(E352&gt;111,,IF(AND(OP!$E$99=1,T352="F"),AB352,IF(AND(OP!$E$99=2,COUNTIF($T$4:T352,"F")=1),OP!$E$97+IF(F352="F",OP!$E$98,0),"")))</f>
        <v>99404</v>
      </c>
      <c r="AM352" s="1">
        <f t="shared" ca="1" si="198"/>
        <v>2</v>
      </c>
      <c r="AN352" s="1" t="e">
        <f ca="1">IF(OR(VLOOKUP($A352,MP,5,0)="年繳",VLOOKUP($A352,MP,5,0)="半年繳",VLOOKUP($A352,MP,5,0)="季繳",VLOOKUP($A352,MP,5,0)="月繳"),1,"")</f>
        <v>#N/A</v>
      </c>
      <c r="AO352" s="1">
        <f t="shared" ca="1" si="209"/>
        <v>0</v>
      </c>
      <c r="AP352" s="1" t="str">
        <f ca="1">IF(AND(A352&lt;=OP!$C$120,COUNTIF(PAY,C352)=1),1,"")</f>
        <v/>
      </c>
      <c r="AR352" s="301">
        <f ca="1">IF(繳費報酬率資料!$A$1=1,$AY352+$AZ352,$BF352+$BG352)</f>
        <v>0</v>
      </c>
      <c r="AS352" s="1">
        <f ca="1">IF(C352&lt;&gt;IF($C$3=1,12,$C$3-1),0,IF(繳費報酬率資料!$A$1&lt;&gt;1,VLOOKUP($A352,MP,8,0),IF(AND($A352&gt;=OP!$C$79,$A352&lt;=OP!$C$80),OP!$C$78,)))</f>
        <v>0</v>
      </c>
      <c r="AT352" s="298">
        <f t="shared" ca="1" si="210"/>
        <v>0</v>
      </c>
      <c r="AU352" s="298">
        <f ca="1">IF(AND(A352&lt;=OP!$C$120,COUNTIF(PAY,C352)=1),OP!$C$123,0)</f>
        <v>0</v>
      </c>
      <c r="AV352" s="298">
        <f ca="1">IF(AND(A352&gt;=OP!$C$132,A352&lt;=OP!$C$133,$C$3=C352),OP!$C$135,0)</f>
        <v>0</v>
      </c>
      <c r="AW352" s="180">
        <f t="shared" ca="1" si="211"/>
        <v>0.05</v>
      </c>
      <c r="AX352" s="180">
        <f t="shared" ca="1" si="212"/>
        <v>0.05</v>
      </c>
      <c r="AY352" s="286">
        <f t="shared" ca="1" si="213"/>
        <v>0</v>
      </c>
      <c r="AZ352" s="286">
        <f t="shared" ca="1" si="214"/>
        <v>0</v>
      </c>
      <c r="BA352" s="286">
        <f t="shared" ca="1" si="215"/>
        <v>0</v>
      </c>
      <c r="BB352" s="286">
        <f t="shared" ca="1" si="216"/>
        <v>0</v>
      </c>
      <c r="BC352" s="286">
        <f t="shared" ca="1" si="217"/>
        <v>0</v>
      </c>
      <c r="BD352" s="180">
        <f t="shared" ca="1" si="218"/>
        <v>0.05</v>
      </c>
      <c r="BE352" s="180">
        <f t="shared" ca="1" si="219"/>
        <v>0.05</v>
      </c>
      <c r="BF352" s="286">
        <f t="shared" ca="1" si="220"/>
        <v>0</v>
      </c>
      <c r="BG352" s="286">
        <f t="shared" ca="1" si="221"/>
        <v>0</v>
      </c>
    </row>
    <row r="353" spans="1:59">
      <c r="A353" s="1">
        <f t="shared" ca="1" si="201"/>
        <v>30</v>
      </c>
      <c r="B353" s="1">
        <f t="shared" ca="1" si="194"/>
        <v>135</v>
      </c>
      <c r="C353" s="1">
        <f t="shared" ca="1" si="195"/>
        <v>7</v>
      </c>
      <c r="D353" s="1">
        <f ca="1">MIN($D$3,VLOOKUP(C353,OP!$S$30:$T$41,2))</f>
        <v>2</v>
      </c>
      <c r="E353" s="1">
        <f t="shared" ca="1" si="196"/>
        <v>84</v>
      </c>
      <c r="F353" s="11" t="str">
        <f t="shared" ca="1" si="202"/>
        <v/>
      </c>
      <c r="G353" s="8">
        <f t="shared" ref="G353:G363" ca="1" si="227">G352</f>
        <v>365</v>
      </c>
      <c r="H353" s="8">
        <f t="shared" ca="1" si="203"/>
        <v>31</v>
      </c>
      <c r="I353" s="8" t="str">
        <f t="shared" ca="1" si="200"/>
        <v>307</v>
      </c>
      <c r="J353" s="13">
        <f>IF(繳費報酬率資料!$A$1=1,VALUE(OP!$C$121),VLOOKUP(A353,MP,2,0))</f>
        <v>0.05</v>
      </c>
      <c r="K353" s="14">
        <f ca="1">IF(SUM($K$4:K352,IF(繳費報酬率資料!$A$1=1,$AU353+$AV353,$BB353+$BC353))&gt;OP!$L$58,0,IF(繳費報酬率資料!$A$1=1,$AU353+$AV353,$BB353+$BC353))</f>
        <v>0</v>
      </c>
      <c r="L353" s="2"/>
      <c r="M353" s="2"/>
      <c r="N353" s="2"/>
      <c r="O353" s="261">
        <f t="shared" ca="1" si="204"/>
        <v>0</v>
      </c>
      <c r="P353" s="261">
        <f t="shared" ca="1" si="222"/>
        <v>0</v>
      </c>
      <c r="Q353" s="3">
        <f ca="1">IF(A353&gt;MAX(OP!$R$17:$R$26),0,VLOOKUP(A353,fees,3,FALSE))</f>
        <v>0</v>
      </c>
      <c r="R353" s="200" t="str">
        <f t="shared" ca="1" si="205"/>
        <v/>
      </c>
      <c r="S353" s="9" t="str">
        <f ca="1">IF(COUNTIF(($T$4:T352),"F")&gt;=1,"",IF(OR(C354&lt;&gt;$C$3,E353=""),"",A353))</f>
        <v/>
      </c>
      <c r="T353" s="20" t="str">
        <f t="shared" ca="1" si="197"/>
        <v/>
      </c>
      <c r="U353" s="2">
        <f ca="1">IF(IF(OP!$C$83=1,$Z352,IF(OP!$C$83=2,$AA352,IF(OP!$C$83=3,$AB352,)))+$K353-$O353-$P353-$AS353&lt;OP!$C$142,0,$AS353)</f>
        <v>0</v>
      </c>
      <c r="V353" s="9"/>
      <c r="W353" s="19">
        <f ca="1">MAX(SUM($K$4:K353),0)</f>
        <v>2000000</v>
      </c>
      <c r="X353" s="19"/>
      <c r="Y353" s="19">
        <f t="shared" ca="1" si="223"/>
        <v>1920000</v>
      </c>
      <c r="Z353" s="2">
        <f ca="1">IF(MIN($Z$4:Z352)=0,0,MAX(0,($Z352+$K353-$O353-$P353)*IF(AND(F353="F",$D$3&lt;&gt;$G$3),((1+(-J353))^(H353/MIN(G353,365))),((1+(-J353))^(1/12)))-$U353))</f>
        <v>430103.57225135434</v>
      </c>
      <c r="AA353" s="2">
        <f ca="1">IF(MIN($AA$4:AA352)=0,0,MAX(0,($AA352+$K353-$O353-$P353)*IF(AND(F353="F",$D$3&lt;&gt;$G$3),((1+$AA$1)^(H353/MIN(G353,365))),((1+$AA$1)^(1/12)))-$U353))</f>
        <v>1920000</v>
      </c>
      <c r="AB353" s="2">
        <f ca="1">IF(MIN($AB$4:AB352)=0,0,MAX(0,($AB352+$K353-$O353-$P353)*IF(AND(F353="F",$D$3&lt;&gt;$G$3),((1+(J353))^(H353/MIN(G353,365))),((1+(J353))^(1/12)))-$U353))</f>
        <v>7967506.9609856624</v>
      </c>
      <c r="AC353" s="5"/>
      <c r="AD353" s="5"/>
      <c r="AE353" s="5"/>
      <c r="AF353" s="282">
        <f t="shared" ca="1" si="206"/>
        <v>430104</v>
      </c>
      <c r="AG353" s="282">
        <f t="shared" ca="1" si="207"/>
        <v>1920000</v>
      </c>
      <c r="AH353" s="282">
        <f t="shared" ca="1" si="208"/>
        <v>7967507</v>
      </c>
      <c r="AI353" s="23" t="str">
        <f t="shared" ca="1" si="225"/>
        <v>30-3</v>
      </c>
      <c r="AJ353" s="282">
        <f ca="1">IF(E353&gt;111,,IF(AND(OP!$C$99=1,T353="F"),Z353,IF(AND(OP!$C$99=2,COUNTIF($T$4:T353,"F")=1),OP!$C$97+IF(F353="F",OP!$C$98,0),"")))</f>
        <v>54527</v>
      </c>
      <c r="AK353" s="282">
        <f ca="1">IF(E353&gt;111,,IF(AND(OP!$D$99=1,T353="F"),AA353,IF(AND(OP!$D$99=2,COUNTIF($T$4:T353,"F")=1),OP!$D$97+IF(F353="F",OP!$D$98,0),"")))</f>
        <v>74177</v>
      </c>
      <c r="AL353" s="282">
        <f ca="1">IF(E353&gt;111,,IF(AND(OP!$E$99=1,T353="F"),AB353,IF(AND(OP!$E$99=2,COUNTIF($T$4:T353,"F")=1),OP!$E$97+IF(F353="F",OP!$E$98,0),"")))</f>
        <v>99404</v>
      </c>
      <c r="AM353" s="1">
        <f t="shared" ca="1" si="198"/>
        <v>3</v>
      </c>
      <c r="AN353" s="1" t="e">
        <f ca="1">IF(OR(VLOOKUP($A353,MP,5,0)="月繳"),1,"")</f>
        <v>#N/A</v>
      </c>
      <c r="AO353" s="1">
        <f t="shared" ca="1" si="209"/>
        <v>0</v>
      </c>
      <c r="AP353" s="1" t="str">
        <f ca="1">IF(AND(A353&lt;=OP!$C$120,COUNTIF(PAY,C353)=1),1,"")</f>
        <v/>
      </c>
      <c r="AR353" s="301">
        <f ca="1">IF(繳費報酬率資料!$A$1=1,$AY353+$AZ353,$BF353+$BG353)</f>
        <v>0</v>
      </c>
      <c r="AS353" s="1">
        <f ca="1">IF(C353&lt;&gt;IF($C$3=1,12,$C$3-1),0,IF(繳費報酬率資料!$A$1&lt;&gt;1,VLOOKUP($A353,MP,8,0),IF(AND($A353&gt;=OP!$C$79,$A353&lt;=OP!$C$80),OP!$C$78,)))</f>
        <v>0</v>
      </c>
      <c r="AT353" s="298">
        <f t="shared" ca="1" si="210"/>
        <v>0</v>
      </c>
      <c r="AU353" s="298">
        <f ca="1">IF(AND(A353&lt;=OP!$C$120,COUNTIF(PAY,C353)=1),OP!$C$123,0)</f>
        <v>0</v>
      </c>
      <c r="AV353" s="298">
        <f ca="1">IF(AND(A353&gt;=OP!$C$132,A353&lt;=OP!$C$133,$C$3=C353),OP!$C$135,0)</f>
        <v>0</v>
      </c>
      <c r="AW353" s="180">
        <f t="shared" ca="1" si="211"/>
        <v>0.05</v>
      </c>
      <c r="AX353" s="180">
        <f t="shared" ca="1" si="212"/>
        <v>0.05</v>
      </c>
      <c r="AY353" s="286">
        <f t="shared" ca="1" si="213"/>
        <v>0</v>
      </c>
      <c r="AZ353" s="286">
        <f t="shared" ca="1" si="214"/>
        <v>0</v>
      </c>
      <c r="BA353" s="286">
        <f t="shared" ca="1" si="215"/>
        <v>0</v>
      </c>
      <c r="BB353" s="286">
        <f t="shared" ca="1" si="216"/>
        <v>0</v>
      </c>
      <c r="BC353" s="286">
        <f t="shared" ca="1" si="217"/>
        <v>0</v>
      </c>
      <c r="BD353" s="180">
        <f t="shared" ca="1" si="218"/>
        <v>0.05</v>
      </c>
      <c r="BE353" s="180">
        <f t="shared" ca="1" si="219"/>
        <v>0.05</v>
      </c>
      <c r="BF353" s="286">
        <f t="shared" ca="1" si="220"/>
        <v>0</v>
      </c>
      <c r="BG353" s="286">
        <f t="shared" ca="1" si="221"/>
        <v>0</v>
      </c>
    </row>
    <row r="354" spans="1:59">
      <c r="A354" s="1">
        <f t="shared" ca="1" si="201"/>
        <v>30</v>
      </c>
      <c r="B354" s="1">
        <f t="shared" ca="1" si="194"/>
        <v>135</v>
      </c>
      <c r="C354" s="1">
        <f t="shared" ca="1" si="195"/>
        <v>8</v>
      </c>
      <c r="D354" s="1">
        <f ca="1">MIN($D$3,VLOOKUP(C354,OP!$S$30:$T$41,2))</f>
        <v>2</v>
      </c>
      <c r="E354" s="1">
        <f t="shared" ca="1" si="196"/>
        <v>84</v>
      </c>
      <c r="F354" s="11" t="str">
        <f t="shared" ca="1" si="202"/>
        <v/>
      </c>
      <c r="G354" s="8">
        <f t="shared" ca="1" si="227"/>
        <v>365</v>
      </c>
      <c r="H354" s="8">
        <f t="shared" ca="1" si="203"/>
        <v>31</v>
      </c>
      <c r="I354" s="8" t="str">
        <f t="shared" ca="1" si="200"/>
        <v>308</v>
      </c>
      <c r="J354" s="13">
        <f>IF(繳費報酬率資料!$A$1=1,VALUE(OP!$C$121),VLOOKUP(A354,MP,2,0))</f>
        <v>0.05</v>
      </c>
      <c r="K354" s="14">
        <f ca="1">IF(SUM($K$4:K353,IF(繳費報酬率資料!$A$1=1,$AU354+$AV354,$BB354+$BC354))&gt;OP!$L$58,0,IF(繳費報酬率資料!$A$1=1,$AU354+$AV354,$BB354+$BC354))</f>
        <v>0</v>
      </c>
      <c r="L354" s="2"/>
      <c r="M354" s="2"/>
      <c r="N354" s="2"/>
      <c r="O354" s="261">
        <f t="shared" ca="1" si="204"/>
        <v>0</v>
      </c>
      <c r="P354" s="261">
        <f t="shared" ca="1" si="222"/>
        <v>0</v>
      </c>
      <c r="Q354" s="3">
        <f ca="1">IF(A354&gt;MAX(OP!$R$17:$R$26),0,VLOOKUP(A354,fees,3,FALSE))</f>
        <v>0</v>
      </c>
      <c r="R354" s="200" t="str">
        <f t="shared" ca="1" si="205"/>
        <v/>
      </c>
      <c r="S354" s="9" t="str">
        <f ca="1">IF(COUNTIF(($T$4:T353),"F")&gt;=1,"",IF(OR(C355&lt;&gt;$C$3,E354=""),"",A354))</f>
        <v/>
      </c>
      <c r="T354" s="20" t="str">
        <f t="shared" ca="1" si="197"/>
        <v/>
      </c>
      <c r="U354" s="2">
        <f ca="1">IF(IF(OP!$C$83=1,$Z353,IF(OP!$C$83=2,$AA353,IF(OP!$C$83=3,$AB353,)))+$K354-$O354-$P354-$AS354&lt;OP!$C$142,0,$AS354)</f>
        <v>0</v>
      </c>
      <c r="V354" s="9"/>
      <c r="W354" s="19">
        <f ca="1">MAX(SUM($K$4:K354),0)</f>
        <v>2000000</v>
      </c>
      <c r="X354" s="19"/>
      <c r="Y354" s="19">
        <f t="shared" ca="1" si="223"/>
        <v>1920000</v>
      </c>
      <c r="Z354" s="2">
        <f ca="1">IF(MIN($Z$4:Z353)=0,0,MAX(0,($Z353+$K354-$O354-$P354)*IF(AND(F354="F",$D$3&lt;&gt;$G$3),((1+(-J354))^(H354/MIN(G354,365))),((1+(-J354))^(1/12)))-$U354))</f>
        <v>428269.04340833472</v>
      </c>
      <c r="AA354" s="2">
        <f ca="1">IF(MIN($AA$4:AA353)=0,0,MAX(0,($AA353+$K354-$O354-$P354)*IF(AND(F354="F",$D$3&lt;&gt;$G$3),((1+$AA$1)^(H354/MIN(G354,365))),((1+$AA$1)^(1/12)))-$U354))</f>
        <v>1920000</v>
      </c>
      <c r="AB354" s="2">
        <f ca="1">IF(MIN($AB$4:AB353)=0,0,MAX(0,($AB353+$K354-$O354-$P354)*IF(AND(F354="F",$D$3&lt;&gt;$G$3),((1+(J354))^(H354/MIN(G354,365))),((1+(J354))^(1/12)))-$U354))</f>
        <v>7999967.5705917981</v>
      </c>
      <c r="AC354" s="5"/>
      <c r="AD354" s="5"/>
      <c r="AE354" s="5"/>
      <c r="AF354" s="282">
        <f t="shared" ca="1" si="206"/>
        <v>428269</v>
      </c>
      <c r="AG354" s="282">
        <f t="shared" ca="1" si="207"/>
        <v>1920000</v>
      </c>
      <c r="AH354" s="282">
        <f t="shared" ca="1" si="208"/>
        <v>7999968</v>
      </c>
      <c r="AI354" s="23" t="str">
        <f t="shared" ca="1" si="225"/>
        <v>30-4</v>
      </c>
      <c r="AJ354" s="282">
        <f ca="1">IF(E354&gt;111,,IF(AND(OP!$C$99=1,T354="F"),Z354,IF(AND(OP!$C$99=2,COUNTIF($T$4:T354,"F")=1),OP!$C$97+IF(F354="F",OP!$C$98,0),"")))</f>
        <v>54527</v>
      </c>
      <c r="AK354" s="282">
        <f ca="1">IF(E354&gt;111,,IF(AND(OP!$D$99=1,T354="F"),AA354,IF(AND(OP!$D$99=2,COUNTIF($T$4:T354,"F")=1),OP!$D$97+IF(F354="F",OP!$D$98,0),"")))</f>
        <v>74177</v>
      </c>
      <c r="AL354" s="282">
        <f ca="1">IF(E354&gt;111,,IF(AND(OP!$E$99=1,T354="F"),AB354,IF(AND(OP!$E$99=2,COUNTIF($T$4:T354,"F")=1),OP!$E$97+IF(F354="F",OP!$E$98,0),"")))</f>
        <v>99404</v>
      </c>
      <c r="AM354" s="1">
        <f t="shared" ca="1" si="198"/>
        <v>4</v>
      </c>
      <c r="AN354" s="1" t="e">
        <f ca="1">IF(OR(VLOOKUP($A354,MP,5,0)="月繳"),1,"")</f>
        <v>#N/A</v>
      </c>
      <c r="AO354" s="1">
        <f t="shared" ca="1" si="209"/>
        <v>0</v>
      </c>
      <c r="AP354" s="1" t="str">
        <f ca="1">IF(AND(A354&lt;=OP!$C$120,COUNTIF(PAY,C354)=1),1,"")</f>
        <v/>
      </c>
      <c r="AR354" s="301">
        <f ca="1">IF(繳費報酬率資料!$A$1=1,$AY354+$AZ354,$BF354+$BG354)</f>
        <v>0</v>
      </c>
      <c r="AS354" s="1">
        <f ca="1">IF(C354&lt;&gt;IF($C$3=1,12,$C$3-1),0,IF(繳費報酬率資料!$A$1&lt;&gt;1,VLOOKUP($A354,MP,8,0),IF(AND($A354&gt;=OP!$C$79,$A354&lt;=OP!$C$80),OP!$C$78,)))</f>
        <v>0</v>
      </c>
      <c r="AT354" s="298">
        <f t="shared" ca="1" si="210"/>
        <v>0</v>
      </c>
      <c r="AU354" s="298">
        <f ca="1">IF(AND(A354&lt;=OP!$C$120,COUNTIF(PAY,C354)=1),OP!$C$123,0)</f>
        <v>0</v>
      </c>
      <c r="AV354" s="298">
        <f ca="1">IF(AND(A354&gt;=OP!$C$132,A354&lt;=OP!$C$133,$C$3=C354),OP!$C$135,0)</f>
        <v>0</v>
      </c>
      <c r="AW354" s="180">
        <f t="shared" ca="1" si="211"/>
        <v>0.05</v>
      </c>
      <c r="AX354" s="180">
        <f t="shared" ca="1" si="212"/>
        <v>0.05</v>
      </c>
      <c r="AY354" s="286">
        <f t="shared" ca="1" si="213"/>
        <v>0</v>
      </c>
      <c r="AZ354" s="286">
        <f t="shared" ca="1" si="214"/>
        <v>0</v>
      </c>
      <c r="BA354" s="286">
        <f t="shared" ca="1" si="215"/>
        <v>0</v>
      </c>
      <c r="BB354" s="286">
        <f t="shared" ca="1" si="216"/>
        <v>0</v>
      </c>
      <c r="BC354" s="286">
        <f t="shared" ca="1" si="217"/>
        <v>0</v>
      </c>
      <c r="BD354" s="180">
        <f t="shared" ca="1" si="218"/>
        <v>0.05</v>
      </c>
      <c r="BE354" s="180">
        <f t="shared" ca="1" si="219"/>
        <v>0.05</v>
      </c>
      <c r="BF354" s="286">
        <f t="shared" ca="1" si="220"/>
        <v>0</v>
      </c>
      <c r="BG354" s="286">
        <f t="shared" ca="1" si="221"/>
        <v>0</v>
      </c>
    </row>
    <row r="355" spans="1:59">
      <c r="A355" s="1">
        <f t="shared" ca="1" si="201"/>
        <v>30</v>
      </c>
      <c r="B355" s="1">
        <f t="shared" ca="1" si="194"/>
        <v>135</v>
      </c>
      <c r="C355" s="1">
        <f t="shared" ca="1" si="195"/>
        <v>9</v>
      </c>
      <c r="D355" s="1">
        <f ca="1">MIN($D$3,VLOOKUP(C355,OP!$S$30:$T$41,2))</f>
        <v>2</v>
      </c>
      <c r="E355" s="1">
        <f t="shared" ca="1" si="196"/>
        <v>84</v>
      </c>
      <c r="F355" s="11" t="str">
        <f t="shared" ca="1" si="202"/>
        <v/>
      </c>
      <c r="G355" s="8">
        <f t="shared" ca="1" si="227"/>
        <v>365</v>
      </c>
      <c r="H355" s="8">
        <f t="shared" ca="1" si="203"/>
        <v>30</v>
      </c>
      <c r="I355" s="8" t="str">
        <f t="shared" ca="1" si="200"/>
        <v>309</v>
      </c>
      <c r="J355" s="13">
        <f>IF(繳費報酬率資料!$A$1=1,VALUE(OP!$C$121),VLOOKUP(A355,MP,2,0))</f>
        <v>0.05</v>
      </c>
      <c r="K355" s="14">
        <f ca="1">IF(SUM($K$4:K354,IF(繳費報酬率資料!$A$1=1,$AU355+$AV355,$BB355+$BC355))&gt;OP!$L$58,0,IF(繳費報酬率資料!$A$1=1,$AU355+$AV355,$BB355+$BC355))</f>
        <v>0</v>
      </c>
      <c r="L355" s="2"/>
      <c r="M355" s="2"/>
      <c r="N355" s="2"/>
      <c r="O355" s="261">
        <f t="shared" ca="1" si="204"/>
        <v>0</v>
      </c>
      <c r="P355" s="261">
        <f t="shared" ca="1" si="222"/>
        <v>0</v>
      </c>
      <c r="Q355" s="3">
        <f ca="1">IF(A355&gt;MAX(OP!$R$17:$R$26),0,VLOOKUP(A355,fees,3,FALSE))</f>
        <v>0</v>
      </c>
      <c r="R355" s="200" t="str">
        <f t="shared" ca="1" si="205"/>
        <v/>
      </c>
      <c r="S355" s="9" t="str">
        <f ca="1">IF(COUNTIF(($T$4:T354),"F")&gt;=1,"",IF(OR(C356&lt;&gt;$C$3,E355=""),"",A355))</f>
        <v/>
      </c>
      <c r="T355" s="20" t="str">
        <f t="shared" ca="1" si="197"/>
        <v/>
      </c>
      <c r="U355" s="2">
        <f ca="1">IF(IF(OP!$C$83=1,$Z354,IF(OP!$C$83=2,$AA354,IF(OP!$C$83=3,$AB354,)))+$K355-$O355-$P355-$AS355&lt;OP!$C$142,0,$AS355)</f>
        <v>0</v>
      </c>
      <c r="V355" s="9"/>
      <c r="W355" s="19">
        <f ca="1">MAX(SUM($K$4:K355),0)</f>
        <v>2000000</v>
      </c>
      <c r="X355" s="19"/>
      <c r="Y355" s="19">
        <f t="shared" ca="1" si="223"/>
        <v>1920000</v>
      </c>
      <c r="Z355" s="2">
        <f ca="1">IF(MIN($Z$4:Z354)=0,0,MAX(0,($Z354+$K355-$O355-$P355)*IF(AND(F355="F",$D$3&lt;&gt;$G$3),((1+(-J355))^(H355/MIN(G355,365))),((1+(-J355))^(1/12)))-$U355))</f>
        <v>426442.33941563719</v>
      </c>
      <c r="AA355" s="2">
        <f ca="1">IF(MIN($AA$4:AA354)=0,0,MAX(0,($AA354+$K355-$O355-$P355)*IF(AND(F355="F",$D$3&lt;&gt;$G$3),((1+$AA$1)^(H355/MIN(G355,365))),((1+$AA$1)^(1/12)))-$U355))</f>
        <v>1920000</v>
      </c>
      <c r="AB355" s="2">
        <f ca="1">IF(MIN($AB$4:AB354)=0,0,MAX(0,($AB354+$K355-$O355-$P355)*IF(AND(F355="F",$D$3&lt;&gt;$G$3),((1+(J355))^(H355/MIN(G355,365))),((1+(J355))^(1/12)))-$U355))</f>
        <v>8032560.4287395617</v>
      </c>
      <c r="AC355" s="5"/>
      <c r="AD355" s="5"/>
      <c r="AE355" s="5"/>
      <c r="AF355" s="282">
        <f t="shared" ca="1" si="206"/>
        <v>426442</v>
      </c>
      <c r="AG355" s="282">
        <f t="shared" ca="1" si="207"/>
        <v>1920000</v>
      </c>
      <c r="AH355" s="282">
        <f t="shared" ca="1" si="208"/>
        <v>8032560</v>
      </c>
      <c r="AI355" s="23" t="str">
        <f t="shared" ca="1" si="225"/>
        <v>30-5</v>
      </c>
      <c r="AJ355" s="282">
        <f ca="1">IF(E355&gt;111,,IF(AND(OP!$C$99=1,T355="F"),Z355,IF(AND(OP!$C$99=2,COUNTIF($T$4:T355,"F")=1),OP!$C$97+IF(F355="F",OP!$C$98,0),"")))</f>
        <v>54527</v>
      </c>
      <c r="AK355" s="282">
        <f ca="1">IF(E355&gt;111,,IF(AND(OP!$D$99=1,T355="F"),AA355,IF(AND(OP!$D$99=2,COUNTIF($T$4:T355,"F")=1),OP!$D$97+IF(F355="F",OP!$D$98,0),"")))</f>
        <v>74177</v>
      </c>
      <c r="AL355" s="282">
        <f ca="1">IF(E355&gt;111,,IF(AND(OP!$E$99=1,T355="F"),AB355,IF(AND(OP!$E$99=2,COUNTIF($T$4:T355,"F")=1),OP!$E$97+IF(F355="F",OP!$E$98,0),"")))</f>
        <v>99404</v>
      </c>
      <c r="AM355" s="1">
        <f t="shared" ca="1" si="198"/>
        <v>5</v>
      </c>
      <c r="AN355" s="1" t="e">
        <f ca="1">IF(OR(VLOOKUP($A355,MP,5,0)="季繳",VLOOKUP($A355,MP,5,0)="月繳"),1,"")</f>
        <v>#N/A</v>
      </c>
      <c r="AO355" s="1">
        <f t="shared" ca="1" si="209"/>
        <v>0</v>
      </c>
      <c r="AP355" s="1" t="str">
        <f ca="1">IF(AND(A355&lt;=OP!$C$120,COUNTIF(PAY,C355)=1),1,"")</f>
        <v/>
      </c>
      <c r="AR355" s="301">
        <f ca="1">IF(繳費報酬率資料!$A$1=1,$AY355+$AZ355,$BF355+$BG355)</f>
        <v>0</v>
      </c>
      <c r="AS355" s="1">
        <f ca="1">IF(C355&lt;&gt;IF($C$3=1,12,$C$3-1),0,IF(繳費報酬率資料!$A$1&lt;&gt;1,VLOOKUP($A355,MP,8,0),IF(AND($A355&gt;=OP!$C$79,$A355&lt;=OP!$C$80),OP!$C$78,)))</f>
        <v>0</v>
      </c>
      <c r="AT355" s="298">
        <f t="shared" ca="1" si="210"/>
        <v>0</v>
      </c>
      <c r="AU355" s="298">
        <f ca="1">IF(AND(A355&lt;=OP!$C$120,COUNTIF(PAY,C355)=1),OP!$C$123,0)</f>
        <v>0</v>
      </c>
      <c r="AV355" s="298">
        <f ca="1">IF(AND(A355&gt;=OP!$C$132,A355&lt;=OP!$C$133,$C$3=C355),OP!$C$135,0)</f>
        <v>0</v>
      </c>
      <c r="AW355" s="180">
        <f t="shared" ca="1" si="211"/>
        <v>0.05</v>
      </c>
      <c r="AX355" s="180">
        <f t="shared" ca="1" si="212"/>
        <v>0.05</v>
      </c>
      <c r="AY355" s="286">
        <f t="shared" ca="1" si="213"/>
        <v>0</v>
      </c>
      <c r="AZ355" s="286">
        <f t="shared" ca="1" si="214"/>
        <v>0</v>
      </c>
      <c r="BA355" s="286">
        <f t="shared" ca="1" si="215"/>
        <v>0</v>
      </c>
      <c r="BB355" s="286">
        <f t="shared" ca="1" si="216"/>
        <v>0</v>
      </c>
      <c r="BC355" s="286">
        <f t="shared" ca="1" si="217"/>
        <v>0</v>
      </c>
      <c r="BD355" s="180">
        <f t="shared" ca="1" si="218"/>
        <v>0.05</v>
      </c>
      <c r="BE355" s="180">
        <f t="shared" ca="1" si="219"/>
        <v>0.05</v>
      </c>
      <c r="BF355" s="286">
        <f t="shared" ca="1" si="220"/>
        <v>0</v>
      </c>
      <c r="BG355" s="286">
        <f t="shared" ca="1" si="221"/>
        <v>0</v>
      </c>
    </row>
    <row r="356" spans="1:59">
      <c r="A356" s="1">
        <f t="shared" ca="1" si="201"/>
        <v>30</v>
      </c>
      <c r="B356" s="1">
        <f t="shared" ca="1" si="194"/>
        <v>135</v>
      </c>
      <c r="C356" s="1">
        <f t="shared" ca="1" si="195"/>
        <v>10</v>
      </c>
      <c r="D356" s="1">
        <f ca="1">MIN($D$3,VLOOKUP(C356,OP!$S$30:$T$41,2))</f>
        <v>2</v>
      </c>
      <c r="E356" s="1">
        <f t="shared" ca="1" si="196"/>
        <v>84</v>
      </c>
      <c r="F356" s="11" t="str">
        <f t="shared" ca="1" si="202"/>
        <v/>
      </c>
      <c r="G356" s="8">
        <f t="shared" ca="1" si="227"/>
        <v>365</v>
      </c>
      <c r="H356" s="8">
        <f t="shared" ca="1" si="203"/>
        <v>31</v>
      </c>
      <c r="I356" s="8" t="str">
        <f t="shared" ca="1" si="200"/>
        <v>3010</v>
      </c>
      <c r="J356" s="13">
        <f>IF(繳費報酬率資料!$A$1=1,VALUE(OP!$C$121),VLOOKUP(A356,MP,2,0))</f>
        <v>0.05</v>
      </c>
      <c r="K356" s="14">
        <f ca="1">IF(SUM($K$4:K355,IF(繳費報酬率資料!$A$1=1,$AU356+$AV356,$BB356+$BC356))&gt;OP!$L$58,0,IF(繳費報酬率資料!$A$1=1,$AU356+$AV356,$BB356+$BC356))</f>
        <v>0</v>
      </c>
      <c r="L356" s="2"/>
      <c r="M356" s="2"/>
      <c r="N356" s="2"/>
      <c r="O356" s="261">
        <f t="shared" ca="1" si="204"/>
        <v>0</v>
      </c>
      <c r="P356" s="261">
        <f t="shared" ca="1" si="222"/>
        <v>0</v>
      </c>
      <c r="Q356" s="3">
        <f ca="1">IF(A356&gt;MAX(OP!$R$17:$R$26),0,VLOOKUP(A356,fees,3,FALSE))</f>
        <v>0</v>
      </c>
      <c r="R356" s="200" t="str">
        <f t="shared" ca="1" si="205"/>
        <v/>
      </c>
      <c r="S356" s="9" t="str">
        <f ca="1">IF(COUNTIF(($T$4:T355),"F")&gt;=1,"",IF(OR(C357&lt;&gt;$C$3,E356=""),"",A356))</f>
        <v/>
      </c>
      <c r="T356" s="20" t="str">
        <f t="shared" ca="1" si="197"/>
        <v/>
      </c>
      <c r="U356" s="2">
        <f ca="1">IF(IF(OP!$C$83=1,$Z355,IF(OP!$C$83=2,$AA355,IF(OP!$C$83=3,$AB355,)))+$K356-$O356-$P356-$AS356&lt;OP!$C$142,0,$AS356)</f>
        <v>0</v>
      </c>
      <c r="V356" s="9"/>
      <c r="W356" s="19">
        <f ca="1">MAX(SUM($K$4:K356),0)</f>
        <v>2000000</v>
      </c>
      <c r="X356" s="19"/>
      <c r="Y356" s="19">
        <f t="shared" ca="1" si="223"/>
        <v>1920000</v>
      </c>
      <c r="Z356" s="2">
        <f ca="1">IF(MIN($Z$4:Z355)=0,0,MAX(0,($Z355+$K356-$O356-$P356)*IF(AND(F356="F",$D$3&lt;&gt;$G$3),((1+(-J356))^(H356/MIN(G356,365))),((1+(-J356))^(1/12)))-$U356))</f>
        <v>424623.4268977808</v>
      </c>
      <c r="AA356" s="2">
        <f ca="1">IF(MIN($AA$4:AA355)=0,0,MAX(0,($AA355+$K356-$O356-$P356)*IF(AND(F356="F",$D$3&lt;&gt;$G$3),((1+$AA$1)^(H356/MIN(G356,365))),((1+$AA$1)^(1/12)))-$U356))</f>
        <v>1920000</v>
      </c>
      <c r="AB356" s="2">
        <f ca="1">IF(MIN($AB$4:AB355)=0,0,MAX(0,($AB355+$K356-$O356-$P356)*IF(AND(F356="F",$D$3&lt;&gt;$G$3),((1+(J356))^(H356/MIN(G356,365))),((1+(J356))^(1/12)))-$U356))</f>
        <v>8065286.0742258821</v>
      </c>
      <c r="AC356" s="5"/>
      <c r="AD356" s="5"/>
      <c r="AE356" s="5"/>
      <c r="AF356" s="282">
        <f t="shared" ca="1" si="206"/>
        <v>424623</v>
      </c>
      <c r="AG356" s="282">
        <f t="shared" ca="1" si="207"/>
        <v>1920000</v>
      </c>
      <c r="AH356" s="282">
        <f t="shared" ca="1" si="208"/>
        <v>8065286</v>
      </c>
      <c r="AI356" s="23" t="str">
        <f t="shared" ca="1" si="225"/>
        <v>30-6</v>
      </c>
      <c r="AJ356" s="282">
        <f ca="1">IF(E356&gt;111,,IF(AND(OP!$C$99=1,T356="F"),Z356,IF(AND(OP!$C$99=2,COUNTIF($T$4:T356,"F")=1),OP!$C$97+IF(F356="F",OP!$C$98,0),"")))</f>
        <v>54527</v>
      </c>
      <c r="AK356" s="282">
        <f ca="1">IF(E356&gt;111,,IF(AND(OP!$D$99=1,T356="F"),AA356,IF(AND(OP!$D$99=2,COUNTIF($T$4:T356,"F")=1),OP!$D$97+IF(F356="F",OP!$D$98,0),"")))</f>
        <v>74177</v>
      </c>
      <c r="AL356" s="282">
        <f ca="1">IF(E356&gt;111,,IF(AND(OP!$E$99=1,T356="F"),AB356,IF(AND(OP!$E$99=2,COUNTIF($T$4:T356,"F")=1),OP!$E$97+IF(F356="F",OP!$E$98,0),"")))</f>
        <v>99404</v>
      </c>
      <c r="AM356" s="1">
        <f t="shared" ca="1" si="198"/>
        <v>6</v>
      </c>
      <c r="AN356" s="1" t="e">
        <f ca="1">IF(OR(VLOOKUP($A356,MP,5,0)="月繳"),1,"")</f>
        <v>#N/A</v>
      </c>
      <c r="AO356" s="1">
        <f t="shared" ca="1" si="209"/>
        <v>0</v>
      </c>
      <c r="AP356" s="1" t="str">
        <f ca="1">IF(AND(A356&lt;=OP!$C$120,COUNTIF(PAY,C356)=1),1,"")</f>
        <v/>
      </c>
      <c r="AR356" s="301">
        <f ca="1">IF(繳費報酬率資料!$A$1=1,$AY356+$AZ356,$BF356+$BG356)</f>
        <v>0</v>
      </c>
      <c r="AS356" s="1">
        <f ca="1">IF(C356&lt;&gt;IF($C$3=1,12,$C$3-1),0,IF(繳費報酬率資料!$A$1&lt;&gt;1,VLOOKUP($A356,MP,8,0),IF(AND($A356&gt;=OP!$C$79,$A356&lt;=OP!$C$80),OP!$C$78,)))</f>
        <v>0</v>
      </c>
      <c r="AT356" s="298">
        <f t="shared" ca="1" si="210"/>
        <v>0</v>
      </c>
      <c r="AU356" s="298">
        <f ca="1">IF(AND(A356&lt;=OP!$C$120,COUNTIF(PAY,C356)=1),OP!$C$123,0)</f>
        <v>0</v>
      </c>
      <c r="AV356" s="298">
        <f ca="1">IF(AND(A356&gt;=OP!$C$132,A356&lt;=OP!$C$133,$C$3=C356),OP!$C$135,0)</f>
        <v>0</v>
      </c>
      <c r="AW356" s="180">
        <f t="shared" ca="1" si="211"/>
        <v>0.05</v>
      </c>
      <c r="AX356" s="180">
        <f t="shared" ca="1" si="212"/>
        <v>0.05</v>
      </c>
      <c r="AY356" s="286">
        <f t="shared" ca="1" si="213"/>
        <v>0</v>
      </c>
      <c r="AZ356" s="286">
        <f t="shared" ca="1" si="214"/>
        <v>0</v>
      </c>
      <c r="BA356" s="286">
        <f t="shared" ca="1" si="215"/>
        <v>0</v>
      </c>
      <c r="BB356" s="286">
        <f t="shared" ca="1" si="216"/>
        <v>0</v>
      </c>
      <c r="BC356" s="286">
        <f t="shared" ca="1" si="217"/>
        <v>0</v>
      </c>
      <c r="BD356" s="180">
        <f t="shared" ca="1" si="218"/>
        <v>0.05</v>
      </c>
      <c r="BE356" s="180">
        <f t="shared" ca="1" si="219"/>
        <v>0.05</v>
      </c>
      <c r="BF356" s="286">
        <f t="shared" ca="1" si="220"/>
        <v>0</v>
      </c>
      <c r="BG356" s="286">
        <f t="shared" ca="1" si="221"/>
        <v>0</v>
      </c>
    </row>
    <row r="357" spans="1:59">
      <c r="A357" s="1">
        <f t="shared" ca="1" si="201"/>
        <v>30</v>
      </c>
      <c r="B357" s="1">
        <f t="shared" ca="1" si="194"/>
        <v>135</v>
      </c>
      <c r="C357" s="1">
        <f t="shared" ca="1" si="195"/>
        <v>11</v>
      </c>
      <c r="D357" s="1">
        <f ca="1">MIN($D$3,VLOOKUP(C357,OP!$S$30:$T$41,2))</f>
        <v>2</v>
      </c>
      <c r="E357" s="1">
        <f t="shared" ca="1" si="196"/>
        <v>84</v>
      </c>
      <c r="F357" s="11" t="str">
        <f t="shared" ca="1" si="202"/>
        <v/>
      </c>
      <c r="G357" s="8">
        <f t="shared" ca="1" si="227"/>
        <v>365</v>
      </c>
      <c r="H357" s="8">
        <f t="shared" ca="1" si="203"/>
        <v>30</v>
      </c>
      <c r="I357" s="8" t="str">
        <f t="shared" ca="1" si="200"/>
        <v>3011</v>
      </c>
      <c r="J357" s="13">
        <f>IF(繳費報酬率資料!$A$1=1,VALUE(OP!$C$121),VLOOKUP(A357,MP,2,0))</f>
        <v>0.05</v>
      </c>
      <c r="K357" s="14">
        <f ca="1">IF(SUM($K$4:K356,IF(繳費報酬率資料!$A$1=1,$AU357+$AV357,$BB357+$BC357))&gt;OP!$L$58,0,IF(繳費報酬率資料!$A$1=1,$AU357+$AV357,$BB357+$BC357))</f>
        <v>0</v>
      </c>
      <c r="L357" s="2"/>
      <c r="M357" s="2"/>
      <c r="N357" s="2"/>
      <c r="O357" s="261">
        <f t="shared" ca="1" si="204"/>
        <v>0</v>
      </c>
      <c r="P357" s="261">
        <f t="shared" ca="1" si="222"/>
        <v>0</v>
      </c>
      <c r="Q357" s="3">
        <f ca="1">IF(A357&gt;MAX(OP!$R$17:$R$26),0,VLOOKUP(A357,fees,3,FALSE))</f>
        <v>0</v>
      </c>
      <c r="R357" s="200" t="str">
        <f t="shared" ca="1" si="205"/>
        <v/>
      </c>
      <c r="S357" s="9" t="str">
        <f ca="1">IF(COUNTIF(($T$4:T356),"F")&gt;=1,"",IF(OR(C358&lt;&gt;$C$3,E357=""),"",A357))</f>
        <v/>
      </c>
      <c r="T357" s="20" t="str">
        <f t="shared" ca="1" si="197"/>
        <v/>
      </c>
      <c r="U357" s="2">
        <f ca="1">IF(IF(OP!$C$83=1,$Z356,IF(OP!$C$83=2,$AA356,IF(OP!$C$83=3,$AB356,)))+$K357-$O357-$P357-$AS357&lt;OP!$C$142,0,$AS357)</f>
        <v>0</v>
      </c>
      <c r="V357" s="9"/>
      <c r="W357" s="19">
        <f ca="1">MAX(SUM($K$4:K357),0)</f>
        <v>2000000</v>
      </c>
      <c r="X357" s="19"/>
      <c r="Y357" s="19">
        <f t="shared" ca="1" si="223"/>
        <v>1920000</v>
      </c>
      <c r="Z357" s="2">
        <f ca="1">IF(MIN($Z$4:Z356)=0,0,MAX(0,($Z356+$K357-$O357-$P357)*IF(AND(F357="F",$D$3&lt;&gt;$G$3),((1+(-J357))^(H357/MIN(G357,365))),((1+(-J357))^(1/12)))-$U357))</f>
        <v>422812.27262164152</v>
      </c>
      <c r="AA357" s="2">
        <f ca="1">IF(MIN($AA$4:AA356)=0,0,MAX(0,($AA356+$K357-$O357-$P357)*IF(AND(F357="F",$D$3&lt;&gt;$G$3),((1+$AA$1)^(H357/MIN(G357,365))),((1+$AA$1)^(1/12)))-$U357))</f>
        <v>1920000</v>
      </c>
      <c r="AB357" s="2">
        <f ca="1">IF(MIN($AB$4:AB356)=0,0,MAX(0,($AB356+$K357-$O357-$P357)*IF(AND(F357="F",$D$3&lt;&gt;$G$3),((1+(J357))^(H357/MIN(G357,365))),((1+(J357))^(1/12)))-$U357))</f>
        <v>8098145.0480428133</v>
      </c>
      <c r="AC357" s="5"/>
      <c r="AD357" s="5"/>
      <c r="AE357" s="5"/>
      <c r="AF357" s="282">
        <f t="shared" ca="1" si="206"/>
        <v>422812</v>
      </c>
      <c r="AG357" s="282">
        <f t="shared" ca="1" si="207"/>
        <v>1920000</v>
      </c>
      <c r="AH357" s="282">
        <f t="shared" ca="1" si="208"/>
        <v>8098145</v>
      </c>
      <c r="AI357" s="23" t="str">
        <f t="shared" ca="1" si="225"/>
        <v>30-7</v>
      </c>
      <c r="AJ357" s="282">
        <f ca="1">IF(E357&gt;111,,IF(AND(OP!$C$99=1,T357="F"),Z357,IF(AND(OP!$C$99=2,COUNTIF($T$4:T357,"F")=1),OP!$C$97+IF(F357="F",OP!$C$98,0),"")))</f>
        <v>54527</v>
      </c>
      <c r="AK357" s="282">
        <f ca="1">IF(E357&gt;111,,IF(AND(OP!$D$99=1,T357="F"),AA357,IF(AND(OP!$D$99=2,COUNTIF($T$4:T357,"F")=1),OP!$D$97+IF(F357="F",OP!$D$98,0),"")))</f>
        <v>74177</v>
      </c>
      <c r="AL357" s="282">
        <f ca="1">IF(E357&gt;111,,IF(AND(OP!$E$99=1,T357="F"),AB357,IF(AND(OP!$E$99=2,COUNTIF($T$4:T357,"F")=1),OP!$E$97+IF(F357="F",OP!$E$98,0),"")))</f>
        <v>99404</v>
      </c>
      <c r="AM357" s="1">
        <f t="shared" ca="1" si="198"/>
        <v>7</v>
      </c>
      <c r="AN357" s="1" t="e">
        <f ca="1">IF(OR(VLOOKUP($A357,MP,5,0)="月繳"),1,"")</f>
        <v>#N/A</v>
      </c>
      <c r="AO357" s="1">
        <f t="shared" ca="1" si="209"/>
        <v>0</v>
      </c>
      <c r="AP357" s="1" t="str">
        <f ca="1">IF(AND(A357&lt;=OP!$C$120,COUNTIF(PAY,C357)=1),1,"")</f>
        <v/>
      </c>
      <c r="AR357" s="301">
        <f ca="1">IF(繳費報酬率資料!$A$1=1,$AY357+$AZ357,$BF357+$BG357)</f>
        <v>0</v>
      </c>
      <c r="AS357" s="1">
        <f ca="1">IF(C357&lt;&gt;IF($C$3=1,12,$C$3-1),0,IF(繳費報酬率資料!$A$1&lt;&gt;1,VLOOKUP($A357,MP,8,0),IF(AND($A357&gt;=OP!$C$79,$A357&lt;=OP!$C$80),OP!$C$78,)))</f>
        <v>0</v>
      </c>
      <c r="AT357" s="298">
        <f t="shared" ca="1" si="210"/>
        <v>0</v>
      </c>
      <c r="AU357" s="298">
        <f ca="1">IF(AND(A357&lt;=OP!$C$120,COUNTIF(PAY,C357)=1),OP!$C$123,0)</f>
        <v>0</v>
      </c>
      <c r="AV357" s="298">
        <f ca="1">IF(AND(A357&gt;=OP!$C$132,A357&lt;=OP!$C$133,$C$3=C357),OP!$C$135,0)</f>
        <v>0</v>
      </c>
      <c r="AW357" s="180">
        <f t="shared" ca="1" si="211"/>
        <v>0.05</v>
      </c>
      <c r="AX357" s="180">
        <f t="shared" ca="1" si="212"/>
        <v>0.05</v>
      </c>
      <c r="AY357" s="286">
        <f t="shared" ca="1" si="213"/>
        <v>0</v>
      </c>
      <c r="AZ357" s="286">
        <f t="shared" ca="1" si="214"/>
        <v>0</v>
      </c>
      <c r="BA357" s="286">
        <f t="shared" ca="1" si="215"/>
        <v>0</v>
      </c>
      <c r="BB357" s="286">
        <f t="shared" ca="1" si="216"/>
        <v>0</v>
      </c>
      <c r="BC357" s="286">
        <f t="shared" ca="1" si="217"/>
        <v>0</v>
      </c>
      <c r="BD357" s="180">
        <f t="shared" ca="1" si="218"/>
        <v>0.05</v>
      </c>
      <c r="BE357" s="180">
        <f t="shared" ca="1" si="219"/>
        <v>0.05</v>
      </c>
      <c r="BF357" s="286">
        <f t="shared" ca="1" si="220"/>
        <v>0</v>
      </c>
      <c r="BG357" s="286">
        <f t="shared" ca="1" si="221"/>
        <v>0</v>
      </c>
    </row>
    <row r="358" spans="1:59">
      <c r="A358" s="1">
        <f t="shared" ca="1" si="201"/>
        <v>30</v>
      </c>
      <c r="B358" s="1">
        <f t="shared" ca="1" si="194"/>
        <v>135</v>
      </c>
      <c r="C358" s="1">
        <f t="shared" ca="1" si="195"/>
        <v>12</v>
      </c>
      <c r="D358" s="1">
        <f ca="1">MIN($D$3,VLOOKUP(C358,OP!$S$30:$T$41,2))</f>
        <v>2</v>
      </c>
      <c r="E358" s="1">
        <f t="shared" ca="1" si="196"/>
        <v>84</v>
      </c>
      <c r="F358" s="11" t="str">
        <f t="shared" ca="1" si="202"/>
        <v/>
      </c>
      <c r="G358" s="8">
        <f t="shared" ca="1" si="227"/>
        <v>365</v>
      </c>
      <c r="H358" s="8">
        <f t="shared" ca="1" si="203"/>
        <v>31</v>
      </c>
      <c r="I358" s="8" t="str">
        <f t="shared" ca="1" si="200"/>
        <v>3012</v>
      </c>
      <c r="J358" s="13">
        <f>IF(繳費報酬率資料!$A$1=1,VALUE(OP!$C$121),VLOOKUP(A358,MP,2,0))</f>
        <v>0.05</v>
      </c>
      <c r="K358" s="14">
        <f ca="1">IF(SUM($K$4:K357,IF(繳費報酬率資料!$A$1=1,$AU358+$AV358,$BB358+$BC358))&gt;OP!$L$58,0,IF(繳費報酬率資料!$A$1=1,$AU358+$AV358,$BB358+$BC358))</f>
        <v>0</v>
      </c>
      <c r="L358" s="2"/>
      <c r="M358" s="2"/>
      <c r="N358" s="2"/>
      <c r="O358" s="261">
        <f t="shared" ca="1" si="204"/>
        <v>0</v>
      </c>
      <c r="P358" s="261">
        <f t="shared" ca="1" si="222"/>
        <v>0</v>
      </c>
      <c r="Q358" s="3">
        <f ca="1">IF(A358&gt;MAX(OP!$R$17:$R$26),0,VLOOKUP(A358,fees,3,FALSE))</f>
        <v>0</v>
      </c>
      <c r="R358" s="200" t="str">
        <f t="shared" ca="1" si="205"/>
        <v/>
      </c>
      <c r="S358" s="9" t="str">
        <f ca="1">IF(COUNTIF(($T$4:T357),"F")&gt;=1,"",IF(OR(C359&lt;&gt;$C$3,E358=""),"",A358))</f>
        <v/>
      </c>
      <c r="T358" s="20" t="str">
        <f t="shared" ca="1" si="197"/>
        <v/>
      </c>
      <c r="U358" s="2">
        <f ca="1">IF(IF(OP!$C$83=1,$Z357,IF(OP!$C$83=2,$AA357,IF(OP!$C$83=3,$AB357,)))+$K358-$O358-$P358-$AS358&lt;OP!$C$142,0,$AS358)</f>
        <v>0</v>
      </c>
      <c r="V358" s="9"/>
      <c r="W358" s="19">
        <f ca="1">MAX(SUM($K$4:K358),0)</f>
        <v>2000000</v>
      </c>
      <c r="X358" s="19"/>
      <c r="Y358" s="19">
        <f t="shared" ca="1" si="223"/>
        <v>1920000</v>
      </c>
      <c r="Z358" s="2">
        <f ca="1">IF(MIN($Z$4:Z357)=0,0,MAX(0,($Z357+$K358-$O358-$P358)*IF(AND(F358="F",$D$3&lt;&gt;$G$3),((1+(-J358))^(H358/MIN(G358,365))),((1+(-J358))^(1/12)))-$U358))</f>
        <v>421008.84349584533</v>
      </c>
      <c r="AA358" s="2">
        <f ca="1">IF(MIN($AA$4:AA357)=0,0,MAX(0,($AA357+$K358-$O358-$P358)*IF(AND(F358="F",$D$3&lt;&gt;$G$3),((1+$AA$1)^(H358/MIN(G358,365))),((1+$AA$1)^(1/12)))-$U358))</f>
        <v>1920000</v>
      </c>
      <c r="AB358" s="2">
        <f ca="1">IF(MIN($AB$4:AB357)=0,0,MAX(0,($AB357+$K358-$O358-$P358)*IF(AND(F358="F",$D$3&lt;&gt;$G$3),((1+(J358))^(H358/MIN(G358,365))),((1+(J358))^(1/12)))-$U358))</f>
        <v>8131137.8933864785</v>
      </c>
      <c r="AC358" s="5"/>
      <c r="AD358" s="5"/>
      <c r="AE358" s="5"/>
      <c r="AF358" s="282">
        <f t="shared" ca="1" si="206"/>
        <v>421009</v>
      </c>
      <c r="AG358" s="282">
        <f t="shared" ca="1" si="207"/>
        <v>1920000</v>
      </c>
      <c r="AH358" s="282">
        <f t="shared" ca="1" si="208"/>
        <v>8131138</v>
      </c>
      <c r="AI358" s="23" t="str">
        <f t="shared" ca="1" si="225"/>
        <v>30-8</v>
      </c>
      <c r="AJ358" s="282">
        <f ca="1">IF(E358&gt;111,,IF(AND(OP!$C$99=1,T358="F"),Z358,IF(AND(OP!$C$99=2,COUNTIF($T$4:T358,"F")=1),OP!$C$97+IF(F358="F",OP!$C$98,0),"")))</f>
        <v>54527</v>
      </c>
      <c r="AK358" s="282">
        <f ca="1">IF(E358&gt;111,,IF(AND(OP!$D$99=1,T358="F"),AA358,IF(AND(OP!$D$99=2,COUNTIF($T$4:T358,"F")=1),OP!$D$97+IF(F358="F",OP!$D$98,0),"")))</f>
        <v>74177</v>
      </c>
      <c r="AL358" s="282">
        <f ca="1">IF(E358&gt;111,,IF(AND(OP!$E$99=1,T358="F"),AB358,IF(AND(OP!$E$99=2,COUNTIF($T$4:T358,"F")=1),OP!$E$97+IF(F358="F",OP!$E$98,0),"")))</f>
        <v>99404</v>
      </c>
      <c r="AM358" s="1">
        <f t="shared" ca="1" si="198"/>
        <v>8</v>
      </c>
      <c r="AN358" s="1" t="e">
        <f ca="1">IF(OR(VLOOKUP($A358,MP,5,0)="半年繳",VLOOKUP($A358,MP,5,0)="季繳",VLOOKUP($A358,MP,5,0)="月繳"),1,"")</f>
        <v>#N/A</v>
      </c>
      <c r="AO358" s="1">
        <f t="shared" ca="1" si="209"/>
        <v>0</v>
      </c>
      <c r="AP358" s="1" t="str">
        <f ca="1">IF(AND(A358&lt;=OP!$C$120,COUNTIF(PAY,C358)=1),1,"")</f>
        <v/>
      </c>
      <c r="AR358" s="301">
        <f ca="1">IF(繳費報酬率資料!$A$1=1,$AY358+$AZ358,$BF358+$BG358)</f>
        <v>0</v>
      </c>
      <c r="AS358" s="1">
        <f ca="1">IF(C358&lt;&gt;IF($C$3=1,12,$C$3-1),0,IF(繳費報酬率資料!$A$1&lt;&gt;1,VLOOKUP($A358,MP,8,0),IF(AND($A358&gt;=OP!$C$79,$A358&lt;=OP!$C$80),OP!$C$78,)))</f>
        <v>0</v>
      </c>
      <c r="AT358" s="298">
        <f t="shared" ca="1" si="210"/>
        <v>0</v>
      </c>
      <c r="AU358" s="298">
        <f ca="1">IF(AND(A358&lt;=OP!$C$120,COUNTIF(PAY,C358)=1),OP!$C$123,0)</f>
        <v>0</v>
      </c>
      <c r="AV358" s="298">
        <f ca="1">IF(AND(A358&gt;=OP!$C$132,A358&lt;=OP!$C$133,$C$3=C358),OP!$C$135,0)</f>
        <v>0</v>
      </c>
      <c r="AW358" s="180">
        <f t="shared" ca="1" si="211"/>
        <v>0.05</v>
      </c>
      <c r="AX358" s="180">
        <f t="shared" ca="1" si="212"/>
        <v>0.05</v>
      </c>
      <c r="AY358" s="286">
        <f t="shared" ca="1" si="213"/>
        <v>0</v>
      </c>
      <c r="AZ358" s="286">
        <f t="shared" ca="1" si="214"/>
        <v>0</v>
      </c>
      <c r="BA358" s="286">
        <f t="shared" ca="1" si="215"/>
        <v>0</v>
      </c>
      <c r="BB358" s="286">
        <f t="shared" ca="1" si="216"/>
        <v>0</v>
      </c>
      <c r="BC358" s="286">
        <f t="shared" ca="1" si="217"/>
        <v>0</v>
      </c>
      <c r="BD358" s="180">
        <f t="shared" ca="1" si="218"/>
        <v>0.05</v>
      </c>
      <c r="BE358" s="180">
        <f t="shared" ca="1" si="219"/>
        <v>0.05</v>
      </c>
      <c r="BF358" s="286">
        <f t="shared" ca="1" si="220"/>
        <v>0</v>
      </c>
      <c r="BG358" s="286">
        <f t="shared" ca="1" si="221"/>
        <v>0</v>
      </c>
    </row>
    <row r="359" spans="1:59">
      <c r="A359" s="1">
        <f t="shared" ca="1" si="201"/>
        <v>30</v>
      </c>
      <c r="B359" s="1">
        <f t="shared" ca="1" si="194"/>
        <v>136</v>
      </c>
      <c r="C359" s="1">
        <f t="shared" ca="1" si="195"/>
        <v>1</v>
      </c>
      <c r="D359" s="1">
        <f ca="1">MIN($D$3,VLOOKUP(C359,OP!$S$30:$T$41,2))</f>
        <v>2</v>
      </c>
      <c r="E359" s="1">
        <f t="shared" ca="1" si="196"/>
        <v>84</v>
      </c>
      <c r="F359" s="11" t="str">
        <f t="shared" ca="1" si="202"/>
        <v/>
      </c>
      <c r="G359" s="8">
        <f t="shared" ca="1" si="227"/>
        <v>365</v>
      </c>
      <c r="H359" s="8">
        <f t="shared" ca="1" si="203"/>
        <v>31</v>
      </c>
      <c r="I359" s="8" t="str">
        <f t="shared" ca="1" si="200"/>
        <v>301</v>
      </c>
      <c r="J359" s="13">
        <f>IF(繳費報酬率資料!$A$1=1,VALUE(OP!$C$121),VLOOKUP(A359,MP,2,0))</f>
        <v>0.05</v>
      </c>
      <c r="K359" s="14">
        <f ca="1">IF(SUM($K$4:K358,IF(繳費報酬率資料!$A$1=1,$AU359+$AV359,$BB359+$BC359))&gt;OP!$L$58,0,IF(繳費報酬率資料!$A$1=1,$AU359+$AV359,$BB359+$BC359))</f>
        <v>0</v>
      </c>
      <c r="L359" s="2"/>
      <c r="M359" s="2"/>
      <c r="N359" s="2"/>
      <c r="O359" s="261">
        <f t="shared" ca="1" si="204"/>
        <v>0</v>
      </c>
      <c r="P359" s="261">
        <f t="shared" ca="1" si="222"/>
        <v>0</v>
      </c>
      <c r="Q359" s="3">
        <f ca="1">IF(A359&gt;MAX(OP!$R$17:$R$26),0,VLOOKUP(A359,fees,3,FALSE))</f>
        <v>0</v>
      </c>
      <c r="R359" s="200" t="str">
        <f t="shared" ca="1" si="205"/>
        <v/>
      </c>
      <c r="S359" s="9" t="str">
        <f ca="1">IF(COUNTIF(($T$4:T358),"F")&gt;=1,"",IF(OR(C360&lt;&gt;$C$3,E359=""),"",A359))</f>
        <v/>
      </c>
      <c r="T359" s="20" t="str">
        <f t="shared" ca="1" si="197"/>
        <v/>
      </c>
      <c r="U359" s="2">
        <f ca="1">IF(IF(OP!$C$83=1,$Z358,IF(OP!$C$83=2,$AA358,IF(OP!$C$83=3,$AB358,)))+$K359-$O359-$P359-$AS359&lt;OP!$C$142,0,$AS359)</f>
        <v>0</v>
      </c>
      <c r="V359" s="9"/>
      <c r="W359" s="19">
        <f ca="1">MAX(SUM($K$4:K359),0)</f>
        <v>2000000</v>
      </c>
      <c r="X359" s="19"/>
      <c r="Y359" s="19">
        <f t="shared" ca="1" si="223"/>
        <v>1920000</v>
      </c>
      <c r="Z359" s="2">
        <f ca="1">IF(MIN($Z$4:Z358)=0,0,MAX(0,($Z358+$K359-$O359-$P359)*IF(AND(F359="F",$D$3&lt;&gt;$G$3),((1+(-J359))^(H359/MIN(G359,365))),((1+(-J359))^(1/12)))-$U359))</f>
        <v>419213.10657016339</v>
      </c>
      <c r="AA359" s="2">
        <f ca="1">IF(MIN($AA$4:AA358)=0,0,MAX(0,($AA358+$K359-$O359-$P359)*IF(AND(F359="F",$D$3&lt;&gt;$G$3),((1+$AA$1)^(H359/MIN(G359,365))),((1+$AA$1)^(1/12)))-$U359))</f>
        <v>1920000</v>
      </c>
      <c r="AB359" s="2">
        <f ca="1">IF(MIN($AB$4:AB358)=0,0,MAX(0,($AB358+$K359-$O359-$P359)*IF(AND(F359="F",$D$3&lt;&gt;$G$3),((1+(J359))^(H359/MIN(G359,365))),((1+(J359))^(1/12)))-$U359))</f>
        <v>8164265.1556660486</v>
      </c>
      <c r="AC359" s="5"/>
      <c r="AD359" s="5"/>
      <c r="AE359" s="5"/>
      <c r="AF359" s="282">
        <f t="shared" ca="1" si="206"/>
        <v>419213</v>
      </c>
      <c r="AG359" s="282">
        <f t="shared" ca="1" si="207"/>
        <v>1920000</v>
      </c>
      <c r="AH359" s="282">
        <f t="shared" ca="1" si="208"/>
        <v>8164265</v>
      </c>
      <c r="AI359" s="23" t="str">
        <f t="shared" ca="1" si="225"/>
        <v>30-9</v>
      </c>
      <c r="AJ359" s="282">
        <f ca="1">IF(E359&gt;111,,IF(AND(OP!$C$99=1,T359="F"),Z359,IF(AND(OP!$C$99=2,COUNTIF($T$4:T359,"F")=1),OP!$C$97+IF(F359="F",OP!$C$98,0),"")))</f>
        <v>54527</v>
      </c>
      <c r="AK359" s="282">
        <f ca="1">IF(E359&gt;111,,IF(AND(OP!$D$99=1,T359="F"),AA359,IF(AND(OP!$D$99=2,COUNTIF($T$4:T359,"F")=1),OP!$D$97+IF(F359="F",OP!$D$98,0),"")))</f>
        <v>74177</v>
      </c>
      <c r="AL359" s="282">
        <f ca="1">IF(E359&gt;111,,IF(AND(OP!$E$99=1,T359="F"),AB359,IF(AND(OP!$E$99=2,COUNTIF($T$4:T359,"F")=1),OP!$E$97+IF(F359="F",OP!$E$98,0),"")))</f>
        <v>99404</v>
      </c>
      <c r="AM359" s="1">
        <f t="shared" ca="1" si="198"/>
        <v>9</v>
      </c>
      <c r="AN359" s="1" t="e">
        <f ca="1">IF(OR(VLOOKUP($A359,MP,5,0)="月繳"),1,"")</f>
        <v>#N/A</v>
      </c>
      <c r="AO359" s="1">
        <f t="shared" ca="1" si="209"/>
        <v>0</v>
      </c>
      <c r="AP359" s="1" t="str">
        <f ca="1">IF(AND(A359&lt;=OP!$C$120,COUNTIF(PAY,C359)=1),1,"")</f>
        <v/>
      </c>
      <c r="AR359" s="301">
        <f ca="1">IF(繳費報酬率資料!$A$1=1,$AY359+$AZ359,$BF359+$BG359)</f>
        <v>0</v>
      </c>
      <c r="AS359" s="1">
        <f ca="1">IF(C359&lt;&gt;IF($C$3=1,12,$C$3-1),0,IF(繳費報酬率資料!$A$1&lt;&gt;1,VLOOKUP($A359,MP,8,0),IF(AND($A359&gt;=OP!$C$79,$A359&lt;=OP!$C$80),OP!$C$78,)))</f>
        <v>0</v>
      </c>
      <c r="AT359" s="298">
        <f t="shared" ca="1" si="210"/>
        <v>0</v>
      </c>
      <c r="AU359" s="298">
        <f ca="1">IF(AND(A359&lt;=OP!$C$120,COUNTIF(PAY,C359)=1),OP!$C$123,0)</f>
        <v>0</v>
      </c>
      <c r="AV359" s="298">
        <f ca="1">IF(AND(A359&gt;=OP!$C$132,A359&lt;=OP!$C$133,$C$3=C359),OP!$C$135,0)</f>
        <v>0</v>
      </c>
      <c r="AW359" s="180">
        <f t="shared" ca="1" si="211"/>
        <v>0.05</v>
      </c>
      <c r="AX359" s="180">
        <f t="shared" ca="1" si="212"/>
        <v>0.05</v>
      </c>
      <c r="AY359" s="286">
        <f t="shared" ca="1" si="213"/>
        <v>0</v>
      </c>
      <c r="AZ359" s="286">
        <f t="shared" ca="1" si="214"/>
        <v>0</v>
      </c>
      <c r="BA359" s="286">
        <f t="shared" ca="1" si="215"/>
        <v>0</v>
      </c>
      <c r="BB359" s="286">
        <f t="shared" ca="1" si="216"/>
        <v>0</v>
      </c>
      <c r="BC359" s="286">
        <f t="shared" ca="1" si="217"/>
        <v>0</v>
      </c>
      <c r="BD359" s="180">
        <f t="shared" ca="1" si="218"/>
        <v>0.05</v>
      </c>
      <c r="BE359" s="180">
        <f t="shared" ca="1" si="219"/>
        <v>0.05</v>
      </c>
      <c r="BF359" s="286">
        <f t="shared" ca="1" si="220"/>
        <v>0</v>
      </c>
      <c r="BG359" s="286">
        <f t="shared" ca="1" si="221"/>
        <v>0</v>
      </c>
    </row>
    <row r="360" spans="1:59">
      <c r="A360" s="1">
        <f t="shared" ca="1" si="201"/>
        <v>30</v>
      </c>
      <c r="B360" s="1">
        <f t="shared" ca="1" si="194"/>
        <v>136</v>
      </c>
      <c r="C360" s="1">
        <f t="shared" ca="1" si="195"/>
        <v>2</v>
      </c>
      <c r="D360" s="1">
        <f ca="1">MIN($D$3,VLOOKUP(C360,OP!$S$30:$T$41,2))</f>
        <v>2</v>
      </c>
      <c r="E360" s="1">
        <f t="shared" ca="1" si="196"/>
        <v>84</v>
      </c>
      <c r="F360" s="11" t="str">
        <f t="shared" ca="1" si="202"/>
        <v/>
      </c>
      <c r="G360" s="8">
        <f t="shared" ca="1" si="227"/>
        <v>365</v>
      </c>
      <c r="H360" s="8">
        <f t="shared" ca="1" si="203"/>
        <v>28</v>
      </c>
      <c r="I360" s="8" t="str">
        <f t="shared" ca="1" si="200"/>
        <v>302</v>
      </c>
      <c r="J360" s="13">
        <f>IF(繳費報酬率資料!$A$1=1,VALUE(OP!$C$121),VLOOKUP(A360,MP,2,0))</f>
        <v>0.05</v>
      </c>
      <c r="K360" s="14">
        <f ca="1">IF(SUM($K$4:K359,IF(繳費報酬率資料!$A$1=1,$AU360+$AV360,$BB360+$BC360))&gt;OP!$L$58,0,IF(繳費報酬率資料!$A$1=1,$AU360+$AV360,$BB360+$BC360))</f>
        <v>0</v>
      </c>
      <c r="L360" s="2"/>
      <c r="M360" s="2"/>
      <c r="N360" s="2"/>
      <c r="O360" s="261">
        <f t="shared" ca="1" si="204"/>
        <v>0</v>
      </c>
      <c r="P360" s="261">
        <f t="shared" ca="1" si="222"/>
        <v>0</v>
      </c>
      <c r="Q360" s="3">
        <f ca="1">IF(A360&gt;MAX(OP!$R$17:$R$26),0,VLOOKUP(A360,fees,3,FALSE))</f>
        <v>0</v>
      </c>
      <c r="R360" s="200" t="str">
        <f t="shared" ca="1" si="205"/>
        <v/>
      </c>
      <c r="S360" s="9" t="str">
        <f ca="1">IF(COUNTIF(($T$4:T359),"F")&gt;=1,"",IF(OR(C361&lt;&gt;$C$3,E360=""),"",A360))</f>
        <v/>
      </c>
      <c r="T360" s="20" t="str">
        <f t="shared" ca="1" si="197"/>
        <v/>
      </c>
      <c r="U360" s="2">
        <f ca="1">IF(IF(OP!$C$83=1,$Z359,IF(OP!$C$83=2,$AA359,IF(OP!$C$83=3,$AB359,)))+$K360-$O360-$P360-$AS360&lt;OP!$C$142,0,$AS360)</f>
        <v>0</v>
      </c>
      <c r="V360" s="9"/>
      <c r="W360" s="19">
        <f ca="1">MAX(SUM($K$4:K360),0)</f>
        <v>2000000</v>
      </c>
      <c r="X360" s="19"/>
      <c r="Y360" s="19">
        <f t="shared" ca="1" si="223"/>
        <v>1920000</v>
      </c>
      <c r="Z360" s="2">
        <f ca="1">IF(MIN($Z$4:Z359)=0,0,MAX(0,($Z359+$K360-$O360-$P360)*IF(AND(F360="F",$D$3&lt;&gt;$G$3),((1+(-J360))^(H360/MIN(G360,365))),((1+(-J360))^(1/12)))-$U360))</f>
        <v>417425.02903491014</v>
      </c>
      <c r="AA360" s="2">
        <f ca="1">IF(MIN($AA$4:AA359)=0,0,MAX(0,($AA359+$K360-$O360-$P360)*IF(AND(F360="F",$D$3&lt;&gt;$G$3),((1+$AA$1)^(H360/MIN(G360,365))),((1+$AA$1)^(1/12)))-$U360))</f>
        <v>1920000</v>
      </c>
      <c r="AB360" s="2">
        <f ca="1">IF(MIN($AB$4:AB359)=0,0,MAX(0,($AB359+$K360-$O360-$P360)*IF(AND(F360="F",$D$3&lt;&gt;$G$3),((1+(J360))^(H360/MIN(G360,365))),((1+(J360))^(1/12)))-$U360))</f>
        <v>8197527.3825127594</v>
      </c>
      <c r="AC360" s="5"/>
      <c r="AD360" s="5"/>
      <c r="AE360" s="5"/>
      <c r="AF360" s="282">
        <f t="shared" ca="1" si="206"/>
        <v>417425</v>
      </c>
      <c r="AG360" s="282">
        <f t="shared" ca="1" si="207"/>
        <v>1920000</v>
      </c>
      <c r="AH360" s="282">
        <f t="shared" ca="1" si="208"/>
        <v>8197527</v>
      </c>
      <c r="AI360" s="23" t="str">
        <f t="shared" ca="1" si="225"/>
        <v>30-10</v>
      </c>
      <c r="AJ360" s="282">
        <f ca="1">IF(E360&gt;111,,IF(AND(OP!$C$99=1,T360="F"),Z360,IF(AND(OP!$C$99=2,COUNTIF($T$4:T360,"F")=1),OP!$C$97+IF(F360="F",OP!$C$98,0),"")))</f>
        <v>54527</v>
      </c>
      <c r="AK360" s="282">
        <f ca="1">IF(E360&gt;111,,IF(AND(OP!$D$99=1,T360="F"),AA360,IF(AND(OP!$D$99=2,COUNTIF($T$4:T360,"F")=1),OP!$D$97+IF(F360="F",OP!$D$98,0),"")))</f>
        <v>74177</v>
      </c>
      <c r="AL360" s="282">
        <f ca="1">IF(E360&gt;111,,IF(AND(OP!$E$99=1,T360="F"),AB360,IF(AND(OP!$E$99=2,COUNTIF($T$4:T360,"F")=1),OP!$E$97+IF(F360="F",OP!$E$98,0),"")))</f>
        <v>99404</v>
      </c>
      <c r="AM360" s="1">
        <f t="shared" ca="1" si="198"/>
        <v>10</v>
      </c>
      <c r="AN360" s="1" t="e">
        <f ca="1">IF(OR(VLOOKUP($A360,MP,5,0)="月繳"),1,"")</f>
        <v>#N/A</v>
      </c>
      <c r="AO360" s="1">
        <f t="shared" ca="1" si="209"/>
        <v>0</v>
      </c>
      <c r="AP360" s="1" t="str">
        <f ca="1">IF(AND(A360&lt;=OP!$C$120,COUNTIF(PAY,C360)=1),1,"")</f>
        <v/>
      </c>
      <c r="AR360" s="301">
        <f ca="1">IF(繳費報酬率資料!$A$1=1,$AY360+$AZ360,$BF360+$BG360)</f>
        <v>0</v>
      </c>
      <c r="AS360" s="1">
        <f ca="1">IF(C360&lt;&gt;IF($C$3=1,12,$C$3-1),0,IF(繳費報酬率資料!$A$1&lt;&gt;1,VLOOKUP($A360,MP,8,0),IF(AND($A360&gt;=OP!$C$79,$A360&lt;=OP!$C$80),OP!$C$78,)))</f>
        <v>0</v>
      </c>
      <c r="AT360" s="298">
        <f t="shared" ca="1" si="210"/>
        <v>0</v>
      </c>
      <c r="AU360" s="298">
        <f ca="1">IF(AND(A360&lt;=OP!$C$120,COUNTIF(PAY,C360)=1),OP!$C$123,0)</f>
        <v>0</v>
      </c>
      <c r="AV360" s="298">
        <f ca="1">IF(AND(A360&gt;=OP!$C$132,A360&lt;=OP!$C$133,$C$3=C360),OP!$C$135,0)</f>
        <v>0</v>
      </c>
      <c r="AW360" s="180">
        <f t="shared" ca="1" si="211"/>
        <v>0.05</v>
      </c>
      <c r="AX360" s="180">
        <f t="shared" ca="1" si="212"/>
        <v>0.05</v>
      </c>
      <c r="AY360" s="286">
        <f t="shared" ca="1" si="213"/>
        <v>0</v>
      </c>
      <c r="AZ360" s="286">
        <f t="shared" ca="1" si="214"/>
        <v>0</v>
      </c>
      <c r="BA360" s="286">
        <f t="shared" ca="1" si="215"/>
        <v>0</v>
      </c>
      <c r="BB360" s="286">
        <f t="shared" ca="1" si="216"/>
        <v>0</v>
      </c>
      <c r="BC360" s="286">
        <f t="shared" ca="1" si="217"/>
        <v>0</v>
      </c>
      <c r="BD360" s="180">
        <f t="shared" ca="1" si="218"/>
        <v>0.05</v>
      </c>
      <c r="BE360" s="180">
        <f t="shared" ca="1" si="219"/>
        <v>0.05</v>
      </c>
      <c r="BF360" s="286">
        <f t="shared" ca="1" si="220"/>
        <v>0</v>
      </c>
      <c r="BG360" s="286">
        <f t="shared" ca="1" si="221"/>
        <v>0</v>
      </c>
    </row>
    <row r="361" spans="1:59">
      <c r="A361" s="1">
        <f t="shared" ca="1" si="201"/>
        <v>30</v>
      </c>
      <c r="B361" s="1">
        <f t="shared" ca="1" si="194"/>
        <v>136</v>
      </c>
      <c r="C361" s="1">
        <f t="shared" ca="1" si="195"/>
        <v>3</v>
      </c>
      <c r="D361" s="1">
        <f ca="1">MIN($D$3,VLOOKUP(C361,OP!$S$30:$T$41,2))</f>
        <v>2</v>
      </c>
      <c r="E361" s="1">
        <f t="shared" ca="1" si="196"/>
        <v>84</v>
      </c>
      <c r="F361" s="11" t="str">
        <f t="shared" ca="1" si="202"/>
        <v/>
      </c>
      <c r="G361" s="8">
        <f t="shared" ca="1" si="227"/>
        <v>365</v>
      </c>
      <c r="H361" s="8">
        <f t="shared" ca="1" si="203"/>
        <v>31</v>
      </c>
      <c r="I361" s="8" t="str">
        <f t="shared" ca="1" si="200"/>
        <v>303</v>
      </c>
      <c r="J361" s="13">
        <f>IF(繳費報酬率資料!$A$1=1,VALUE(OP!$C$121),VLOOKUP(A361,MP,2,0))</f>
        <v>0.05</v>
      </c>
      <c r="K361" s="14">
        <f ca="1">IF(SUM($K$4:K360,IF(繳費報酬率資料!$A$1=1,$AU361+$AV361,$BB361+$BC361))&gt;OP!$L$58,0,IF(繳費報酬率資料!$A$1=1,$AU361+$AV361,$BB361+$BC361))</f>
        <v>0</v>
      </c>
      <c r="L361" s="2"/>
      <c r="M361" s="2"/>
      <c r="N361" s="2"/>
      <c r="O361" s="261">
        <f t="shared" ca="1" si="204"/>
        <v>0</v>
      </c>
      <c r="P361" s="261">
        <f t="shared" ca="1" si="222"/>
        <v>0</v>
      </c>
      <c r="Q361" s="3">
        <f ca="1">IF(A361&gt;MAX(OP!$R$17:$R$26),0,VLOOKUP(A361,fees,3,FALSE))</f>
        <v>0</v>
      </c>
      <c r="R361" s="200" t="str">
        <f t="shared" ca="1" si="205"/>
        <v/>
      </c>
      <c r="S361" s="9" t="str">
        <f ca="1">IF(COUNTIF(($T$4:T360),"F")&gt;=1,"",IF(OR(C362&lt;&gt;$C$3,E361=""),"",A361))</f>
        <v/>
      </c>
      <c r="T361" s="20" t="str">
        <f t="shared" ca="1" si="197"/>
        <v/>
      </c>
      <c r="U361" s="2">
        <f ca="1">IF(IF(OP!$C$83=1,$Z360,IF(OP!$C$83=2,$AA360,IF(OP!$C$83=3,$AB360,)))+$K361-$O361-$P361-$AS361&lt;OP!$C$142,0,$AS361)</f>
        <v>0</v>
      </c>
      <c r="V361" s="9"/>
      <c r="W361" s="19">
        <f ca="1">MAX(SUM($K$4:K361),0)</f>
        <v>2000000</v>
      </c>
      <c r="X361" s="19"/>
      <c r="Y361" s="19">
        <f t="shared" ca="1" si="223"/>
        <v>1920000</v>
      </c>
      <c r="Z361" s="2">
        <f ca="1">IF(MIN($Z$4:Z360)=0,0,MAX(0,($Z360+$K361-$O361-$P361)*IF(AND(F361="F",$D$3&lt;&gt;$G$3),((1+(-J361))^(H361/MIN(G361,365))),((1+(-J361))^(1/12)))-$U361))</f>
        <v>415644.57822034374</v>
      </c>
      <c r="AA361" s="2">
        <f ca="1">IF(MIN($AA$4:AA360)=0,0,MAX(0,($AA360+$K361-$O361-$P361)*IF(AND(F361="F",$D$3&lt;&gt;$G$3),((1+$AA$1)^(H361/MIN(G361,365))),((1+$AA$1)^(1/12)))-$U361))</f>
        <v>1920000</v>
      </c>
      <c r="AB361" s="2">
        <f ca="1">IF(MIN($AB$4:AB360)=0,0,MAX(0,($AB360+$K361-$O361-$P361)*IF(AND(F361="F",$D$3&lt;&gt;$G$3),((1+(J361))^(H361/MIN(G361,365))),((1+(J361))^(1/12)))-$U361))</f>
        <v>8230925.1237889631</v>
      </c>
      <c r="AC361" s="5"/>
      <c r="AD361" s="5"/>
      <c r="AE361" s="5"/>
      <c r="AF361" s="282">
        <f t="shared" ca="1" si="206"/>
        <v>415645</v>
      </c>
      <c r="AG361" s="282">
        <f t="shared" ca="1" si="207"/>
        <v>1920000</v>
      </c>
      <c r="AH361" s="282">
        <f t="shared" ca="1" si="208"/>
        <v>8230925</v>
      </c>
      <c r="AI361" s="23" t="str">
        <f t="shared" ca="1" si="225"/>
        <v>30-11</v>
      </c>
      <c r="AJ361" s="282">
        <f ca="1">IF(E361&gt;111,,IF(AND(OP!$C$99=1,T361="F"),Z361,IF(AND(OP!$C$99=2,COUNTIF($T$4:T361,"F")=1),OP!$C$97+IF(F361="F",OP!$C$98,0),"")))</f>
        <v>54527</v>
      </c>
      <c r="AK361" s="282">
        <f ca="1">IF(E361&gt;111,,IF(AND(OP!$D$99=1,T361="F"),AA361,IF(AND(OP!$D$99=2,COUNTIF($T$4:T361,"F")=1),OP!$D$97+IF(F361="F",OP!$D$98,0),"")))</f>
        <v>74177</v>
      </c>
      <c r="AL361" s="282">
        <f ca="1">IF(E361&gt;111,,IF(AND(OP!$E$99=1,T361="F"),AB361,IF(AND(OP!$E$99=2,COUNTIF($T$4:T361,"F")=1),OP!$E$97+IF(F361="F",OP!$E$98,0),"")))</f>
        <v>99404</v>
      </c>
      <c r="AM361" s="1">
        <f t="shared" ca="1" si="198"/>
        <v>11</v>
      </c>
      <c r="AN361" s="1" t="e">
        <f ca="1">IF(OR(VLOOKUP($A361,MP,5,0)="季繳",VLOOKUP($A361,MP,5,0)="月繳"),1,"")</f>
        <v>#N/A</v>
      </c>
      <c r="AO361" s="1">
        <f t="shared" ca="1" si="209"/>
        <v>0</v>
      </c>
      <c r="AP361" s="1" t="str">
        <f ca="1">IF(AND(A361&lt;=OP!$C$120,COUNTIF(PAY,C361)=1),1,"")</f>
        <v/>
      </c>
      <c r="AR361" s="301">
        <f ca="1">IF(繳費報酬率資料!$A$1=1,$AY361+$AZ361,$BF361+$BG361)</f>
        <v>0</v>
      </c>
      <c r="AS361" s="1">
        <f ca="1">IF(C361&lt;&gt;IF($C$3=1,12,$C$3-1),0,IF(繳費報酬率資料!$A$1&lt;&gt;1,VLOOKUP($A361,MP,8,0),IF(AND($A361&gt;=OP!$C$79,$A361&lt;=OP!$C$80),OP!$C$78,)))</f>
        <v>0</v>
      </c>
      <c r="AT361" s="298">
        <f t="shared" ca="1" si="210"/>
        <v>0</v>
      </c>
      <c r="AU361" s="298">
        <f ca="1">IF(AND(A361&lt;=OP!$C$120,COUNTIF(PAY,C361)=1),OP!$C$123,0)</f>
        <v>0</v>
      </c>
      <c r="AV361" s="298">
        <f ca="1">IF(AND(A361&gt;=OP!$C$132,A361&lt;=OP!$C$133,$C$3=C361),OP!$C$135,0)</f>
        <v>0</v>
      </c>
      <c r="AW361" s="180">
        <f t="shared" ca="1" si="211"/>
        <v>0.05</v>
      </c>
      <c r="AX361" s="180">
        <f t="shared" ca="1" si="212"/>
        <v>0.05</v>
      </c>
      <c r="AY361" s="286">
        <f t="shared" ca="1" si="213"/>
        <v>0</v>
      </c>
      <c r="AZ361" s="286">
        <f t="shared" ca="1" si="214"/>
        <v>0</v>
      </c>
      <c r="BA361" s="286">
        <f t="shared" ca="1" si="215"/>
        <v>0</v>
      </c>
      <c r="BB361" s="286">
        <f t="shared" ca="1" si="216"/>
        <v>0</v>
      </c>
      <c r="BC361" s="286">
        <f t="shared" ca="1" si="217"/>
        <v>0</v>
      </c>
      <c r="BD361" s="180">
        <f t="shared" ca="1" si="218"/>
        <v>0.05</v>
      </c>
      <c r="BE361" s="180">
        <f t="shared" ca="1" si="219"/>
        <v>0.05</v>
      </c>
      <c r="BF361" s="286">
        <f t="shared" ca="1" si="220"/>
        <v>0</v>
      </c>
      <c r="BG361" s="286">
        <f t="shared" ca="1" si="221"/>
        <v>0</v>
      </c>
    </row>
    <row r="362" spans="1:59">
      <c r="A362" s="1">
        <f t="shared" ca="1" si="201"/>
        <v>30</v>
      </c>
      <c r="B362" s="1">
        <f t="shared" ca="1" si="194"/>
        <v>136</v>
      </c>
      <c r="C362" s="1">
        <f t="shared" ca="1" si="195"/>
        <v>4</v>
      </c>
      <c r="D362" s="1">
        <f ca="1">MIN($D$3,VLOOKUP(C362,OP!$S$30:$T$41,2))</f>
        <v>2</v>
      </c>
      <c r="E362" s="1">
        <f t="shared" ca="1" si="196"/>
        <v>84</v>
      </c>
      <c r="F362" s="11" t="str">
        <f t="shared" ca="1" si="202"/>
        <v/>
      </c>
      <c r="G362" s="8">
        <f t="shared" ca="1" si="227"/>
        <v>365</v>
      </c>
      <c r="H362" s="8">
        <f t="shared" ca="1" si="203"/>
        <v>30</v>
      </c>
      <c r="I362" s="8" t="str">
        <f t="shared" ca="1" si="200"/>
        <v>304</v>
      </c>
      <c r="J362" s="13">
        <f>IF(繳費報酬率資料!$A$1=1,VALUE(OP!$C$121),VLOOKUP(A362,MP,2,0))</f>
        <v>0.05</v>
      </c>
      <c r="K362" s="14">
        <f ca="1">IF(SUM($K$4:K361,IF(繳費報酬率資料!$A$1=1,$AU362+$AV362,$BB362+$BC362))&gt;OP!$L$58,0,IF(繳費報酬率資料!$A$1=1,$AU362+$AV362,$BB362+$BC362))</f>
        <v>0</v>
      </c>
      <c r="L362" s="2"/>
      <c r="M362" s="2"/>
      <c r="N362" s="2"/>
      <c r="O362" s="261">
        <f t="shared" ca="1" si="204"/>
        <v>0</v>
      </c>
      <c r="P362" s="261">
        <f t="shared" ca="1" si="222"/>
        <v>0</v>
      </c>
      <c r="Q362" s="3">
        <f ca="1">IF(A362&gt;MAX(OP!$R$17:$R$26),0,VLOOKUP(A362,fees,3,FALSE))</f>
        <v>0</v>
      </c>
      <c r="R362" s="200" t="str">
        <f t="shared" ca="1" si="205"/>
        <v/>
      </c>
      <c r="S362" s="9" t="str">
        <f ca="1">IF(COUNTIF(($T$4:T361),"F")&gt;=1,"",IF(OR(C363&lt;&gt;$C$3,E362=""),"",A362))</f>
        <v/>
      </c>
      <c r="T362" s="20" t="str">
        <f t="shared" ca="1" si="197"/>
        <v/>
      </c>
      <c r="U362" s="2">
        <f ca="1">IF(IF(OP!$C$83=1,$Z361,IF(OP!$C$83=2,$AA361,IF(OP!$C$83=3,$AB361,)))+$K362-$O362-$P362-$AS362&lt;OP!$C$142,0,$AS362)</f>
        <v>0</v>
      </c>
      <c r="V362" s="9"/>
      <c r="W362" s="19">
        <f ca="1">MAX(SUM($K$4:K362),0)</f>
        <v>2000000</v>
      </c>
      <c r="X362" s="19"/>
      <c r="Y362" s="19">
        <f t="shared" ca="1" si="223"/>
        <v>1920000</v>
      </c>
      <c r="Z362" s="2">
        <f ca="1">IF(MIN($Z$4:Z361)=0,0,MAX(0,($Z361+$K362-$O362-$P362)*IF(AND(F362="F",$D$3&lt;&gt;$G$3),((1+(-J362))^(H362/MIN(G362,365))),((1+(-J362))^(1/12)))-$U362))</f>
        <v>413871.72159606923</v>
      </c>
      <c r="AA362" s="2">
        <f ca="1">IF(MIN($AA$4:AA361)=0,0,MAX(0,($AA361+$K362-$O362-$P362)*IF(AND(F362="F",$D$3&lt;&gt;$G$3),((1+$AA$1)^(H362/MIN(G362,365))),((1+$AA$1)^(1/12)))-$U362))</f>
        <v>1920000</v>
      </c>
      <c r="AB362" s="2">
        <f ca="1">IF(MIN($AB$4:AB361)=0,0,MAX(0,($AB361+$K362-$O362-$P362)*IF(AND(F362="F",$D$3&lt;&gt;$G$3),((1+(J362))^(H362/MIN(G362,365))),((1+(J362))^(1/12)))-$U362))</f>
        <v>8264458.9315972207</v>
      </c>
      <c r="AC362" s="5"/>
      <c r="AD362" s="5"/>
      <c r="AE362" s="5"/>
      <c r="AF362" s="282">
        <f t="shared" ca="1" si="206"/>
        <v>413872</v>
      </c>
      <c r="AG362" s="282">
        <f t="shared" ca="1" si="207"/>
        <v>1920000</v>
      </c>
      <c r="AH362" s="282">
        <f t="shared" ca="1" si="208"/>
        <v>8264459</v>
      </c>
      <c r="AI362" s="23" t="str">
        <f t="shared" ca="1" si="225"/>
        <v>30-12</v>
      </c>
      <c r="AJ362" s="282">
        <f ca="1">IF(E362&gt;111,,IF(AND(OP!$C$99=1,T362="F"),Z362,IF(AND(OP!$C$99=2,COUNTIF($T$4:T362,"F")=1),OP!$C$97+IF(F362="F",OP!$C$98,0),"")))</f>
        <v>54527</v>
      </c>
      <c r="AK362" s="282">
        <f ca="1">IF(E362&gt;111,,IF(AND(OP!$D$99=1,T362="F"),AA362,IF(AND(OP!$D$99=2,COUNTIF($T$4:T362,"F")=1),OP!$D$97+IF(F362="F",OP!$D$98,0),"")))</f>
        <v>74177</v>
      </c>
      <c r="AL362" s="282">
        <f ca="1">IF(E362&gt;111,,IF(AND(OP!$E$99=1,T362="F"),AB362,IF(AND(OP!$E$99=2,COUNTIF($T$4:T362,"F")=1),OP!$E$97+IF(F362="F",OP!$E$98,0),"")))</f>
        <v>99404</v>
      </c>
      <c r="AM362" s="1">
        <f t="shared" ca="1" si="198"/>
        <v>12</v>
      </c>
      <c r="AN362" s="1" t="e">
        <f ca="1">IF(OR(VLOOKUP($A362,MP,5,0)="月繳"),1,"")</f>
        <v>#N/A</v>
      </c>
      <c r="AO362" s="1">
        <f t="shared" ca="1" si="209"/>
        <v>0</v>
      </c>
      <c r="AP362" s="1" t="str">
        <f ca="1">IF(AND(A362&lt;=OP!$C$120,COUNTIF(PAY,C362)=1),1,"")</f>
        <v/>
      </c>
      <c r="AR362" s="301">
        <f ca="1">IF(繳費報酬率資料!$A$1=1,$AY362+$AZ362,$BF362+$BG362)</f>
        <v>0</v>
      </c>
      <c r="AS362" s="1">
        <f ca="1">IF(C362&lt;&gt;IF($C$3=1,12,$C$3-1),0,IF(繳費報酬率資料!$A$1&lt;&gt;1,VLOOKUP($A362,MP,8,0),IF(AND($A362&gt;=OP!$C$79,$A362&lt;=OP!$C$80),OP!$C$78,)))</f>
        <v>0</v>
      </c>
      <c r="AT362" s="298">
        <f t="shared" ca="1" si="210"/>
        <v>0</v>
      </c>
      <c r="AU362" s="298">
        <f ca="1">IF(AND(A362&lt;=OP!$C$120,COUNTIF(PAY,C362)=1),OP!$C$123,0)</f>
        <v>0</v>
      </c>
      <c r="AV362" s="298">
        <f ca="1">IF(AND(A362&gt;=OP!$C$132,A362&lt;=OP!$C$133,$C$3=C362),OP!$C$135,0)</f>
        <v>0</v>
      </c>
      <c r="AW362" s="180">
        <f t="shared" ca="1" si="211"/>
        <v>0.05</v>
      </c>
      <c r="AX362" s="180">
        <f t="shared" ca="1" si="212"/>
        <v>0.05</v>
      </c>
      <c r="AY362" s="286">
        <f t="shared" ca="1" si="213"/>
        <v>0</v>
      </c>
      <c r="AZ362" s="286">
        <f t="shared" ca="1" si="214"/>
        <v>0</v>
      </c>
      <c r="BA362" s="286">
        <f t="shared" ca="1" si="215"/>
        <v>0</v>
      </c>
      <c r="BB362" s="286">
        <f t="shared" ca="1" si="216"/>
        <v>0</v>
      </c>
      <c r="BC362" s="286">
        <f t="shared" ca="1" si="217"/>
        <v>0</v>
      </c>
      <c r="BD362" s="180">
        <f t="shared" ca="1" si="218"/>
        <v>0.05</v>
      </c>
      <c r="BE362" s="180">
        <f t="shared" ca="1" si="219"/>
        <v>0.05</v>
      </c>
      <c r="BF362" s="286">
        <f t="shared" ca="1" si="220"/>
        <v>0</v>
      </c>
      <c r="BG362" s="286">
        <f t="shared" ca="1" si="221"/>
        <v>0</v>
      </c>
    </row>
    <row r="363" spans="1:59">
      <c r="A363" s="1">
        <f t="shared" ca="1" si="201"/>
        <v>30</v>
      </c>
      <c r="B363" s="1">
        <f t="shared" ca="1" si="194"/>
        <v>136</v>
      </c>
      <c r="C363" s="1">
        <f t="shared" ca="1" si="195"/>
        <v>5</v>
      </c>
      <c r="D363" s="1">
        <f ca="1">MIN($D$3,VLOOKUP(C363,OP!$S$30:$T$41,2))</f>
        <v>2</v>
      </c>
      <c r="E363" s="1">
        <f t="shared" ca="1" si="196"/>
        <v>84</v>
      </c>
      <c r="F363" s="11" t="str">
        <f t="shared" ca="1" si="202"/>
        <v/>
      </c>
      <c r="G363" s="8">
        <f t="shared" ca="1" si="227"/>
        <v>365</v>
      </c>
      <c r="H363" s="8">
        <f t="shared" ca="1" si="203"/>
        <v>31</v>
      </c>
      <c r="I363" s="8" t="str">
        <f t="shared" ca="1" si="200"/>
        <v>305</v>
      </c>
      <c r="J363" s="13">
        <f>IF(繳費報酬率資料!$A$1=1,VALUE(OP!$C$121),VLOOKUP(A363,MP,2,0))</f>
        <v>0.05</v>
      </c>
      <c r="K363" s="14">
        <f ca="1">IF(SUM($K$4:K362,IF(繳費報酬率資料!$A$1=1,$AU363+$AV363,$BB363+$BC363))&gt;OP!$L$58,0,IF(繳費報酬率資料!$A$1=1,$AU363+$AV363,$BB363+$BC363))</f>
        <v>0</v>
      </c>
      <c r="L363" s="2">
        <f ca="1">ROUND(IF(OP!$C$78&lt;(IF(OR($T363="F",$E363&gt;=111),0,Z362+$K363-$O363+IF($C$1=1,OP!$C$78,IF($C364=$C$3,SUM(AC352:AC363,0)))))*5%,0,(OP!$C$78-((IF(OR($T363="F",$E363&gt;=111),0,Z362+$K363-$O363+IF($C$1=1,AC363,IF($C364=$C$3,SUM(AC352:AC363,0)))))*5%))*$Q363),0)</f>
        <v>0</v>
      </c>
      <c r="M363" s="2">
        <f ca="1">ROUND(IF(OP!$C$78&lt;(IF(OR($T363="F",$E363&gt;=111),0,AA362+$K363-$O363+IF($C$1=1,AD363,IF($C364=$C$3,SUM(AD352:AD363,0)))))*5%,0,(OP!$C$78-((IF(OR($T363="F",$E363&gt;=111),0,AA362+$K363-$O363+IF($C$1=1,AD363,IF($C364=$C$3,SUM(AD352:AD363,0)))))*5%))*$Q363),0)</f>
        <v>0</v>
      </c>
      <c r="N363" s="2">
        <f ca="1">ROUND(IF(OP!$C$78&lt;(IF(OR($T363="F",$E363&gt;=111),0,AB362+$K363-$O363+IF($C$1=1,AE363,IF($C364=$C$3,SUM(AE352:AE363,0)))))*5%,0,(OP!$C$78-((IF(OR($T363="F",$E363&gt;=111),0,AB362+$K363-$O363+IF($C$1=1,AE363,IF($C364=$C$3,SUM(AE352:AE363,0)))))*5%))*$Q363),0)</f>
        <v>0</v>
      </c>
      <c r="O363" s="261">
        <f t="shared" ca="1" si="204"/>
        <v>0</v>
      </c>
      <c r="P363" s="261">
        <f t="shared" ca="1" si="222"/>
        <v>0</v>
      </c>
      <c r="Q363" s="3">
        <f ca="1">IF(A363&gt;MAX(OP!$R$17:$R$26),0,VLOOKUP(A363,fees,3,FALSE))</f>
        <v>0</v>
      </c>
      <c r="R363" s="200">
        <f t="shared" ca="1" si="205"/>
        <v>30</v>
      </c>
      <c r="S363" s="9" t="str">
        <f ca="1">IF(COUNTIF(($T$4:T362),"F")&gt;=1,"",IF(OR(C364&lt;&gt;$C$3,E363=""),"",A363))</f>
        <v/>
      </c>
      <c r="T363" s="20" t="str">
        <f t="shared" ca="1" si="197"/>
        <v/>
      </c>
      <c r="U363" s="2">
        <f ca="1">IF(IF(OP!$C$83=1,$Z362,IF(OP!$C$83=2,$AA362,IF(OP!$C$83=3,$AB362,)))+$K363-$O363-$P363-$AS363&lt;OP!$C$142,0,$AS363)</f>
        <v>0</v>
      </c>
      <c r="V363" s="19">
        <f ca="1">SUM(K352:K363)</f>
        <v>0</v>
      </c>
      <c r="W363" s="19">
        <f ca="1">MAX(SUM($K$4:K363),0)</f>
        <v>2000000</v>
      </c>
      <c r="X363" s="19">
        <f ca="1">SUM(O352:P363)</f>
        <v>0</v>
      </c>
      <c r="Y363" s="19">
        <f t="shared" ca="1" si="223"/>
        <v>1920000</v>
      </c>
      <c r="Z363" s="2">
        <f ca="1">IF(MIN($Z$4:Z362)=0,0,MAX(0,($Z362+$K363-$O363-$P363)*IF(AND(F363="F",$D$3&lt;&gt;$G$3),((1+(-J363))^(H363/MIN(G363,365))),((1+(-J363))^(1/12)))-$U363))</f>
        <v>412106.42677044414</v>
      </c>
      <c r="AA363" s="2">
        <f ca="1">IF(MIN($AA$4:AA362)=0,0,MAX(0,($AA362+$K363-$O363-$P363)*IF(AND(F363="F",$D$3&lt;&gt;$G$3),((1+$AA$1)^(H363/MIN(G363,365))),((1+$AA$1)^(1/12)))-$U363))</f>
        <v>1920000</v>
      </c>
      <c r="AB363" s="2">
        <f ca="1">IF(MIN($AB$4:AB362)=0,0,MAX(0,($AB362+$K363-$O363-$P363)*IF(AND(F363="F",$D$3&lt;&gt;$G$3),((1+(J363))^(H363/MIN(G363,365))),((1+(J363))^(1/12)))-$U363))</f>
        <v>8298129.3602894256</v>
      </c>
      <c r="AC363" s="5"/>
      <c r="AD363" s="5"/>
      <c r="AE363" s="5"/>
      <c r="AF363" s="282">
        <f t="shared" ca="1" si="206"/>
        <v>412106</v>
      </c>
      <c r="AG363" s="282">
        <f t="shared" ca="1" si="207"/>
        <v>1920000</v>
      </c>
      <c r="AH363" s="282">
        <f t="shared" ca="1" si="208"/>
        <v>8298129</v>
      </c>
      <c r="AI363" s="23" t="str">
        <f t="shared" ca="1" si="225"/>
        <v>31-1</v>
      </c>
      <c r="AJ363" s="282">
        <f ca="1">IF(E363&gt;111,,IF(AND(OP!$C$99=1,T363="F"),Z363,IF(AND(OP!$C$99=2,COUNTIF($T$4:T363,"F")=1),OP!$C$97+IF(F363="F",OP!$C$98,0),"")))</f>
        <v>54527</v>
      </c>
      <c r="AK363" s="282">
        <f ca="1">IF(E363&gt;111,,IF(AND(OP!$D$99=1,T363="F"),AA363,IF(AND(OP!$D$99=2,COUNTIF($T$4:T363,"F")=1),OP!$D$97+IF(F363="F",OP!$D$98,0),"")))</f>
        <v>74177</v>
      </c>
      <c r="AL363" s="282">
        <f ca="1">IF(E363&gt;111,,IF(AND(OP!$E$99=1,T363="F"),AB363,IF(AND(OP!$E$99=2,COUNTIF($T$4:T363,"F")=1),OP!$E$97+IF(F363="F",OP!$E$98,0),"")))</f>
        <v>99404</v>
      </c>
      <c r="AM363" s="1">
        <f t="shared" ca="1" si="198"/>
        <v>1</v>
      </c>
      <c r="AN363" s="1" t="e">
        <f ca="1">IF(OR(VLOOKUP($A363,MP,5,0)="月繳"),1,"")</f>
        <v>#N/A</v>
      </c>
      <c r="AO363" s="1">
        <f t="shared" ca="1" si="209"/>
        <v>0</v>
      </c>
      <c r="AP363" s="1" t="str">
        <f ca="1">IF(AND(A363&lt;=OP!$C$120,COUNTIF(PAY,C363)=1),1,"")</f>
        <v/>
      </c>
      <c r="AR363" s="301">
        <f ca="1">IF(繳費報酬率資料!$A$1=1,$AY363+$AZ363,$BF363+$BG363)</f>
        <v>0</v>
      </c>
      <c r="AS363" s="1">
        <f ca="1">IF(C363&lt;&gt;IF($C$3=1,12,$C$3-1),0,IF(繳費報酬率資料!$A$1&lt;&gt;1,VLOOKUP($A363,MP,8,0),IF(AND($A363&gt;=OP!$C$79,$A363&lt;=OP!$C$80),OP!$C$78,)))</f>
        <v>0</v>
      </c>
      <c r="AT363" s="298">
        <f t="shared" ca="1" si="210"/>
        <v>0</v>
      </c>
      <c r="AU363" s="298">
        <f ca="1">IF(AND(A363&lt;=OP!$C$120,COUNTIF(PAY,C363)=1),OP!$C$123,0)</f>
        <v>0</v>
      </c>
      <c r="AV363" s="298">
        <f ca="1">IF(AND(A363&gt;=OP!$C$132,A363&lt;=OP!$C$133,$C$3=C363),OP!$C$135,0)</f>
        <v>0</v>
      </c>
      <c r="AW363" s="180">
        <f t="shared" ca="1" si="211"/>
        <v>0.05</v>
      </c>
      <c r="AX363" s="180">
        <f t="shared" ca="1" si="212"/>
        <v>0.05</v>
      </c>
      <c r="AY363" s="286">
        <f t="shared" ca="1" si="213"/>
        <v>0</v>
      </c>
      <c r="AZ363" s="286">
        <f t="shared" ca="1" si="214"/>
        <v>0</v>
      </c>
      <c r="BA363" s="286">
        <f t="shared" ca="1" si="215"/>
        <v>0</v>
      </c>
      <c r="BB363" s="286">
        <f t="shared" ca="1" si="216"/>
        <v>0</v>
      </c>
      <c r="BC363" s="286">
        <f t="shared" ca="1" si="217"/>
        <v>0</v>
      </c>
      <c r="BD363" s="180">
        <f t="shared" ca="1" si="218"/>
        <v>0.05</v>
      </c>
      <c r="BE363" s="180">
        <f t="shared" ca="1" si="219"/>
        <v>0.05</v>
      </c>
      <c r="BF363" s="286">
        <f t="shared" ca="1" si="220"/>
        <v>0</v>
      </c>
      <c r="BG363" s="286">
        <f t="shared" ca="1" si="221"/>
        <v>0</v>
      </c>
    </row>
    <row r="364" spans="1:59">
      <c r="A364" s="1">
        <f t="shared" ca="1" si="201"/>
        <v>31</v>
      </c>
      <c r="B364" s="1">
        <f t="shared" ca="1" si="194"/>
        <v>136</v>
      </c>
      <c r="C364" s="1">
        <f t="shared" ca="1" si="195"/>
        <v>6</v>
      </c>
      <c r="D364" s="1">
        <f ca="1">MIN($D$3,VLOOKUP(C364,OP!$S$30:$T$41,2))</f>
        <v>2</v>
      </c>
      <c r="E364" s="1">
        <f t="shared" ca="1" si="196"/>
        <v>85</v>
      </c>
      <c r="F364" s="11" t="str">
        <f t="shared" ca="1" si="202"/>
        <v/>
      </c>
      <c r="G364" s="6">
        <f ca="1">DATEDIF(DATE(B364+1911,C364,D364),DATE(B376+1911,C376,D376),"d")</f>
        <v>366</v>
      </c>
      <c r="H364" s="8">
        <f t="shared" ca="1" si="203"/>
        <v>30</v>
      </c>
      <c r="I364" s="8" t="str">
        <f t="shared" ca="1" si="200"/>
        <v>316</v>
      </c>
      <c r="J364" s="13">
        <f>IF(繳費報酬率資料!$A$1=1,VALUE(OP!$C$121),VLOOKUP(A364,MP,2,0))</f>
        <v>0.05</v>
      </c>
      <c r="K364" s="14">
        <f ca="1">IF(SUM($K$4:K363,IF(繳費報酬率資料!$A$1=1,$AU364+$AV364,$BB364+$BC364))&gt;OP!$L$58,0,IF(繳費報酬率資料!$A$1=1,$AU364+$AV364,$BB364+$BC364))</f>
        <v>0</v>
      </c>
      <c r="L364" s="2"/>
      <c r="M364" s="2"/>
      <c r="N364" s="2"/>
      <c r="O364" s="261">
        <f t="shared" ca="1" si="204"/>
        <v>0</v>
      </c>
      <c r="P364" s="261">
        <f t="shared" ca="1" si="222"/>
        <v>0</v>
      </c>
      <c r="Q364" s="3">
        <f ca="1">IF(A364&gt;MAX(OP!$R$17:$R$26),0,VLOOKUP(A364,fees,3,FALSE))</f>
        <v>0</v>
      </c>
      <c r="R364" s="200" t="str">
        <f t="shared" ca="1" si="205"/>
        <v/>
      </c>
      <c r="S364" s="9" t="str">
        <f ca="1">IF(COUNTIF(($T$4:T363),"F")&gt;=1,"",IF(OR(C365&lt;&gt;$C$3,E364=""),"",A364))</f>
        <v/>
      </c>
      <c r="T364" s="20" t="str">
        <f t="shared" ca="1" si="197"/>
        <v/>
      </c>
      <c r="U364" s="2">
        <f ca="1">IF(IF(OP!$C$83=1,$Z363,IF(OP!$C$83=2,$AA363,IF(OP!$C$83=3,$AB363,)))+$K364-$O364-$P364-$AS364&lt;OP!$C$142,0,$AS364)</f>
        <v>0</v>
      </c>
      <c r="V364" s="9"/>
      <c r="W364" s="19">
        <f ca="1">MAX(SUM($K$4:K364),0)</f>
        <v>2000000</v>
      </c>
      <c r="X364" s="19"/>
      <c r="Y364" s="19">
        <f t="shared" ca="1" si="223"/>
        <v>1920000</v>
      </c>
      <c r="Z364" s="2">
        <f ca="1">IF(MIN($Z$4:Z363)=0,0,MAX(0,($Z363+$K364-$O364-$P364)*IF(AND(F364="F",$D$3&lt;&gt;$G$3),((1+(-J364))^(H364/MIN(G364,365))),((1+(-J364))^(1/12)))-$U364))</f>
        <v>410348.66148998676</v>
      </c>
      <c r="AA364" s="2">
        <f ca="1">IF(MIN($AA$4:AA363)=0,0,MAX(0,($AA363+$K364-$O364-$P364)*IF(AND(F364="F",$D$3&lt;&gt;$G$3),((1+$AA$1)^(H364/MIN(G364,365))),((1+$AA$1)^(1/12)))-$U364))</f>
        <v>1920000</v>
      </c>
      <c r="AB364" s="2">
        <f ca="1">IF(MIN($AB$4:AB363)=0,0,MAX(0,($AB363+$K364-$O364-$P364)*IF(AND(F364="F",$D$3&lt;&gt;$G$3),((1+(J364))^(H364/MIN(G364,365))),((1+(J364))^(1/12)))-$U364))</f>
        <v>8331936.966475971</v>
      </c>
      <c r="AC364" s="21"/>
      <c r="AD364" s="21"/>
      <c r="AE364" s="21"/>
      <c r="AF364" s="282">
        <f t="shared" ca="1" si="206"/>
        <v>410349</v>
      </c>
      <c r="AG364" s="282">
        <f t="shared" ca="1" si="207"/>
        <v>1920000</v>
      </c>
      <c r="AH364" s="282">
        <f t="shared" ca="1" si="208"/>
        <v>8331937</v>
      </c>
      <c r="AI364" s="23" t="str">
        <f t="shared" ca="1" si="225"/>
        <v>31-2</v>
      </c>
      <c r="AJ364" s="281">
        <f ca="1">IF(E364&gt;111,,IF(AND(OP!$C$99=1,T364="F"),Z364,IF(AND(OP!$C$99=2,COUNTIF($T$4:T364,"F")=1),OP!$C$97+IF(F364="F",OP!$C$98,0),"")))</f>
        <v>54527</v>
      </c>
      <c r="AK364" s="281">
        <f ca="1">IF(E364&gt;111,,IF(AND(OP!$D$99=1,T364="F"),AA364,IF(AND(OP!$D$99=2,COUNTIF($T$4:T364,"F")=1),OP!$D$97+IF(F364="F",OP!$D$98,0),"")))</f>
        <v>74177</v>
      </c>
      <c r="AL364" s="281">
        <f ca="1">IF(E364&gt;111,,IF(AND(OP!$E$99=1,T364="F"),AB364,IF(AND(OP!$E$99=2,COUNTIF($T$4:T364,"F")=1),OP!$E$97+IF(F364="F",OP!$E$98,0),"")))</f>
        <v>99404</v>
      </c>
      <c r="AM364" s="1">
        <f t="shared" ca="1" si="198"/>
        <v>2</v>
      </c>
      <c r="AN364" s="1" t="e">
        <f ca="1">IF(OR(VLOOKUP($A364,MP,5,0)="年繳",VLOOKUP($A364,MP,5,0)="半年繳",VLOOKUP($A364,MP,5,0)="季繳",VLOOKUP($A364,MP,5,0)="月繳"),1,"")</f>
        <v>#N/A</v>
      </c>
      <c r="AO364" s="1">
        <f t="shared" ca="1" si="209"/>
        <v>0</v>
      </c>
      <c r="AP364" s="1" t="str">
        <f ca="1">IF(AND(A364&lt;=OP!$C$120,COUNTIF(PAY,C364)=1),1,"")</f>
        <v/>
      </c>
      <c r="AR364" s="301">
        <f ca="1">IF(繳費報酬率資料!$A$1=1,$AY364+$AZ364,$BF364+$BG364)</f>
        <v>0</v>
      </c>
      <c r="AS364" s="1">
        <f ca="1">IF(C364&lt;&gt;IF($C$3=1,12,$C$3-1),0,IF(繳費報酬率資料!$A$1&lt;&gt;1,VLOOKUP($A364,MP,8,0),IF(AND($A364&gt;=OP!$C$79,$A364&lt;=OP!$C$80),OP!$C$78,)))</f>
        <v>0</v>
      </c>
      <c r="AT364" s="298">
        <f t="shared" ca="1" si="210"/>
        <v>0</v>
      </c>
      <c r="AU364" s="298">
        <f ca="1">IF(AND(A364&lt;=OP!$C$120,COUNTIF(PAY,C364)=1),OP!$C$123,0)</f>
        <v>0</v>
      </c>
      <c r="AV364" s="298">
        <f ca="1">IF(AND(A364&gt;=OP!$C$132,A364&lt;=OP!$C$133,$C$3=C364),OP!$C$135,0)</f>
        <v>0</v>
      </c>
      <c r="AW364" s="180">
        <f t="shared" ca="1" si="211"/>
        <v>0.05</v>
      </c>
      <c r="AX364" s="180">
        <f t="shared" ca="1" si="212"/>
        <v>0.05</v>
      </c>
      <c r="AY364" s="286">
        <f t="shared" ca="1" si="213"/>
        <v>0</v>
      </c>
      <c r="AZ364" s="286">
        <f t="shared" ca="1" si="214"/>
        <v>0</v>
      </c>
      <c r="BA364" s="286">
        <f t="shared" ca="1" si="215"/>
        <v>0</v>
      </c>
      <c r="BB364" s="286">
        <f t="shared" ca="1" si="216"/>
        <v>0</v>
      </c>
      <c r="BC364" s="286">
        <f t="shared" ca="1" si="217"/>
        <v>0</v>
      </c>
      <c r="BD364" s="180">
        <f t="shared" ca="1" si="218"/>
        <v>0.05</v>
      </c>
      <c r="BE364" s="180">
        <f t="shared" ca="1" si="219"/>
        <v>0.05</v>
      </c>
      <c r="BF364" s="286">
        <f t="shared" ca="1" si="220"/>
        <v>0</v>
      </c>
      <c r="BG364" s="286">
        <f t="shared" ca="1" si="221"/>
        <v>0</v>
      </c>
    </row>
    <row r="365" spans="1:59">
      <c r="A365" s="1">
        <f t="shared" ca="1" si="201"/>
        <v>31</v>
      </c>
      <c r="B365" s="1">
        <f t="shared" ca="1" si="194"/>
        <v>136</v>
      </c>
      <c r="C365" s="1">
        <f t="shared" ca="1" si="195"/>
        <v>7</v>
      </c>
      <c r="D365" s="1">
        <f ca="1">MIN($D$3,VLOOKUP(C365,OP!$S$30:$T$41,2))</f>
        <v>2</v>
      </c>
      <c r="E365" s="1">
        <f t="shared" ca="1" si="196"/>
        <v>85</v>
      </c>
      <c r="F365" s="11" t="str">
        <f t="shared" ca="1" si="202"/>
        <v/>
      </c>
      <c r="G365" s="8">
        <f t="shared" ref="G365:G375" ca="1" si="228">G364</f>
        <v>366</v>
      </c>
      <c r="H365" s="8">
        <f t="shared" ca="1" si="203"/>
        <v>31</v>
      </c>
      <c r="I365" s="8" t="str">
        <f t="shared" ca="1" si="200"/>
        <v>317</v>
      </c>
      <c r="J365" s="13">
        <f>IF(繳費報酬率資料!$A$1=1,VALUE(OP!$C$121),VLOOKUP(A365,MP,2,0))</f>
        <v>0.05</v>
      </c>
      <c r="K365" s="14">
        <f ca="1">IF(SUM($K$4:K364,IF(繳費報酬率資料!$A$1=1,$AU365+$AV365,$BB365+$BC365))&gt;OP!$L$58,0,IF(繳費報酬率資料!$A$1=1,$AU365+$AV365,$BB365+$BC365))</f>
        <v>0</v>
      </c>
      <c r="L365" s="2"/>
      <c r="M365" s="2"/>
      <c r="N365" s="2"/>
      <c r="O365" s="261">
        <f t="shared" ca="1" si="204"/>
        <v>0</v>
      </c>
      <c r="P365" s="261">
        <f t="shared" ca="1" si="222"/>
        <v>0</v>
      </c>
      <c r="Q365" s="3">
        <f ca="1">IF(A365&gt;MAX(OP!$R$17:$R$26),0,VLOOKUP(A365,fees,3,FALSE))</f>
        <v>0</v>
      </c>
      <c r="R365" s="200" t="str">
        <f t="shared" ca="1" si="205"/>
        <v/>
      </c>
      <c r="S365" s="9" t="str">
        <f ca="1">IF(COUNTIF(($T$4:T364),"F")&gt;=1,"",IF(OR(C366&lt;&gt;$C$3,E365=""),"",A365))</f>
        <v/>
      </c>
      <c r="T365" s="20" t="str">
        <f t="shared" ca="1" si="197"/>
        <v/>
      </c>
      <c r="U365" s="2">
        <f ca="1">IF(IF(OP!$C$83=1,$Z364,IF(OP!$C$83=2,$AA364,IF(OP!$C$83=3,$AB364,)))+$K365-$O365-$P365-$AS365&lt;OP!$C$142,0,$AS365)</f>
        <v>0</v>
      </c>
      <c r="V365" s="9"/>
      <c r="W365" s="19">
        <f ca="1">MAX(SUM($K$4:K365),0)</f>
        <v>2000000</v>
      </c>
      <c r="X365" s="19"/>
      <c r="Y365" s="19">
        <f t="shared" ca="1" si="223"/>
        <v>1920000</v>
      </c>
      <c r="Z365" s="2">
        <f ca="1">IF(MIN($Z$4:Z364)=0,0,MAX(0,($Z364+$K365-$O365-$P365)*IF(AND(F365="F",$D$3&lt;&gt;$G$3),((1+(-J365))^(H365/MIN(G365,365))),((1+(-J365))^(1/12)))-$U365))</f>
        <v>408598.39363878663</v>
      </c>
      <c r="AA365" s="2">
        <f ca="1">IF(MIN($AA$4:AA364)=0,0,MAX(0,($AA364+$K365-$O365-$P365)*IF(AND(F365="F",$D$3&lt;&gt;$G$3),((1+$AA$1)^(H365/MIN(G365,365))),((1+$AA$1)^(1/12)))-$U365))</f>
        <v>1920000</v>
      </c>
      <c r="AB365" s="2">
        <f ca="1">IF(MIN($AB$4:AB364)=0,0,MAX(0,($AB364+$K365-$O365-$P365)*IF(AND(F365="F",$D$3&lt;&gt;$G$3),((1+(J365))^(H365/MIN(G365,365))),((1+(J365))^(1/12)))-$U365))</f>
        <v>8365882.3090349501</v>
      </c>
      <c r="AC365" s="5"/>
      <c r="AD365" s="5"/>
      <c r="AE365" s="5"/>
      <c r="AF365" s="282">
        <f t="shared" ca="1" si="206"/>
        <v>408598</v>
      </c>
      <c r="AG365" s="282">
        <f t="shared" ca="1" si="207"/>
        <v>1920000</v>
      </c>
      <c r="AH365" s="282">
        <f t="shared" ca="1" si="208"/>
        <v>8365882</v>
      </c>
      <c r="AI365" s="23" t="str">
        <f t="shared" ca="1" si="225"/>
        <v>31-3</v>
      </c>
      <c r="AJ365" s="282">
        <f ca="1">IF(E365&gt;111,,IF(AND(OP!$C$99=1,T365="F"),Z365,IF(AND(OP!$C$99=2,COUNTIF($T$4:T365,"F")=1),OP!$C$97+IF(F365="F",OP!$C$98,0),"")))</f>
        <v>54527</v>
      </c>
      <c r="AK365" s="282">
        <f ca="1">IF(E365&gt;111,,IF(AND(OP!$D$99=1,T365="F"),AA365,IF(AND(OP!$D$99=2,COUNTIF($T$4:T365,"F")=1),OP!$D$97+IF(F365="F",OP!$D$98,0),"")))</f>
        <v>74177</v>
      </c>
      <c r="AL365" s="282">
        <f ca="1">IF(E365&gt;111,,IF(AND(OP!$E$99=1,T365="F"),AB365,IF(AND(OP!$E$99=2,COUNTIF($T$4:T365,"F")=1),OP!$E$97+IF(F365="F",OP!$E$98,0),"")))</f>
        <v>99404</v>
      </c>
      <c r="AM365" s="1">
        <f t="shared" ca="1" si="198"/>
        <v>3</v>
      </c>
      <c r="AN365" s="1" t="e">
        <f ca="1">IF(OR(VLOOKUP($A365,MP,5,0)="月繳"),1,"")</f>
        <v>#N/A</v>
      </c>
      <c r="AO365" s="1">
        <f t="shared" ca="1" si="209"/>
        <v>0</v>
      </c>
      <c r="AP365" s="1" t="str">
        <f ca="1">IF(AND(A365&lt;=OP!$C$120,COUNTIF(PAY,C365)=1),1,"")</f>
        <v/>
      </c>
      <c r="AR365" s="301">
        <f ca="1">IF(繳費報酬率資料!$A$1=1,$AY365+$AZ365,$BF365+$BG365)</f>
        <v>0</v>
      </c>
      <c r="AS365" s="1">
        <f ca="1">IF(C365&lt;&gt;IF($C$3=1,12,$C$3-1),0,IF(繳費報酬率資料!$A$1&lt;&gt;1,VLOOKUP($A365,MP,8,0),IF(AND($A365&gt;=OP!$C$79,$A365&lt;=OP!$C$80),OP!$C$78,)))</f>
        <v>0</v>
      </c>
      <c r="AT365" s="298">
        <f t="shared" ca="1" si="210"/>
        <v>0</v>
      </c>
      <c r="AU365" s="298">
        <f ca="1">IF(AND(A365&lt;=OP!$C$120,COUNTIF(PAY,C365)=1),OP!$C$123,0)</f>
        <v>0</v>
      </c>
      <c r="AV365" s="298">
        <f ca="1">IF(AND(A365&gt;=OP!$C$132,A365&lt;=OP!$C$133,$C$3=C365),OP!$C$135,0)</f>
        <v>0</v>
      </c>
      <c r="AW365" s="180">
        <f t="shared" ca="1" si="211"/>
        <v>0.05</v>
      </c>
      <c r="AX365" s="180">
        <f t="shared" ca="1" si="212"/>
        <v>0.05</v>
      </c>
      <c r="AY365" s="286">
        <f t="shared" ca="1" si="213"/>
        <v>0</v>
      </c>
      <c r="AZ365" s="286">
        <f t="shared" ca="1" si="214"/>
        <v>0</v>
      </c>
      <c r="BA365" s="286">
        <f t="shared" ca="1" si="215"/>
        <v>0</v>
      </c>
      <c r="BB365" s="286">
        <f t="shared" ca="1" si="216"/>
        <v>0</v>
      </c>
      <c r="BC365" s="286">
        <f t="shared" ca="1" si="217"/>
        <v>0</v>
      </c>
      <c r="BD365" s="180">
        <f t="shared" ca="1" si="218"/>
        <v>0.05</v>
      </c>
      <c r="BE365" s="180">
        <f t="shared" ca="1" si="219"/>
        <v>0.05</v>
      </c>
      <c r="BF365" s="286">
        <f t="shared" ca="1" si="220"/>
        <v>0</v>
      </c>
      <c r="BG365" s="286">
        <f t="shared" ca="1" si="221"/>
        <v>0</v>
      </c>
    </row>
    <row r="366" spans="1:59">
      <c r="A366" s="1">
        <f t="shared" ca="1" si="201"/>
        <v>31</v>
      </c>
      <c r="B366" s="1">
        <f t="shared" ca="1" si="194"/>
        <v>136</v>
      </c>
      <c r="C366" s="1">
        <f t="shared" ca="1" si="195"/>
        <v>8</v>
      </c>
      <c r="D366" s="1">
        <f ca="1">MIN($D$3,VLOOKUP(C366,OP!$S$30:$T$41,2))</f>
        <v>2</v>
      </c>
      <c r="E366" s="1">
        <f t="shared" ca="1" si="196"/>
        <v>85</v>
      </c>
      <c r="F366" s="11" t="str">
        <f t="shared" ca="1" si="202"/>
        <v/>
      </c>
      <c r="G366" s="8">
        <f t="shared" ca="1" si="228"/>
        <v>366</v>
      </c>
      <c r="H366" s="8">
        <f t="shared" ca="1" si="203"/>
        <v>31</v>
      </c>
      <c r="I366" s="8" t="str">
        <f t="shared" ca="1" si="200"/>
        <v>318</v>
      </c>
      <c r="J366" s="13">
        <f>IF(繳費報酬率資料!$A$1=1,VALUE(OP!$C$121),VLOOKUP(A366,MP,2,0))</f>
        <v>0.05</v>
      </c>
      <c r="K366" s="14">
        <f ca="1">IF(SUM($K$4:K365,IF(繳費報酬率資料!$A$1=1,$AU366+$AV366,$BB366+$BC366))&gt;OP!$L$58,0,IF(繳費報酬率資料!$A$1=1,$AU366+$AV366,$BB366+$BC366))</f>
        <v>0</v>
      </c>
      <c r="L366" s="2"/>
      <c r="M366" s="2"/>
      <c r="N366" s="2"/>
      <c r="O366" s="261">
        <f t="shared" ca="1" si="204"/>
        <v>0</v>
      </c>
      <c r="P366" s="261">
        <f t="shared" ca="1" si="222"/>
        <v>0</v>
      </c>
      <c r="Q366" s="3">
        <f ca="1">IF(A366&gt;MAX(OP!$R$17:$R$26),0,VLOOKUP(A366,fees,3,FALSE))</f>
        <v>0</v>
      </c>
      <c r="R366" s="200" t="str">
        <f t="shared" ca="1" si="205"/>
        <v/>
      </c>
      <c r="S366" s="9" t="str">
        <f ca="1">IF(COUNTIF(($T$4:T365),"F")&gt;=1,"",IF(OR(C367&lt;&gt;$C$3,E366=""),"",A366))</f>
        <v/>
      </c>
      <c r="T366" s="20" t="str">
        <f t="shared" ca="1" si="197"/>
        <v/>
      </c>
      <c r="U366" s="2">
        <f ca="1">IF(IF(OP!$C$83=1,$Z365,IF(OP!$C$83=2,$AA365,IF(OP!$C$83=3,$AB365,)))+$K366-$O366-$P366-$AS366&lt;OP!$C$142,0,$AS366)</f>
        <v>0</v>
      </c>
      <c r="V366" s="9"/>
      <c r="W366" s="19">
        <f ca="1">MAX(SUM($K$4:K366),0)</f>
        <v>2000000</v>
      </c>
      <c r="X366" s="19"/>
      <c r="Y366" s="19">
        <f t="shared" ca="1" si="223"/>
        <v>1920000</v>
      </c>
      <c r="Z366" s="2">
        <f ca="1">IF(MIN($Z$4:Z365)=0,0,MAX(0,($Z365+$K366-$O366-$P366)*IF(AND(F366="F",$D$3&lt;&gt;$G$3),((1+(-J366))^(H366/MIN(G366,365))),((1+(-J366))^(1/12)))-$U366))</f>
        <v>406855.59123791801</v>
      </c>
      <c r="AA366" s="2">
        <f ca="1">IF(MIN($AA$4:AA365)=0,0,MAX(0,($AA365+$K366-$O366-$P366)*IF(AND(F366="F",$D$3&lt;&gt;$G$3),((1+$AA$1)^(H366/MIN(G366,365))),((1+$AA$1)^(1/12)))-$U366))</f>
        <v>1920000</v>
      </c>
      <c r="AB366" s="2">
        <f ca="1">IF(MIN($AB$4:AB365)=0,0,MAX(0,($AB365+$K366-$O366-$P366)*IF(AND(F366="F",$D$3&lt;&gt;$G$3),((1+(J366))^(H366/MIN(G366,365))),((1+(J366))^(1/12)))-$U366))</f>
        <v>8399965.9491213933</v>
      </c>
      <c r="AC366" s="5"/>
      <c r="AD366" s="5"/>
      <c r="AE366" s="5"/>
      <c r="AF366" s="282">
        <f t="shared" ca="1" si="206"/>
        <v>406856</v>
      </c>
      <c r="AG366" s="282">
        <f t="shared" ca="1" si="207"/>
        <v>1920000</v>
      </c>
      <c r="AH366" s="282">
        <f t="shared" ca="1" si="208"/>
        <v>8399966</v>
      </c>
      <c r="AI366" s="23" t="str">
        <f t="shared" ca="1" si="225"/>
        <v>31-4</v>
      </c>
      <c r="AJ366" s="282">
        <f ca="1">IF(E366&gt;111,,IF(AND(OP!$C$99=1,T366="F"),Z366,IF(AND(OP!$C$99=2,COUNTIF($T$4:T366,"F")=1),OP!$C$97+IF(F366="F",OP!$C$98,0),"")))</f>
        <v>54527</v>
      </c>
      <c r="AK366" s="282">
        <f ca="1">IF(E366&gt;111,,IF(AND(OP!$D$99=1,T366="F"),AA366,IF(AND(OP!$D$99=2,COUNTIF($T$4:T366,"F")=1),OP!$D$97+IF(F366="F",OP!$D$98,0),"")))</f>
        <v>74177</v>
      </c>
      <c r="AL366" s="282">
        <f ca="1">IF(E366&gt;111,,IF(AND(OP!$E$99=1,T366="F"),AB366,IF(AND(OP!$E$99=2,COUNTIF($T$4:T366,"F")=1),OP!$E$97+IF(F366="F",OP!$E$98,0),"")))</f>
        <v>99404</v>
      </c>
      <c r="AM366" s="1">
        <f t="shared" ca="1" si="198"/>
        <v>4</v>
      </c>
      <c r="AN366" s="1" t="e">
        <f ca="1">IF(OR(VLOOKUP($A366,MP,5,0)="月繳"),1,"")</f>
        <v>#N/A</v>
      </c>
      <c r="AO366" s="1">
        <f t="shared" ca="1" si="209"/>
        <v>0</v>
      </c>
      <c r="AP366" s="1" t="str">
        <f ca="1">IF(AND(A366&lt;=OP!$C$120,COUNTIF(PAY,C366)=1),1,"")</f>
        <v/>
      </c>
      <c r="AR366" s="301">
        <f ca="1">IF(繳費報酬率資料!$A$1=1,$AY366+$AZ366,$BF366+$BG366)</f>
        <v>0</v>
      </c>
      <c r="AS366" s="1">
        <f ca="1">IF(C366&lt;&gt;IF($C$3=1,12,$C$3-1),0,IF(繳費報酬率資料!$A$1&lt;&gt;1,VLOOKUP($A366,MP,8,0),IF(AND($A366&gt;=OP!$C$79,$A366&lt;=OP!$C$80),OP!$C$78,)))</f>
        <v>0</v>
      </c>
      <c r="AT366" s="298">
        <f t="shared" ca="1" si="210"/>
        <v>0</v>
      </c>
      <c r="AU366" s="298">
        <f ca="1">IF(AND(A366&lt;=OP!$C$120,COUNTIF(PAY,C366)=1),OP!$C$123,0)</f>
        <v>0</v>
      </c>
      <c r="AV366" s="298">
        <f ca="1">IF(AND(A366&gt;=OP!$C$132,A366&lt;=OP!$C$133,$C$3=C366),OP!$C$135,0)</f>
        <v>0</v>
      </c>
      <c r="AW366" s="180">
        <f t="shared" ca="1" si="211"/>
        <v>0.05</v>
      </c>
      <c r="AX366" s="180">
        <f t="shared" ca="1" si="212"/>
        <v>0.05</v>
      </c>
      <c r="AY366" s="286">
        <f t="shared" ca="1" si="213"/>
        <v>0</v>
      </c>
      <c r="AZ366" s="286">
        <f t="shared" ca="1" si="214"/>
        <v>0</v>
      </c>
      <c r="BA366" s="286">
        <f t="shared" ca="1" si="215"/>
        <v>0</v>
      </c>
      <c r="BB366" s="286">
        <f t="shared" ca="1" si="216"/>
        <v>0</v>
      </c>
      <c r="BC366" s="286">
        <f t="shared" ca="1" si="217"/>
        <v>0</v>
      </c>
      <c r="BD366" s="180">
        <f t="shared" ca="1" si="218"/>
        <v>0.05</v>
      </c>
      <c r="BE366" s="180">
        <f t="shared" ca="1" si="219"/>
        <v>0.05</v>
      </c>
      <c r="BF366" s="286">
        <f t="shared" ca="1" si="220"/>
        <v>0</v>
      </c>
      <c r="BG366" s="286">
        <f t="shared" ca="1" si="221"/>
        <v>0</v>
      </c>
    </row>
    <row r="367" spans="1:59">
      <c r="A367" s="1">
        <f t="shared" ca="1" si="201"/>
        <v>31</v>
      </c>
      <c r="B367" s="1">
        <f t="shared" ca="1" si="194"/>
        <v>136</v>
      </c>
      <c r="C367" s="1">
        <f t="shared" ca="1" si="195"/>
        <v>9</v>
      </c>
      <c r="D367" s="1">
        <f ca="1">MIN($D$3,VLOOKUP(C367,OP!$S$30:$T$41,2))</f>
        <v>2</v>
      </c>
      <c r="E367" s="1">
        <f t="shared" ca="1" si="196"/>
        <v>85</v>
      </c>
      <c r="F367" s="11" t="str">
        <f t="shared" ca="1" si="202"/>
        <v/>
      </c>
      <c r="G367" s="8">
        <f t="shared" ca="1" si="228"/>
        <v>366</v>
      </c>
      <c r="H367" s="8">
        <f t="shared" ca="1" si="203"/>
        <v>30</v>
      </c>
      <c r="I367" s="8" t="str">
        <f t="shared" ca="1" si="200"/>
        <v>319</v>
      </c>
      <c r="J367" s="13">
        <f>IF(繳費報酬率資料!$A$1=1,VALUE(OP!$C$121),VLOOKUP(A367,MP,2,0))</f>
        <v>0.05</v>
      </c>
      <c r="K367" s="14">
        <f ca="1">IF(SUM($K$4:K366,IF(繳費報酬率資料!$A$1=1,$AU367+$AV367,$BB367+$BC367))&gt;OP!$L$58,0,IF(繳費報酬率資料!$A$1=1,$AU367+$AV367,$BB367+$BC367))</f>
        <v>0</v>
      </c>
      <c r="L367" s="2"/>
      <c r="M367" s="2"/>
      <c r="N367" s="2"/>
      <c r="O367" s="261">
        <f t="shared" ca="1" si="204"/>
        <v>0</v>
      </c>
      <c r="P367" s="261">
        <f t="shared" ca="1" si="222"/>
        <v>0</v>
      </c>
      <c r="Q367" s="3">
        <f ca="1">IF(A367&gt;MAX(OP!$R$17:$R$26),0,VLOOKUP(A367,fees,3,FALSE))</f>
        <v>0</v>
      </c>
      <c r="R367" s="200" t="str">
        <f t="shared" ca="1" si="205"/>
        <v/>
      </c>
      <c r="S367" s="9" t="str">
        <f ca="1">IF(COUNTIF(($T$4:T366),"F")&gt;=1,"",IF(OR(C368&lt;&gt;$C$3,E367=""),"",A367))</f>
        <v/>
      </c>
      <c r="T367" s="20" t="str">
        <f t="shared" ca="1" si="197"/>
        <v/>
      </c>
      <c r="U367" s="2">
        <f ca="1">IF(IF(OP!$C$83=1,$Z366,IF(OP!$C$83=2,$AA366,IF(OP!$C$83=3,$AB366,)))+$K367-$O367-$P367-$AS367&lt;OP!$C$142,0,$AS367)</f>
        <v>0</v>
      </c>
      <c r="V367" s="9"/>
      <c r="W367" s="19">
        <f ca="1">MAX(SUM($K$4:K367),0)</f>
        <v>2000000</v>
      </c>
      <c r="X367" s="19"/>
      <c r="Y367" s="19">
        <f t="shared" ca="1" si="223"/>
        <v>1920000</v>
      </c>
      <c r="Z367" s="2">
        <f ca="1">IF(MIN($Z$4:Z366)=0,0,MAX(0,($Z366+$K367-$O367-$P367)*IF(AND(F367="F",$D$3&lt;&gt;$G$3),((1+(-J367))^(H367/MIN(G367,365))),((1+(-J367))^(1/12)))-$U367))</f>
        <v>405120.22244485538</v>
      </c>
      <c r="AA367" s="2">
        <f ca="1">IF(MIN($AA$4:AA366)=0,0,MAX(0,($AA366+$K367-$O367-$P367)*IF(AND(F367="F",$D$3&lt;&gt;$G$3),((1+$AA$1)^(H367/MIN(G367,365))),((1+$AA$1)^(1/12)))-$U367))</f>
        <v>1920000</v>
      </c>
      <c r="AB367" s="2">
        <f ca="1">IF(MIN($AB$4:AB366)=0,0,MAX(0,($AB366+$K367-$O367-$P367)*IF(AND(F367="F",$D$3&lt;&gt;$G$3),((1+(J367))^(H367/MIN(G367,365))),((1+(J367))^(1/12)))-$U367))</f>
        <v>8434188.4501765445</v>
      </c>
      <c r="AC367" s="5"/>
      <c r="AD367" s="5"/>
      <c r="AE367" s="5"/>
      <c r="AF367" s="282">
        <f t="shared" ca="1" si="206"/>
        <v>405120</v>
      </c>
      <c r="AG367" s="282">
        <f t="shared" ca="1" si="207"/>
        <v>1920000</v>
      </c>
      <c r="AH367" s="282">
        <f t="shared" ca="1" si="208"/>
        <v>8434188</v>
      </c>
      <c r="AI367" s="23" t="str">
        <f t="shared" ca="1" si="225"/>
        <v>31-5</v>
      </c>
      <c r="AJ367" s="282">
        <f ca="1">IF(E367&gt;111,,IF(AND(OP!$C$99=1,T367="F"),Z367,IF(AND(OP!$C$99=2,COUNTIF($T$4:T367,"F")=1),OP!$C$97+IF(F367="F",OP!$C$98,0),"")))</f>
        <v>54527</v>
      </c>
      <c r="AK367" s="282">
        <f ca="1">IF(E367&gt;111,,IF(AND(OP!$D$99=1,T367="F"),AA367,IF(AND(OP!$D$99=2,COUNTIF($T$4:T367,"F")=1),OP!$D$97+IF(F367="F",OP!$D$98,0),"")))</f>
        <v>74177</v>
      </c>
      <c r="AL367" s="282">
        <f ca="1">IF(E367&gt;111,,IF(AND(OP!$E$99=1,T367="F"),AB367,IF(AND(OP!$E$99=2,COUNTIF($T$4:T367,"F")=1),OP!$E$97+IF(F367="F",OP!$E$98,0),"")))</f>
        <v>99404</v>
      </c>
      <c r="AM367" s="1">
        <f t="shared" ca="1" si="198"/>
        <v>5</v>
      </c>
      <c r="AN367" s="1" t="e">
        <f ca="1">IF(OR(VLOOKUP($A367,MP,5,0)="季繳",VLOOKUP($A367,MP,5,0)="月繳"),1,"")</f>
        <v>#N/A</v>
      </c>
      <c r="AO367" s="1">
        <f t="shared" ca="1" si="209"/>
        <v>0</v>
      </c>
      <c r="AP367" s="1" t="str">
        <f ca="1">IF(AND(A367&lt;=OP!$C$120,COUNTIF(PAY,C367)=1),1,"")</f>
        <v/>
      </c>
      <c r="AR367" s="301">
        <f ca="1">IF(繳費報酬率資料!$A$1=1,$AY367+$AZ367,$BF367+$BG367)</f>
        <v>0</v>
      </c>
      <c r="AS367" s="1">
        <f ca="1">IF(C367&lt;&gt;IF($C$3=1,12,$C$3-1),0,IF(繳費報酬率資料!$A$1&lt;&gt;1,VLOOKUP($A367,MP,8,0),IF(AND($A367&gt;=OP!$C$79,$A367&lt;=OP!$C$80),OP!$C$78,)))</f>
        <v>0</v>
      </c>
      <c r="AT367" s="298">
        <f t="shared" ca="1" si="210"/>
        <v>0</v>
      </c>
      <c r="AU367" s="298">
        <f ca="1">IF(AND(A367&lt;=OP!$C$120,COUNTIF(PAY,C367)=1),OP!$C$123,0)</f>
        <v>0</v>
      </c>
      <c r="AV367" s="298">
        <f ca="1">IF(AND(A367&gt;=OP!$C$132,A367&lt;=OP!$C$133,$C$3=C367),OP!$C$135,0)</f>
        <v>0</v>
      </c>
      <c r="AW367" s="180">
        <f t="shared" ca="1" si="211"/>
        <v>0.05</v>
      </c>
      <c r="AX367" s="180">
        <f t="shared" ca="1" si="212"/>
        <v>0.05</v>
      </c>
      <c r="AY367" s="286">
        <f t="shared" ca="1" si="213"/>
        <v>0</v>
      </c>
      <c r="AZ367" s="286">
        <f t="shared" ca="1" si="214"/>
        <v>0</v>
      </c>
      <c r="BA367" s="286">
        <f t="shared" ca="1" si="215"/>
        <v>0</v>
      </c>
      <c r="BB367" s="286">
        <f t="shared" ca="1" si="216"/>
        <v>0</v>
      </c>
      <c r="BC367" s="286">
        <f t="shared" ca="1" si="217"/>
        <v>0</v>
      </c>
      <c r="BD367" s="180">
        <f t="shared" ca="1" si="218"/>
        <v>0.05</v>
      </c>
      <c r="BE367" s="180">
        <f t="shared" ca="1" si="219"/>
        <v>0.05</v>
      </c>
      <c r="BF367" s="286">
        <f t="shared" ca="1" si="220"/>
        <v>0</v>
      </c>
      <c r="BG367" s="286">
        <f t="shared" ca="1" si="221"/>
        <v>0</v>
      </c>
    </row>
    <row r="368" spans="1:59">
      <c r="A368" s="1">
        <f t="shared" ca="1" si="201"/>
        <v>31</v>
      </c>
      <c r="B368" s="1">
        <f t="shared" ca="1" si="194"/>
        <v>136</v>
      </c>
      <c r="C368" s="1">
        <f t="shared" ca="1" si="195"/>
        <v>10</v>
      </c>
      <c r="D368" s="1">
        <f ca="1">MIN($D$3,VLOOKUP(C368,OP!$S$30:$T$41,2))</f>
        <v>2</v>
      </c>
      <c r="E368" s="1">
        <f t="shared" ca="1" si="196"/>
        <v>85</v>
      </c>
      <c r="F368" s="11" t="str">
        <f t="shared" ca="1" si="202"/>
        <v/>
      </c>
      <c r="G368" s="8">
        <f t="shared" ca="1" si="228"/>
        <v>366</v>
      </c>
      <c r="H368" s="8">
        <f t="shared" ca="1" si="203"/>
        <v>31</v>
      </c>
      <c r="I368" s="8" t="str">
        <f t="shared" ca="1" si="200"/>
        <v>3110</v>
      </c>
      <c r="J368" s="13">
        <f>IF(繳費報酬率資料!$A$1=1,VALUE(OP!$C$121),VLOOKUP(A368,MP,2,0))</f>
        <v>0.05</v>
      </c>
      <c r="K368" s="14">
        <f ca="1">IF(SUM($K$4:K367,IF(繳費報酬率資料!$A$1=1,$AU368+$AV368,$BB368+$BC368))&gt;OP!$L$58,0,IF(繳費報酬率資料!$A$1=1,$AU368+$AV368,$BB368+$BC368))</f>
        <v>0</v>
      </c>
      <c r="L368" s="2"/>
      <c r="M368" s="2"/>
      <c r="N368" s="2"/>
      <c r="O368" s="261">
        <f t="shared" ca="1" si="204"/>
        <v>0</v>
      </c>
      <c r="P368" s="261">
        <f t="shared" ca="1" si="222"/>
        <v>0</v>
      </c>
      <c r="Q368" s="3">
        <f ca="1">IF(A368&gt;MAX(OP!$R$17:$R$26),0,VLOOKUP(A368,fees,3,FALSE))</f>
        <v>0</v>
      </c>
      <c r="R368" s="200" t="str">
        <f t="shared" ca="1" si="205"/>
        <v/>
      </c>
      <c r="S368" s="9" t="str">
        <f ca="1">IF(COUNTIF(($T$4:T367),"F")&gt;=1,"",IF(OR(C369&lt;&gt;$C$3,E368=""),"",A368))</f>
        <v/>
      </c>
      <c r="T368" s="20" t="str">
        <f t="shared" ca="1" si="197"/>
        <v/>
      </c>
      <c r="U368" s="2">
        <f ca="1">IF(IF(OP!$C$83=1,$Z367,IF(OP!$C$83=2,$AA367,IF(OP!$C$83=3,$AB367,)))+$K368-$O368-$P368-$AS368&lt;OP!$C$142,0,$AS368)</f>
        <v>0</v>
      </c>
      <c r="V368" s="9"/>
      <c r="W368" s="19">
        <f ca="1">MAX(SUM($K$4:K368),0)</f>
        <v>2000000</v>
      </c>
      <c r="X368" s="19"/>
      <c r="Y368" s="19">
        <f t="shared" ca="1" si="223"/>
        <v>1920000</v>
      </c>
      <c r="Z368" s="2">
        <f ca="1">IF(MIN($Z$4:Z367)=0,0,MAX(0,($Z367+$K368-$O368-$P368)*IF(AND(F368="F",$D$3&lt;&gt;$G$3),((1+(-J368))^(H368/MIN(G368,365))),((1+(-J368))^(1/12)))-$U368))</f>
        <v>403392.25555289182</v>
      </c>
      <c r="AA368" s="2">
        <f ca="1">IF(MIN($AA$4:AA367)=0,0,MAX(0,($AA367+$K368-$O368-$P368)*IF(AND(F368="F",$D$3&lt;&gt;$G$3),((1+$AA$1)^(H368/MIN(G368,365))),((1+$AA$1)^(1/12)))-$U368))</f>
        <v>1920000</v>
      </c>
      <c r="AB368" s="2">
        <f ca="1">IF(MIN($AB$4:AB367)=0,0,MAX(0,($AB367+$K368-$O368-$P368)*IF(AND(F368="F",$D$3&lt;&gt;$G$3),((1+(J368))^(H368/MIN(G368,365))),((1+(J368))^(1/12)))-$U368))</f>
        <v>8468550.3779371809</v>
      </c>
      <c r="AC368" s="5"/>
      <c r="AD368" s="5"/>
      <c r="AE368" s="5"/>
      <c r="AF368" s="282">
        <f t="shared" ca="1" si="206"/>
        <v>403392</v>
      </c>
      <c r="AG368" s="282">
        <f t="shared" ca="1" si="207"/>
        <v>1920000</v>
      </c>
      <c r="AH368" s="282">
        <f t="shared" ca="1" si="208"/>
        <v>8468550</v>
      </c>
      <c r="AI368" s="23" t="str">
        <f t="shared" ca="1" si="225"/>
        <v>31-6</v>
      </c>
      <c r="AJ368" s="282">
        <f ca="1">IF(E368&gt;111,,IF(AND(OP!$C$99=1,T368="F"),Z368,IF(AND(OP!$C$99=2,COUNTIF($T$4:T368,"F")=1),OP!$C$97+IF(F368="F",OP!$C$98,0),"")))</f>
        <v>54527</v>
      </c>
      <c r="AK368" s="282">
        <f ca="1">IF(E368&gt;111,,IF(AND(OP!$D$99=1,T368="F"),AA368,IF(AND(OP!$D$99=2,COUNTIF($T$4:T368,"F")=1),OP!$D$97+IF(F368="F",OP!$D$98,0),"")))</f>
        <v>74177</v>
      </c>
      <c r="AL368" s="282">
        <f ca="1">IF(E368&gt;111,,IF(AND(OP!$E$99=1,T368="F"),AB368,IF(AND(OP!$E$99=2,COUNTIF($T$4:T368,"F")=1),OP!$E$97+IF(F368="F",OP!$E$98,0),"")))</f>
        <v>99404</v>
      </c>
      <c r="AM368" s="1">
        <f t="shared" ca="1" si="198"/>
        <v>6</v>
      </c>
      <c r="AN368" s="1" t="e">
        <f ca="1">IF(OR(VLOOKUP($A368,MP,5,0)="月繳"),1,"")</f>
        <v>#N/A</v>
      </c>
      <c r="AO368" s="1">
        <f t="shared" ca="1" si="209"/>
        <v>0</v>
      </c>
      <c r="AP368" s="1" t="str">
        <f ca="1">IF(AND(A368&lt;=OP!$C$120,COUNTIF(PAY,C368)=1),1,"")</f>
        <v/>
      </c>
      <c r="AR368" s="301">
        <f ca="1">IF(繳費報酬率資料!$A$1=1,$AY368+$AZ368,$BF368+$BG368)</f>
        <v>0</v>
      </c>
      <c r="AS368" s="1">
        <f ca="1">IF(C368&lt;&gt;IF($C$3=1,12,$C$3-1),0,IF(繳費報酬率資料!$A$1&lt;&gt;1,VLOOKUP($A368,MP,8,0),IF(AND($A368&gt;=OP!$C$79,$A368&lt;=OP!$C$80),OP!$C$78,)))</f>
        <v>0</v>
      </c>
      <c r="AT368" s="298">
        <f t="shared" ca="1" si="210"/>
        <v>0</v>
      </c>
      <c r="AU368" s="298">
        <f ca="1">IF(AND(A368&lt;=OP!$C$120,COUNTIF(PAY,C368)=1),OP!$C$123,0)</f>
        <v>0</v>
      </c>
      <c r="AV368" s="298">
        <f ca="1">IF(AND(A368&gt;=OP!$C$132,A368&lt;=OP!$C$133,$C$3=C368),OP!$C$135,0)</f>
        <v>0</v>
      </c>
      <c r="AW368" s="180">
        <f t="shared" ca="1" si="211"/>
        <v>0.05</v>
      </c>
      <c r="AX368" s="180">
        <f t="shared" ca="1" si="212"/>
        <v>0.05</v>
      </c>
      <c r="AY368" s="286">
        <f t="shared" ca="1" si="213"/>
        <v>0</v>
      </c>
      <c r="AZ368" s="286">
        <f t="shared" ca="1" si="214"/>
        <v>0</v>
      </c>
      <c r="BA368" s="286">
        <f t="shared" ca="1" si="215"/>
        <v>0</v>
      </c>
      <c r="BB368" s="286">
        <f t="shared" ca="1" si="216"/>
        <v>0</v>
      </c>
      <c r="BC368" s="286">
        <f t="shared" ca="1" si="217"/>
        <v>0</v>
      </c>
      <c r="BD368" s="180">
        <f t="shared" ca="1" si="218"/>
        <v>0.05</v>
      </c>
      <c r="BE368" s="180">
        <f t="shared" ca="1" si="219"/>
        <v>0.05</v>
      </c>
      <c r="BF368" s="286">
        <f t="shared" ca="1" si="220"/>
        <v>0</v>
      </c>
      <c r="BG368" s="286">
        <f t="shared" ca="1" si="221"/>
        <v>0</v>
      </c>
    </row>
    <row r="369" spans="1:59">
      <c r="A369" s="1">
        <f t="shared" ca="1" si="201"/>
        <v>31</v>
      </c>
      <c r="B369" s="1">
        <f t="shared" ca="1" si="194"/>
        <v>136</v>
      </c>
      <c r="C369" s="1">
        <f t="shared" ca="1" si="195"/>
        <v>11</v>
      </c>
      <c r="D369" s="1">
        <f ca="1">MIN($D$3,VLOOKUP(C369,OP!$S$30:$T$41,2))</f>
        <v>2</v>
      </c>
      <c r="E369" s="1">
        <f t="shared" ca="1" si="196"/>
        <v>85</v>
      </c>
      <c r="F369" s="11" t="str">
        <f t="shared" ca="1" si="202"/>
        <v/>
      </c>
      <c r="G369" s="8">
        <f t="shared" ca="1" si="228"/>
        <v>366</v>
      </c>
      <c r="H369" s="8">
        <f t="shared" ca="1" si="203"/>
        <v>30</v>
      </c>
      <c r="I369" s="8" t="str">
        <f t="shared" ca="1" si="200"/>
        <v>3111</v>
      </c>
      <c r="J369" s="13">
        <f>IF(繳費報酬率資料!$A$1=1,VALUE(OP!$C$121),VLOOKUP(A369,MP,2,0))</f>
        <v>0.05</v>
      </c>
      <c r="K369" s="14">
        <f ca="1">IF(SUM($K$4:K368,IF(繳費報酬率資料!$A$1=1,$AU369+$AV369,$BB369+$BC369))&gt;OP!$L$58,0,IF(繳費報酬率資料!$A$1=1,$AU369+$AV369,$BB369+$BC369))</f>
        <v>0</v>
      </c>
      <c r="L369" s="2"/>
      <c r="M369" s="2"/>
      <c r="N369" s="2"/>
      <c r="O369" s="261">
        <f t="shared" ca="1" si="204"/>
        <v>0</v>
      </c>
      <c r="P369" s="261">
        <f t="shared" ca="1" si="222"/>
        <v>0</v>
      </c>
      <c r="Q369" s="3">
        <f ca="1">IF(A369&gt;MAX(OP!$R$17:$R$26),0,VLOOKUP(A369,fees,3,FALSE))</f>
        <v>0</v>
      </c>
      <c r="R369" s="200" t="str">
        <f t="shared" ca="1" si="205"/>
        <v/>
      </c>
      <c r="S369" s="9" t="str">
        <f ca="1">IF(COUNTIF(($T$4:T368),"F")&gt;=1,"",IF(OR(C370&lt;&gt;$C$3,E369=""),"",A369))</f>
        <v/>
      </c>
      <c r="T369" s="20" t="str">
        <f t="shared" ca="1" si="197"/>
        <v/>
      </c>
      <c r="U369" s="2">
        <f ca="1">IF(IF(OP!$C$83=1,$Z368,IF(OP!$C$83=2,$AA368,IF(OP!$C$83=3,$AB368,)))+$K369-$O369-$P369-$AS369&lt;OP!$C$142,0,$AS369)</f>
        <v>0</v>
      </c>
      <c r="V369" s="9"/>
      <c r="W369" s="19">
        <f ca="1">MAX(SUM($K$4:K369),0)</f>
        <v>2000000</v>
      </c>
      <c r="X369" s="19"/>
      <c r="Y369" s="19">
        <f t="shared" ca="1" si="223"/>
        <v>1920000</v>
      </c>
      <c r="Z369" s="2">
        <f ca="1">IF(MIN($Z$4:Z368)=0,0,MAX(0,($Z368+$K369-$O369-$P369)*IF(AND(F369="F",$D$3&lt;&gt;$G$3),((1+(-J369))^(H369/MIN(G369,365))),((1+(-J369))^(1/12)))-$U369))</f>
        <v>401671.65899055952</v>
      </c>
      <c r="AA369" s="2">
        <f ca="1">IF(MIN($AA$4:AA368)=0,0,MAX(0,($AA368+$K369-$O369-$P369)*IF(AND(F369="F",$D$3&lt;&gt;$G$3),((1+$AA$1)^(H369/MIN(G369,365))),((1+$AA$1)^(1/12)))-$U369))</f>
        <v>1920000</v>
      </c>
      <c r="AB369" s="2">
        <f ca="1">IF(MIN($AB$4:AB368)=0,0,MAX(0,($AB368+$K369-$O369-$P369)*IF(AND(F369="F",$D$3&lt;&gt;$G$3),((1+(J369))^(H369/MIN(G369,365))),((1+(J369))^(1/12)))-$U369))</f>
        <v>8503052.3004449587</v>
      </c>
      <c r="AC369" s="5"/>
      <c r="AD369" s="5"/>
      <c r="AE369" s="5"/>
      <c r="AF369" s="282">
        <f t="shared" ca="1" si="206"/>
        <v>401672</v>
      </c>
      <c r="AG369" s="282">
        <f t="shared" ca="1" si="207"/>
        <v>1920000</v>
      </c>
      <c r="AH369" s="282">
        <f t="shared" ca="1" si="208"/>
        <v>8503052</v>
      </c>
      <c r="AI369" s="23" t="str">
        <f t="shared" ca="1" si="225"/>
        <v>31-7</v>
      </c>
      <c r="AJ369" s="282">
        <f ca="1">IF(E369&gt;111,,IF(AND(OP!$C$99=1,T369="F"),Z369,IF(AND(OP!$C$99=2,COUNTIF($T$4:T369,"F")=1),OP!$C$97+IF(F369="F",OP!$C$98,0),"")))</f>
        <v>54527</v>
      </c>
      <c r="AK369" s="282">
        <f ca="1">IF(E369&gt;111,,IF(AND(OP!$D$99=1,T369="F"),AA369,IF(AND(OP!$D$99=2,COUNTIF($T$4:T369,"F")=1),OP!$D$97+IF(F369="F",OP!$D$98,0),"")))</f>
        <v>74177</v>
      </c>
      <c r="AL369" s="282">
        <f ca="1">IF(E369&gt;111,,IF(AND(OP!$E$99=1,T369="F"),AB369,IF(AND(OP!$E$99=2,COUNTIF($T$4:T369,"F")=1),OP!$E$97+IF(F369="F",OP!$E$98,0),"")))</f>
        <v>99404</v>
      </c>
      <c r="AM369" s="1">
        <f t="shared" ca="1" si="198"/>
        <v>7</v>
      </c>
      <c r="AN369" s="1" t="e">
        <f ca="1">IF(OR(VLOOKUP($A369,MP,5,0)="月繳"),1,"")</f>
        <v>#N/A</v>
      </c>
      <c r="AO369" s="1">
        <f t="shared" ca="1" si="209"/>
        <v>0</v>
      </c>
      <c r="AP369" s="1" t="str">
        <f ca="1">IF(AND(A369&lt;=OP!$C$120,COUNTIF(PAY,C369)=1),1,"")</f>
        <v/>
      </c>
      <c r="AR369" s="301">
        <f ca="1">IF(繳費報酬率資料!$A$1=1,$AY369+$AZ369,$BF369+$BG369)</f>
        <v>0</v>
      </c>
      <c r="AS369" s="1">
        <f ca="1">IF(C369&lt;&gt;IF($C$3=1,12,$C$3-1),0,IF(繳費報酬率資料!$A$1&lt;&gt;1,VLOOKUP($A369,MP,8,0),IF(AND($A369&gt;=OP!$C$79,$A369&lt;=OP!$C$80),OP!$C$78,)))</f>
        <v>0</v>
      </c>
      <c r="AT369" s="298">
        <f t="shared" ca="1" si="210"/>
        <v>0</v>
      </c>
      <c r="AU369" s="298">
        <f ca="1">IF(AND(A369&lt;=OP!$C$120,COUNTIF(PAY,C369)=1),OP!$C$123,0)</f>
        <v>0</v>
      </c>
      <c r="AV369" s="298">
        <f ca="1">IF(AND(A369&gt;=OP!$C$132,A369&lt;=OP!$C$133,$C$3=C369),OP!$C$135,0)</f>
        <v>0</v>
      </c>
      <c r="AW369" s="180">
        <f t="shared" ca="1" si="211"/>
        <v>0.05</v>
      </c>
      <c r="AX369" s="180">
        <f t="shared" ca="1" si="212"/>
        <v>0.05</v>
      </c>
      <c r="AY369" s="286">
        <f t="shared" ca="1" si="213"/>
        <v>0</v>
      </c>
      <c r="AZ369" s="286">
        <f t="shared" ca="1" si="214"/>
        <v>0</v>
      </c>
      <c r="BA369" s="286">
        <f t="shared" ca="1" si="215"/>
        <v>0</v>
      </c>
      <c r="BB369" s="286">
        <f t="shared" ca="1" si="216"/>
        <v>0</v>
      </c>
      <c r="BC369" s="286">
        <f t="shared" ca="1" si="217"/>
        <v>0</v>
      </c>
      <c r="BD369" s="180">
        <f t="shared" ca="1" si="218"/>
        <v>0.05</v>
      </c>
      <c r="BE369" s="180">
        <f t="shared" ca="1" si="219"/>
        <v>0.05</v>
      </c>
      <c r="BF369" s="286">
        <f t="shared" ca="1" si="220"/>
        <v>0</v>
      </c>
      <c r="BG369" s="286">
        <f t="shared" ca="1" si="221"/>
        <v>0</v>
      </c>
    </row>
    <row r="370" spans="1:59">
      <c r="A370" s="1">
        <f t="shared" ca="1" si="201"/>
        <v>31</v>
      </c>
      <c r="B370" s="1">
        <f t="shared" ca="1" si="194"/>
        <v>136</v>
      </c>
      <c r="C370" s="1">
        <f t="shared" ca="1" si="195"/>
        <v>12</v>
      </c>
      <c r="D370" s="1">
        <f ca="1">MIN($D$3,VLOOKUP(C370,OP!$S$30:$T$41,2))</f>
        <v>2</v>
      </c>
      <c r="E370" s="1">
        <f t="shared" ca="1" si="196"/>
        <v>85</v>
      </c>
      <c r="F370" s="11" t="str">
        <f t="shared" ca="1" si="202"/>
        <v/>
      </c>
      <c r="G370" s="8">
        <f t="shared" ca="1" si="228"/>
        <v>366</v>
      </c>
      <c r="H370" s="8">
        <f t="shared" ca="1" si="203"/>
        <v>31</v>
      </c>
      <c r="I370" s="8" t="str">
        <f t="shared" ca="1" si="200"/>
        <v>3112</v>
      </c>
      <c r="J370" s="13">
        <f>IF(繳費報酬率資料!$A$1=1,VALUE(OP!$C$121),VLOOKUP(A370,MP,2,0))</f>
        <v>0.05</v>
      </c>
      <c r="K370" s="14">
        <f ca="1">IF(SUM($K$4:K369,IF(繳費報酬率資料!$A$1=1,$AU370+$AV370,$BB370+$BC370))&gt;OP!$L$58,0,IF(繳費報酬率資料!$A$1=1,$AU370+$AV370,$BB370+$BC370))</f>
        <v>0</v>
      </c>
      <c r="L370" s="2"/>
      <c r="M370" s="2"/>
      <c r="N370" s="2"/>
      <c r="O370" s="261">
        <f t="shared" ca="1" si="204"/>
        <v>0</v>
      </c>
      <c r="P370" s="261">
        <f t="shared" ca="1" si="222"/>
        <v>0</v>
      </c>
      <c r="Q370" s="3">
        <f ca="1">IF(A370&gt;MAX(OP!$R$17:$R$26),0,VLOOKUP(A370,fees,3,FALSE))</f>
        <v>0</v>
      </c>
      <c r="R370" s="200" t="str">
        <f t="shared" ca="1" si="205"/>
        <v/>
      </c>
      <c r="S370" s="9" t="str">
        <f ca="1">IF(COUNTIF(($T$4:T369),"F")&gt;=1,"",IF(OR(C371&lt;&gt;$C$3,E370=""),"",A370))</f>
        <v/>
      </c>
      <c r="T370" s="20" t="str">
        <f t="shared" ca="1" si="197"/>
        <v/>
      </c>
      <c r="U370" s="2">
        <f ca="1">IF(IF(OP!$C$83=1,$Z369,IF(OP!$C$83=2,$AA369,IF(OP!$C$83=3,$AB369,)))+$K370-$O370-$P370-$AS370&lt;OP!$C$142,0,$AS370)</f>
        <v>0</v>
      </c>
      <c r="V370" s="9"/>
      <c r="W370" s="19">
        <f ca="1">MAX(SUM($K$4:K370),0)</f>
        <v>2000000</v>
      </c>
      <c r="X370" s="19"/>
      <c r="Y370" s="19">
        <f t="shared" ca="1" si="223"/>
        <v>1920000</v>
      </c>
      <c r="Z370" s="2">
        <f ca="1">IF(MIN($Z$4:Z369)=0,0,MAX(0,($Z369+$K370-$O370-$P370)*IF(AND(F370="F",$D$3&lt;&gt;$G$3),((1+(-J370))^(H370/MIN(G370,365))),((1+(-J370))^(1/12)))-$U370))</f>
        <v>399958.40132105316</v>
      </c>
      <c r="AA370" s="2">
        <f ca="1">IF(MIN($AA$4:AA369)=0,0,MAX(0,($AA369+$K370-$O370-$P370)*IF(AND(F370="F",$D$3&lt;&gt;$G$3),((1+$AA$1)^(H370/MIN(G370,365))),((1+$AA$1)^(1/12)))-$U370))</f>
        <v>1920000</v>
      </c>
      <c r="AB370" s="2">
        <f ca="1">IF(MIN($AB$4:AB369)=0,0,MAX(0,($AB369+$K370-$O370-$P370)*IF(AND(F370="F",$D$3&lt;&gt;$G$3),((1+(J370))^(H370/MIN(G370,365))),((1+(J370))^(1/12)))-$U370))</f>
        <v>8537694.7880558074</v>
      </c>
      <c r="AC370" s="5"/>
      <c r="AD370" s="5"/>
      <c r="AE370" s="5"/>
      <c r="AF370" s="282">
        <f t="shared" ca="1" si="206"/>
        <v>399958</v>
      </c>
      <c r="AG370" s="282">
        <f t="shared" ca="1" si="207"/>
        <v>1920000</v>
      </c>
      <c r="AH370" s="282">
        <f t="shared" ca="1" si="208"/>
        <v>8537695</v>
      </c>
      <c r="AI370" s="23" t="str">
        <f t="shared" ca="1" si="225"/>
        <v>31-8</v>
      </c>
      <c r="AJ370" s="282">
        <f ca="1">IF(E370&gt;111,,IF(AND(OP!$C$99=1,T370="F"),Z370,IF(AND(OP!$C$99=2,COUNTIF($T$4:T370,"F")=1),OP!$C$97+IF(F370="F",OP!$C$98,0),"")))</f>
        <v>54527</v>
      </c>
      <c r="AK370" s="282">
        <f ca="1">IF(E370&gt;111,,IF(AND(OP!$D$99=1,T370="F"),AA370,IF(AND(OP!$D$99=2,COUNTIF($T$4:T370,"F")=1),OP!$D$97+IF(F370="F",OP!$D$98,0),"")))</f>
        <v>74177</v>
      </c>
      <c r="AL370" s="282">
        <f ca="1">IF(E370&gt;111,,IF(AND(OP!$E$99=1,T370="F"),AB370,IF(AND(OP!$E$99=2,COUNTIF($T$4:T370,"F")=1),OP!$E$97+IF(F370="F",OP!$E$98,0),"")))</f>
        <v>99404</v>
      </c>
      <c r="AM370" s="1">
        <f t="shared" ca="1" si="198"/>
        <v>8</v>
      </c>
      <c r="AN370" s="1" t="e">
        <f ca="1">IF(OR(VLOOKUP($A370,MP,5,0)="半年繳",VLOOKUP($A370,MP,5,0)="季繳",VLOOKUP($A370,MP,5,0)="月繳"),1,"")</f>
        <v>#N/A</v>
      </c>
      <c r="AO370" s="1">
        <f t="shared" ca="1" si="209"/>
        <v>0</v>
      </c>
      <c r="AP370" s="1" t="str">
        <f ca="1">IF(AND(A370&lt;=OP!$C$120,COUNTIF(PAY,C370)=1),1,"")</f>
        <v/>
      </c>
      <c r="AR370" s="301">
        <f ca="1">IF(繳費報酬率資料!$A$1=1,$AY370+$AZ370,$BF370+$BG370)</f>
        <v>0</v>
      </c>
      <c r="AS370" s="1">
        <f ca="1">IF(C370&lt;&gt;IF($C$3=1,12,$C$3-1),0,IF(繳費報酬率資料!$A$1&lt;&gt;1,VLOOKUP($A370,MP,8,0),IF(AND($A370&gt;=OP!$C$79,$A370&lt;=OP!$C$80),OP!$C$78,)))</f>
        <v>0</v>
      </c>
      <c r="AT370" s="298">
        <f t="shared" ca="1" si="210"/>
        <v>0</v>
      </c>
      <c r="AU370" s="298">
        <f ca="1">IF(AND(A370&lt;=OP!$C$120,COUNTIF(PAY,C370)=1),OP!$C$123,0)</f>
        <v>0</v>
      </c>
      <c r="AV370" s="298">
        <f ca="1">IF(AND(A370&gt;=OP!$C$132,A370&lt;=OP!$C$133,$C$3=C370),OP!$C$135,0)</f>
        <v>0</v>
      </c>
      <c r="AW370" s="180">
        <f t="shared" ca="1" si="211"/>
        <v>0.05</v>
      </c>
      <c r="AX370" s="180">
        <f t="shared" ca="1" si="212"/>
        <v>0.05</v>
      </c>
      <c r="AY370" s="286">
        <f t="shared" ca="1" si="213"/>
        <v>0</v>
      </c>
      <c r="AZ370" s="286">
        <f t="shared" ca="1" si="214"/>
        <v>0</v>
      </c>
      <c r="BA370" s="286">
        <f t="shared" ca="1" si="215"/>
        <v>0</v>
      </c>
      <c r="BB370" s="286">
        <f t="shared" ca="1" si="216"/>
        <v>0</v>
      </c>
      <c r="BC370" s="286">
        <f t="shared" ca="1" si="217"/>
        <v>0</v>
      </c>
      <c r="BD370" s="180">
        <f t="shared" ca="1" si="218"/>
        <v>0.05</v>
      </c>
      <c r="BE370" s="180">
        <f t="shared" ca="1" si="219"/>
        <v>0.05</v>
      </c>
      <c r="BF370" s="286">
        <f t="shared" ca="1" si="220"/>
        <v>0</v>
      </c>
      <c r="BG370" s="286">
        <f t="shared" ca="1" si="221"/>
        <v>0</v>
      </c>
    </row>
    <row r="371" spans="1:59">
      <c r="A371" s="1">
        <f t="shared" ca="1" si="201"/>
        <v>31</v>
      </c>
      <c r="B371" s="1">
        <f t="shared" ca="1" si="194"/>
        <v>137</v>
      </c>
      <c r="C371" s="1">
        <f t="shared" ca="1" si="195"/>
        <v>1</v>
      </c>
      <c r="D371" s="1">
        <f ca="1">MIN($D$3,VLOOKUP(C371,OP!$S$30:$T$41,2))</f>
        <v>2</v>
      </c>
      <c r="E371" s="1">
        <f t="shared" ca="1" si="196"/>
        <v>85</v>
      </c>
      <c r="F371" s="11" t="str">
        <f t="shared" ca="1" si="202"/>
        <v/>
      </c>
      <c r="G371" s="8">
        <f t="shared" ca="1" si="228"/>
        <v>366</v>
      </c>
      <c r="H371" s="8">
        <f t="shared" ca="1" si="203"/>
        <v>31</v>
      </c>
      <c r="I371" s="8" t="str">
        <f t="shared" ca="1" si="200"/>
        <v>311</v>
      </c>
      <c r="J371" s="13">
        <f>IF(繳費報酬率資料!$A$1=1,VALUE(OP!$C$121),VLOOKUP(A371,MP,2,0))</f>
        <v>0.05</v>
      </c>
      <c r="K371" s="14">
        <f ca="1">IF(SUM($K$4:K370,IF(繳費報酬率資料!$A$1=1,$AU371+$AV371,$BB371+$BC371))&gt;OP!$L$58,0,IF(繳費報酬率資料!$A$1=1,$AU371+$AV371,$BB371+$BC371))</f>
        <v>0</v>
      </c>
      <c r="L371" s="2"/>
      <c r="M371" s="2"/>
      <c r="N371" s="2"/>
      <c r="O371" s="261">
        <f t="shared" ca="1" si="204"/>
        <v>0</v>
      </c>
      <c r="P371" s="261">
        <f t="shared" ca="1" si="222"/>
        <v>0</v>
      </c>
      <c r="Q371" s="3">
        <f ca="1">IF(A371&gt;MAX(OP!$R$17:$R$26),0,VLOOKUP(A371,fees,3,FALSE))</f>
        <v>0</v>
      </c>
      <c r="R371" s="200" t="str">
        <f t="shared" ca="1" si="205"/>
        <v/>
      </c>
      <c r="S371" s="9" t="str">
        <f ca="1">IF(COUNTIF(($T$4:T370),"F")&gt;=1,"",IF(OR(C372&lt;&gt;$C$3,E371=""),"",A371))</f>
        <v/>
      </c>
      <c r="T371" s="20" t="str">
        <f t="shared" ca="1" si="197"/>
        <v/>
      </c>
      <c r="U371" s="2">
        <f ca="1">IF(IF(OP!$C$83=1,$Z370,IF(OP!$C$83=2,$AA370,IF(OP!$C$83=3,$AB370,)))+$K371-$O371-$P371-$AS371&lt;OP!$C$142,0,$AS371)</f>
        <v>0</v>
      </c>
      <c r="V371" s="9"/>
      <c r="W371" s="19">
        <f ca="1">MAX(SUM($K$4:K371),0)</f>
        <v>2000000</v>
      </c>
      <c r="X371" s="19"/>
      <c r="Y371" s="19">
        <f t="shared" ca="1" si="223"/>
        <v>1920000</v>
      </c>
      <c r="Z371" s="2">
        <f ca="1">IF(MIN($Z$4:Z370)=0,0,MAX(0,($Z370+$K371-$O371-$P371)*IF(AND(F371="F",$D$3&lt;&gt;$G$3),((1+(-J371))^(H371/MIN(G371,365))),((1+(-J371))^(1/12)))-$U371))</f>
        <v>398252.45124165533</v>
      </c>
      <c r="AA371" s="2">
        <f ca="1">IF(MIN($AA$4:AA370)=0,0,MAX(0,($AA370+$K371-$O371-$P371)*IF(AND(F371="F",$D$3&lt;&gt;$G$3),((1+$AA$1)^(H371/MIN(G371,365))),((1+$AA$1)^(1/12)))-$U371))</f>
        <v>1920000</v>
      </c>
      <c r="AB371" s="2">
        <f ca="1">IF(MIN($AB$4:AB370)=0,0,MAX(0,($AB370+$K371-$O371-$P371)*IF(AND(F371="F",$D$3&lt;&gt;$G$3),((1+(J371))^(H371/MIN(G371,365))),((1+(J371))^(1/12)))-$U371))</f>
        <v>8572478.4134493563</v>
      </c>
      <c r="AC371" s="5"/>
      <c r="AD371" s="5"/>
      <c r="AE371" s="5"/>
      <c r="AF371" s="282">
        <f t="shared" ca="1" si="206"/>
        <v>398252</v>
      </c>
      <c r="AG371" s="282">
        <f t="shared" ca="1" si="207"/>
        <v>1920000</v>
      </c>
      <c r="AH371" s="282">
        <f t="shared" ca="1" si="208"/>
        <v>8572478</v>
      </c>
      <c r="AI371" s="23" t="str">
        <f t="shared" ca="1" si="225"/>
        <v>31-9</v>
      </c>
      <c r="AJ371" s="282">
        <f ca="1">IF(E371&gt;111,,IF(AND(OP!$C$99=1,T371="F"),Z371,IF(AND(OP!$C$99=2,COUNTIF($T$4:T371,"F")=1),OP!$C$97+IF(F371="F",OP!$C$98,0),"")))</f>
        <v>54527</v>
      </c>
      <c r="AK371" s="282">
        <f ca="1">IF(E371&gt;111,,IF(AND(OP!$D$99=1,T371="F"),AA371,IF(AND(OP!$D$99=2,COUNTIF($T$4:T371,"F")=1),OP!$D$97+IF(F371="F",OP!$D$98,0),"")))</f>
        <v>74177</v>
      </c>
      <c r="AL371" s="282">
        <f ca="1">IF(E371&gt;111,,IF(AND(OP!$E$99=1,T371="F"),AB371,IF(AND(OP!$E$99=2,COUNTIF($T$4:T371,"F")=1),OP!$E$97+IF(F371="F",OP!$E$98,0),"")))</f>
        <v>99404</v>
      </c>
      <c r="AM371" s="1">
        <f t="shared" ca="1" si="198"/>
        <v>9</v>
      </c>
      <c r="AN371" s="1" t="e">
        <f ca="1">IF(OR(VLOOKUP($A371,MP,5,0)="月繳"),1,"")</f>
        <v>#N/A</v>
      </c>
      <c r="AO371" s="1">
        <f t="shared" ca="1" si="209"/>
        <v>0</v>
      </c>
      <c r="AP371" s="1" t="str">
        <f ca="1">IF(AND(A371&lt;=OP!$C$120,COUNTIF(PAY,C371)=1),1,"")</f>
        <v/>
      </c>
      <c r="AR371" s="301">
        <f ca="1">IF(繳費報酬率資料!$A$1=1,$AY371+$AZ371,$BF371+$BG371)</f>
        <v>0</v>
      </c>
      <c r="AS371" s="1">
        <f ca="1">IF(C371&lt;&gt;IF($C$3=1,12,$C$3-1),0,IF(繳費報酬率資料!$A$1&lt;&gt;1,VLOOKUP($A371,MP,8,0),IF(AND($A371&gt;=OP!$C$79,$A371&lt;=OP!$C$80),OP!$C$78,)))</f>
        <v>0</v>
      </c>
      <c r="AT371" s="298">
        <f t="shared" ca="1" si="210"/>
        <v>0</v>
      </c>
      <c r="AU371" s="298">
        <f ca="1">IF(AND(A371&lt;=OP!$C$120,COUNTIF(PAY,C371)=1),OP!$C$123,0)</f>
        <v>0</v>
      </c>
      <c r="AV371" s="298">
        <f ca="1">IF(AND(A371&gt;=OP!$C$132,A371&lt;=OP!$C$133,$C$3=C371),OP!$C$135,0)</f>
        <v>0</v>
      </c>
      <c r="AW371" s="180">
        <f t="shared" ca="1" si="211"/>
        <v>0.05</v>
      </c>
      <c r="AX371" s="180">
        <f t="shared" ca="1" si="212"/>
        <v>0.05</v>
      </c>
      <c r="AY371" s="286">
        <f t="shared" ca="1" si="213"/>
        <v>0</v>
      </c>
      <c r="AZ371" s="286">
        <f t="shared" ca="1" si="214"/>
        <v>0</v>
      </c>
      <c r="BA371" s="286">
        <f t="shared" ca="1" si="215"/>
        <v>0</v>
      </c>
      <c r="BB371" s="286">
        <f t="shared" ca="1" si="216"/>
        <v>0</v>
      </c>
      <c r="BC371" s="286">
        <f t="shared" ca="1" si="217"/>
        <v>0</v>
      </c>
      <c r="BD371" s="180">
        <f t="shared" ca="1" si="218"/>
        <v>0.05</v>
      </c>
      <c r="BE371" s="180">
        <f t="shared" ca="1" si="219"/>
        <v>0.05</v>
      </c>
      <c r="BF371" s="286">
        <f t="shared" ca="1" si="220"/>
        <v>0</v>
      </c>
      <c r="BG371" s="286">
        <f t="shared" ca="1" si="221"/>
        <v>0</v>
      </c>
    </row>
    <row r="372" spans="1:59">
      <c r="A372" s="1">
        <f t="shared" ca="1" si="201"/>
        <v>31</v>
      </c>
      <c r="B372" s="1">
        <f t="shared" ca="1" si="194"/>
        <v>137</v>
      </c>
      <c r="C372" s="1">
        <f t="shared" ca="1" si="195"/>
        <v>2</v>
      </c>
      <c r="D372" s="1">
        <f ca="1">MIN($D$3,VLOOKUP(C372,OP!$S$30:$T$41,2))</f>
        <v>2</v>
      </c>
      <c r="E372" s="1">
        <f t="shared" ca="1" si="196"/>
        <v>85</v>
      </c>
      <c r="F372" s="11" t="str">
        <f t="shared" ca="1" si="202"/>
        <v/>
      </c>
      <c r="G372" s="8">
        <f t="shared" ca="1" si="228"/>
        <v>366</v>
      </c>
      <c r="H372" s="8">
        <f t="shared" ca="1" si="203"/>
        <v>29</v>
      </c>
      <c r="I372" s="8" t="str">
        <f t="shared" ca="1" si="200"/>
        <v>312</v>
      </c>
      <c r="J372" s="13">
        <f>IF(繳費報酬率資料!$A$1=1,VALUE(OP!$C$121),VLOOKUP(A372,MP,2,0))</f>
        <v>0.05</v>
      </c>
      <c r="K372" s="14">
        <f ca="1">IF(SUM($K$4:K371,IF(繳費報酬率資料!$A$1=1,$AU372+$AV372,$BB372+$BC372))&gt;OP!$L$58,0,IF(繳費報酬率資料!$A$1=1,$AU372+$AV372,$BB372+$BC372))</f>
        <v>0</v>
      </c>
      <c r="L372" s="2"/>
      <c r="M372" s="2"/>
      <c r="N372" s="2"/>
      <c r="O372" s="261">
        <f t="shared" ca="1" si="204"/>
        <v>0</v>
      </c>
      <c r="P372" s="261">
        <f t="shared" ca="1" si="222"/>
        <v>0</v>
      </c>
      <c r="Q372" s="3">
        <f ca="1">IF(A372&gt;MAX(OP!$R$17:$R$26),0,VLOOKUP(A372,fees,3,FALSE))</f>
        <v>0</v>
      </c>
      <c r="R372" s="200" t="str">
        <f t="shared" ca="1" si="205"/>
        <v/>
      </c>
      <c r="S372" s="9" t="str">
        <f ca="1">IF(COUNTIF(($T$4:T371),"F")&gt;=1,"",IF(OR(C373&lt;&gt;$C$3,E372=""),"",A372))</f>
        <v/>
      </c>
      <c r="T372" s="20" t="str">
        <f t="shared" ca="1" si="197"/>
        <v/>
      </c>
      <c r="U372" s="2">
        <f ca="1">IF(IF(OP!$C$83=1,$Z371,IF(OP!$C$83=2,$AA371,IF(OP!$C$83=3,$AB371,)))+$K372-$O372-$P372-$AS372&lt;OP!$C$142,0,$AS372)</f>
        <v>0</v>
      </c>
      <c r="V372" s="9"/>
      <c r="W372" s="19">
        <f ca="1">MAX(SUM($K$4:K372),0)</f>
        <v>2000000</v>
      </c>
      <c r="X372" s="19"/>
      <c r="Y372" s="19">
        <f t="shared" ca="1" si="223"/>
        <v>1920000</v>
      </c>
      <c r="Z372" s="2">
        <f ca="1">IF(MIN($Z$4:Z371)=0,0,MAX(0,($Z371+$K372-$O372-$P372)*IF(AND(F372="F",$D$3&lt;&gt;$G$3),((1+(-J372))^(H372/MIN(G372,365))),((1+(-J372))^(1/12)))-$U372))</f>
        <v>396553.77758316475</v>
      </c>
      <c r="AA372" s="2">
        <f ca="1">IF(MIN($AA$4:AA371)=0,0,MAX(0,($AA371+$K372-$O372-$P372)*IF(AND(F372="F",$D$3&lt;&gt;$G$3),((1+$AA$1)^(H372/MIN(G372,365))),((1+$AA$1)^(1/12)))-$U372))</f>
        <v>1920000</v>
      </c>
      <c r="AB372" s="2">
        <f ca="1">IF(MIN($AB$4:AB371)=0,0,MAX(0,($AB371+$K372-$O372-$P372)*IF(AND(F372="F",$D$3&lt;&gt;$G$3),((1+(J372))^(H372/MIN(G372,365))),((1+(J372))^(1/12)))-$U372))</f>
        <v>8607403.7516384032</v>
      </c>
      <c r="AC372" s="5"/>
      <c r="AD372" s="5"/>
      <c r="AE372" s="5"/>
      <c r="AF372" s="282">
        <f t="shared" ca="1" si="206"/>
        <v>396554</v>
      </c>
      <c r="AG372" s="282">
        <f t="shared" ca="1" si="207"/>
        <v>1920000</v>
      </c>
      <c r="AH372" s="282">
        <f t="shared" ca="1" si="208"/>
        <v>8607404</v>
      </c>
      <c r="AI372" s="23" t="str">
        <f t="shared" ca="1" si="225"/>
        <v>31-10</v>
      </c>
      <c r="AJ372" s="282">
        <f ca="1">IF(E372&gt;111,,IF(AND(OP!$C$99=1,T372="F"),Z372,IF(AND(OP!$C$99=2,COUNTIF($T$4:T372,"F")=1),OP!$C$97+IF(F372="F",OP!$C$98,0),"")))</f>
        <v>54527</v>
      </c>
      <c r="AK372" s="282">
        <f ca="1">IF(E372&gt;111,,IF(AND(OP!$D$99=1,T372="F"),AA372,IF(AND(OP!$D$99=2,COUNTIF($T$4:T372,"F")=1),OP!$D$97+IF(F372="F",OP!$D$98,0),"")))</f>
        <v>74177</v>
      </c>
      <c r="AL372" s="282">
        <f ca="1">IF(E372&gt;111,,IF(AND(OP!$E$99=1,T372="F"),AB372,IF(AND(OP!$E$99=2,COUNTIF($T$4:T372,"F")=1),OP!$E$97+IF(F372="F",OP!$E$98,0),"")))</f>
        <v>99404</v>
      </c>
      <c r="AM372" s="1">
        <f t="shared" ca="1" si="198"/>
        <v>10</v>
      </c>
      <c r="AN372" s="1" t="e">
        <f ca="1">IF(OR(VLOOKUP($A372,MP,5,0)="月繳"),1,"")</f>
        <v>#N/A</v>
      </c>
      <c r="AO372" s="1">
        <f t="shared" ca="1" si="209"/>
        <v>0</v>
      </c>
      <c r="AP372" s="1" t="str">
        <f ca="1">IF(AND(A372&lt;=OP!$C$120,COUNTIF(PAY,C372)=1),1,"")</f>
        <v/>
      </c>
      <c r="AR372" s="301">
        <f ca="1">IF(繳費報酬率資料!$A$1=1,$AY372+$AZ372,$BF372+$BG372)</f>
        <v>0</v>
      </c>
      <c r="AS372" s="1">
        <f ca="1">IF(C372&lt;&gt;IF($C$3=1,12,$C$3-1),0,IF(繳費報酬率資料!$A$1&lt;&gt;1,VLOOKUP($A372,MP,8,0),IF(AND($A372&gt;=OP!$C$79,$A372&lt;=OP!$C$80),OP!$C$78,)))</f>
        <v>0</v>
      </c>
      <c r="AT372" s="298">
        <f t="shared" ca="1" si="210"/>
        <v>0</v>
      </c>
      <c r="AU372" s="298">
        <f ca="1">IF(AND(A372&lt;=OP!$C$120,COUNTIF(PAY,C372)=1),OP!$C$123,0)</f>
        <v>0</v>
      </c>
      <c r="AV372" s="298">
        <f ca="1">IF(AND(A372&gt;=OP!$C$132,A372&lt;=OP!$C$133,$C$3=C372),OP!$C$135,0)</f>
        <v>0</v>
      </c>
      <c r="AW372" s="180">
        <f t="shared" ca="1" si="211"/>
        <v>0.05</v>
      </c>
      <c r="AX372" s="180">
        <f t="shared" ca="1" si="212"/>
        <v>0.05</v>
      </c>
      <c r="AY372" s="286">
        <f t="shared" ca="1" si="213"/>
        <v>0</v>
      </c>
      <c r="AZ372" s="286">
        <f t="shared" ca="1" si="214"/>
        <v>0</v>
      </c>
      <c r="BA372" s="286">
        <f t="shared" ca="1" si="215"/>
        <v>0</v>
      </c>
      <c r="BB372" s="286">
        <f t="shared" ca="1" si="216"/>
        <v>0</v>
      </c>
      <c r="BC372" s="286">
        <f t="shared" ca="1" si="217"/>
        <v>0</v>
      </c>
      <c r="BD372" s="180">
        <f t="shared" ca="1" si="218"/>
        <v>0.05</v>
      </c>
      <c r="BE372" s="180">
        <f t="shared" ca="1" si="219"/>
        <v>0.05</v>
      </c>
      <c r="BF372" s="286">
        <f t="shared" ca="1" si="220"/>
        <v>0</v>
      </c>
      <c r="BG372" s="286">
        <f t="shared" ca="1" si="221"/>
        <v>0</v>
      </c>
    </row>
    <row r="373" spans="1:59">
      <c r="A373" s="1">
        <f t="shared" ca="1" si="201"/>
        <v>31</v>
      </c>
      <c r="B373" s="1">
        <f t="shared" ca="1" si="194"/>
        <v>137</v>
      </c>
      <c r="C373" s="1">
        <f t="shared" ca="1" si="195"/>
        <v>3</v>
      </c>
      <c r="D373" s="1">
        <f ca="1">MIN($D$3,VLOOKUP(C373,OP!$S$30:$T$41,2))</f>
        <v>2</v>
      </c>
      <c r="E373" s="1">
        <f t="shared" ca="1" si="196"/>
        <v>85</v>
      </c>
      <c r="F373" s="11" t="str">
        <f t="shared" ca="1" si="202"/>
        <v/>
      </c>
      <c r="G373" s="8">
        <f t="shared" ca="1" si="228"/>
        <v>366</v>
      </c>
      <c r="H373" s="8">
        <f t="shared" ca="1" si="203"/>
        <v>31</v>
      </c>
      <c r="I373" s="8" t="str">
        <f t="shared" ca="1" si="200"/>
        <v>313</v>
      </c>
      <c r="J373" s="13">
        <f>IF(繳費報酬率資料!$A$1=1,VALUE(OP!$C$121),VLOOKUP(A373,MP,2,0))</f>
        <v>0.05</v>
      </c>
      <c r="K373" s="14">
        <f ca="1">IF(SUM($K$4:K372,IF(繳費報酬率資料!$A$1=1,$AU373+$AV373,$BB373+$BC373))&gt;OP!$L$58,0,IF(繳費報酬率資料!$A$1=1,$AU373+$AV373,$BB373+$BC373))</f>
        <v>0</v>
      </c>
      <c r="L373" s="2"/>
      <c r="M373" s="2"/>
      <c r="N373" s="2"/>
      <c r="O373" s="261">
        <f t="shared" ca="1" si="204"/>
        <v>0</v>
      </c>
      <c r="P373" s="261">
        <f t="shared" ca="1" si="222"/>
        <v>0</v>
      </c>
      <c r="Q373" s="3">
        <f ca="1">IF(A373&gt;MAX(OP!$R$17:$R$26),0,VLOOKUP(A373,fees,3,FALSE))</f>
        <v>0</v>
      </c>
      <c r="R373" s="200" t="str">
        <f t="shared" ca="1" si="205"/>
        <v/>
      </c>
      <c r="S373" s="9" t="str">
        <f ca="1">IF(COUNTIF(($T$4:T372),"F")&gt;=1,"",IF(OR(C374&lt;&gt;$C$3,E373=""),"",A373))</f>
        <v/>
      </c>
      <c r="T373" s="20" t="str">
        <f t="shared" ca="1" si="197"/>
        <v/>
      </c>
      <c r="U373" s="2">
        <f ca="1">IF(IF(OP!$C$83=1,$Z372,IF(OP!$C$83=2,$AA372,IF(OP!$C$83=3,$AB372,)))+$K373-$O373-$P373-$AS373&lt;OP!$C$142,0,$AS373)</f>
        <v>0</v>
      </c>
      <c r="V373" s="9"/>
      <c r="W373" s="19">
        <f ca="1">MAX(SUM($K$4:K373),0)</f>
        <v>2000000</v>
      </c>
      <c r="X373" s="19"/>
      <c r="Y373" s="19">
        <f t="shared" ca="1" si="223"/>
        <v>1920000</v>
      </c>
      <c r="Z373" s="2">
        <f ca="1">IF(MIN($Z$4:Z372)=0,0,MAX(0,($Z372+$K373-$O373-$P373)*IF(AND(F373="F",$D$3&lt;&gt;$G$3),((1+(-J373))^(H373/MIN(G373,365))),((1+(-J373))^(1/12)))-$U373))</f>
        <v>394862.34930932667</v>
      </c>
      <c r="AA373" s="2">
        <f ca="1">IF(MIN($AA$4:AA372)=0,0,MAX(0,($AA372+$K373-$O373-$P373)*IF(AND(F373="F",$D$3&lt;&gt;$G$3),((1+$AA$1)^(H373/MIN(G373,365))),((1+$AA$1)^(1/12)))-$U373))</f>
        <v>1920000</v>
      </c>
      <c r="AB373" s="2">
        <f ca="1">IF(MIN($AB$4:AB372)=0,0,MAX(0,($AB372+$K373-$O373-$P373)*IF(AND(F373="F",$D$3&lt;&gt;$G$3),((1+(J373))^(H373/MIN(G373,365))),((1+(J373))^(1/12)))-$U373))</f>
        <v>8642471.3799784165</v>
      </c>
      <c r="AC373" s="5"/>
      <c r="AD373" s="5"/>
      <c r="AE373" s="5"/>
      <c r="AF373" s="282">
        <f t="shared" ca="1" si="206"/>
        <v>394862</v>
      </c>
      <c r="AG373" s="282">
        <f t="shared" ca="1" si="207"/>
        <v>1920000</v>
      </c>
      <c r="AH373" s="282">
        <f t="shared" ca="1" si="208"/>
        <v>8642471</v>
      </c>
      <c r="AI373" s="23" t="str">
        <f t="shared" ca="1" si="225"/>
        <v>31-11</v>
      </c>
      <c r="AJ373" s="282">
        <f ca="1">IF(E373&gt;111,,IF(AND(OP!$C$99=1,T373="F"),Z373,IF(AND(OP!$C$99=2,COUNTIF($T$4:T373,"F")=1),OP!$C$97+IF(F373="F",OP!$C$98,0),"")))</f>
        <v>54527</v>
      </c>
      <c r="AK373" s="282">
        <f ca="1">IF(E373&gt;111,,IF(AND(OP!$D$99=1,T373="F"),AA373,IF(AND(OP!$D$99=2,COUNTIF($T$4:T373,"F")=1),OP!$D$97+IF(F373="F",OP!$D$98,0),"")))</f>
        <v>74177</v>
      </c>
      <c r="AL373" s="282">
        <f ca="1">IF(E373&gt;111,,IF(AND(OP!$E$99=1,T373="F"),AB373,IF(AND(OP!$E$99=2,COUNTIF($T$4:T373,"F")=1),OP!$E$97+IF(F373="F",OP!$E$98,0),"")))</f>
        <v>99404</v>
      </c>
      <c r="AM373" s="1">
        <f t="shared" ca="1" si="198"/>
        <v>11</v>
      </c>
      <c r="AN373" s="1" t="e">
        <f ca="1">IF(OR(VLOOKUP($A373,MP,5,0)="季繳",VLOOKUP($A373,MP,5,0)="月繳"),1,"")</f>
        <v>#N/A</v>
      </c>
      <c r="AO373" s="1">
        <f t="shared" ca="1" si="209"/>
        <v>0</v>
      </c>
      <c r="AP373" s="1" t="str">
        <f ca="1">IF(AND(A373&lt;=OP!$C$120,COUNTIF(PAY,C373)=1),1,"")</f>
        <v/>
      </c>
      <c r="AR373" s="301">
        <f ca="1">IF(繳費報酬率資料!$A$1=1,$AY373+$AZ373,$BF373+$BG373)</f>
        <v>0</v>
      </c>
      <c r="AS373" s="1">
        <f ca="1">IF(C373&lt;&gt;IF($C$3=1,12,$C$3-1),0,IF(繳費報酬率資料!$A$1&lt;&gt;1,VLOOKUP($A373,MP,8,0),IF(AND($A373&gt;=OP!$C$79,$A373&lt;=OP!$C$80),OP!$C$78,)))</f>
        <v>0</v>
      </c>
      <c r="AT373" s="298">
        <f t="shared" ca="1" si="210"/>
        <v>0</v>
      </c>
      <c r="AU373" s="298">
        <f ca="1">IF(AND(A373&lt;=OP!$C$120,COUNTIF(PAY,C373)=1),OP!$C$123,0)</f>
        <v>0</v>
      </c>
      <c r="AV373" s="298">
        <f ca="1">IF(AND(A373&gt;=OP!$C$132,A373&lt;=OP!$C$133,$C$3=C373),OP!$C$135,0)</f>
        <v>0</v>
      </c>
      <c r="AW373" s="180">
        <f t="shared" ca="1" si="211"/>
        <v>0.05</v>
      </c>
      <c r="AX373" s="180">
        <f t="shared" ca="1" si="212"/>
        <v>0.05</v>
      </c>
      <c r="AY373" s="286">
        <f t="shared" ca="1" si="213"/>
        <v>0</v>
      </c>
      <c r="AZ373" s="286">
        <f t="shared" ca="1" si="214"/>
        <v>0</v>
      </c>
      <c r="BA373" s="286">
        <f t="shared" ca="1" si="215"/>
        <v>0</v>
      </c>
      <c r="BB373" s="286">
        <f t="shared" ca="1" si="216"/>
        <v>0</v>
      </c>
      <c r="BC373" s="286">
        <f t="shared" ca="1" si="217"/>
        <v>0</v>
      </c>
      <c r="BD373" s="180">
        <f t="shared" ca="1" si="218"/>
        <v>0.05</v>
      </c>
      <c r="BE373" s="180">
        <f t="shared" ca="1" si="219"/>
        <v>0.05</v>
      </c>
      <c r="BF373" s="286">
        <f t="shared" ca="1" si="220"/>
        <v>0</v>
      </c>
      <c r="BG373" s="286">
        <f t="shared" ca="1" si="221"/>
        <v>0</v>
      </c>
    </row>
    <row r="374" spans="1:59">
      <c r="A374" s="1">
        <f t="shared" ca="1" si="201"/>
        <v>31</v>
      </c>
      <c r="B374" s="1">
        <f t="shared" ca="1" si="194"/>
        <v>137</v>
      </c>
      <c r="C374" s="1">
        <f t="shared" ca="1" si="195"/>
        <v>4</v>
      </c>
      <c r="D374" s="1">
        <f ca="1">MIN($D$3,VLOOKUP(C374,OP!$S$30:$T$41,2))</f>
        <v>2</v>
      </c>
      <c r="E374" s="1">
        <f t="shared" ca="1" si="196"/>
        <v>85</v>
      </c>
      <c r="F374" s="11" t="str">
        <f t="shared" ca="1" si="202"/>
        <v/>
      </c>
      <c r="G374" s="8">
        <f t="shared" ca="1" si="228"/>
        <v>366</v>
      </c>
      <c r="H374" s="8">
        <f t="shared" ca="1" si="203"/>
        <v>30</v>
      </c>
      <c r="I374" s="8" t="str">
        <f t="shared" ca="1" si="200"/>
        <v>314</v>
      </c>
      <c r="J374" s="13">
        <f>IF(繳費報酬率資料!$A$1=1,VALUE(OP!$C$121),VLOOKUP(A374,MP,2,0))</f>
        <v>0.05</v>
      </c>
      <c r="K374" s="14">
        <f ca="1">IF(SUM($K$4:K373,IF(繳費報酬率資料!$A$1=1,$AU374+$AV374,$BB374+$BC374))&gt;OP!$L$58,0,IF(繳費報酬率資料!$A$1=1,$AU374+$AV374,$BB374+$BC374))</f>
        <v>0</v>
      </c>
      <c r="L374" s="2"/>
      <c r="M374" s="2"/>
      <c r="N374" s="2"/>
      <c r="O374" s="261">
        <f t="shared" ca="1" si="204"/>
        <v>0</v>
      </c>
      <c r="P374" s="261">
        <f t="shared" ca="1" si="222"/>
        <v>0</v>
      </c>
      <c r="Q374" s="3">
        <f ca="1">IF(A374&gt;MAX(OP!$R$17:$R$26),0,VLOOKUP(A374,fees,3,FALSE))</f>
        <v>0</v>
      </c>
      <c r="R374" s="200" t="str">
        <f t="shared" ca="1" si="205"/>
        <v/>
      </c>
      <c r="S374" s="9" t="str">
        <f ca="1">IF(COUNTIF(($T$4:T373),"F")&gt;=1,"",IF(OR(C375&lt;&gt;$C$3,E374=""),"",A374))</f>
        <v/>
      </c>
      <c r="T374" s="20" t="str">
        <f t="shared" ca="1" si="197"/>
        <v/>
      </c>
      <c r="U374" s="2">
        <f ca="1">IF(IF(OP!$C$83=1,$Z373,IF(OP!$C$83=2,$AA373,IF(OP!$C$83=3,$AB373,)))+$K374-$O374-$P374-$AS374&lt;OP!$C$142,0,$AS374)</f>
        <v>0</v>
      </c>
      <c r="V374" s="9"/>
      <c r="W374" s="19">
        <f ca="1">MAX(SUM($K$4:K374),0)</f>
        <v>2000000</v>
      </c>
      <c r="X374" s="19"/>
      <c r="Y374" s="19">
        <f t="shared" ca="1" si="223"/>
        <v>1920000</v>
      </c>
      <c r="Z374" s="2">
        <f ca="1">IF(MIN($Z$4:Z373)=0,0,MAX(0,($Z373+$K374-$O374-$P374)*IF(AND(F374="F",$D$3&lt;&gt;$G$3),((1+(-J374))^(H374/MIN(G374,365))),((1+(-J374))^(1/12)))-$U374))</f>
        <v>393178.13551626587</v>
      </c>
      <c r="AA374" s="2">
        <f ca="1">IF(MIN($AA$4:AA373)=0,0,MAX(0,($AA373+$K374-$O374-$P374)*IF(AND(F374="F",$D$3&lt;&gt;$G$3),((1+$AA$1)^(H374/MIN(G374,365))),((1+$AA$1)^(1/12)))-$U374))</f>
        <v>1920000</v>
      </c>
      <c r="AB374" s="2">
        <f ca="1">IF(MIN($AB$4:AB373)=0,0,MAX(0,($AB373+$K374-$O374-$P374)*IF(AND(F374="F",$D$3&lt;&gt;$G$3),((1+(J374))^(H374/MIN(G374,365))),((1+(J374))^(1/12)))-$U374))</f>
        <v>8677681.8781770859</v>
      </c>
      <c r="AC374" s="5"/>
      <c r="AD374" s="5"/>
      <c r="AE374" s="5"/>
      <c r="AF374" s="282">
        <f t="shared" ca="1" si="206"/>
        <v>393178</v>
      </c>
      <c r="AG374" s="282">
        <f t="shared" ca="1" si="207"/>
        <v>1920000</v>
      </c>
      <c r="AH374" s="282">
        <f t="shared" ca="1" si="208"/>
        <v>8677682</v>
      </c>
      <c r="AI374" s="23" t="str">
        <f t="shared" ca="1" si="225"/>
        <v>31-12</v>
      </c>
      <c r="AJ374" s="282">
        <f ca="1">IF(E374&gt;111,,IF(AND(OP!$C$99=1,T374="F"),Z374,IF(AND(OP!$C$99=2,COUNTIF($T$4:T374,"F")=1),OP!$C$97+IF(F374="F",OP!$C$98,0),"")))</f>
        <v>54527</v>
      </c>
      <c r="AK374" s="282">
        <f ca="1">IF(E374&gt;111,,IF(AND(OP!$D$99=1,T374="F"),AA374,IF(AND(OP!$D$99=2,COUNTIF($T$4:T374,"F")=1),OP!$D$97+IF(F374="F",OP!$D$98,0),"")))</f>
        <v>74177</v>
      </c>
      <c r="AL374" s="282">
        <f ca="1">IF(E374&gt;111,,IF(AND(OP!$E$99=1,T374="F"),AB374,IF(AND(OP!$E$99=2,COUNTIF($T$4:T374,"F")=1),OP!$E$97+IF(F374="F",OP!$E$98,0),"")))</f>
        <v>99404</v>
      </c>
      <c r="AM374" s="1">
        <f t="shared" ca="1" si="198"/>
        <v>12</v>
      </c>
      <c r="AN374" s="1" t="e">
        <f ca="1">IF(OR(VLOOKUP($A374,MP,5,0)="月繳"),1,"")</f>
        <v>#N/A</v>
      </c>
      <c r="AO374" s="1">
        <f t="shared" ca="1" si="209"/>
        <v>0</v>
      </c>
      <c r="AP374" s="1" t="str">
        <f ca="1">IF(AND(A374&lt;=OP!$C$120,COUNTIF(PAY,C374)=1),1,"")</f>
        <v/>
      </c>
      <c r="AR374" s="301">
        <f ca="1">IF(繳費報酬率資料!$A$1=1,$AY374+$AZ374,$BF374+$BG374)</f>
        <v>0</v>
      </c>
      <c r="AS374" s="1">
        <f ca="1">IF(C374&lt;&gt;IF($C$3=1,12,$C$3-1),0,IF(繳費報酬率資料!$A$1&lt;&gt;1,VLOOKUP($A374,MP,8,0),IF(AND($A374&gt;=OP!$C$79,$A374&lt;=OP!$C$80),OP!$C$78,)))</f>
        <v>0</v>
      </c>
      <c r="AT374" s="298">
        <f t="shared" ca="1" si="210"/>
        <v>0</v>
      </c>
      <c r="AU374" s="298">
        <f ca="1">IF(AND(A374&lt;=OP!$C$120,COUNTIF(PAY,C374)=1),OP!$C$123,0)</f>
        <v>0</v>
      </c>
      <c r="AV374" s="298">
        <f ca="1">IF(AND(A374&gt;=OP!$C$132,A374&lt;=OP!$C$133,$C$3=C374),OP!$C$135,0)</f>
        <v>0</v>
      </c>
      <c r="AW374" s="180">
        <f t="shared" ca="1" si="211"/>
        <v>0.05</v>
      </c>
      <c r="AX374" s="180">
        <f t="shared" ca="1" si="212"/>
        <v>0.05</v>
      </c>
      <c r="AY374" s="286">
        <f t="shared" ca="1" si="213"/>
        <v>0</v>
      </c>
      <c r="AZ374" s="286">
        <f t="shared" ca="1" si="214"/>
        <v>0</v>
      </c>
      <c r="BA374" s="286">
        <f t="shared" ca="1" si="215"/>
        <v>0</v>
      </c>
      <c r="BB374" s="286">
        <f t="shared" ca="1" si="216"/>
        <v>0</v>
      </c>
      <c r="BC374" s="286">
        <f t="shared" ca="1" si="217"/>
        <v>0</v>
      </c>
      <c r="BD374" s="180">
        <f t="shared" ca="1" si="218"/>
        <v>0.05</v>
      </c>
      <c r="BE374" s="180">
        <f t="shared" ca="1" si="219"/>
        <v>0.05</v>
      </c>
      <c r="BF374" s="286">
        <f t="shared" ca="1" si="220"/>
        <v>0</v>
      </c>
      <c r="BG374" s="286">
        <f t="shared" ca="1" si="221"/>
        <v>0</v>
      </c>
    </row>
    <row r="375" spans="1:59">
      <c r="A375" s="1">
        <f t="shared" ca="1" si="201"/>
        <v>31</v>
      </c>
      <c r="B375" s="1">
        <f t="shared" ca="1" si="194"/>
        <v>137</v>
      </c>
      <c r="C375" s="1">
        <f t="shared" ca="1" si="195"/>
        <v>5</v>
      </c>
      <c r="D375" s="1">
        <f ca="1">MIN($D$3,VLOOKUP(C375,OP!$S$30:$T$41,2))</f>
        <v>2</v>
      </c>
      <c r="E375" s="1">
        <f t="shared" ca="1" si="196"/>
        <v>85</v>
      </c>
      <c r="F375" s="11" t="str">
        <f t="shared" ca="1" si="202"/>
        <v/>
      </c>
      <c r="G375" s="8">
        <f t="shared" ca="1" si="228"/>
        <v>366</v>
      </c>
      <c r="H375" s="8">
        <f t="shared" ca="1" si="203"/>
        <v>31</v>
      </c>
      <c r="I375" s="8" t="str">
        <f t="shared" ca="1" si="200"/>
        <v>315</v>
      </c>
      <c r="J375" s="13">
        <f>IF(繳費報酬率資料!$A$1=1,VALUE(OP!$C$121),VLOOKUP(A375,MP,2,0))</f>
        <v>0.05</v>
      </c>
      <c r="K375" s="14">
        <f ca="1">IF(SUM($K$4:K374,IF(繳費報酬率資料!$A$1=1,$AU375+$AV375,$BB375+$BC375))&gt;OP!$L$58,0,IF(繳費報酬率資料!$A$1=1,$AU375+$AV375,$BB375+$BC375))</f>
        <v>0</v>
      </c>
      <c r="L375" s="2">
        <f ca="1">ROUND(IF(OP!$C$78&lt;(IF(OR($T375="F",$E375&gt;=111),0,Z374+$K375-$O375+IF($C$1=1,OP!$C$78,IF($C376=$C$3,SUM(AC364:AC375,0)))))*5%,0,(OP!$C$78-((IF(OR($T375="F",$E375&gt;=111),0,Z374+$K375-$O375+IF($C$1=1,AC375,IF($C376=$C$3,SUM(AC364:AC375,0)))))*5%))*$Q375),0)</f>
        <v>0</v>
      </c>
      <c r="M375" s="2">
        <f ca="1">ROUND(IF(OP!$C$78&lt;(IF(OR($T375="F",$E375&gt;=111),0,AA374+$K375-$O375+IF($C$1=1,AD375,IF($C376=$C$3,SUM(AD364:AD375,0)))))*5%,0,(OP!$C$78-((IF(OR($T375="F",$E375&gt;=111),0,AA374+$K375-$O375+IF($C$1=1,AD375,IF($C376=$C$3,SUM(AD364:AD375,0)))))*5%))*$Q375),0)</f>
        <v>0</v>
      </c>
      <c r="N375" s="2">
        <f ca="1">ROUND(IF(OP!$C$78&lt;(IF(OR($T375="F",$E375&gt;=111),0,AB374+$K375-$O375+IF($C$1=1,AE375,IF($C376=$C$3,SUM(AE364:AE375,0)))))*5%,0,(OP!$C$78-((IF(OR($T375="F",$E375&gt;=111),0,AB374+$K375-$O375+IF($C$1=1,AE375,IF($C376=$C$3,SUM(AE364:AE375,0)))))*5%))*$Q375),0)</f>
        <v>0</v>
      </c>
      <c r="O375" s="261">
        <f t="shared" ca="1" si="204"/>
        <v>0</v>
      </c>
      <c r="P375" s="261">
        <f t="shared" ca="1" si="222"/>
        <v>0</v>
      </c>
      <c r="Q375" s="3">
        <f ca="1">IF(A375&gt;MAX(OP!$R$17:$R$26),0,VLOOKUP(A375,fees,3,FALSE))</f>
        <v>0</v>
      </c>
      <c r="R375" s="200">
        <f t="shared" ca="1" si="205"/>
        <v>31</v>
      </c>
      <c r="S375" s="9" t="str">
        <f ca="1">IF(COUNTIF(($T$4:T374),"F")&gt;=1,"",IF(OR(C376&lt;&gt;$C$3,E375=""),"",A375))</f>
        <v/>
      </c>
      <c r="T375" s="20" t="str">
        <f t="shared" ca="1" si="197"/>
        <v/>
      </c>
      <c r="U375" s="2">
        <f ca="1">IF(IF(OP!$C$83=1,$Z374,IF(OP!$C$83=2,$AA374,IF(OP!$C$83=3,$AB374,)))+$K375-$O375-$P375-$AS375&lt;OP!$C$142,0,$AS375)</f>
        <v>0</v>
      </c>
      <c r="V375" s="19">
        <f ca="1">SUM(K364:K375)</f>
        <v>0</v>
      </c>
      <c r="W375" s="19">
        <f ca="1">MAX(SUM($K$4:K375),0)</f>
        <v>2000000</v>
      </c>
      <c r="X375" s="19">
        <f ca="1">SUM(O364:P375)</f>
        <v>0</v>
      </c>
      <c r="Y375" s="19">
        <f t="shared" ca="1" si="223"/>
        <v>1920000</v>
      </c>
      <c r="Z375" s="2">
        <f ca="1">IF(MIN($Z$4:Z374)=0,0,MAX(0,($Z374+$K375-$O375-$P375)*IF(AND(F375="F",$D$3&lt;&gt;$G$3),((1+(-J375))^(H375/MIN(G375,365))),((1+(-J375))^(1/12)))-$U375))</f>
        <v>391501.10543192207</v>
      </c>
      <c r="AA375" s="2">
        <f ca="1">IF(MIN($AA$4:AA374)=0,0,MAX(0,($AA374+$K375-$O375-$P375)*IF(AND(F375="F",$D$3&lt;&gt;$G$3),((1+$AA$1)^(H375/MIN(G375,365))),((1+$AA$1)^(1/12)))-$U375))</f>
        <v>1920000</v>
      </c>
      <c r="AB375" s="2">
        <f ca="1">IF(MIN($AB$4:AB374)=0,0,MAX(0,($AB374+$K375-$O375-$P375)*IF(AND(F375="F",$D$3&lt;&gt;$G$3),((1+(J375))^(H375/MIN(G375,365))),((1+(J375))^(1/12)))-$U375))</f>
        <v>8713035.8283039015</v>
      </c>
      <c r="AC375" s="5"/>
      <c r="AD375" s="5"/>
      <c r="AE375" s="5"/>
      <c r="AF375" s="282">
        <f t="shared" ca="1" si="206"/>
        <v>391501</v>
      </c>
      <c r="AG375" s="282">
        <f t="shared" ca="1" si="207"/>
        <v>1920000</v>
      </c>
      <c r="AH375" s="282">
        <f t="shared" ca="1" si="208"/>
        <v>8713036</v>
      </c>
      <c r="AI375" s="23" t="str">
        <f t="shared" ca="1" si="225"/>
        <v>32-1</v>
      </c>
      <c r="AJ375" s="282">
        <f ca="1">IF(E375&gt;111,,IF(AND(OP!$C$99=1,T375="F"),Z375,IF(AND(OP!$C$99=2,COUNTIF($T$4:T375,"F")=1),OP!$C$97+IF(F375="F",OP!$C$98,0),"")))</f>
        <v>54527</v>
      </c>
      <c r="AK375" s="282">
        <f ca="1">IF(E375&gt;111,,IF(AND(OP!$D$99=1,T375="F"),AA375,IF(AND(OP!$D$99=2,COUNTIF($T$4:T375,"F")=1),OP!$D$97+IF(F375="F",OP!$D$98,0),"")))</f>
        <v>74177</v>
      </c>
      <c r="AL375" s="282">
        <f ca="1">IF(E375&gt;111,,IF(AND(OP!$E$99=1,T375="F"),AB375,IF(AND(OP!$E$99=2,COUNTIF($T$4:T375,"F")=1),OP!$E$97+IF(F375="F",OP!$E$98,0),"")))</f>
        <v>99404</v>
      </c>
      <c r="AM375" s="1">
        <f t="shared" ca="1" si="198"/>
        <v>1</v>
      </c>
      <c r="AN375" s="1" t="e">
        <f ca="1">IF(OR(VLOOKUP($A375,MP,5,0)="月繳"),1,"")</f>
        <v>#N/A</v>
      </c>
      <c r="AO375" s="1">
        <f t="shared" ca="1" si="209"/>
        <v>0</v>
      </c>
      <c r="AP375" s="1" t="str">
        <f ca="1">IF(AND(A375&lt;=OP!$C$120,COUNTIF(PAY,C375)=1),1,"")</f>
        <v/>
      </c>
      <c r="AR375" s="301">
        <f ca="1">IF(繳費報酬率資料!$A$1=1,$AY375+$AZ375,$BF375+$BG375)</f>
        <v>0</v>
      </c>
      <c r="AS375" s="1">
        <f ca="1">IF(C375&lt;&gt;IF($C$3=1,12,$C$3-1),0,IF(繳費報酬率資料!$A$1&lt;&gt;1,VLOOKUP($A375,MP,8,0),IF(AND($A375&gt;=OP!$C$79,$A375&lt;=OP!$C$80),OP!$C$78,)))</f>
        <v>0</v>
      </c>
      <c r="AT375" s="298">
        <f t="shared" ca="1" si="210"/>
        <v>0</v>
      </c>
      <c r="AU375" s="298">
        <f ca="1">IF(AND(A375&lt;=OP!$C$120,COUNTIF(PAY,C375)=1),OP!$C$123,0)</f>
        <v>0</v>
      </c>
      <c r="AV375" s="298">
        <f ca="1">IF(AND(A375&gt;=OP!$C$132,A375&lt;=OP!$C$133,$C$3=C375),OP!$C$135,0)</f>
        <v>0</v>
      </c>
      <c r="AW375" s="180">
        <f t="shared" ca="1" si="211"/>
        <v>0.05</v>
      </c>
      <c r="AX375" s="180">
        <f t="shared" ca="1" si="212"/>
        <v>0.05</v>
      </c>
      <c r="AY375" s="286">
        <f t="shared" ca="1" si="213"/>
        <v>0</v>
      </c>
      <c r="AZ375" s="286">
        <f t="shared" ca="1" si="214"/>
        <v>0</v>
      </c>
      <c r="BA375" s="286">
        <f t="shared" ca="1" si="215"/>
        <v>0</v>
      </c>
      <c r="BB375" s="286">
        <f t="shared" ca="1" si="216"/>
        <v>0</v>
      </c>
      <c r="BC375" s="286">
        <f t="shared" ca="1" si="217"/>
        <v>0</v>
      </c>
      <c r="BD375" s="180">
        <f t="shared" ca="1" si="218"/>
        <v>0.05</v>
      </c>
      <c r="BE375" s="180">
        <f t="shared" ca="1" si="219"/>
        <v>0.05</v>
      </c>
      <c r="BF375" s="286">
        <f t="shared" ca="1" si="220"/>
        <v>0</v>
      </c>
      <c r="BG375" s="286">
        <f t="shared" ca="1" si="221"/>
        <v>0</v>
      </c>
    </row>
    <row r="376" spans="1:59">
      <c r="A376" s="1">
        <f t="shared" ca="1" si="201"/>
        <v>32</v>
      </c>
      <c r="B376" s="1">
        <f t="shared" ca="1" si="194"/>
        <v>137</v>
      </c>
      <c r="C376" s="1">
        <f t="shared" ca="1" si="195"/>
        <v>6</v>
      </c>
      <c r="D376" s="1">
        <f ca="1">MIN($D$3,VLOOKUP(C376,OP!$S$30:$T$41,2))</f>
        <v>2</v>
      </c>
      <c r="E376" s="1">
        <f t="shared" ca="1" si="196"/>
        <v>86</v>
      </c>
      <c r="F376" s="11" t="str">
        <f t="shared" ca="1" si="202"/>
        <v/>
      </c>
      <c r="G376" s="6">
        <f ca="1">DATEDIF(DATE(B376+1911,C376,D376),DATE(B388+1911,C388,D388),"d")</f>
        <v>365</v>
      </c>
      <c r="H376" s="8">
        <f t="shared" ca="1" si="203"/>
        <v>30</v>
      </c>
      <c r="I376" s="8" t="str">
        <f t="shared" ca="1" si="200"/>
        <v>326</v>
      </c>
      <c r="J376" s="13">
        <f>IF(繳費報酬率資料!$A$1=1,VALUE(OP!$C$121),VLOOKUP(A376,MP,2,0))</f>
        <v>0.05</v>
      </c>
      <c r="K376" s="14">
        <f ca="1">IF(SUM($K$4:K375,IF(繳費報酬率資料!$A$1=1,$AU376+$AV376,$BB376+$BC376))&gt;OP!$L$58,0,IF(繳費報酬率資料!$A$1=1,$AU376+$AV376,$BB376+$BC376))</f>
        <v>0</v>
      </c>
      <c r="L376" s="2"/>
      <c r="M376" s="2"/>
      <c r="N376" s="2"/>
      <c r="O376" s="261">
        <f t="shared" ca="1" si="204"/>
        <v>0</v>
      </c>
      <c r="P376" s="261">
        <f t="shared" ca="1" si="222"/>
        <v>0</v>
      </c>
      <c r="Q376" s="3">
        <f ca="1">IF(A376&gt;MAX(OP!$R$17:$R$26),0,VLOOKUP(A376,fees,3,FALSE))</f>
        <v>0</v>
      </c>
      <c r="R376" s="200" t="str">
        <f t="shared" ca="1" si="205"/>
        <v/>
      </c>
      <c r="S376" s="9" t="str">
        <f ca="1">IF(COUNTIF(($T$4:T375),"F")&gt;=1,"",IF(OR(C377&lt;&gt;$C$3,E376=""),"",A376))</f>
        <v/>
      </c>
      <c r="T376" s="20" t="str">
        <f t="shared" ca="1" si="197"/>
        <v/>
      </c>
      <c r="U376" s="2">
        <f ca="1">IF(IF(OP!$C$83=1,$Z375,IF(OP!$C$83=2,$AA375,IF(OP!$C$83=3,$AB375,)))+$K376-$O376-$P376-$AS376&lt;OP!$C$142,0,$AS376)</f>
        <v>0</v>
      </c>
      <c r="V376" s="9"/>
      <c r="W376" s="19">
        <f ca="1">MAX(SUM($K$4:K376),0)</f>
        <v>2000000</v>
      </c>
      <c r="X376" s="19"/>
      <c r="Y376" s="19">
        <f t="shared" ca="1" si="223"/>
        <v>1920000</v>
      </c>
      <c r="Z376" s="2">
        <f ca="1">IF(MIN($Z$4:Z375)=0,0,MAX(0,($Z375+$K376-$O376-$P376)*IF(AND(F376="F",$D$3&lt;&gt;$G$3),((1+(-J376))^(H376/MIN(G376,365))),((1+(-J376))^(1/12)))-$U376))</f>
        <v>389831.22841548757</v>
      </c>
      <c r="AA376" s="2">
        <f ca="1">IF(MIN($AA$4:AA375)=0,0,MAX(0,($AA375+$K376-$O376-$P376)*IF(AND(F376="F",$D$3&lt;&gt;$G$3),((1+$AA$1)^(H376/MIN(G376,365))),((1+$AA$1)^(1/12)))-$U376))</f>
        <v>1920000</v>
      </c>
      <c r="AB376" s="2">
        <f ca="1">IF(MIN($AB$4:AB375)=0,0,MAX(0,($AB375+$K376-$O376-$P376)*IF(AND(F376="F",$D$3&lt;&gt;$G$3),((1+(J376))^(H376/MIN(G376,365))),((1+(J376))^(1/12)))-$U376))</f>
        <v>8748533.8147997744</v>
      </c>
      <c r="AC376" s="21"/>
      <c r="AD376" s="21"/>
      <c r="AE376" s="21"/>
      <c r="AF376" s="282">
        <f t="shared" ca="1" si="206"/>
        <v>389831</v>
      </c>
      <c r="AG376" s="282">
        <f t="shared" ca="1" si="207"/>
        <v>1920000</v>
      </c>
      <c r="AH376" s="282">
        <f t="shared" ca="1" si="208"/>
        <v>8748534</v>
      </c>
      <c r="AI376" s="23" t="str">
        <f t="shared" ca="1" si="225"/>
        <v>32-2</v>
      </c>
      <c r="AJ376" s="281">
        <f ca="1">IF(E376&gt;111,,IF(AND(OP!$C$99=1,T376="F"),Z376,IF(AND(OP!$C$99=2,COUNTIF($T$4:T376,"F")=1),OP!$C$97+IF(F376="F",OP!$C$98,0),"")))</f>
        <v>54527</v>
      </c>
      <c r="AK376" s="281">
        <f ca="1">IF(E376&gt;111,,IF(AND(OP!$D$99=1,T376="F"),AA376,IF(AND(OP!$D$99=2,COUNTIF($T$4:T376,"F")=1),OP!$D$97+IF(F376="F",OP!$D$98,0),"")))</f>
        <v>74177</v>
      </c>
      <c r="AL376" s="281">
        <f ca="1">IF(E376&gt;111,,IF(AND(OP!$E$99=1,T376="F"),AB376,IF(AND(OP!$E$99=2,COUNTIF($T$4:T376,"F")=1),OP!$E$97+IF(F376="F",OP!$E$98,0),"")))</f>
        <v>99404</v>
      </c>
      <c r="AM376" s="1">
        <f t="shared" ca="1" si="198"/>
        <v>2</v>
      </c>
      <c r="AN376" s="1" t="e">
        <f ca="1">IF(OR(VLOOKUP($A376,MP,5,0)="年繳",VLOOKUP($A376,MP,5,0)="半年繳",VLOOKUP($A376,MP,5,0)="季繳",VLOOKUP($A376,MP,5,0)="月繳"),1,"")</f>
        <v>#N/A</v>
      </c>
      <c r="AO376" s="1">
        <f t="shared" ca="1" si="209"/>
        <v>0</v>
      </c>
      <c r="AP376" s="1" t="str">
        <f ca="1">IF(AND(A376&lt;=OP!$C$120,COUNTIF(PAY,C376)=1),1,"")</f>
        <v/>
      </c>
      <c r="AR376" s="301">
        <f ca="1">IF(繳費報酬率資料!$A$1=1,$AY376+$AZ376,$BF376+$BG376)</f>
        <v>0</v>
      </c>
      <c r="AS376" s="1">
        <f ca="1">IF(C376&lt;&gt;IF($C$3=1,12,$C$3-1),0,IF(繳費報酬率資料!$A$1&lt;&gt;1,VLOOKUP($A376,MP,8,0),IF(AND($A376&gt;=OP!$C$79,$A376&lt;=OP!$C$80),OP!$C$78,)))</f>
        <v>0</v>
      </c>
      <c r="AT376" s="298">
        <f t="shared" ca="1" si="210"/>
        <v>0</v>
      </c>
      <c r="AU376" s="298">
        <f ca="1">IF(AND(A376&lt;=OP!$C$120,COUNTIF(PAY,C376)=1),OP!$C$123,0)</f>
        <v>0</v>
      </c>
      <c r="AV376" s="298">
        <f ca="1">IF(AND(A376&gt;=OP!$C$132,A376&lt;=OP!$C$133,$C$3=C376),OP!$C$135,0)</f>
        <v>0</v>
      </c>
      <c r="AW376" s="180">
        <f t="shared" ca="1" si="211"/>
        <v>0.05</v>
      </c>
      <c r="AX376" s="180">
        <f t="shared" ca="1" si="212"/>
        <v>0.05</v>
      </c>
      <c r="AY376" s="286">
        <f t="shared" ca="1" si="213"/>
        <v>0</v>
      </c>
      <c r="AZ376" s="286">
        <f t="shared" ca="1" si="214"/>
        <v>0</v>
      </c>
      <c r="BA376" s="286">
        <f t="shared" ca="1" si="215"/>
        <v>0</v>
      </c>
      <c r="BB376" s="286">
        <f t="shared" ca="1" si="216"/>
        <v>0</v>
      </c>
      <c r="BC376" s="286">
        <f t="shared" ca="1" si="217"/>
        <v>0</v>
      </c>
      <c r="BD376" s="180">
        <f t="shared" ca="1" si="218"/>
        <v>0.05</v>
      </c>
      <c r="BE376" s="180">
        <f t="shared" ca="1" si="219"/>
        <v>0.05</v>
      </c>
      <c r="BF376" s="286">
        <f t="shared" ca="1" si="220"/>
        <v>0</v>
      </c>
      <c r="BG376" s="286">
        <f t="shared" ca="1" si="221"/>
        <v>0</v>
      </c>
    </row>
    <row r="377" spans="1:59">
      <c r="A377" s="1">
        <f t="shared" ca="1" si="201"/>
        <v>32</v>
      </c>
      <c r="B377" s="1">
        <f t="shared" ca="1" si="194"/>
        <v>137</v>
      </c>
      <c r="C377" s="1">
        <f t="shared" ca="1" si="195"/>
        <v>7</v>
      </c>
      <c r="D377" s="1">
        <f ca="1">MIN($D$3,VLOOKUP(C377,OP!$S$30:$T$41,2))</f>
        <v>2</v>
      </c>
      <c r="E377" s="1">
        <f t="shared" ca="1" si="196"/>
        <v>86</v>
      </c>
      <c r="F377" s="11" t="str">
        <f t="shared" ca="1" si="202"/>
        <v/>
      </c>
      <c r="G377" s="8">
        <f t="shared" ref="G377:G387" ca="1" si="229">G376</f>
        <v>365</v>
      </c>
      <c r="H377" s="8">
        <f t="shared" ca="1" si="203"/>
        <v>31</v>
      </c>
      <c r="I377" s="8" t="str">
        <f t="shared" ca="1" si="200"/>
        <v>327</v>
      </c>
      <c r="J377" s="13">
        <f>IF(繳費報酬率資料!$A$1=1,VALUE(OP!$C$121),VLOOKUP(A377,MP,2,0))</f>
        <v>0.05</v>
      </c>
      <c r="K377" s="14">
        <f ca="1">IF(SUM($K$4:K376,IF(繳費報酬率資料!$A$1=1,$AU377+$AV377,$BB377+$BC377))&gt;OP!$L$58,0,IF(繳費報酬率資料!$A$1=1,$AU377+$AV377,$BB377+$BC377))</f>
        <v>0</v>
      </c>
      <c r="L377" s="2"/>
      <c r="M377" s="2"/>
      <c r="N377" s="2"/>
      <c r="O377" s="261">
        <f t="shared" ca="1" si="204"/>
        <v>0</v>
      </c>
      <c r="P377" s="261">
        <f t="shared" ca="1" si="222"/>
        <v>0</v>
      </c>
      <c r="Q377" s="3">
        <f ca="1">IF(A377&gt;MAX(OP!$R$17:$R$26),0,VLOOKUP(A377,fees,3,FALSE))</f>
        <v>0</v>
      </c>
      <c r="R377" s="200" t="str">
        <f t="shared" ca="1" si="205"/>
        <v/>
      </c>
      <c r="S377" s="9" t="str">
        <f ca="1">IF(COUNTIF(($T$4:T376),"F")&gt;=1,"",IF(OR(C378&lt;&gt;$C$3,E377=""),"",A377))</f>
        <v/>
      </c>
      <c r="T377" s="20" t="str">
        <f t="shared" ca="1" si="197"/>
        <v/>
      </c>
      <c r="U377" s="2">
        <f ca="1">IF(IF(OP!$C$83=1,$Z376,IF(OP!$C$83=2,$AA376,IF(OP!$C$83=3,$AB376,)))+$K377-$O377-$P377-$AS377&lt;OP!$C$142,0,$AS377)</f>
        <v>0</v>
      </c>
      <c r="V377" s="9"/>
      <c r="W377" s="19">
        <f ca="1">MAX(SUM($K$4:K377),0)</f>
        <v>2000000</v>
      </c>
      <c r="X377" s="19"/>
      <c r="Y377" s="19">
        <f t="shared" ca="1" si="223"/>
        <v>1920000</v>
      </c>
      <c r="Z377" s="2">
        <f ca="1">IF(MIN($Z$4:Z376)=0,0,MAX(0,($Z376+$K377-$O377-$P377)*IF(AND(F377="F",$D$3&lt;&gt;$G$3),((1+(-J377))^(H377/MIN(G377,365))),((1+(-J377))^(1/12)))-$U377))</f>
        <v>388168.47395684745</v>
      </c>
      <c r="AA377" s="2">
        <f ca="1">IF(MIN($AA$4:AA376)=0,0,MAX(0,($AA376+$K377-$O377-$P377)*IF(AND(F377="F",$D$3&lt;&gt;$G$3),((1+$AA$1)^(H377/MIN(G377,365))),((1+$AA$1)^(1/12)))-$U377))</f>
        <v>1920000</v>
      </c>
      <c r="AB377" s="2">
        <f ca="1">IF(MIN($AB$4:AB376)=0,0,MAX(0,($AB376+$K377-$O377-$P377)*IF(AND(F377="F",$D$3&lt;&gt;$G$3),((1+(J377))^(H377/MIN(G377,365))),((1+(J377))^(1/12)))-$U377))</f>
        <v>8784176.4244867023</v>
      </c>
      <c r="AC377" s="5"/>
      <c r="AD377" s="5"/>
      <c r="AE377" s="5"/>
      <c r="AF377" s="282">
        <f t="shared" ca="1" si="206"/>
        <v>388168</v>
      </c>
      <c r="AG377" s="282">
        <f t="shared" ca="1" si="207"/>
        <v>1920000</v>
      </c>
      <c r="AH377" s="282">
        <f t="shared" ca="1" si="208"/>
        <v>8784176</v>
      </c>
      <c r="AI377" s="23" t="str">
        <f t="shared" ca="1" si="225"/>
        <v>32-3</v>
      </c>
      <c r="AJ377" s="282">
        <f ca="1">IF(E377&gt;111,,IF(AND(OP!$C$99=1,T377="F"),Z377,IF(AND(OP!$C$99=2,COUNTIF($T$4:T377,"F")=1),OP!$C$97+IF(F377="F",OP!$C$98,0),"")))</f>
        <v>54527</v>
      </c>
      <c r="AK377" s="282">
        <f ca="1">IF(E377&gt;111,,IF(AND(OP!$D$99=1,T377="F"),AA377,IF(AND(OP!$D$99=2,COUNTIF($T$4:T377,"F")=1),OP!$D$97+IF(F377="F",OP!$D$98,0),"")))</f>
        <v>74177</v>
      </c>
      <c r="AL377" s="282">
        <f ca="1">IF(E377&gt;111,,IF(AND(OP!$E$99=1,T377="F"),AB377,IF(AND(OP!$E$99=2,COUNTIF($T$4:T377,"F")=1),OP!$E$97+IF(F377="F",OP!$E$98,0),"")))</f>
        <v>99404</v>
      </c>
      <c r="AM377" s="1">
        <f t="shared" ca="1" si="198"/>
        <v>3</v>
      </c>
      <c r="AN377" s="1" t="e">
        <f ca="1">IF(OR(VLOOKUP($A377,MP,5,0)="月繳"),1,"")</f>
        <v>#N/A</v>
      </c>
      <c r="AO377" s="1">
        <f t="shared" ca="1" si="209"/>
        <v>0</v>
      </c>
      <c r="AP377" s="1" t="str">
        <f ca="1">IF(AND(A377&lt;=OP!$C$120,COUNTIF(PAY,C377)=1),1,"")</f>
        <v/>
      </c>
      <c r="AR377" s="301">
        <f ca="1">IF(繳費報酬率資料!$A$1=1,$AY377+$AZ377,$BF377+$BG377)</f>
        <v>0</v>
      </c>
      <c r="AS377" s="1">
        <f ca="1">IF(C377&lt;&gt;IF($C$3=1,12,$C$3-1),0,IF(繳費報酬率資料!$A$1&lt;&gt;1,VLOOKUP($A377,MP,8,0),IF(AND($A377&gt;=OP!$C$79,$A377&lt;=OP!$C$80),OP!$C$78,)))</f>
        <v>0</v>
      </c>
      <c r="AT377" s="298">
        <f t="shared" ca="1" si="210"/>
        <v>0</v>
      </c>
      <c r="AU377" s="298">
        <f ca="1">IF(AND(A377&lt;=OP!$C$120,COUNTIF(PAY,C377)=1),OP!$C$123,0)</f>
        <v>0</v>
      </c>
      <c r="AV377" s="298">
        <f ca="1">IF(AND(A377&gt;=OP!$C$132,A377&lt;=OP!$C$133,$C$3=C377),OP!$C$135,0)</f>
        <v>0</v>
      </c>
      <c r="AW377" s="180">
        <f t="shared" ca="1" si="211"/>
        <v>0.05</v>
      </c>
      <c r="AX377" s="180">
        <f t="shared" ca="1" si="212"/>
        <v>0.05</v>
      </c>
      <c r="AY377" s="286">
        <f t="shared" ca="1" si="213"/>
        <v>0</v>
      </c>
      <c r="AZ377" s="286">
        <f t="shared" ca="1" si="214"/>
        <v>0</v>
      </c>
      <c r="BA377" s="286">
        <f t="shared" ca="1" si="215"/>
        <v>0</v>
      </c>
      <c r="BB377" s="286">
        <f t="shared" ca="1" si="216"/>
        <v>0</v>
      </c>
      <c r="BC377" s="286">
        <f t="shared" ca="1" si="217"/>
        <v>0</v>
      </c>
      <c r="BD377" s="180">
        <f t="shared" ca="1" si="218"/>
        <v>0.05</v>
      </c>
      <c r="BE377" s="180">
        <f t="shared" ca="1" si="219"/>
        <v>0.05</v>
      </c>
      <c r="BF377" s="286">
        <f t="shared" ca="1" si="220"/>
        <v>0</v>
      </c>
      <c r="BG377" s="286">
        <f t="shared" ca="1" si="221"/>
        <v>0</v>
      </c>
    </row>
    <row r="378" spans="1:59">
      <c r="A378" s="1">
        <f t="shared" ca="1" si="201"/>
        <v>32</v>
      </c>
      <c r="B378" s="1">
        <f t="shared" ca="1" si="194"/>
        <v>137</v>
      </c>
      <c r="C378" s="1">
        <f t="shared" ca="1" si="195"/>
        <v>8</v>
      </c>
      <c r="D378" s="1">
        <f ca="1">MIN($D$3,VLOOKUP(C378,OP!$S$30:$T$41,2))</f>
        <v>2</v>
      </c>
      <c r="E378" s="1">
        <f t="shared" ca="1" si="196"/>
        <v>86</v>
      </c>
      <c r="F378" s="11" t="str">
        <f t="shared" ca="1" si="202"/>
        <v/>
      </c>
      <c r="G378" s="8">
        <f t="shared" ca="1" si="229"/>
        <v>365</v>
      </c>
      <c r="H378" s="8">
        <f t="shared" ca="1" si="203"/>
        <v>31</v>
      </c>
      <c r="I378" s="8" t="str">
        <f t="shared" ca="1" si="200"/>
        <v>328</v>
      </c>
      <c r="J378" s="13">
        <f>IF(繳費報酬率資料!$A$1=1,VALUE(OP!$C$121),VLOOKUP(A378,MP,2,0))</f>
        <v>0.05</v>
      </c>
      <c r="K378" s="14">
        <f ca="1">IF(SUM($K$4:K377,IF(繳費報酬率資料!$A$1=1,$AU378+$AV378,$BB378+$BC378))&gt;OP!$L$58,0,IF(繳費報酬率資料!$A$1=1,$AU378+$AV378,$BB378+$BC378))</f>
        <v>0</v>
      </c>
      <c r="L378" s="2"/>
      <c r="M378" s="2"/>
      <c r="N378" s="2"/>
      <c r="O378" s="261">
        <f t="shared" ca="1" si="204"/>
        <v>0</v>
      </c>
      <c r="P378" s="261">
        <f t="shared" ca="1" si="222"/>
        <v>0</v>
      </c>
      <c r="Q378" s="3">
        <f ca="1">IF(A378&gt;MAX(OP!$R$17:$R$26),0,VLOOKUP(A378,fees,3,FALSE))</f>
        <v>0</v>
      </c>
      <c r="R378" s="200" t="str">
        <f t="shared" ca="1" si="205"/>
        <v/>
      </c>
      <c r="S378" s="9" t="str">
        <f ca="1">IF(COUNTIF(($T$4:T377),"F")&gt;=1,"",IF(OR(C379&lt;&gt;$C$3,E378=""),"",A378))</f>
        <v/>
      </c>
      <c r="T378" s="20" t="str">
        <f t="shared" ca="1" si="197"/>
        <v/>
      </c>
      <c r="U378" s="2">
        <f ca="1">IF(IF(OP!$C$83=1,$Z377,IF(OP!$C$83=2,$AA377,IF(OP!$C$83=3,$AB377,)))+$K378-$O378-$P378-$AS378&lt;OP!$C$142,0,$AS378)</f>
        <v>0</v>
      </c>
      <c r="V378" s="9"/>
      <c r="W378" s="19">
        <f ca="1">MAX(SUM($K$4:K378),0)</f>
        <v>2000000</v>
      </c>
      <c r="X378" s="19"/>
      <c r="Y378" s="19">
        <f t="shared" ca="1" si="223"/>
        <v>1920000</v>
      </c>
      <c r="Z378" s="2">
        <f ca="1">IF(MIN($Z$4:Z377)=0,0,MAX(0,($Z377+$K378-$O378-$P378)*IF(AND(F378="F",$D$3&lt;&gt;$G$3),((1+(-J378))^(H378/MIN(G378,365))),((1+(-J378))^(1/12)))-$U378))</f>
        <v>386512.81167602225</v>
      </c>
      <c r="AA378" s="2">
        <f ca="1">IF(MIN($AA$4:AA377)=0,0,MAX(0,($AA377+$K378-$O378-$P378)*IF(AND(F378="F",$D$3&lt;&gt;$G$3),((1+$AA$1)^(H378/MIN(G378,365))),((1+$AA$1)^(1/12)))-$U378))</f>
        <v>1920000</v>
      </c>
      <c r="AB378" s="2">
        <f ca="1">IF(MIN($AB$4:AB377)=0,0,MAX(0,($AB377+$K378-$O378-$P378)*IF(AND(F378="F",$D$3&lt;&gt;$G$3),((1+(J378))^(H378/MIN(G378,365))),((1+(J378))^(1/12)))-$U378))</f>
        <v>8819964.2465774659</v>
      </c>
      <c r="AC378" s="5"/>
      <c r="AD378" s="5"/>
      <c r="AE378" s="5"/>
      <c r="AF378" s="282">
        <f t="shared" ca="1" si="206"/>
        <v>386513</v>
      </c>
      <c r="AG378" s="282">
        <f t="shared" ca="1" si="207"/>
        <v>1920000</v>
      </c>
      <c r="AH378" s="282">
        <f t="shared" ca="1" si="208"/>
        <v>8819964</v>
      </c>
      <c r="AI378" s="23" t="str">
        <f t="shared" ca="1" si="225"/>
        <v>32-4</v>
      </c>
      <c r="AJ378" s="282">
        <f ca="1">IF(E378&gt;111,,IF(AND(OP!$C$99=1,T378="F"),Z378,IF(AND(OP!$C$99=2,COUNTIF($T$4:T378,"F")=1),OP!$C$97+IF(F378="F",OP!$C$98,0),"")))</f>
        <v>54527</v>
      </c>
      <c r="AK378" s="282">
        <f ca="1">IF(E378&gt;111,,IF(AND(OP!$D$99=1,T378="F"),AA378,IF(AND(OP!$D$99=2,COUNTIF($T$4:T378,"F")=1),OP!$D$97+IF(F378="F",OP!$D$98,0),"")))</f>
        <v>74177</v>
      </c>
      <c r="AL378" s="282">
        <f ca="1">IF(E378&gt;111,,IF(AND(OP!$E$99=1,T378="F"),AB378,IF(AND(OP!$E$99=2,COUNTIF($T$4:T378,"F")=1),OP!$E$97+IF(F378="F",OP!$E$98,0),"")))</f>
        <v>99404</v>
      </c>
      <c r="AM378" s="1">
        <f t="shared" ca="1" si="198"/>
        <v>4</v>
      </c>
      <c r="AN378" s="1" t="e">
        <f ca="1">IF(OR(VLOOKUP($A378,MP,5,0)="月繳"),1,"")</f>
        <v>#N/A</v>
      </c>
      <c r="AO378" s="1">
        <f t="shared" ca="1" si="209"/>
        <v>0</v>
      </c>
      <c r="AP378" s="1" t="str">
        <f ca="1">IF(AND(A378&lt;=OP!$C$120,COUNTIF(PAY,C378)=1),1,"")</f>
        <v/>
      </c>
      <c r="AR378" s="301">
        <f ca="1">IF(繳費報酬率資料!$A$1=1,$AY378+$AZ378,$BF378+$BG378)</f>
        <v>0</v>
      </c>
      <c r="AS378" s="1">
        <f ca="1">IF(C378&lt;&gt;IF($C$3=1,12,$C$3-1),0,IF(繳費報酬率資料!$A$1&lt;&gt;1,VLOOKUP($A378,MP,8,0),IF(AND($A378&gt;=OP!$C$79,$A378&lt;=OP!$C$80),OP!$C$78,)))</f>
        <v>0</v>
      </c>
      <c r="AT378" s="298">
        <f t="shared" ca="1" si="210"/>
        <v>0</v>
      </c>
      <c r="AU378" s="298">
        <f ca="1">IF(AND(A378&lt;=OP!$C$120,COUNTIF(PAY,C378)=1),OP!$C$123,0)</f>
        <v>0</v>
      </c>
      <c r="AV378" s="298">
        <f ca="1">IF(AND(A378&gt;=OP!$C$132,A378&lt;=OP!$C$133,$C$3=C378),OP!$C$135,0)</f>
        <v>0</v>
      </c>
      <c r="AW378" s="180">
        <f t="shared" ca="1" si="211"/>
        <v>0.05</v>
      </c>
      <c r="AX378" s="180">
        <f t="shared" ca="1" si="212"/>
        <v>0.05</v>
      </c>
      <c r="AY378" s="286">
        <f t="shared" ca="1" si="213"/>
        <v>0</v>
      </c>
      <c r="AZ378" s="286">
        <f t="shared" ca="1" si="214"/>
        <v>0</v>
      </c>
      <c r="BA378" s="286">
        <f t="shared" ca="1" si="215"/>
        <v>0</v>
      </c>
      <c r="BB378" s="286">
        <f t="shared" ca="1" si="216"/>
        <v>0</v>
      </c>
      <c r="BC378" s="286">
        <f t="shared" ca="1" si="217"/>
        <v>0</v>
      </c>
      <c r="BD378" s="180">
        <f t="shared" ca="1" si="218"/>
        <v>0.05</v>
      </c>
      <c r="BE378" s="180">
        <f t="shared" ca="1" si="219"/>
        <v>0.05</v>
      </c>
      <c r="BF378" s="286">
        <f t="shared" ca="1" si="220"/>
        <v>0</v>
      </c>
      <c r="BG378" s="286">
        <f t="shared" ca="1" si="221"/>
        <v>0</v>
      </c>
    </row>
    <row r="379" spans="1:59">
      <c r="A379" s="1">
        <f t="shared" ca="1" si="201"/>
        <v>32</v>
      </c>
      <c r="B379" s="1">
        <f t="shared" ca="1" si="194"/>
        <v>137</v>
      </c>
      <c r="C379" s="1">
        <f t="shared" ca="1" si="195"/>
        <v>9</v>
      </c>
      <c r="D379" s="1">
        <f ca="1">MIN($D$3,VLOOKUP(C379,OP!$S$30:$T$41,2))</f>
        <v>2</v>
      </c>
      <c r="E379" s="1">
        <f t="shared" ca="1" si="196"/>
        <v>86</v>
      </c>
      <c r="F379" s="11" t="str">
        <f t="shared" ca="1" si="202"/>
        <v/>
      </c>
      <c r="G379" s="8">
        <f t="shared" ca="1" si="229"/>
        <v>365</v>
      </c>
      <c r="H379" s="8">
        <f t="shared" ca="1" si="203"/>
        <v>30</v>
      </c>
      <c r="I379" s="8" t="str">
        <f t="shared" ca="1" si="200"/>
        <v>329</v>
      </c>
      <c r="J379" s="13">
        <f>IF(繳費報酬率資料!$A$1=1,VALUE(OP!$C$121),VLOOKUP(A379,MP,2,0))</f>
        <v>0.05</v>
      </c>
      <c r="K379" s="14">
        <f ca="1">IF(SUM($K$4:K378,IF(繳費報酬率資料!$A$1=1,$AU379+$AV379,$BB379+$BC379))&gt;OP!$L$58,0,IF(繳費報酬率資料!$A$1=1,$AU379+$AV379,$BB379+$BC379))</f>
        <v>0</v>
      </c>
      <c r="L379" s="2"/>
      <c r="M379" s="2"/>
      <c r="N379" s="2"/>
      <c r="O379" s="261">
        <f t="shared" ca="1" si="204"/>
        <v>0</v>
      </c>
      <c r="P379" s="261">
        <f t="shared" ca="1" si="222"/>
        <v>0</v>
      </c>
      <c r="Q379" s="3">
        <f ca="1">IF(A379&gt;MAX(OP!$R$17:$R$26),0,VLOOKUP(A379,fees,3,FALSE))</f>
        <v>0</v>
      </c>
      <c r="R379" s="200" t="str">
        <f t="shared" ca="1" si="205"/>
        <v/>
      </c>
      <c r="S379" s="9" t="str">
        <f ca="1">IF(COUNTIF(($T$4:T378),"F")&gt;=1,"",IF(OR(C380&lt;&gt;$C$3,E379=""),"",A379))</f>
        <v/>
      </c>
      <c r="T379" s="20" t="str">
        <f t="shared" ca="1" si="197"/>
        <v/>
      </c>
      <c r="U379" s="2">
        <f ca="1">IF(IF(OP!$C$83=1,$Z378,IF(OP!$C$83=2,$AA378,IF(OP!$C$83=3,$AB378,)))+$K379-$O379-$P379-$AS379&lt;OP!$C$142,0,$AS379)</f>
        <v>0</v>
      </c>
      <c r="V379" s="9"/>
      <c r="W379" s="19">
        <f ca="1">MAX(SUM($K$4:K379),0)</f>
        <v>2000000</v>
      </c>
      <c r="X379" s="19"/>
      <c r="Y379" s="19">
        <f t="shared" ca="1" si="223"/>
        <v>1920000</v>
      </c>
      <c r="Z379" s="2">
        <f ca="1">IF(MIN($Z$4:Z378)=0,0,MAX(0,($Z378+$K379-$O379-$P379)*IF(AND(F379="F",$D$3&lt;&gt;$G$3),((1+(-J379))^(H379/MIN(G379,365))),((1+(-J379))^(1/12)))-$U379))</f>
        <v>384864.21132261277</v>
      </c>
      <c r="AA379" s="2">
        <f ca="1">IF(MIN($AA$4:AA378)=0,0,MAX(0,($AA378+$K379-$O379-$P379)*IF(AND(F379="F",$D$3&lt;&gt;$G$3),((1+$AA$1)^(H379/MIN(G379,365))),((1+$AA$1)^(1/12)))-$U379))</f>
        <v>1920000</v>
      </c>
      <c r="AB379" s="2">
        <f ca="1">IF(MIN($AB$4:AB378)=0,0,MAX(0,($AB378+$K379-$O379-$P379)*IF(AND(F379="F",$D$3&lt;&gt;$G$3),((1+(J379))^(H379/MIN(G379,365))),((1+(J379))^(1/12)))-$U379))</f>
        <v>8855897.8726853747</v>
      </c>
      <c r="AC379" s="5"/>
      <c r="AD379" s="5"/>
      <c r="AE379" s="5"/>
      <c r="AF379" s="282">
        <f t="shared" ca="1" si="206"/>
        <v>384864</v>
      </c>
      <c r="AG379" s="282">
        <f t="shared" ca="1" si="207"/>
        <v>1920000</v>
      </c>
      <c r="AH379" s="282">
        <f t="shared" ca="1" si="208"/>
        <v>8855898</v>
      </c>
      <c r="AI379" s="23" t="str">
        <f t="shared" ca="1" si="225"/>
        <v>32-5</v>
      </c>
      <c r="AJ379" s="282">
        <f ca="1">IF(E379&gt;111,,IF(AND(OP!$C$99=1,T379="F"),Z379,IF(AND(OP!$C$99=2,COUNTIF($T$4:T379,"F")=1),OP!$C$97+IF(F379="F",OP!$C$98,0),"")))</f>
        <v>54527</v>
      </c>
      <c r="AK379" s="282">
        <f ca="1">IF(E379&gt;111,,IF(AND(OP!$D$99=1,T379="F"),AA379,IF(AND(OP!$D$99=2,COUNTIF($T$4:T379,"F")=1),OP!$D$97+IF(F379="F",OP!$D$98,0),"")))</f>
        <v>74177</v>
      </c>
      <c r="AL379" s="282">
        <f ca="1">IF(E379&gt;111,,IF(AND(OP!$E$99=1,T379="F"),AB379,IF(AND(OP!$E$99=2,COUNTIF($T$4:T379,"F")=1),OP!$E$97+IF(F379="F",OP!$E$98,0),"")))</f>
        <v>99404</v>
      </c>
      <c r="AM379" s="1">
        <f t="shared" ca="1" si="198"/>
        <v>5</v>
      </c>
      <c r="AN379" s="1" t="e">
        <f ca="1">IF(OR(VLOOKUP($A379,MP,5,0)="季繳",VLOOKUP($A379,MP,5,0)="月繳"),1,"")</f>
        <v>#N/A</v>
      </c>
      <c r="AO379" s="1">
        <f t="shared" ca="1" si="209"/>
        <v>0</v>
      </c>
      <c r="AP379" s="1" t="str">
        <f ca="1">IF(AND(A379&lt;=OP!$C$120,COUNTIF(PAY,C379)=1),1,"")</f>
        <v/>
      </c>
      <c r="AR379" s="301">
        <f ca="1">IF(繳費報酬率資料!$A$1=1,$AY379+$AZ379,$BF379+$BG379)</f>
        <v>0</v>
      </c>
      <c r="AS379" s="1">
        <f ca="1">IF(C379&lt;&gt;IF($C$3=1,12,$C$3-1),0,IF(繳費報酬率資料!$A$1&lt;&gt;1,VLOOKUP($A379,MP,8,0),IF(AND($A379&gt;=OP!$C$79,$A379&lt;=OP!$C$80),OP!$C$78,)))</f>
        <v>0</v>
      </c>
      <c r="AT379" s="298">
        <f t="shared" ca="1" si="210"/>
        <v>0</v>
      </c>
      <c r="AU379" s="298">
        <f ca="1">IF(AND(A379&lt;=OP!$C$120,COUNTIF(PAY,C379)=1),OP!$C$123,0)</f>
        <v>0</v>
      </c>
      <c r="AV379" s="298">
        <f ca="1">IF(AND(A379&gt;=OP!$C$132,A379&lt;=OP!$C$133,$C$3=C379),OP!$C$135,0)</f>
        <v>0</v>
      </c>
      <c r="AW379" s="180">
        <f t="shared" ca="1" si="211"/>
        <v>0.05</v>
      </c>
      <c r="AX379" s="180">
        <f t="shared" ca="1" si="212"/>
        <v>0.05</v>
      </c>
      <c r="AY379" s="286">
        <f t="shared" ca="1" si="213"/>
        <v>0</v>
      </c>
      <c r="AZ379" s="286">
        <f t="shared" ca="1" si="214"/>
        <v>0</v>
      </c>
      <c r="BA379" s="286">
        <f t="shared" ca="1" si="215"/>
        <v>0</v>
      </c>
      <c r="BB379" s="286">
        <f t="shared" ca="1" si="216"/>
        <v>0</v>
      </c>
      <c r="BC379" s="286">
        <f t="shared" ca="1" si="217"/>
        <v>0</v>
      </c>
      <c r="BD379" s="180">
        <f t="shared" ca="1" si="218"/>
        <v>0.05</v>
      </c>
      <c r="BE379" s="180">
        <f t="shared" ca="1" si="219"/>
        <v>0.05</v>
      </c>
      <c r="BF379" s="286">
        <f t="shared" ca="1" si="220"/>
        <v>0</v>
      </c>
      <c r="BG379" s="286">
        <f t="shared" ca="1" si="221"/>
        <v>0</v>
      </c>
    </row>
    <row r="380" spans="1:59">
      <c r="A380" s="1">
        <f t="shared" ca="1" si="201"/>
        <v>32</v>
      </c>
      <c r="B380" s="1">
        <f t="shared" ref="B380:B443" ca="1" si="230">IF(C380=1,B379+1,B379)</f>
        <v>137</v>
      </c>
      <c r="C380" s="1">
        <f t="shared" ref="C380:C443" ca="1" si="231">IF(C379=12,1,C379+1)</f>
        <v>10</v>
      </c>
      <c r="D380" s="1">
        <f ca="1">MIN($D$3,VLOOKUP(C380,OP!$S$30:$T$41,2))</f>
        <v>2</v>
      </c>
      <c r="E380" s="1">
        <f t="shared" ref="E380:E443" ca="1" si="232">IF($K$1+A380-1&gt;$D$1,"",$K$1+A380-1)</f>
        <v>86</v>
      </c>
      <c r="F380" s="11" t="str">
        <f t="shared" ca="1" si="202"/>
        <v/>
      </c>
      <c r="G380" s="8">
        <f t="shared" ca="1" si="229"/>
        <v>365</v>
      </c>
      <c r="H380" s="8">
        <f t="shared" ca="1" si="203"/>
        <v>31</v>
      </c>
      <c r="I380" s="8" t="str">
        <f t="shared" ca="1" si="200"/>
        <v>3210</v>
      </c>
      <c r="J380" s="13">
        <f>IF(繳費報酬率資料!$A$1=1,VALUE(OP!$C$121),VLOOKUP(A380,MP,2,0))</f>
        <v>0.05</v>
      </c>
      <c r="K380" s="14">
        <f ca="1">IF(SUM($K$4:K379,IF(繳費報酬率資料!$A$1=1,$AU380+$AV380,$BB380+$BC380))&gt;OP!$L$58,0,IF(繳費報酬率資料!$A$1=1,$AU380+$AV380,$BB380+$BC380))</f>
        <v>0</v>
      </c>
      <c r="L380" s="2"/>
      <c r="M380" s="2"/>
      <c r="N380" s="2"/>
      <c r="O380" s="261">
        <f t="shared" ca="1" si="204"/>
        <v>0</v>
      </c>
      <c r="P380" s="261">
        <f t="shared" ca="1" si="222"/>
        <v>0</v>
      </c>
      <c r="Q380" s="3">
        <f ca="1">IF(A380&gt;MAX(OP!$R$17:$R$26),0,VLOOKUP(A380,fees,3,FALSE))</f>
        <v>0</v>
      </c>
      <c r="R380" s="200" t="str">
        <f t="shared" ca="1" si="205"/>
        <v/>
      </c>
      <c r="S380" s="9" t="str">
        <f ca="1">IF(COUNTIF(($T$4:T379),"F")&gt;=1,"",IF(OR(C381&lt;&gt;$C$3,E380=""),"",A380))</f>
        <v/>
      </c>
      <c r="T380" s="20" t="str">
        <f t="shared" ref="T380:T443" ca="1" si="233">IF(F380&lt;&gt;"","F","")</f>
        <v/>
      </c>
      <c r="U380" s="2">
        <f ca="1">IF(IF(OP!$C$83=1,$Z379,IF(OP!$C$83=2,$AA379,IF(OP!$C$83=3,$AB379,)))+$K380-$O380-$P380-$AS380&lt;OP!$C$142,0,$AS380)</f>
        <v>0</v>
      </c>
      <c r="V380" s="9"/>
      <c r="W380" s="19">
        <f ca="1">MAX(SUM($K$4:K380),0)</f>
        <v>2000000</v>
      </c>
      <c r="X380" s="19"/>
      <c r="Y380" s="19">
        <f t="shared" ca="1" si="223"/>
        <v>1920000</v>
      </c>
      <c r="Z380" s="2">
        <f ca="1">IF(MIN($Z$4:Z379)=0,0,MAX(0,($Z379+$K380-$O380-$P380)*IF(AND(F380="F",$D$3&lt;&gt;$G$3),((1+(-J380))^(H380/MIN(G380,365))),((1+(-J380))^(1/12)))-$U380))</f>
        <v>383222.64277524734</v>
      </c>
      <c r="AA380" s="2">
        <f ca="1">IF(MIN($AA$4:AA379)=0,0,MAX(0,($AA379+$K380-$O380-$P380)*IF(AND(F380="F",$D$3&lt;&gt;$G$3),((1+$AA$1)^(H380/MIN(G380,365))),((1+$AA$1)^(1/12)))-$U380))</f>
        <v>1920000</v>
      </c>
      <c r="AB380" s="2">
        <f ca="1">IF(MIN($AB$4:AB379)=0,0,MAX(0,($AB379+$K380-$O380-$P380)*IF(AND(F380="F",$D$3&lt;&gt;$G$3),((1+(J380))^(H380/MIN(G380,365))),((1+(J380))^(1/12)))-$U380))</f>
        <v>8891977.8968340438</v>
      </c>
      <c r="AC380" s="5"/>
      <c r="AD380" s="5"/>
      <c r="AE380" s="5"/>
      <c r="AF380" s="282">
        <f t="shared" ca="1" si="206"/>
        <v>383223</v>
      </c>
      <c r="AG380" s="282">
        <f t="shared" ca="1" si="207"/>
        <v>1920000</v>
      </c>
      <c r="AH380" s="282">
        <f t="shared" ca="1" si="208"/>
        <v>8891978</v>
      </c>
      <c r="AI380" s="23" t="str">
        <f t="shared" ca="1" si="225"/>
        <v>32-6</v>
      </c>
      <c r="AJ380" s="282">
        <f ca="1">IF(E380&gt;111,,IF(AND(OP!$C$99=1,T380="F"),Z380,IF(AND(OP!$C$99=2,COUNTIF($T$4:T380,"F")=1),OP!$C$97+IF(F380="F",OP!$C$98,0),"")))</f>
        <v>54527</v>
      </c>
      <c r="AK380" s="282">
        <f ca="1">IF(E380&gt;111,,IF(AND(OP!$D$99=1,T380="F"),AA380,IF(AND(OP!$D$99=2,COUNTIF($T$4:T380,"F")=1),OP!$D$97+IF(F380="F",OP!$D$98,0),"")))</f>
        <v>74177</v>
      </c>
      <c r="AL380" s="282">
        <f ca="1">IF(E380&gt;111,,IF(AND(OP!$E$99=1,T380="F"),AB380,IF(AND(OP!$E$99=2,COUNTIF($T$4:T380,"F")=1),OP!$E$97+IF(F380="F",OP!$E$98,0),"")))</f>
        <v>99404</v>
      </c>
      <c r="AM380" s="1">
        <f t="shared" ref="AM380:AM443" ca="1" si="234">IF(AND(AK380&lt;&gt;"",AM379=""),1,IF(AND(AK380&lt;&gt;"",AM379&gt;0),IF(AM379=12,1,AM379+1),""))</f>
        <v>6</v>
      </c>
      <c r="AN380" s="1" t="e">
        <f ca="1">IF(OR(VLOOKUP($A380,MP,5,0)="月繳"),1,"")</f>
        <v>#N/A</v>
      </c>
      <c r="AO380" s="1">
        <f t="shared" ca="1" si="209"/>
        <v>0</v>
      </c>
      <c r="AP380" s="1" t="str">
        <f ca="1">IF(AND(A380&lt;=OP!$C$120,COUNTIF(PAY,C380)=1),1,"")</f>
        <v/>
      </c>
      <c r="AR380" s="301">
        <f ca="1">IF(繳費報酬率資料!$A$1=1,$AY380+$AZ380,$BF380+$BG380)</f>
        <v>0</v>
      </c>
      <c r="AS380" s="1">
        <f ca="1">IF(C380&lt;&gt;IF($C$3=1,12,$C$3-1),0,IF(繳費報酬率資料!$A$1&lt;&gt;1,VLOOKUP($A380,MP,8,0),IF(AND($A380&gt;=OP!$C$79,$A380&lt;=OP!$C$80),OP!$C$78,)))</f>
        <v>0</v>
      </c>
      <c r="AT380" s="298">
        <f t="shared" ca="1" si="210"/>
        <v>0</v>
      </c>
      <c r="AU380" s="298">
        <f ca="1">IF(AND(A380&lt;=OP!$C$120,COUNTIF(PAY,C380)=1),OP!$C$123,0)</f>
        <v>0</v>
      </c>
      <c r="AV380" s="298">
        <f ca="1">IF(AND(A380&gt;=OP!$C$132,A380&lt;=OP!$C$133,$C$3=C380),OP!$C$135,0)</f>
        <v>0</v>
      </c>
      <c r="AW380" s="180">
        <f t="shared" ca="1" si="211"/>
        <v>0.05</v>
      </c>
      <c r="AX380" s="180">
        <f t="shared" ca="1" si="212"/>
        <v>0.05</v>
      </c>
      <c r="AY380" s="286">
        <f t="shared" ca="1" si="213"/>
        <v>0</v>
      </c>
      <c r="AZ380" s="286">
        <f t="shared" ca="1" si="214"/>
        <v>0</v>
      </c>
      <c r="BA380" s="286">
        <f t="shared" ca="1" si="215"/>
        <v>0</v>
      </c>
      <c r="BB380" s="286">
        <f t="shared" ca="1" si="216"/>
        <v>0</v>
      </c>
      <c r="BC380" s="286">
        <f t="shared" ca="1" si="217"/>
        <v>0</v>
      </c>
      <c r="BD380" s="180">
        <f t="shared" ca="1" si="218"/>
        <v>0.05</v>
      </c>
      <c r="BE380" s="180">
        <f t="shared" ca="1" si="219"/>
        <v>0.05</v>
      </c>
      <c r="BF380" s="286">
        <f t="shared" ca="1" si="220"/>
        <v>0</v>
      </c>
      <c r="BG380" s="286">
        <f t="shared" ca="1" si="221"/>
        <v>0</v>
      </c>
    </row>
    <row r="381" spans="1:59">
      <c r="A381" s="1">
        <f t="shared" ca="1" si="201"/>
        <v>32</v>
      </c>
      <c r="B381" s="1">
        <f t="shared" ca="1" si="230"/>
        <v>137</v>
      </c>
      <c r="C381" s="1">
        <f t="shared" ca="1" si="231"/>
        <v>11</v>
      </c>
      <c r="D381" s="1">
        <f ca="1">MIN($D$3,VLOOKUP(C381,OP!$S$30:$T$41,2))</f>
        <v>2</v>
      </c>
      <c r="E381" s="1">
        <f t="shared" ca="1" si="232"/>
        <v>86</v>
      </c>
      <c r="F381" s="11" t="str">
        <f t="shared" ca="1" si="202"/>
        <v/>
      </c>
      <c r="G381" s="8">
        <f t="shared" ca="1" si="229"/>
        <v>365</v>
      </c>
      <c r="H381" s="8">
        <f t="shared" ca="1" si="203"/>
        <v>30</v>
      </c>
      <c r="I381" s="8" t="str">
        <f t="shared" ca="1" si="200"/>
        <v>3211</v>
      </c>
      <c r="J381" s="13">
        <f>IF(繳費報酬率資料!$A$1=1,VALUE(OP!$C$121),VLOOKUP(A381,MP,2,0))</f>
        <v>0.05</v>
      </c>
      <c r="K381" s="14">
        <f ca="1">IF(SUM($K$4:K380,IF(繳費報酬率資料!$A$1=1,$AU381+$AV381,$BB381+$BC381))&gt;OP!$L$58,0,IF(繳費報酬率資料!$A$1=1,$AU381+$AV381,$BB381+$BC381))</f>
        <v>0</v>
      </c>
      <c r="L381" s="2"/>
      <c r="M381" s="2"/>
      <c r="N381" s="2"/>
      <c r="O381" s="261">
        <f t="shared" ca="1" si="204"/>
        <v>0</v>
      </c>
      <c r="P381" s="261">
        <f t="shared" ca="1" si="222"/>
        <v>0</v>
      </c>
      <c r="Q381" s="3">
        <f ca="1">IF(A381&gt;MAX(OP!$R$17:$R$26),0,VLOOKUP(A381,fees,3,FALSE))</f>
        <v>0</v>
      </c>
      <c r="R381" s="200" t="str">
        <f t="shared" ca="1" si="205"/>
        <v/>
      </c>
      <c r="S381" s="9" t="str">
        <f ca="1">IF(COUNTIF(($T$4:T380),"F")&gt;=1,"",IF(OR(C382&lt;&gt;$C$3,E381=""),"",A381))</f>
        <v/>
      </c>
      <c r="T381" s="20" t="str">
        <f t="shared" ca="1" si="233"/>
        <v/>
      </c>
      <c r="U381" s="2">
        <f ca="1">IF(IF(OP!$C$83=1,$Z380,IF(OP!$C$83=2,$AA380,IF(OP!$C$83=3,$AB380,)))+$K381-$O381-$P381-$AS381&lt;OP!$C$142,0,$AS381)</f>
        <v>0</v>
      </c>
      <c r="V381" s="9"/>
      <c r="W381" s="19">
        <f ca="1">MAX(SUM($K$4:K381),0)</f>
        <v>2000000</v>
      </c>
      <c r="X381" s="19"/>
      <c r="Y381" s="19">
        <f t="shared" ca="1" si="223"/>
        <v>1920000</v>
      </c>
      <c r="Z381" s="2">
        <f ca="1">IF(MIN($Z$4:Z380)=0,0,MAX(0,($Z380+$K381-$O381-$P381)*IF(AND(F381="F",$D$3&lt;&gt;$G$3),((1+(-J381))^(H381/MIN(G381,365))),((1+(-J381))^(1/12)))-$U381))</f>
        <v>381588.07604103169</v>
      </c>
      <c r="AA381" s="2">
        <f ca="1">IF(MIN($AA$4:AA380)=0,0,MAX(0,($AA380+$K381-$O381-$P381)*IF(AND(F381="F",$D$3&lt;&gt;$G$3),((1+$AA$1)^(H381/MIN(G381,365))),((1+$AA$1)^(1/12)))-$U381))</f>
        <v>1920000</v>
      </c>
      <c r="AB381" s="2">
        <f ca="1">IF(MIN($AB$4:AB380)=0,0,MAX(0,($AB380+$K381-$O381-$P381)*IF(AND(F381="F",$D$3&lt;&gt;$G$3),((1+(J381))^(H381/MIN(G381,365))),((1+(J381))^(1/12)))-$U381))</f>
        <v>8928204.9154672101</v>
      </c>
      <c r="AC381" s="5"/>
      <c r="AD381" s="5"/>
      <c r="AE381" s="5"/>
      <c r="AF381" s="282">
        <f t="shared" ca="1" si="206"/>
        <v>381588</v>
      </c>
      <c r="AG381" s="282">
        <f t="shared" ca="1" si="207"/>
        <v>1920000</v>
      </c>
      <c r="AH381" s="282">
        <f t="shared" ca="1" si="208"/>
        <v>8928205</v>
      </c>
      <c r="AI381" s="23" t="str">
        <f t="shared" ca="1" si="225"/>
        <v>32-7</v>
      </c>
      <c r="AJ381" s="282">
        <f ca="1">IF(E381&gt;111,,IF(AND(OP!$C$99=1,T381="F"),Z381,IF(AND(OP!$C$99=2,COUNTIF($T$4:T381,"F")=1),OP!$C$97+IF(F381="F",OP!$C$98,0),"")))</f>
        <v>54527</v>
      </c>
      <c r="AK381" s="282">
        <f ca="1">IF(E381&gt;111,,IF(AND(OP!$D$99=1,T381="F"),AA381,IF(AND(OP!$D$99=2,COUNTIF($T$4:T381,"F")=1),OP!$D$97+IF(F381="F",OP!$D$98,0),"")))</f>
        <v>74177</v>
      </c>
      <c r="AL381" s="282">
        <f ca="1">IF(E381&gt;111,,IF(AND(OP!$E$99=1,T381="F"),AB381,IF(AND(OP!$E$99=2,COUNTIF($T$4:T381,"F")=1),OP!$E$97+IF(F381="F",OP!$E$98,0),"")))</f>
        <v>99404</v>
      </c>
      <c r="AM381" s="1">
        <f t="shared" ca="1" si="234"/>
        <v>7</v>
      </c>
      <c r="AN381" s="1" t="e">
        <f ca="1">IF(OR(VLOOKUP($A381,MP,5,0)="月繳"),1,"")</f>
        <v>#N/A</v>
      </c>
      <c r="AO381" s="1">
        <f t="shared" ca="1" si="209"/>
        <v>0</v>
      </c>
      <c r="AP381" s="1" t="str">
        <f ca="1">IF(AND(A381&lt;=OP!$C$120,COUNTIF(PAY,C381)=1),1,"")</f>
        <v/>
      </c>
      <c r="AR381" s="301">
        <f ca="1">IF(繳費報酬率資料!$A$1=1,$AY381+$AZ381,$BF381+$BG381)</f>
        <v>0</v>
      </c>
      <c r="AS381" s="1">
        <f ca="1">IF(C381&lt;&gt;IF($C$3=1,12,$C$3-1),0,IF(繳費報酬率資料!$A$1&lt;&gt;1,VLOOKUP($A381,MP,8,0),IF(AND($A381&gt;=OP!$C$79,$A381&lt;=OP!$C$80),OP!$C$78,)))</f>
        <v>0</v>
      </c>
      <c r="AT381" s="298">
        <f t="shared" ca="1" si="210"/>
        <v>0</v>
      </c>
      <c r="AU381" s="298">
        <f ca="1">IF(AND(A381&lt;=OP!$C$120,COUNTIF(PAY,C381)=1),OP!$C$123,0)</f>
        <v>0</v>
      </c>
      <c r="AV381" s="298">
        <f ca="1">IF(AND(A381&gt;=OP!$C$132,A381&lt;=OP!$C$133,$C$3=C381),OP!$C$135,0)</f>
        <v>0</v>
      </c>
      <c r="AW381" s="180">
        <f t="shared" ca="1" si="211"/>
        <v>0.05</v>
      </c>
      <c r="AX381" s="180">
        <f t="shared" ca="1" si="212"/>
        <v>0.05</v>
      </c>
      <c r="AY381" s="286">
        <f t="shared" ca="1" si="213"/>
        <v>0</v>
      </c>
      <c r="AZ381" s="286">
        <f t="shared" ca="1" si="214"/>
        <v>0</v>
      </c>
      <c r="BA381" s="286">
        <f t="shared" ca="1" si="215"/>
        <v>0</v>
      </c>
      <c r="BB381" s="286">
        <f t="shared" ca="1" si="216"/>
        <v>0</v>
      </c>
      <c r="BC381" s="286">
        <f t="shared" ca="1" si="217"/>
        <v>0</v>
      </c>
      <c r="BD381" s="180">
        <f t="shared" ca="1" si="218"/>
        <v>0.05</v>
      </c>
      <c r="BE381" s="180">
        <f t="shared" ca="1" si="219"/>
        <v>0.05</v>
      </c>
      <c r="BF381" s="286">
        <f t="shared" ca="1" si="220"/>
        <v>0</v>
      </c>
      <c r="BG381" s="286">
        <f t="shared" ca="1" si="221"/>
        <v>0</v>
      </c>
    </row>
    <row r="382" spans="1:59">
      <c r="A382" s="1">
        <f t="shared" ca="1" si="201"/>
        <v>32</v>
      </c>
      <c r="B382" s="1">
        <f t="shared" ca="1" si="230"/>
        <v>137</v>
      </c>
      <c r="C382" s="1">
        <f t="shared" ca="1" si="231"/>
        <v>12</v>
      </c>
      <c r="D382" s="1">
        <f ca="1">MIN($D$3,VLOOKUP(C382,OP!$S$30:$T$41,2))</f>
        <v>2</v>
      </c>
      <c r="E382" s="1">
        <f t="shared" ca="1" si="232"/>
        <v>86</v>
      </c>
      <c r="F382" s="11" t="str">
        <f t="shared" ca="1" si="202"/>
        <v/>
      </c>
      <c r="G382" s="8">
        <f t="shared" ca="1" si="229"/>
        <v>365</v>
      </c>
      <c r="H382" s="8">
        <f t="shared" ca="1" si="203"/>
        <v>31</v>
      </c>
      <c r="I382" s="8" t="str">
        <f t="shared" ca="1" si="200"/>
        <v>3212</v>
      </c>
      <c r="J382" s="13">
        <f>IF(繳費報酬率資料!$A$1=1,VALUE(OP!$C$121),VLOOKUP(A382,MP,2,0))</f>
        <v>0.05</v>
      </c>
      <c r="K382" s="14">
        <f ca="1">IF(SUM($K$4:K381,IF(繳費報酬率資料!$A$1=1,$AU382+$AV382,$BB382+$BC382))&gt;OP!$L$58,0,IF(繳費報酬率資料!$A$1=1,$AU382+$AV382,$BB382+$BC382))</f>
        <v>0</v>
      </c>
      <c r="L382" s="2"/>
      <c r="M382" s="2"/>
      <c r="N382" s="2"/>
      <c r="O382" s="261">
        <f t="shared" ca="1" si="204"/>
        <v>0</v>
      </c>
      <c r="P382" s="261">
        <f t="shared" ca="1" si="222"/>
        <v>0</v>
      </c>
      <c r="Q382" s="3">
        <f ca="1">IF(A382&gt;MAX(OP!$R$17:$R$26),0,VLOOKUP(A382,fees,3,FALSE))</f>
        <v>0</v>
      </c>
      <c r="R382" s="200" t="str">
        <f t="shared" ca="1" si="205"/>
        <v/>
      </c>
      <c r="S382" s="9" t="str">
        <f ca="1">IF(COUNTIF(($T$4:T381),"F")&gt;=1,"",IF(OR(C383&lt;&gt;$C$3,E382=""),"",A382))</f>
        <v/>
      </c>
      <c r="T382" s="20" t="str">
        <f t="shared" ca="1" si="233"/>
        <v/>
      </c>
      <c r="U382" s="2">
        <f ca="1">IF(IF(OP!$C$83=1,$Z381,IF(OP!$C$83=2,$AA381,IF(OP!$C$83=3,$AB381,)))+$K382-$O382-$P382-$AS382&lt;OP!$C$142,0,$AS382)</f>
        <v>0</v>
      </c>
      <c r="V382" s="9"/>
      <c r="W382" s="19">
        <f ca="1">MAX(SUM($K$4:K382),0)</f>
        <v>2000000</v>
      </c>
      <c r="X382" s="19"/>
      <c r="Y382" s="19">
        <f t="shared" ca="1" si="223"/>
        <v>1920000</v>
      </c>
      <c r="Z382" s="2">
        <f ca="1">IF(MIN($Z$4:Z381)=0,0,MAX(0,($Z381+$K382-$O382-$P382)*IF(AND(F382="F",$D$3&lt;&gt;$G$3),((1+(-J382))^(H382/MIN(G382,365))),((1+(-J382))^(1/12)))-$U382))</f>
        <v>379960.48125500063</v>
      </c>
      <c r="AA382" s="2">
        <f ca="1">IF(MIN($AA$4:AA381)=0,0,MAX(0,($AA381+$K382-$O382-$P382)*IF(AND(F382="F",$D$3&lt;&gt;$G$3),((1+$AA$1)^(H382/MIN(G382,365))),((1+$AA$1)^(1/12)))-$U382))</f>
        <v>1920000</v>
      </c>
      <c r="AB382" s="2">
        <f ca="1">IF(MIN($AB$4:AB381)=0,0,MAX(0,($AB381+$K382-$O382-$P382)*IF(AND(F382="F",$D$3&lt;&gt;$G$3),((1+(J382))^(H382/MIN(G382,365))),((1+(J382))^(1/12)))-$U382))</f>
        <v>8964579.5274586007</v>
      </c>
      <c r="AC382" s="5"/>
      <c r="AD382" s="5"/>
      <c r="AE382" s="5"/>
      <c r="AF382" s="282">
        <f t="shared" ca="1" si="206"/>
        <v>379960</v>
      </c>
      <c r="AG382" s="282">
        <f t="shared" ca="1" si="207"/>
        <v>1920000</v>
      </c>
      <c r="AH382" s="282">
        <f t="shared" ca="1" si="208"/>
        <v>8964580</v>
      </c>
      <c r="AI382" s="23" t="str">
        <f t="shared" ca="1" si="225"/>
        <v>32-8</v>
      </c>
      <c r="AJ382" s="282">
        <f ca="1">IF(E382&gt;111,,IF(AND(OP!$C$99=1,T382="F"),Z382,IF(AND(OP!$C$99=2,COUNTIF($T$4:T382,"F")=1),OP!$C$97+IF(F382="F",OP!$C$98,0),"")))</f>
        <v>54527</v>
      </c>
      <c r="AK382" s="282">
        <f ca="1">IF(E382&gt;111,,IF(AND(OP!$D$99=1,T382="F"),AA382,IF(AND(OP!$D$99=2,COUNTIF($T$4:T382,"F")=1),OP!$D$97+IF(F382="F",OP!$D$98,0),"")))</f>
        <v>74177</v>
      </c>
      <c r="AL382" s="282">
        <f ca="1">IF(E382&gt;111,,IF(AND(OP!$E$99=1,T382="F"),AB382,IF(AND(OP!$E$99=2,COUNTIF($T$4:T382,"F")=1),OP!$E$97+IF(F382="F",OP!$E$98,0),"")))</f>
        <v>99404</v>
      </c>
      <c r="AM382" s="1">
        <f t="shared" ca="1" si="234"/>
        <v>8</v>
      </c>
      <c r="AN382" s="1" t="e">
        <f ca="1">IF(OR(VLOOKUP($A382,MP,5,0)="半年繳",VLOOKUP($A382,MP,5,0)="季繳",VLOOKUP($A382,MP,5,0)="月繳"),1,"")</f>
        <v>#N/A</v>
      </c>
      <c r="AO382" s="1">
        <f t="shared" ca="1" si="209"/>
        <v>0</v>
      </c>
      <c r="AP382" s="1" t="str">
        <f ca="1">IF(AND(A382&lt;=OP!$C$120,COUNTIF(PAY,C382)=1),1,"")</f>
        <v/>
      </c>
      <c r="AR382" s="301">
        <f ca="1">IF(繳費報酬率資料!$A$1=1,$AY382+$AZ382,$BF382+$BG382)</f>
        <v>0</v>
      </c>
      <c r="AS382" s="1">
        <f ca="1">IF(C382&lt;&gt;IF($C$3=1,12,$C$3-1),0,IF(繳費報酬率資料!$A$1&lt;&gt;1,VLOOKUP($A382,MP,8,0),IF(AND($A382&gt;=OP!$C$79,$A382&lt;=OP!$C$80),OP!$C$78,)))</f>
        <v>0</v>
      </c>
      <c r="AT382" s="298">
        <f t="shared" ca="1" si="210"/>
        <v>0</v>
      </c>
      <c r="AU382" s="298">
        <f ca="1">IF(AND(A382&lt;=OP!$C$120,COUNTIF(PAY,C382)=1),OP!$C$123,0)</f>
        <v>0</v>
      </c>
      <c r="AV382" s="298">
        <f ca="1">IF(AND(A382&gt;=OP!$C$132,A382&lt;=OP!$C$133,$C$3=C382),OP!$C$135,0)</f>
        <v>0</v>
      </c>
      <c r="AW382" s="180">
        <f t="shared" ca="1" si="211"/>
        <v>0.05</v>
      </c>
      <c r="AX382" s="180">
        <f t="shared" ca="1" si="212"/>
        <v>0.05</v>
      </c>
      <c r="AY382" s="286">
        <f t="shared" ca="1" si="213"/>
        <v>0</v>
      </c>
      <c r="AZ382" s="286">
        <f t="shared" ca="1" si="214"/>
        <v>0</v>
      </c>
      <c r="BA382" s="286">
        <f t="shared" ca="1" si="215"/>
        <v>0</v>
      </c>
      <c r="BB382" s="286">
        <f t="shared" ca="1" si="216"/>
        <v>0</v>
      </c>
      <c r="BC382" s="286">
        <f t="shared" ca="1" si="217"/>
        <v>0</v>
      </c>
      <c r="BD382" s="180">
        <f t="shared" ca="1" si="218"/>
        <v>0.05</v>
      </c>
      <c r="BE382" s="180">
        <f t="shared" ca="1" si="219"/>
        <v>0.05</v>
      </c>
      <c r="BF382" s="286">
        <f t="shared" ca="1" si="220"/>
        <v>0</v>
      </c>
      <c r="BG382" s="286">
        <f t="shared" ca="1" si="221"/>
        <v>0</v>
      </c>
    </row>
    <row r="383" spans="1:59">
      <c r="A383" s="1">
        <f t="shared" ca="1" si="201"/>
        <v>32</v>
      </c>
      <c r="B383" s="1">
        <f t="shared" ca="1" si="230"/>
        <v>138</v>
      </c>
      <c r="C383" s="1">
        <f t="shared" ca="1" si="231"/>
        <v>1</v>
      </c>
      <c r="D383" s="1">
        <f ca="1">MIN($D$3,VLOOKUP(C383,OP!$S$30:$T$41,2))</f>
        <v>2</v>
      </c>
      <c r="E383" s="1">
        <f t="shared" ca="1" si="232"/>
        <v>86</v>
      </c>
      <c r="F383" s="11" t="str">
        <f t="shared" ca="1" si="202"/>
        <v/>
      </c>
      <c r="G383" s="8">
        <f t="shared" ca="1" si="229"/>
        <v>365</v>
      </c>
      <c r="H383" s="8">
        <f t="shared" ca="1" si="203"/>
        <v>31</v>
      </c>
      <c r="I383" s="8" t="str">
        <f t="shared" ca="1" si="200"/>
        <v>321</v>
      </c>
      <c r="J383" s="13">
        <f>IF(繳費報酬率資料!$A$1=1,VALUE(OP!$C$121),VLOOKUP(A383,MP,2,0))</f>
        <v>0.05</v>
      </c>
      <c r="K383" s="14">
        <f ca="1">IF(SUM($K$4:K382,IF(繳費報酬率資料!$A$1=1,$AU383+$AV383,$BB383+$BC383))&gt;OP!$L$58,0,IF(繳費報酬率資料!$A$1=1,$AU383+$AV383,$BB383+$BC383))</f>
        <v>0</v>
      </c>
      <c r="L383" s="2"/>
      <c r="M383" s="2"/>
      <c r="N383" s="2"/>
      <c r="O383" s="261">
        <f t="shared" ca="1" si="204"/>
        <v>0</v>
      </c>
      <c r="P383" s="261">
        <f t="shared" ca="1" si="222"/>
        <v>0</v>
      </c>
      <c r="Q383" s="3">
        <f ca="1">IF(A383&gt;MAX(OP!$R$17:$R$26),0,VLOOKUP(A383,fees,3,FALSE))</f>
        <v>0</v>
      </c>
      <c r="R383" s="200" t="str">
        <f t="shared" ca="1" si="205"/>
        <v/>
      </c>
      <c r="S383" s="9" t="str">
        <f ca="1">IF(COUNTIF(($T$4:T382),"F")&gt;=1,"",IF(OR(C384&lt;&gt;$C$3,E383=""),"",A383))</f>
        <v/>
      </c>
      <c r="T383" s="20" t="str">
        <f t="shared" ca="1" si="233"/>
        <v/>
      </c>
      <c r="U383" s="2">
        <f ca="1">IF(IF(OP!$C$83=1,$Z382,IF(OP!$C$83=2,$AA382,IF(OP!$C$83=3,$AB382,)))+$K383-$O383-$P383-$AS383&lt;OP!$C$142,0,$AS383)</f>
        <v>0</v>
      </c>
      <c r="V383" s="9"/>
      <c r="W383" s="19">
        <f ca="1">MAX(SUM($K$4:K383),0)</f>
        <v>2000000</v>
      </c>
      <c r="X383" s="19"/>
      <c r="Y383" s="19">
        <f t="shared" ca="1" si="223"/>
        <v>1920000</v>
      </c>
      <c r="Z383" s="2">
        <f ca="1">IF(MIN($Z$4:Z382)=0,0,MAX(0,($Z382+$K383-$O383-$P383)*IF(AND(F383="F",$D$3&lt;&gt;$G$3),((1+(-J383))^(H383/MIN(G383,365))),((1+(-J383))^(1/12)))-$U383))</f>
        <v>378339.82867957267</v>
      </c>
      <c r="AA383" s="2">
        <f ca="1">IF(MIN($AA$4:AA382)=0,0,MAX(0,($AA382+$K383-$O383-$P383)*IF(AND(F383="F",$D$3&lt;&gt;$G$3),((1+$AA$1)^(H383/MIN(G383,365))),((1+$AA$1)^(1/12)))-$U383))</f>
        <v>1920000</v>
      </c>
      <c r="AB383" s="2">
        <f ca="1">IF(MIN($AB$4:AB382)=0,0,MAX(0,($AB382+$K383-$O383-$P383)*IF(AND(F383="F",$D$3&lt;&gt;$G$3),((1+(J383))^(H383/MIN(G383,365))),((1+(J383))^(1/12)))-$U383))</f>
        <v>9001102.334121827</v>
      </c>
      <c r="AC383" s="5"/>
      <c r="AD383" s="5"/>
      <c r="AE383" s="5"/>
      <c r="AF383" s="282">
        <f t="shared" ca="1" si="206"/>
        <v>378340</v>
      </c>
      <c r="AG383" s="282">
        <f t="shared" ca="1" si="207"/>
        <v>1920000</v>
      </c>
      <c r="AH383" s="282">
        <f t="shared" ca="1" si="208"/>
        <v>9001102</v>
      </c>
      <c r="AI383" s="23" t="str">
        <f t="shared" ca="1" si="225"/>
        <v>32-9</v>
      </c>
      <c r="AJ383" s="282">
        <f ca="1">IF(E383&gt;111,,IF(AND(OP!$C$99=1,T383="F"),Z383,IF(AND(OP!$C$99=2,COUNTIF($T$4:T383,"F")=1),OP!$C$97+IF(F383="F",OP!$C$98,0),"")))</f>
        <v>54527</v>
      </c>
      <c r="AK383" s="282">
        <f ca="1">IF(E383&gt;111,,IF(AND(OP!$D$99=1,T383="F"),AA383,IF(AND(OP!$D$99=2,COUNTIF($T$4:T383,"F")=1),OP!$D$97+IF(F383="F",OP!$D$98,0),"")))</f>
        <v>74177</v>
      </c>
      <c r="AL383" s="282">
        <f ca="1">IF(E383&gt;111,,IF(AND(OP!$E$99=1,T383="F"),AB383,IF(AND(OP!$E$99=2,COUNTIF($T$4:T383,"F")=1),OP!$E$97+IF(F383="F",OP!$E$98,0),"")))</f>
        <v>99404</v>
      </c>
      <c r="AM383" s="1">
        <f t="shared" ca="1" si="234"/>
        <v>9</v>
      </c>
      <c r="AN383" s="1" t="e">
        <f ca="1">IF(OR(VLOOKUP($A383,MP,5,0)="月繳"),1,"")</f>
        <v>#N/A</v>
      </c>
      <c r="AO383" s="1">
        <f t="shared" ca="1" si="209"/>
        <v>0</v>
      </c>
      <c r="AP383" s="1" t="str">
        <f ca="1">IF(AND(A383&lt;=OP!$C$120,COUNTIF(PAY,C383)=1),1,"")</f>
        <v/>
      </c>
      <c r="AR383" s="301">
        <f ca="1">IF(繳費報酬率資料!$A$1=1,$AY383+$AZ383,$BF383+$BG383)</f>
        <v>0</v>
      </c>
      <c r="AS383" s="1">
        <f ca="1">IF(C383&lt;&gt;IF($C$3=1,12,$C$3-1),0,IF(繳費報酬率資料!$A$1&lt;&gt;1,VLOOKUP($A383,MP,8,0),IF(AND($A383&gt;=OP!$C$79,$A383&lt;=OP!$C$80),OP!$C$78,)))</f>
        <v>0</v>
      </c>
      <c r="AT383" s="298">
        <f t="shared" ca="1" si="210"/>
        <v>0</v>
      </c>
      <c r="AU383" s="298">
        <f ca="1">IF(AND(A383&lt;=OP!$C$120,COUNTIF(PAY,C383)=1),OP!$C$123,0)</f>
        <v>0</v>
      </c>
      <c r="AV383" s="298">
        <f ca="1">IF(AND(A383&gt;=OP!$C$132,A383&lt;=OP!$C$133,$C$3=C383),OP!$C$135,0)</f>
        <v>0</v>
      </c>
      <c r="AW383" s="180">
        <f t="shared" ca="1" si="211"/>
        <v>0.05</v>
      </c>
      <c r="AX383" s="180">
        <f t="shared" ca="1" si="212"/>
        <v>0.05</v>
      </c>
      <c r="AY383" s="286">
        <f t="shared" ca="1" si="213"/>
        <v>0</v>
      </c>
      <c r="AZ383" s="286">
        <f t="shared" ca="1" si="214"/>
        <v>0</v>
      </c>
      <c r="BA383" s="286">
        <f t="shared" ca="1" si="215"/>
        <v>0</v>
      </c>
      <c r="BB383" s="286">
        <f t="shared" ca="1" si="216"/>
        <v>0</v>
      </c>
      <c r="BC383" s="286">
        <f t="shared" ca="1" si="217"/>
        <v>0</v>
      </c>
      <c r="BD383" s="180">
        <f t="shared" ca="1" si="218"/>
        <v>0.05</v>
      </c>
      <c r="BE383" s="180">
        <f t="shared" ca="1" si="219"/>
        <v>0.05</v>
      </c>
      <c r="BF383" s="286">
        <f t="shared" ca="1" si="220"/>
        <v>0</v>
      </c>
      <c r="BG383" s="286">
        <f t="shared" ca="1" si="221"/>
        <v>0</v>
      </c>
    </row>
    <row r="384" spans="1:59">
      <c r="A384" s="1">
        <f t="shared" ca="1" si="201"/>
        <v>32</v>
      </c>
      <c r="B384" s="1">
        <f t="shared" ca="1" si="230"/>
        <v>138</v>
      </c>
      <c r="C384" s="1">
        <f t="shared" ca="1" si="231"/>
        <v>2</v>
      </c>
      <c r="D384" s="1">
        <f ca="1">MIN($D$3,VLOOKUP(C384,OP!$S$30:$T$41,2))</f>
        <v>2</v>
      </c>
      <c r="E384" s="1">
        <f t="shared" ca="1" si="232"/>
        <v>86</v>
      </c>
      <c r="F384" s="11" t="str">
        <f t="shared" ca="1" si="202"/>
        <v/>
      </c>
      <c r="G384" s="8">
        <f t="shared" ca="1" si="229"/>
        <v>365</v>
      </c>
      <c r="H384" s="8">
        <f t="shared" ca="1" si="203"/>
        <v>28</v>
      </c>
      <c r="I384" s="8" t="str">
        <f t="shared" ca="1" si="200"/>
        <v>322</v>
      </c>
      <c r="J384" s="13">
        <f>IF(繳費報酬率資料!$A$1=1,VALUE(OP!$C$121),VLOOKUP(A384,MP,2,0))</f>
        <v>0.05</v>
      </c>
      <c r="K384" s="14">
        <f ca="1">IF(SUM($K$4:K383,IF(繳費報酬率資料!$A$1=1,$AU384+$AV384,$BB384+$BC384))&gt;OP!$L$58,0,IF(繳費報酬率資料!$A$1=1,$AU384+$AV384,$BB384+$BC384))</f>
        <v>0</v>
      </c>
      <c r="L384" s="2"/>
      <c r="M384" s="2"/>
      <c r="N384" s="2"/>
      <c r="O384" s="261">
        <f t="shared" ca="1" si="204"/>
        <v>0</v>
      </c>
      <c r="P384" s="261">
        <f t="shared" ca="1" si="222"/>
        <v>0</v>
      </c>
      <c r="Q384" s="3">
        <f ca="1">IF(A384&gt;MAX(OP!$R$17:$R$26),0,VLOOKUP(A384,fees,3,FALSE))</f>
        <v>0</v>
      </c>
      <c r="R384" s="200" t="str">
        <f t="shared" ca="1" si="205"/>
        <v/>
      </c>
      <c r="S384" s="9" t="str">
        <f ca="1">IF(COUNTIF(($T$4:T383),"F")&gt;=1,"",IF(OR(C385&lt;&gt;$C$3,E384=""),"",A384))</f>
        <v/>
      </c>
      <c r="T384" s="20" t="str">
        <f t="shared" ca="1" si="233"/>
        <v/>
      </c>
      <c r="U384" s="2">
        <f ca="1">IF(IF(OP!$C$83=1,$Z383,IF(OP!$C$83=2,$AA383,IF(OP!$C$83=3,$AB383,)))+$K384-$O384-$P384-$AS384&lt;OP!$C$142,0,$AS384)</f>
        <v>0</v>
      </c>
      <c r="V384" s="9"/>
      <c r="W384" s="19">
        <f ca="1">MAX(SUM($K$4:K384),0)</f>
        <v>2000000</v>
      </c>
      <c r="X384" s="19"/>
      <c r="Y384" s="19">
        <f t="shared" ca="1" si="223"/>
        <v>1920000</v>
      </c>
      <c r="Z384" s="2">
        <f ca="1">IF(MIN($Z$4:Z383)=0,0,MAX(0,($Z383+$K384-$O384-$P384)*IF(AND(F384="F",$D$3&lt;&gt;$G$3),((1+(-J384))^(H384/MIN(G384,365))),((1+(-J384))^(1/12)))-$U384))</f>
        <v>376726.08870400663</v>
      </c>
      <c r="AA384" s="2">
        <f ca="1">IF(MIN($AA$4:AA383)=0,0,MAX(0,($AA383+$K384-$O384-$P384)*IF(AND(F384="F",$D$3&lt;&gt;$G$3),((1+$AA$1)^(H384/MIN(G384,365))),((1+$AA$1)^(1/12)))-$U384))</f>
        <v>1920000</v>
      </c>
      <c r="AB384" s="2">
        <f ca="1">IF(MIN($AB$4:AB383)=0,0,MAX(0,($AB383+$K384-$O384-$P384)*IF(AND(F384="F",$D$3&lt;&gt;$G$3),((1+(J384))^(H384/MIN(G384,365))),((1+(J384))^(1/12)))-$U384))</f>
        <v>9037773.939220326</v>
      </c>
      <c r="AC384" s="5"/>
      <c r="AD384" s="5"/>
      <c r="AE384" s="5"/>
      <c r="AF384" s="282">
        <f t="shared" ca="1" si="206"/>
        <v>376726</v>
      </c>
      <c r="AG384" s="282">
        <f t="shared" ca="1" si="207"/>
        <v>1920000</v>
      </c>
      <c r="AH384" s="282">
        <f t="shared" ca="1" si="208"/>
        <v>9037774</v>
      </c>
      <c r="AI384" s="23" t="str">
        <f t="shared" ca="1" si="225"/>
        <v>32-10</v>
      </c>
      <c r="AJ384" s="282">
        <f ca="1">IF(E384&gt;111,,IF(AND(OP!$C$99=1,T384="F"),Z384,IF(AND(OP!$C$99=2,COUNTIF($T$4:T384,"F")=1),OP!$C$97+IF(F384="F",OP!$C$98,0),"")))</f>
        <v>54527</v>
      </c>
      <c r="AK384" s="282">
        <f ca="1">IF(E384&gt;111,,IF(AND(OP!$D$99=1,T384="F"),AA384,IF(AND(OP!$D$99=2,COUNTIF($T$4:T384,"F")=1),OP!$D$97+IF(F384="F",OP!$D$98,0),"")))</f>
        <v>74177</v>
      </c>
      <c r="AL384" s="282">
        <f ca="1">IF(E384&gt;111,,IF(AND(OP!$E$99=1,T384="F"),AB384,IF(AND(OP!$E$99=2,COUNTIF($T$4:T384,"F")=1),OP!$E$97+IF(F384="F",OP!$E$98,0),"")))</f>
        <v>99404</v>
      </c>
      <c r="AM384" s="1">
        <f t="shared" ca="1" si="234"/>
        <v>10</v>
      </c>
      <c r="AN384" s="1" t="e">
        <f ca="1">IF(OR(VLOOKUP($A384,MP,5,0)="月繳"),1,"")</f>
        <v>#N/A</v>
      </c>
      <c r="AO384" s="1">
        <f t="shared" ca="1" si="209"/>
        <v>0</v>
      </c>
      <c r="AP384" s="1" t="str">
        <f ca="1">IF(AND(A384&lt;=OP!$C$120,COUNTIF(PAY,C384)=1),1,"")</f>
        <v/>
      </c>
      <c r="AR384" s="301">
        <f ca="1">IF(繳費報酬率資料!$A$1=1,$AY384+$AZ384,$BF384+$BG384)</f>
        <v>0</v>
      </c>
      <c r="AS384" s="1">
        <f ca="1">IF(C384&lt;&gt;IF($C$3=1,12,$C$3-1),0,IF(繳費報酬率資料!$A$1&lt;&gt;1,VLOOKUP($A384,MP,8,0),IF(AND($A384&gt;=OP!$C$79,$A384&lt;=OP!$C$80),OP!$C$78,)))</f>
        <v>0</v>
      </c>
      <c r="AT384" s="298">
        <f t="shared" ca="1" si="210"/>
        <v>0</v>
      </c>
      <c r="AU384" s="298">
        <f ca="1">IF(AND(A384&lt;=OP!$C$120,COUNTIF(PAY,C384)=1),OP!$C$123,0)</f>
        <v>0</v>
      </c>
      <c r="AV384" s="298">
        <f ca="1">IF(AND(A384&gt;=OP!$C$132,A384&lt;=OP!$C$133,$C$3=C384),OP!$C$135,0)</f>
        <v>0</v>
      </c>
      <c r="AW384" s="180">
        <f t="shared" ca="1" si="211"/>
        <v>0.05</v>
      </c>
      <c r="AX384" s="180">
        <f t="shared" ca="1" si="212"/>
        <v>0.05</v>
      </c>
      <c r="AY384" s="286">
        <f t="shared" ca="1" si="213"/>
        <v>0</v>
      </c>
      <c r="AZ384" s="286">
        <f t="shared" ca="1" si="214"/>
        <v>0</v>
      </c>
      <c r="BA384" s="286">
        <f t="shared" ca="1" si="215"/>
        <v>0</v>
      </c>
      <c r="BB384" s="286">
        <f t="shared" ca="1" si="216"/>
        <v>0</v>
      </c>
      <c r="BC384" s="286">
        <f t="shared" ca="1" si="217"/>
        <v>0</v>
      </c>
      <c r="BD384" s="180">
        <f t="shared" ca="1" si="218"/>
        <v>0.05</v>
      </c>
      <c r="BE384" s="180">
        <f t="shared" ca="1" si="219"/>
        <v>0.05</v>
      </c>
      <c r="BF384" s="286">
        <f t="shared" ca="1" si="220"/>
        <v>0</v>
      </c>
      <c r="BG384" s="286">
        <f t="shared" ca="1" si="221"/>
        <v>0</v>
      </c>
    </row>
    <row r="385" spans="1:59">
      <c r="A385" s="1">
        <f t="shared" ca="1" si="201"/>
        <v>32</v>
      </c>
      <c r="B385" s="1">
        <f t="shared" ca="1" si="230"/>
        <v>138</v>
      </c>
      <c r="C385" s="1">
        <f t="shared" ca="1" si="231"/>
        <v>3</v>
      </c>
      <c r="D385" s="1">
        <f ca="1">MIN($D$3,VLOOKUP(C385,OP!$S$30:$T$41,2))</f>
        <v>2</v>
      </c>
      <c r="E385" s="1">
        <f t="shared" ca="1" si="232"/>
        <v>86</v>
      </c>
      <c r="F385" s="11" t="str">
        <f t="shared" ca="1" si="202"/>
        <v/>
      </c>
      <c r="G385" s="8">
        <f t="shared" ca="1" si="229"/>
        <v>365</v>
      </c>
      <c r="H385" s="8">
        <f t="shared" ca="1" si="203"/>
        <v>31</v>
      </c>
      <c r="I385" s="8" t="str">
        <f t="shared" ca="1" si="200"/>
        <v>323</v>
      </c>
      <c r="J385" s="13">
        <f>IF(繳費報酬率資料!$A$1=1,VALUE(OP!$C$121),VLOOKUP(A385,MP,2,0))</f>
        <v>0.05</v>
      </c>
      <c r="K385" s="14">
        <f ca="1">IF(SUM($K$4:K384,IF(繳費報酬率資料!$A$1=1,$AU385+$AV385,$BB385+$BC385))&gt;OP!$L$58,0,IF(繳費報酬率資料!$A$1=1,$AU385+$AV385,$BB385+$BC385))</f>
        <v>0</v>
      </c>
      <c r="L385" s="2"/>
      <c r="M385" s="2"/>
      <c r="N385" s="2"/>
      <c r="O385" s="261">
        <f t="shared" ca="1" si="204"/>
        <v>0</v>
      </c>
      <c r="P385" s="261">
        <f t="shared" ca="1" si="222"/>
        <v>0</v>
      </c>
      <c r="Q385" s="3">
        <f ca="1">IF(A385&gt;MAX(OP!$R$17:$R$26),0,VLOOKUP(A385,fees,3,FALSE))</f>
        <v>0</v>
      </c>
      <c r="R385" s="200" t="str">
        <f t="shared" ca="1" si="205"/>
        <v/>
      </c>
      <c r="S385" s="9" t="str">
        <f ca="1">IF(COUNTIF(($T$4:T384),"F")&gt;=1,"",IF(OR(C386&lt;&gt;$C$3,E385=""),"",A385))</f>
        <v/>
      </c>
      <c r="T385" s="20" t="str">
        <f t="shared" ca="1" si="233"/>
        <v/>
      </c>
      <c r="U385" s="2">
        <f ca="1">IF(IF(OP!$C$83=1,$Z384,IF(OP!$C$83=2,$AA384,IF(OP!$C$83=3,$AB384,)))+$K385-$O385-$P385-$AS385&lt;OP!$C$142,0,$AS385)</f>
        <v>0</v>
      </c>
      <c r="V385" s="9"/>
      <c r="W385" s="19">
        <f ca="1">MAX(SUM($K$4:K385),0)</f>
        <v>2000000</v>
      </c>
      <c r="X385" s="19"/>
      <c r="Y385" s="19">
        <f t="shared" ca="1" si="223"/>
        <v>1920000</v>
      </c>
      <c r="Z385" s="2">
        <f ca="1">IF(MIN($Z$4:Z384)=0,0,MAX(0,($Z384+$K385-$O385-$P385)*IF(AND(F385="F",$D$3&lt;&gt;$G$3),((1+(-J385))^(H385/MIN(G385,365))),((1+(-J385))^(1/12)))-$U385))</f>
        <v>375119.23184386047</v>
      </c>
      <c r="AA385" s="2">
        <f ca="1">IF(MIN($AA$4:AA384)=0,0,MAX(0,($AA384+$K385-$O385-$P385)*IF(AND(F385="F",$D$3&lt;&gt;$G$3),((1+$AA$1)^(H385/MIN(G385,365))),((1+$AA$1)^(1/12)))-$U385))</f>
        <v>1920000</v>
      </c>
      <c r="AB385" s="2">
        <f ca="1">IF(MIN($AB$4:AB384)=0,0,MAX(0,($AB384+$K385-$O385-$P385)*IF(AND(F385="F",$D$3&lt;&gt;$G$3),((1+(J385))^(H385/MIN(G385,365))),((1+(J385))^(1/12)))-$U385))</f>
        <v>9074594.94897734</v>
      </c>
      <c r="AC385" s="5"/>
      <c r="AD385" s="5"/>
      <c r="AE385" s="5"/>
      <c r="AF385" s="282">
        <f t="shared" ca="1" si="206"/>
        <v>375119</v>
      </c>
      <c r="AG385" s="282">
        <f t="shared" ca="1" si="207"/>
        <v>1920000</v>
      </c>
      <c r="AH385" s="282">
        <f t="shared" ca="1" si="208"/>
        <v>9074595</v>
      </c>
      <c r="AI385" s="23" t="str">
        <f t="shared" ca="1" si="225"/>
        <v>32-11</v>
      </c>
      <c r="AJ385" s="282">
        <f ca="1">IF(E385&gt;111,,IF(AND(OP!$C$99=1,T385="F"),Z385,IF(AND(OP!$C$99=2,COUNTIF($T$4:T385,"F")=1),OP!$C$97+IF(F385="F",OP!$C$98,0),"")))</f>
        <v>54527</v>
      </c>
      <c r="AK385" s="282">
        <f ca="1">IF(E385&gt;111,,IF(AND(OP!$D$99=1,T385="F"),AA385,IF(AND(OP!$D$99=2,COUNTIF($T$4:T385,"F")=1),OP!$D$97+IF(F385="F",OP!$D$98,0),"")))</f>
        <v>74177</v>
      </c>
      <c r="AL385" s="282">
        <f ca="1">IF(E385&gt;111,,IF(AND(OP!$E$99=1,T385="F"),AB385,IF(AND(OP!$E$99=2,COUNTIF($T$4:T385,"F")=1),OP!$E$97+IF(F385="F",OP!$E$98,0),"")))</f>
        <v>99404</v>
      </c>
      <c r="AM385" s="1">
        <f t="shared" ca="1" si="234"/>
        <v>11</v>
      </c>
      <c r="AN385" s="1" t="e">
        <f ca="1">IF(OR(VLOOKUP($A385,MP,5,0)="季繳",VLOOKUP($A385,MP,5,0)="月繳"),1,"")</f>
        <v>#N/A</v>
      </c>
      <c r="AO385" s="1">
        <f t="shared" ca="1" si="209"/>
        <v>0</v>
      </c>
      <c r="AP385" s="1" t="str">
        <f ca="1">IF(AND(A385&lt;=OP!$C$120,COUNTIF(PAY,C385)=1),1,"")</f>
        <v/>
      </c>
      <c r="AR385" s="301">
        <f ca="1">IF(繳費報酬率資料!$A$1=1,$AY385+$AZ385,$BF385+$BG385)</f>
        <v>0</v>
      </c>
      <c r="AS385" s="1">
        <f ca="1">IF(C385&lt;&gt;IF($C$3=1,12,$C$3-1),0,IF(繳費報酬率資料!$A$1&lt;&gt;1,VLOOKUP($A385,MP,8,0),IF(AND($A385&gt;=OP!$C$79,$A385&lt;=OP!$C$80),OP!$C$78,)))</f>
        <v>0</v>
      </c>
      <c r="AT385" s="298">
        <f t="shared" ca="1" si="210"/>
        <v>0</v>
      </c>
      <c r="AU385" s="298">
        <f ca="1">IF(AND(A385&lt;=OP!$C$120,COUNTIF(PAY,C385)=1),OP!$C$123,0)</f>
        <v>0</v>
      </c>
      <c r="AV385" s="298">
        <f ca="1">IF(AND(A385&gt;=OP!$C$132,A385&lt;=OP!$C$133,$C$3=C385),OP!$C$135,0)</f>
        <v>0</v>
      </c>
      <c r="AW385" s="180">
        <f t="shared" ca="1" si="211"/>
        <v>0.05</v>
      </c>
      <c r="AX385" s="180">
        <f t="shared" ca="1" si="212"/>
        <v>0.05</v>
      </c>
      <c r="AY385" s="286">
        <f t="shared" ca="1" si="213"/>
        <v>0</v>
      </c>
      <c r="AZ385" s="286">
        <f t="shared" ca="1" si="214"/>
        <v>0</v>
      </c>
      <c r="BA385" s="286">
        <f t="shared" ca="1" si="215"/>
        <v>0</v>
      </c>
      <c r="BB385" s="286">
        <f t="shared" ca="1" si="216"/>
        <v>0</v>
      </c>
      <c r="BC385" s="286">
        <f t="shared" ca="1" si="217"/>
        <v>0</v>
      </c>
      <c r="BD385" s="180">
        <f t="shared" ca="1" si="218"/>
        <v>0.05</v>
      </c>
      <c r="BE385" s="180">
        <f t="shared" ca="1" si="219"/>
        <v>0.05</v>
      </c>
      <c r="BF385" s="286">
        <f t="shared" ca="1" si="220"/>
        <v>0</v>
      </c>
      <c r="BG385" s="286">
        <f t="shared" ca="1" si="221"/>
        <v>0</v>
      </c>
    </row>
    <row r="386" spans="1:59">
      <c r="A386" s="1">
        <f t="shared" ca="1" si="201"/>
        <v>32</v>
      </c>
      <c r="B386" s="1">
        <f t="shared" ca="1" si="230"/>
        <v>138</v>
      </c>
      <c r="C386" s="1">
        <f t="shared" ca="1" si="231"/>
        <v>4</v>
      </c>
      <c r="D386" s="1">
        <f ca="1">MIN($D$3,VLOOKUP(C386,OP!$S$30:$T$41,2))</f>
        <v>2</v>
      </c>
      <c r="E386" s="1">
        <f t="shared" ca="1" si="232"/>
        <v>86</v>
      </c>
      <c r="F386" s="11" t="str">
        <f t="shared" ca="1" si="202"/>
        <v/>
      </c>
      <c r="G386" s="8">
        <f t="shared" ca="1" si="229"/>
        <v>365</v>
      </c>
      <c r="H386" s="8">
        <f t="shared" ca="1" si="203"/>
        <v>30</v>
      </c>
      <c r="I386" s="8" t="str">
        <f t="shared" ca="1" si="200"/>
        <v>324</v>
      </c>
      <c r="J386" s="13">
        <f>IF(繳費報酬率資料!$A$1=1,VALUE(OP!$C$121),VLOOKUP(A386,MP,2,0))</f>
        <v>0.05</v>
      </c>
      <c r="K386" s="14">
        <f ca="1">IF(SUM($K$4:K385,IF(繳費報酬率資料!$A$1=1,$AU386+$AV386,$BB386+$BC386))&gt;OP!$L$58,0,IF(繳費報酬率資料!$A$1=1,$AU386+$AV386,$BB386+$BC386))</f>
        <v>0</v>
      </c>
      <c r="L386" s="2"/>
      <c r="M386" s="2"/>
      <c r="N386" s="2"/>
      <c r="O386" s="261">
        <f t="shared" ca="1" si="204"/>
        <v>0</v>
      </c>
      <c r="P386" s="261">
        <f t="shared" ca="1" si="222"/>
        <v>0</v>
      </c>
      <c r="Q386" s="3">
        <f ca="1">IF(A386&gt;MAX(OP!$R$17:$R$26),0,VLOOKUP(A386,fees,3,FALSE))</f>
        <v>0</v>
      </c>
      <c r="R386" s="200" t="str">
        <f t="shared" ca="1" si="205"/>
        <v/>
      </c>
      <c r="S386" s="9" t="str">
        <f ca="1">IF(COUNTIF(($T$4:T385),"F")&gt;=1,"",IF(OR(C387&lt;&gt;$C$3,E386=""),"",A386))</f>
        <v/>
      </c>
      <c r="T386" s="20" t="str">
        <f t="shared" ca="1" si="233"/>
        <v/>
      </c>
      <c r="U386" s="2">
        <f ca="1">IF(IF(OP!$C$83=1,$Z385,IF(OP!$C$83=2,$AA385,IF(OP!$C$83=3,$AB385,)))+$K386-$O386-$P386-$AS386&lt;OP!$C$142,0,$AS386)</f>
        <v>0</v>
      </c>
      <c r="V386" s="9"/>
      <c r="W386" s="19">
        <f ca="1">MAX(SUM($K$4:K386),0)</f>
        <v>2000000</v>
      </c>
      <c r="X386" s="19"/>
      <c r="Y386" s="19">
        <f t="shared" ca="1" si="223"/>
        <v>1920000</v>
      </c>
      <c r="Z386" s="2">
        <f ca="1">IF(MIN($Z$4:Z385)=0,0,MAX(0,($Z385+$K386-$O386-$P386)*IF(AND(F386="F",$D$3&lt;&gt;$G$3),((1+(-J386))^(H386/MIN(G386,365))),((1+(-J386))^(1/12)))-$U386))</f>
        <v>373519.22874045273</v>
      </c>
      <c r="AA386" s="2">
        <f ca="1">IF(MIN($AA$4:AA385)=0,0,MAX(0,($AA385+$K386-$O386-$P386)*IF(AND(F386="F",$D$3&lt;&gt;$G$3),((1+$AA$1)^(H386/MIN(G386,365))),((1+$AA$1)^(1/12)))-$U386))</f>
        <v>1920000</v>
      </c>
      <c r="AB386" s="2">
        <f ca="1">IF(MIN($AB$4:AB385)=0,0,MAX(0,($AB385+$K386-$O386-$P386)*IF(AND(F386="F",$D$3&lt;&gt;$G$3),((1+(J386))^(H386/MIN(G386,365))),((1+(J386))^(1/12)))-$U386))</f>
        <v>9111565.9720859434</v>
      </c>
      <c r="AC386" s="5"/>
      <c r="AD386" s="5"/>
      <c r="AE386" s="5"/>
      <c r="AF386" s="282">
        <f t="shared" ca="1" si="206"/>
        <v>373519</v>
      </c>
      <c r="AG386" s="282">
        <f t="shared" ca="1" si="207"/>
        <v>1920000</v>
      </c>
      <c r="AH386" s="282">
        <f t="shared" ca="1" si="208"/>
        <v>9111566</v>
      </c>
      <c r="AI386" s="23" t="str">
        <f t="shared" ca="1" si="225"/>
        <v>32-12</v>
      </c>
      <c r="AJ386" s="282">
        <f ca="1">IF(E386&gt;111,,IF(AND(OP!$C$99=1,T386="F"),Z386,IF(AND(OP!$C$99=2,COUNTIF($T$4:T386,"F")=1),OP!$C$97+IF(F386="F",OP!$C$98,0),"")))</f>
        <v>54527</v>
      </c>
      <c r="AK386" s="282">
        <f ca="1">IF(E386&gt;111,,IF(AND(OP!$D$99=1,T386="F"),AA386,IF(AND(OP!$D$99=2,COUNTIF($T$4:T386,"F")=1),OP!$D$97+IF(F386="F",OP!$D$98,0),"")))</f>
        <v>74177</v>
      </c>
      <c r="AL386" s="282">
        <f ca="1">IF(E386&gt;111,,IF(AND(OP!$E$99=1,T386="F"),AB386,IF(AND(OP!$E$99=2,COUNTIF($T$4:T386,"F")=1),OP!$E$97+IF(F386="F",OP!$E$98,0),"")))</f>
        <v>99404</v>
      </c>
      <c r="AM386" s="1">
        <f t="shared" ca="1" si="234"/>
        <v>12</v>
      </c>
      <c r="AN386" s="1" t="e">
        <f ca="1">IF(OR(VLOOKUP($A386,MP,5,0)="月繳"),1,"")</f>
        <v>#N/A</v>
      </c>
      <c r="AO386" s="1">
        <f t="shared" ca="1" si="209"/>
        <v>0</v>
      </c>
      <c r="AP386" s="1" t="str">
        <f ca="1">IF(AND(A386&lt;=OP!$C$120,COUNTIF(PAY,C386)=1),1,"")</f>
        <v/>
      </c>
      <c r="AR386" s="301">
        <f ca="1">IF(繳費報酬率資料!$A$1=1,$AY386+$AZ386,$BF386+$BG386)</f>
        <v>0</v>
      </c>
      <c r="AS386" s="1">
        <f ca="1">IF(C386&lt;&gt;IF($C$3=1,12,$C$3-1),0,IF(繳費報酬率資料!$A$1&lt;&gt;1,VLOOKUP($A386,MP,8,0),IF(AND($A386&gt;=OP!$C$79,$A386&lt;=OP!$C$80),OP!$C$78,)))</f>
        <v>0</v>
      </c>
      <c r="AT386" s="298">
        <f t="shared" ca="1" si="210"/>
        <v>0</v>
      </c>
      <c r="AU386" s="298">
        <f ca="1">IF(AND(A386&lt;=OP!$C$120,COUNTIF(PAY,C386)=1),OP!$C$123,0)</f>
        <v>0</v>
      </c>
      <c r="AV386" s="298">
        <f ca="1">IF(AND(A386&gt;=OP!$C$132,A386&lt;=OP!$C$133,$C$3=C386),OP!$C$135,0)</f>
        <v>0</v>
      </c>
      <c r="AW386" s="180">
        <f t="shared" ca="1" si="211"/>
        <v>0.05</v>
      </c>
      <c r="AX386" s="180">
        <f t="shared" ca="1" si="212"/>
        <v>0.05</v>
      </c>
      <c r="AY386" s="286">
        <f t="shared" ca="1" si="213"/>
        <v>0</v>
      </c>
      <c r="AZ386" s="286">
        <f t="shared" ca="1" si="214"/>
        <v>0</v>
      </c>
      <c r="BA386" s="286">
        <f t="shared" ca="1" si="215"/>
        <v>0</v>
      </c>
      <c r="BB386" s="286">
        <f t="shared" ca="1" si="216"/>
        <v>0</v>
      </c>
      <c r="BC386" s="286">
        <f t="shared" ca="1" si="217"/>
        <v>0</v>
      </c>
      <c r="BD386" s="180">
        <f t="shared" ca="1" si="218"/>
        <v>0.05</v>
      </c>
      <c r="BE386" s="180">
        <f t="shared" ca="1" si="219"/>
        <v>0.05</v>
      </c>
      <c r="BF386" s="286">
        <f t="shared" ca="1" si="220"/>
        <v>0</v>
      </c>
      <c r="BG386" s="286">
        <f t="shared" ca="1" si="221"/>
        <v>0</v>
      </c>
    </row>
    <row r="387" spans="1:59">
      <c r="A387" s="1">
        <f t="shared" ca="1" si="201"/>
        <v>32</v>
      </c>
      <c r="B387" s="1">
        <f t="shared" ca="1" si="230"/>
        <v>138</v>
      </c>
      <c r="C387" s="1">
        <f t="shared" ca="1" si="231"/>
        <v>5</v>
      </c>
      <c r="D387" s="1">
        <f ca="1">MIN($D$3,VLOOKUP(C387,OP!$S$30:$T$41,2))</f>
        <v>2</v>
      </c>
      <c r="E387" s="1">
        <f t="shared" ca="1" si="232"/>
        <v>86</v>
      </c>
      <c r="F387" s="11" t="str">
        <f t="shared" ca="1" si="202"/>
        <v/>
      </c>
      <c r="G387" s="8">
        <f t="shared" ca="1" si="229"/>
        <v>365</v>
      </c>
      <c r="H387" s="8">
        <f t="shared" ca="1" si="203"/>
        <v>31</v>
      </c>
      <c r="I387" s="8" t="str">
        <f t="shared" ca="1" si="200"/>
        <v>325</v>
      </c>
      <c r="J387" s="13">
        <f>IF(繳費報酬率資料!$A$1=1,VALUE(OP!$C$121),VLOOKUP(A387,MP,2,0))</f>
        <v>0.05</v>
      </c>
      <c r="K387" s="14">
        <f ca="1">IF(SUM($K$4:K386,IF(繳費報酬率資料!$A$1=1,$AU387+$AV387,$BB387+$BC387))&gt;OP!$L$58,0,IF(繳費報酬率資料!$A$1=1,$AU387+$AV387,$BB387+$BC387))</f>
        <v>0</v>
      </c>
      <c r="L387" s="2">
        <f ca="1">ROUND(IF(OP!$C$78&lt;(IF(OR($T387="F",$E387&gt;=111),0,Z386+$K387-$O387+IF($C$1=1,OP!$C$78,IF($C388=$C$3,SUM(AC376:AC387,0)))))*5%,0,(OP!$C$78-((IF(OR($T387="F",$E387&gt;=111),0,Z386+$K387-$O387+IF($C$1=1,AC387,IF($C388=$C$3,SUM(AC376:AC387,0)))))*5%))*$Q387),0)</f>
        <v>0</v>
      </c>
      <c r="M387" s="2">
        <f ca="1">ROUND(IF(OP!$C$78&lt;(IF(OR($T387="F",$E387&gt;=111),0,AA386+$K387-$O387+IF($C$1=1,AD387,IF($C388=$C$3,SUM(AD376:AD387,0)))))*5%,0,(OP!$C$78-((IF(OR($T387="F",$E387&gt;=111),0,AA386+$K387-$O387+IF($C$1=1,AD387,IF($C388=$C$3,SUM(AD376:AD387,0)))))*5%))*$Q387),0)</f>
        <v>0</v>
      </c>
      <c r="N387" s="2">
        <f ca="1">ROUND(IF(OP!$C$78&lt;(IF(OR($T387="F",$E387&gt;=111),0,AB386+$K387-$O387+IF($C$1=1,AE387,IF($C388=$C$3,SUM(AE376:AE387,0)))))*5%,0,(OP!$C$78-((IF(OR($T387="F",$E387&gt;=111),0,AB386+$K387-$O387+IF($C$1=1,AE387,IF($C388=$C$3,SUM(AE376:AE387,0)))))*5%))*$Q387),0)</f>
        <v>0</v>
      </c>
      <c r="O387" s="261">
        <f t="shared" ca="1" si="204"/>
        <v>0</v>
      </c>
      <c r="P387" s="261">
        <f t="shared" ca="1" si="222"/>
        <v>0</v>
      </c>
      <c r="Q387" s="3">
        <f ca="1">IF(A387&gt;MAX(OP!$R$17:$R$26),0,VLOOKUP(A387,fees,3,FALSE))</f>
        <v>0</v>
      </c>
      <c r="R387" s="200">
        <f t="shared" ca="1" si="205"/>
        <v>32</v>
      </c>
      <c r="S387" s="9" t="str">
        <f ca="1">IF(COUNTIF(($T$4:T386),"F")&gt;=1,"",IF(OR(C388&lt;&gt;$C$3,E387=""),"",A387))</f>
        <v/>
      </c>
      <c r="T387" s="20" t="str">
        <f t="shared" ca="1" si="233"/>
        <v/>
      </c>
      <c r="U387" s="2">
        <f ca="1">IF(IF(OP!$C$83=1,$Z386,IF(OP!$C$83=2,$AA386,IF(OP!$C$83=3,$AB386,)))+$K387-$O387-$P387-$AS387&lt;OP!$C$142,0,$AS387)</f>
        <v>0</v>
      </c>
      <c r="V387" s="19">
        <f ca="1">SUM(K376:K387)</f>
        <v>0</v>
      </c>
      <c r="W387" s="19">
        <f ca="1">MAX(SUM($K$4:K387),0)</f>
        <v>2000000</v>
      </c>
      <c r="X387" s="19">
        <f ca="1">SUM(O376:P387)</f>
        <v>0</v>
      </c>
      <c r="Y387" s="19">
        <f t="shared" ca="1" si="223"/>
        <v>1920000</v>
      </c>
      <c r="Z387" s="2">
        <f ca="1">IF(MIN($Z$4:Z386)=0,0,MAX(0,($Z386+$K387-$O387-$P387)*IF(AND(F387="F",$D$3&lt;&gt;$G$3),((1+(-J387))^(H387/MIN(G387,365))),((1+(-J387))^(1/12)))-$U387))</f>
        <v>371926.05016032612</v>
      </c>
      <c r="AA387" s="2">
        <f ca="1">IF(MIN($AA$4:AA386)=0,0,MAX(0,($AA386+$K387-$O387-$P387)*IF(AND(F387="F",$D$3&lt;&gt;$G$3),((1+$AA$1)^(H387/MIN(G387,365))),((1+$AA$1)^(1/12)))-$U387))</f>
        <v>1920000</v>
      </c>
      <c r="AB387" s="2">
        <f ca="1">IF(MIN($AB$4:AB386)=0,0,MAX(0,($AB386+$K387-$O387-$P387)*IF(AND(F387="F",$D$3&lt;&gt;$G$3),((1+(J387))^(H387/MIN(G387,365))),((1+(J387))^(1/12)))-$U387))</f>
        <v>9148687.6197190993</v>
      </c>
      <c r="AC387" s="5"/>
      <c r="AD387" s="5"/>
      <c r="AE387" s="5"/>
      <c r="AF387" s="282">
        <f t="shared" ca="1" si="206"/>
        <v>371926</v>
      </c>
      <c r="AG387" s="282">
        <f t="shared" ca="1" si="207"/>
        <v>1920000</v>
      </c>
      <c r="AH387" s="282">
        <f t="shared" ca="1" si="208"/>
        <v>9148688</v>
      </c>
      <c r="AI387" s="23" t="str">
        <f t="shared" ca="1" si="225"/>
        <v>33-1</v>
      </c>
      <c r="AJ387" s="282">
        <f ca="1">IF(E387&gt;111,,IF(AND(OP!$C$99=1,T387="F"),Z387,IF(AND(OP!$C$99=2,COUNTIF($T$4:T387,"F")=1),OP!$C$97+IF(F387="F",OP!$C$98,0),"")))</f>
        <v>54527</v>
      </c>
      <c r="AK387" s="282">
        <f ca="1">IF(E387&gt;111,,IF(AND(OP!$D$99=1,T387="F"),AA387,IF(AND(OP!$D$99=2,COUNTIF($T$4:T387,"F")=1),OP!$D$97+IF(F387="F",OP!$D$98,0),"")))</f>
        <v>74177</v>
      </c>
      <c r="AL387" s="282">
        <f ca="1">IF(E387&gt;111,,IF(AND(OP!$E$99=1,T387="F"),AB387,IF(AND(OP!$E$99=2,COUNTIF($T$4:T387,"F")=1),OP!$E$97+IF(F387="F",OP!$E$98,0),"")))</f>
        <v>99404</v>
      </c>
      <c r="AM387" s="1">
        <f t="shared" ca="1" si="234"/>
        <v>1</v>
      </c>
      <c r="AN387" s="1" t="e">
        <f ca="1">IF(OR(VLOOKUP($A387,MP,5,0)="月繳"),1,"")</f>
        <v>#N/A</v>
      </c>
      <c r="AO387" s="1">
        <f t="shared" ca="1" si="209"/>
        <v>0</v>
      </c>
      <c r="AP387" s="1" t="str">
        <f ca="1">IF(AND(A387&lt;=OP!$C$120,COUNTIF(PAY,C387)=1),1,"")</f>
        <v/>
      </c>
      <c r="AR387" s="301">
        <f ca="1">IF(繳費報酬率資料!$A$1=1,$AY387+$AZ387,$BF387+$BG387)</f>
        <v>0</v>
      </c>
      <c r="AS387" s="1">
        <f ca="1">IF(C387&lt;&gt;IF($C$3=1,12,$C$3-1),0,IF(繳費報酬率資料!$A$1&lt;&gt;1,VLOOKUP($A387,MP,8,0),IF(AND($A387&gt;=OP!$C$79,$A387&lt;=OP!$C$80),OP!$C$78,)))</f>
        <v>0</v>
      </c>
      <c r="AT387" s="298">
        <f t="shared" ca="1" si="210"/>
        <v>0</v>
      </c>
      <c r="AU387" s="298">
        <f ca="1">IF(AND(A387&lt;=OP!$C$120,COUNTIF(PAY,C387)=1),OP!$C$123,0)</f>
        <v>0</v>
      </c>
      <c r="AV387" s="298">
        <f ca="1">IF(AND(A387&gt;=OP!$C$132,A387&lt;=OP!$C$133,$C$3=C387),OP!$C$135,0)</f>
        <v>0</v>
      </c>
      <c r="AW387" s="180">
        <f t="shared" ca="1" si="211"/>
        <v>0.05</v>
      </c>
      <c r="AX387" s="180">
        <f t="shared" ca="1" si="212"/>
        <v>0.05</v>
      </c>
      <c r="AY387" s="286">
        <f t="shared" ca="1" si="213"/>
        <v>0</v>
      </c>
      <c r="AZ387" s="286">
        <f t="shared" ca="1" si="214"/>
        <v>0</v>
      </c>
      <c r="BA387" s="286">
        <f t="shared" ca="1" si="215"/>
        <v>0</v>
      </c>
      <c r="BB387" s="286">
        <f t="shared" ca="1" si="216"/>
        <v>0</v>
      </c>
      <c r="BC387" s="286">
        <f t="shared" ca="1" si="217"/>
        <v>0</v>
      </c>
      <c r="BD387" s="180">
        <f t="shared" ca="1" si="218"/>
        <v>0.05</v>
      </c>
      <c r="BE387" s="180">
        <f t="shared" ca="1" si="219"/>
        <v>0.05</v>
      </c>
      <c r="BF387" s="286">
        <f t="shared" ca="1" si="220"/>
        <v>0</v>
      </c>
      <c r="BG387" s="286">
        <f t="shared" ca="1" si="221"/>
        <v>0</v>
      </c>
    </row>
    <row r="388" spans="1:59">
      <c r="A388" s="1">
        <f t="shared" ca="1" si="201"/>
        <v>33</v>
      </c>
      <c r="B388" s="1">
        <f t="shared" ca="1" si="230"/>
        <v>138</v>
      </c>
      <c r="C388" s="1">
        <f t="shared" ca="1" si="231"/>
        <v>6</v>
      </c>
      <c r="D388" s="1">
        <f ca="1">MIN($D$3,VLOOKUP(C388,OP!$S$30:$T$41,2))</f>
        <v>2</v>
      </c>
      <c r="E388" s="1">
        <f t="shared" ca="1" si="232"/>
        <v>87</v>
      </c>
      <c r="F388" s="11" t="str">
        <f t="shared" ca="1" si="202"/>
        <v/>
      </c>
      <c r="G388" s="6">
        <f ca="1">DATEDIF(DATE(B388+1911,C388,D388),DATE(B400+1911,C400,D400),"d")</f>
        <v>365</v>
      </c>
      <c r="H388" s="8">
        <f t="shared" ca="1" si="203"/>
        <v>30</v>
      </c>
      <c r="I388" s="8" t="str">
        <f t="shared" ref="I388:I451" ca="1" si="235">A388&amp;C388</f>
        <v>336</v>
      </c>
      <c r="J388" s="13">
        <f>IF(繳費報酬率資料!$A$1=1,VALUE(OP!$C$121),VLOOKUP(A388,MP,2,0))</f>
        <v>0.05</v>
      </c>
      <c r="K388" s="14">
        <f ca="1">IF(SUM($K$4:K387,IF(繳費報酬率資料!$A$1=1,$AU388+$AV388,$BB388+$BC388))&gt;OP!$L$58,0,IF(繳費報酬率資料!$A$1=1,$AU388+$AV388,$BB388+$BC388))</f>
        <v>0</v>
      </c>
      <c r="L388" s="2"/>
      <c r="M388" s="2"/>
      <c r="N388" s="2"/>
      <c r="O388" s="261">
        <f t="shared" ca="1" si="204"/>
        <v>0</v>
      </c>
      <c r="P388" s="261">
        <f t="shared" ca="1" si="222"/>
        <v>0</v>
      </c>
      <c r="Q388" s="3">
        <f ca="1">IF(A388&gt;MAX(OP!$R$17:$R$26),0,VLOOKUP(A388,fees,3,FALSE))</f>
        <v>0</v>
      </c>
      <c r="R388" s="200" t="str">
        <f t="shared" ca="1" si="205"/>
        <v/>
      </c>
      <c r="S388" s="9" t="str">
        <f ca="1">IF(COUNTIF(($T$4:T387),"F")&gt;=1,"",IF(OR(C389&lt;&gt;$C$3,E388=""),"",A388))</f>
        <v/>
      </c>
      <c r="T388" s="20" t="str">
        <f t="shared" ca="1" si="233"/>
        <v/>
      </c>
      <c r="U388" s="2">
        <f ca="1">IF(IF(OP!$C$83=1,$Z387,IF(OP!$C$83=2,$AA387,IF(OP!$C$83=3,$AB387,)))+$K388-$O388-$P388-$AS388&lt;OP!$C$142,0,$AS388)</f>
        <v>0</v>
      </c>
      <c r="V388" s="9"/>
      <c r="W388" s="19">
        <f ca="1">MAX(SUM($K$4:K388),0)</f>
        <v>2000000</v>
      </c>
      <c r="X388" s="19"/>
      <c r="Y388" s="19">
        <f t="shared" ca="1" si="223"/>
        <v>1920000</v>
      </c>
      <c r="Z388" s="2">
        <f ca="1">IF(MIN($Z$4:Z387)=0,0,MAX(0,($Z387+$K388-$O388-$P388)*IF(AND(F388="F",$D$3&lt;&gt;$G$3),((1+(-J388))^(H388/MIN(G388,365))),((1+(-J388))^(1/12)))-$U388))</f>
        <v>370339.66699471331</v>
      </c>
      <c r="AA388" s="2">
        <f ca="1">IF(MIN($AA$4:AA387)=0,0,MAX(0,($AA387+$K388-$O388-$P388)*IF(AND(F388="F",$D$3&lt;&gt;$G$3),((1+$AA$1)^(H388/MIN(G388,365))),((1+$AA$1)^(1/12)))-$U388))</f>
        <v>1920000</v>
      </c>
      <c r="AB388" s="2">
        <f ca="1">IF(MIN($AB$4:AB387)=0,0,MAX(0,($AB387+$K388-$O388-$P388)*IF(AND(F388="F",$D$3&lt;&gt;$G$3),((1+(J388))^(H388/MIN(G388,365))),((1+(J388))^(1/12)))-$U388))</f>
        <v>9185960.5055397656</v>
      </c>
      <c r="AC388" s="21"/>
      <c r="AD388" s="21"/>
      <c r="AE388" s="21"/>
      <c r="AF388" s="282">
        <f t="shared" ca="1" si="206"/>
        <v>370340</v>
      </c>
      <c r="AG388" s="282">
        <f t="shared" ca="1" si="207"/>
        <v>1920000</v>
      </c>
      <c r="AH388" s="282">
        <f t="shared" ca="1" si="208"/>
        <v>9185961</v>
      </c>
      <c r="AI388" s="23" t="str">
        <f t="shared" ca="1" si="225"/>
        <v>33-2</v>
      </c>
      <c r="AJ388" s="281">
        <f ca="1">IF(E388&gt;111,,IF(AND(OP!$C$99=1,T388="F"),Z388,IF(AND(OP!$C$99=2,COUNTIF($T$4:T388,"F")=1),OP!$C$97+IF(F388="F",OP!$C$98,0),"")))</f>
        <v>54527</v>
      </c>
      <c r="AK388" s="281">
        <f ca="1">IF(E388&gt;111,,IF(AND(OP!$D$99=1,T388="F"),AA388,IF(AND(OP!$D$99=2,COUNTIF($T$4:T388,"F")=1),OP!$D$97+IF(F388="F",OP!$D$98,0),"")))</f>
        <v>74177</v>
      </c>
      <c r="AL388" s="281">
        <f ca="1">IF(E388&gt;111,,IF(AND(OP!$E$99=1,T388="F"),AB388,IF(AND(OP!$E$99=2,COUNTIF($T$4:T388,"F")=1),OP!$E$97+IF(F388="F",OP!$E$98,0),"")))</f>
        <v>99404</v>
      </c>
      <c r="AM388" s="1">
        <f t="shared" ca="1" si="234"/>
        <v>2</v>
      </c>
      <c r="AN388" s="1" t="e">
        <f ca="1">IF(OR(VLOOKUP($A388,MP,5,0)="年繳",VLOOKUP($A388,MP,5,0)="半年繳",VLOOKUP($A388,MP,5,0)="季繳",VLOOKUP($A388,MP,5,0)="月繳"),1,"")</f>
        <v>#N/A</v>
      </c>
      <c r="AO388" s="1">
        <f t="shared" ca="1" si="209"/>
        <v>0</v>
      </c>
      <c r="AP388" s="1" t="str">
        <f ca="1">IF(AND(A388&lt;=OP!$C$120,COUNTIF(PAY,C388)=1),1,"")</f>
        <v/>
      </c>
      <c r="AR388" s="301">
        <f ca="1">IF(繳費報酬率資料!$A$1=1,$AY388+$AZ388,$BF388+$BG388)</f>
        <v>0</v>
      </c>
      <c r="AS388" s="1">
        <f ca="1">IF(C388&lt;&gt;IF($C$3=1,12,$C$3-1),0,IF(繳費報酬率資料!$A$1&lt;&gt;1,VLOOKUP($A388,MP,8,0),IF(AND($A388&gt;=OP!$C$79,$A388&lt;=OP!$C$80),OP!$C$78,)))</f>
        <v>0</v>
      </c>
      <c r="AT388" s="298">
        <f t="shared" ca="1" si="210"/>
        <v>0</v>
      </c>
      <c r="AU388" s="298">
        <f ca="1">IF(AND(A388&lt;=OP!$C$120,COUNTIF(PAY,C388)=1),OP!$C$123,0)</f>
        <v>0</v>
      </c>
      <c r="AV388" s="298">
        <f ca="1">IF(AND(A388&gt;=OP!$C$132,A388&lt;=OP!$C$133,$C$3=C388),OP!$C$135,0)</f>
        <v>0</v>
      </c>
      <c r="AW388" s="180">
        <f t="shared" ca="1" si="211"/>
        <v>0.05</v>
      </c>
      <c r="AX388" s="180">
        <f t="shared" ca="1" si="212"/>
        <v>0.05</v>
      </c>
      <c r="AY388" s="286">
        <f t="shared" ca="1" si="213"/>
        <v>0</v>
      </c>
      <c r="AZ388" s="286">
        <f t="shared" ca="1" si="214"/>
        <v>0</v>
      </c>
      <c r="BA388" s="286">
        <f t="shared" ca="1" si="215"/>
        <v>0</v>
      </c>
      <c r="BB388" s="286">
        <f t="shared" ca="1" si="216"/>
        <v>0</v>
      </c>
      <c r="BC388" s="286">
        <f t="shared" ca="1" si="217"/>
        <v>0</v>
      </c>
      <c r="BD388" s="180">
        <f t="shared" ca="1" si="218"/>
        <v>0.05</v>
      </c>
      <c r="BE388" s="180">
        <f t="shared" ca="1" si="219"/>
        <v>0.05</v>
      </c>
      <c r="BF388" s="286">
        <f t="shared" ca="1" si="220"/>
        <v>0</v>
      </c>
      <c r="BG388" s="286">
        <f t="shared" ca="1" si="221"/>
        <v>0</v>
      </c>
    </row>
    <row r="389" spans="1:59">
      <c r="A389" s="1">
        <f t="shared" ref="A389:A452" ca="1" si="236">IF(C389=$C$4,A388+1,A388)</f>
        <v>33</v>
      </c>
      <c r="B389" s="1">
        <f t="shared" ca="1" si="230"/>
        <v>138</v>
      </c>
      <c r="C389" s="1">
        <f t="shared" ca="1" si="231"/>
        <v>7</v>
      </c>
      <c r="D389" s="1">
        <f ca="1">MIN($D$3,VLOOKUP(C389,OP!$S$30:$T$41,2))</f>
        <v>2</v>
      </c>
      <c r="E389" s="1">
        <f t="shared" ca="1" si="232"/>
        <v>87</v>
      </c>
      <c r="F389" s="11" t="str">
        <f t="shared" ref="F389:F452" ca="1" si="237">IF(AND(DATE($E$3+1911,$F$3,$G$3)&gt;DATE(B389+1911,C389,D389),DATE($E$3+1911,$F$3,$G$3)&lt;=DATE(B390+1911,C390,D390)),"F","")</f>
        <v/>
      </c>
      <c r="G389" s="8">
        <f t="shared" ref="G389:G399" ca="1" si="238">G388</f>
        <v>365</v>
      </c>
      <c r="H389" s="8">
        <f t="shared" ref="H389:H452" ca="1" si="239">DATEDIF(DATE(B389+1911,C389,D389),IF(F389="F",DATE($E$3+1911,$F$3,$G$3),DATE(B390+1911,C390,D390)),"d")</f>
        <v>31</v>
      </c>
      <c r="I389" s="8" t="str">
        <f t="shared" ca="1" si="235"/>
        <v>337</v>
      </c>
      <c r="J389" s="13">
        <f>IF(繳費報酬率資料!$A$1=1,VALUE(OP!$C$121),VLOOKUP(A389,MP,2,0))</f>
        <v>0.05</v>
      </c>
      <c r="K389" s="14">
        <f ca="1">IF(SUM($K$4:K388,IF(繳費報酬率資料!$A$1=1,$AU389+$AV389,$BB389+$BC389))&gt;OP!$L$58,0,IF(繳費報酬率資料!$A$1=1,$AU389+$AV389,$BB389+$BC389))</f>
        <v>0</v>
      </c>
      <c r="L389" s="2"/>
      <c r="M389" s="2"/>
      <c r="N389" s="2"/>
      <c r="O389" s="261">
        <f t="shared" ref="O389:O452" ca="1" si="240">IF(K389=0,0,$AR389)</f>
        <v>0</v>
      </c>
      <c r="P389" s="261">
        <f t="shared" ca="1" si="222"/>
        <v>0</v>
      </c>
      <c r="Q389" s="3">
        <f ca="1">IF(A389&gt;MAX(OP!$R$17:$R$26),0,VLOOKUP(A389,fees,3,FALSE))</f>
        <v>0</v>
      </c>
      <c r="R389" s="200" t="str">
        <f t="shared" ref="R389:R452" ca="1" si="241">IF(OR(C390&lt;&gt;$C$3,E389=""),"",A389)</f>
        <v/>
      </c>
      <c r="S389" s="9" t="str">
        <f ca="1">IF(COUNTIF(($T$4:T388),"F")&gt;=1,"",IF(OR(C390&lt;&gt;$C$3,E389=""),"",A389))</f>
        <v/>
      </c>
      <c r="T389" s="20" t="str">
        <f t="shared" ca="1" si="233"/>
        <v/>
      </c>
      <c r="U389" s="2">
        <f ca="1">IF(IF(OP!$C$83=1,$Z388,IF(OP!$C$83=2,$AA388,IF(OP!$C$83=3,$AB388,)))+$K389-$O389-$P389-$AS389&lt;OP!$C$142,0,$AS389)</f>
        <v>0</v>
      </c>
      <c r="V389" s="9"/>
      <c r="W389" s="19">
        <f ca="1">MAX(SUM($K$4:K389),0)</f>
        <v>2000000</v>
      </c>
      <c r="X389" s="19"/>
      <c r="Y389" s="19">
        <f t="shared" ca="1" si="223"/>
        <v>1920000</v>
      </c>
      <c r="Z389" s="2">
        <f ca="1">IF(MIN($Z$4:Z388)=0,0,MAX(0,($Z388+$K389-$O389-$P389)*IF(AND(F389="F",$D$3&lt;&gt;$G$3),((1+(-J389))^(H389/MIN(G389,365))),((1+(-J389))^(1/12)))-$U389))</f>
        <v>368760.05025900522</v>
      </c>
      <c r="AA389" s="2">
        <f ca="1">IF(MIN($AA$4:AA388)=0,0,MAX(0,($AA388+$K389-$O389-$P389)*IF(AND(F389="F",$D$3&lt;&gt;$G$3),((1+$AA$1)^(H389/MIN(G389,365))),((1+$AA$1)^(1/12)))-$U389))</f>
        <v>1920000</v>
      </c>
      <c r="AB389" s="2">
        <f ca="1">IF(MIN($AB$4:AB388)=0,0,MAX(0,($AB388+$K389-$O389-$P389)*IF(AND(F389="F",$D$3&lt;&gt;$G$3),((1+(J389))^(H389/MIN(G389,365))),((1+(J389))^(1/12)))-$U389))</f>
        <v>9223385.2457110398</v>
      </c>
      <c r="AC389" s="5"/>
      <c r="AD389" s="5"/>
      <c r="AE389" s="5"/>
      <c r="AF389" s="282">
        <f t="shared" ref="AF389:AF452" ca="1" si="242">ROUND(Z389*(1-$Q389),$AF$1)</f>
        <v>368760</v>
      </c>
      <c r="AG389" s="282">
        <f t="shared" ref="AG389:AG452" ca="1" si="243">ROUND(AA389*(1-$Q389),$AF$1)</f>
        <v>1920000</v>
      </c>
      <c r="AH389" s="282">
        <f t="shared" ref="AH389:AH452" ca="1" si="244">ROUND(AB389*(1-$Q389),$AF$1)</f>
        <v>9223385</v>
      </c>
      <c r="AI389" s="23" t="str">
        <f t="shared" ca="1" si="225"/>
        <v>33-3</v>
      </c>
      <c r="AJ389" s="282">
        <f ca="1">IF(E389&gt;111,,IF(AND(OP!$C$99=1,T389="F"),Z389,IF(AND(OP!$C$99=2,COUNTIF($T$4:T389,"F")=1),OP!$C$97+IF(F389="F",OP!$C$98,0),"")))</f>
        <v>54527</v>
      </c>
      <c r="AK389" s="282">
        <f ca="1">IF(E389&gt;111,,IF(AND(OP!$D$99=1,T389="F"),AA389,IF(AND(OP!$D$99=2,COUNTIF($T$4:T389,"F")=1),OP!$D$97+IF(F389="F",OP!$D$98,0),"")))</f>
        <v>74177</v>
      </c>
      <c r="AL389" s="282">
        <f ca="1">IF(E389&gt;111,,IF(AND(OP!$E$99=1,T389="F"),AB389,IF(AND(OP!$E$99=2,COUNTIF($T$4:T389,"F")=1),OP!$E$97+IF(F389="F",OP!$E$98,0),"")))</f>
        <v>99404</v>
      </c>
      <c r="AM389" s="1">
        <f t="shared" ca="1" si="234"/>
        <v>3</v>
      </c>
      <c r="AN389" s="1" t="e">
        <f ca="1">IF(OR(VLOOKUP($A389,MP,5,0)="月繳"),1,"")</f>
        <v>#N/A</v>
      </c>
      <c r="AO389" s="1">
        <f t="shared" ref="AO389:AO452" ca="1" si="245">IF(ISNA(VLOOKUP(A389,MP,2,0)),,IF(C389=$C$3,ROUND(VLOOKUP(A389,MP,4,0),0),0)+IF(AN389=1,ROUND(VLOOKUP(A389,MP,6,0),0),0))</f>
        <v>0</v>
      </c>
      <c r="AP389" s="1" t="str">
        <f ca="1">IF(AND(A389&lt;=OP!$C$120,COUNTIF(PAY,C389)=1),1,"")</f>
        <v/>
      </c>
      <c r="AR389" s="301">
        <f ca="1">IF(繳費報酬率資料!$A$1=1,$AY389+$AZ389,$BF389+$BG389)</f>
        <v>0</v>
      </c>
      <c r="AS389" s="1">
        <f ca="1">IF(C389&lt;&gt;IF($C$3=1,12,$C$3-1),0,IF(繳費報酬率資料!$A$1&lt;&gt;1,VLOOKUP($A389,MP,8,0),IF(AND($A389&gt;=OP!$C$79,$A389&lt;=OP!$C$80),OP!$C$78,)))</f>
        <v>0</v>
      </c>
      <c r="AT389" s="298">
        <f t="shared" ref="AT389:AT452" ca="1" si="246">AU389+AV389</f>
        <v>0</v>
      </c>
      <c r="AU389" s="298">
        <f ca="1">IF(AND(A389&lt;=OP!$C$120,COUNTIF(PAY,C389)=1),OP!$C$123,0)</f>
        <v>0</v>
      </c>
      <c r="AV389" s="298">
        <f ca="1">IF(AND(A389&gt;=OP!$C$132,A389&lt;=OP!$C$133,$C$3=C389),OP!$C$135,0)</f>
        <v>0</v>
      </c>
      <c r="AW389" s="180">
        <f t="shared" ref="AW389:AW452" ca="1" si="247">HLOOKUP(IF($AU389&lt;$AY$1,1,IF(AND($AU389&gt;=$AY$1,$AU389&lt;$AZ$1),2,IF(AND($AU389&gt;=$AZ$1,$AU389&lt;$BA$1),3,IF(AND($AU389&gt;=$BA$1),4,1)))),PR,2,0)</f>
        <v>0.05</v>
      </c>
      <c r="AX389" s="180">
        <f t="shared" ref="AX389:AX452" ca="1" si="248">HLOOKUP(IF($AV389&lt;$AY$1,1,IF(AND($AV389&gt;=$AY$1,$AV389&lt;$AZ$1),2,IF(AND($AV389&gt;=$AZ$1,$AV389&lt;$BA$1),3,IF(AND($AV389&gt;=$BA$1),4,1)))),PR,2,0)</f>
        <v>0.05</v>
      </c>
      <c r="AY389" s="286">
        <f t="shared" ref="AY389:AY452" ca="1" si="249">ROUND(AU389*AW389,0)</f>
        <v>0</v>
      </c>
      <c r="AZ389" s="286">
        <f t="shared" ref="AZ389:AZ452" ca="1" si="250">ROUND(AV389*AX389,0)</f>
        <v>0</v>
      </c>
      <c r="BA389" s="286">
        <f t="shared" ref="BA389:BA452" ca="1" si="251">BB389+BC389</f>
        <v>0</v>
      </c>
      <c r="BB389" s="286">
        <f t="shared" ref="BB389:BB452" ca="1" si="252">IF(ISNA(VLOOKUP(A389,MP,2,0)),,IF(C389=$C$3,ROUND(VLOOKUP(A389,MP,6,0),0),0))</f>
        <v>0</v>
      </c>
      <c r="BC389" s="286">
        <f t="shared" ref="BC389:BC452" ca="1" si="253">IF(ISNA(VLOOKUP(A389,MP,4,0)),,IF(AND(C389=$C$3,AN389=1),ROUND(VLOOKUP(A389,MP,4,0),0),0))</f>
        <v>0</v>
      </c>
      <c r="BD389" s="180">
        <f t="shared" ref="BD389:BD452" ca="1" si="254">HLOOKUP(IF($BB389&lt;$AY$1,1,IF(AND($BB389&gt;=$AY$1,$BB389&lt;$AZ$1),2,IF(AND($BB389&gt;=$AZ$1,$BB389&lt;$BA$1),3,IF(AND($BB389&gt;=$BA$1),4,1)))),PR,2,0)</f>
        <v>0.05</v>
      </c>
      <c r="BE389" s="180">
        <f t="shared" ref="BE389:BE452" ca="1" si="255">HLOOKUP(IF($BC389&lt;$AY$1,1,IF(AND($BC389&gt;=$AY$1,$BC389&lt;$AZ$1),2,IF(AND($BC389&gt;=$AZ$1,$BC389&lt;$BA$1),3,IF(AND($BC389&gt;=$BA$1),4,1)))),PR,2,0)</f>
        <v>0.05</v>
      </c>
      <c r="BF389" s="286">
        <f t="shared" ref="BF389:BF452" ca="1" si="256">ROUND(BB389*BD389,0)</f>
        <v>0</v>
      </c>
      <c r="BG389" s="286">
        <f t="shared" ref="BG389:BG452" ca="1" si="257">ROUND(BC389*BE389,0)</f>
        <v>0</v>
      </c>
    </row>
    <row r="390" spans="1:59">
      <c r="A390" s="1">
        <f t="shared" ca="1" si="236"/>
        <v>33</v>
      </c>
      <c r="B390" s="1">
        <f t="shared" ca="1" si="230"/>
        <v>138</v>
      </c>
      <c r="C390" s="1">
        <f t="shared" ca="1" si="231"/>
        <v>8</v>
      </c>
      <c r="D390" s="1">
        <f ca="1">MIN($D$3,VLOOKUP(C390,OP!$S$30:$T$41,2))</f>
        <v>2</v>
      </c>
      <c r="E390" s="1">
        <f t="shared" ca="1" si="232"/>
        <v>87</v>
      </c>
      <c r="F390" s="11" t="str">
        <f t="shared" ca="1" si="237"/>
        <v/>
      </c>
      <c r="G390" s="8">
        <f t="shared" ca="1" si="238"/>
        <v>365</v>
      </c>
      <c r="H390" s="8">
        <f t="shared" ca="1" si="239"/>
        <v>31</v>
      </c>
      <c r="I390" s="8" t="str">
        <f t="shared" ca="1" si="235"/>
        <v>338</v>
      </c>
      <c r="J390" s="13">
        <f>IF(繳費報酬率資料!$A$1=1,VALUE(OP!$C$121),VLOOKUP(A390,MP,2,0))</f>
        <v>0.05</v>
      </c>
      <c r="K390" s="14">
        <f ca="1">IF(SUM($K$4:K389,IF(繳費報酬率資料!$A$1=1,$AU390+$AV390,$BB390+$BC390))&gt;OP!$L$58,0,IF(繳費報酬率資料!$A$1=1,$AU390+$AV390,$BB390+$BC390))</f>
        <v>0</v>
      </c>
      <c r="L390" s="2"/>
      <c r="M390" s="2"/>
      <c r="N390" s="2"/>
      <c r="O390" s="261">
        <f t="shared" ca="1" si="240"/>
        <v>0</v>
      </c>
      <c r="P390" s="261">
        <f t="shared" ref="P390:P453" ca="1" si="258">IF(MAX(Z389:AB389)=0,0,P389)</f>
        <v>0</v>
      </c>
      <c r="Q390" s="3">
        <f ca="1">IF(A390&gt;MAX(OP!$R$17:$R$26),0,VLOOKUP(A390,fees,3,FALSE))</f>
        <v>0</v>
      </c>
      <c r="R390" s="200" t="str">
        <f t="shared" ca="1" si="241"/>
        <v/>
      </c>
      <c r="S390" s="9" t="str">
        <f ca="1">IF(COUNTIF(($T$4:T389),"F")&gt;=1,"",IF(OR(C391&lt;&gt;$C$3,E390=""),"",A390))</f>
        <v/>
      </c>
      <c r="T390" s="20" t="str">
        <f t="shared" ca="1" si="233"/>
        <v/>
      </c>
      <c r="U390" s="2">
        <f ca="1">IF(IF(OP!$C$83=1,$Z389,IF(OP!$C$83=2,$AA389,IF(OP!$C$83=3,$AB389,)))+$K390-$O390-$P390-$AS390&lt;OP!$C$142,0,$AS390)</f>
        <v>0</v>
      </c>
      <c r="V390" s="9"/>
      <c r="W390" s="19">
        <f ca="1">MAX(SUM($K$4:K390),0)</f>
        <v>2000000</v>
      </c>
      <c r="X390" s="19"/>
      <c r="Y390" s="19">
        <f t="shared" ref="Y390:Y453" ca="1" si="259">Y389+K390-O390</f>
        <v>1920000</v>
      </c>
      <c r="Z390" s="2">
        <f ca="1">IF(MIN($Z$4:Z389)=0,0,MAX(0,($Z389+$K390-$O390-$P390)*IF(AND(F390="F",$D$3&lt;&gt;$G$3),((1+(-J390))^(H390/MIN(G390,365))),((1+(-J390))^(1/12)))-$U390))</f>
        <v>367187.17109222128</v>
      </c>
      <c r="AA390" s="2">
        <f ca="1">IF(MIN($AA$4:AA389)=0,0,MAX(0,($AA389+$K390-$O390-$P390)*IF(AND(F390="F",$D$3&lt;&gt;$G$3),((1+$AA$1)^(H390/MIN(G390,365))),((1+$AA$1)^(1/12)))-$U390))</f>
        <v>1920000</v>
      </c>
      <c r="AB390" s="2">
        <f ca="1">IF(MIN($AB$4:AB389)=0,0,MAX(0,($AB389+$K390-$O390-$P390)*IF(AND(F390="F",$D$3&lt;&gt;$G$3),((1+(J390))^(H390/MIN(G390,365))),((1+(J390))^(1/12)))-$U390))</f>
        <v>9260962.4589063432</v>
      </c>
      <c r="AC390" s="5"/>
      <c r="AD390" s="5"/>
      <c r="AE390" s="5"/>
      <c r="AF390" s="282">
        <f t="shared" ca="1" si="242"/>
        <v>367187</v>
      </c>
      <c r="AG390" s="282">
        <f t="shared" ca="1" si="243"/>
        <v>1920000</v>
      </c>
      <c r="AH390" s="282">
        <f t="shared" ca="1" si="244"/>
        <v>9260962</v>
      </c>
      <c r="AI390" s="23" t="str">
        <f t="shared" ca="1" si="225"/>
        <v>33-4</v>
      </c>
      <c r="AJ390" s="282">
        <f ca="1">IF(E390&gt;111,,IF(AND(OP!$C$99=1,T390="F"),Z390,IF(AND(OP!$C$99=2,COUNTIF($T$4:T390,"F")=1),OP!$C$97+IF(F390="F",OP!$C$98,0),"")))</f>
        <v>54527</v>
      </c>
      <c r="AK390" s="282">
        <f ca="1">IF(E390&gt;111,,IF(AND(OP!$D$99=1,T390="F"),AA390,IF(AND(OP!$D$99=2,COUNTIF($T$4:T390,"F")=1),OP!$D$97+IF(F390="F",OP!$D$98,0),"")))</f>
        <v>74177</v>
      </c>
      <c r="AL390" s="282">
        <f ca="1">IF(E390&gt;111,,IF(AND(OP!$E$99=1,T390="F"),AB390,IF(AND(OP!$E$99=2,COUNTIF($T$4:T390,"F")=1),OP!$E$97+IF(F390="F",OP!$E$98,0),"")))</f>
        <v>99404</v>
      </c>
      <c r="AM390" s="1">
        <f t="shared" ca="1" si="234"/>
        <v>4</v>
      </c>
      <c r="AN390" s="1" t="e">
        <f ca="1">IF(OR(VLOOKUP($A390,MP,5,0)="月繳"),1,"")</f>
        <v>#N/A</v>
      </c>
      <c r="AO390" s="1">
        <f t="shared" ca="1" si="245"/>
        <v>0</v>
      </c>
      <c r="AP390" s="1" t="str">
        <f ca="1">IF(AND(A390&lt;=OP!$C$120,COUNTIF(PAY,C390)=1),1,"")</f>
        <v/>
      </c>
      <c r="AR390" s="301">
        <f ca="1">IF(繳費報酬率資料!$A$1=1,$AY390+$AZ390,$BF390+$BG390)</f>
        <v>0</v>
      </c>
      <c r="AS390" s="1">
        <f ca="1">IF(C390&lt;&gt;IF($C$3=1,12,$C$3-1),0,IF(繳費報酬率資料!$A$1&lt;&gt;1,VLOOKUP($A390,MP,8,0),IF(AND($A390&gt;=OP!$C$79,$A390&lt;=OP!$C$80),OP!$C$78,)))</f>
        <v>0</v>
      </c>
      <c r="AT390" s="298">
        <f t="shared" ca="1" si="246"/>
        <v>0</v>
      </c>
      <c r="AU390" s="298">
        <f ca="1">IF(AND(A390&lt;=OP!$C$120,COUNTIF(PAY,C390)=1),OP!$C$123,0)</f>
        <v>0</v>
      </c>
      <c r="AV390" s="298">
        <f ca="1">IF(AND(A390&gt;=OP!$C$132,A390&lt;=OP!$C$133,$C$3=C390),OP!$C$135,0)</f>
        <v>0</v>
      </c>
      <c r="AW390" s="180">
        <f t="shared" ca="1" si="247"/>
        <v>0.05</v>
      </c>
      <c r="AX390" s="180">
        <f t="shared" ca="1" si="248"/>
        <v>0.05</v>
      </c>
      <c r="AY390" s="286">
        <f t="shared" ca="1" si="249"/>
        <v>0</v>
      </c>
      <c r="AZ390" s="286">
        <f t="shared" ca="1" si="250"/>
        <v>0</v>
      </c>
      <c r="BA390" s="286">
        <f t="shared" ca="1" si="251"/>
        <v>0</v>
      </c>
      <c r="BB390" s="286">
        <f t="shared" ca="1" si="252"/>
        <v>0</v>
      </c>
      <c r="BC390" s="286">
        <f t="shared" ca="1" si="253"/>
        <v>0</v>
      </c>
      <c r="BD390" s="180">
        <f t="shared" ca="1" si="254"/>
        <v>0.05</v>
      </c>
      <c r="BE390" s="180">
        <f t="shared" ca="1" si="255"/>
        <v>0.05</v>
      </c>
      <c r="BF390" s="286">
        <f t="shared" ca="1" si="256"/>
        <v>0</v>
      </c>
      <c r="BG390" s="286">
        <f t="shared" ca="1" si="257"/>
        <v>0</v>
      </c>
    </row>
    <row r="391" spans="1:59">
      <c r="A391" s="1">
        <f t="shared" ca="1" si="236"/>
        <v>33</v>
      </c>
      <c r="B391" s="1">
        <f t="shared" ca="1" si="230"/>
        <v>138</v>
      </c>
      <c r="C391" s="1">
        <f t="shared" ca="1" si="231"/>
        <v>9</v>
      </c>
      <c r="D391" s="1">
        <f ca="1">MIN($D$3,VLOOKUP(C391,OP!$S$30:$T$41,2))</f>
        <v>2</v>
      </c>
      <c r="E391" s="1">
        <f t="shared" ca="1" si="232"/>
        <v>87</v>
      </c>
      <c r="F391" s="11" t="str">
        <f t="shared" ca="1" si="237"/>
        <v/>
      </c>
      <c r="G391" s="8">
        <f t="shared" ca="1" si="238"/>
        <v>365</v>
      </c>
      <c r="H391" s="8">
        <f t="shared" ca="1" si="239"/>
        <v>30</v>
      </c>
      <c r="I391" s="8" t="str">
        <f t="shared" ca="1" si="235"/>
        <v>339</v>
      </c>
      <c r="J391" s="13">
        <f>IF(繳費報酬率資料!$A$1=1,VALUE(OP!$C$121),VLOOKUP(A391,MP,2,0))</f>
        <v>0.05</v>
      </c>
      <c r="K391" s="14">
        <f ca="1">IF(SUM($K$4:K390,IF(繳費報酬率資料!$A$1=1,$AU391+$AV391,$BB391+$BC391))&gt;OP!$L$58,0,IF(繳費報酬率資料!$A$1=1,$AU391+$AV391,$BB391+$BC391))</f>
        <v>0</v>
      </c>
      <c r="L391" s="2"/>
      <c r="M391" s="2"/>
      <c r="N391" s="2"/>
      <c r="O391" s="261">
        <f t="shared" ca="1" si="240"/>
        <v>0</v>
      </c>
      <c r="P391" s="261">
        <f t="shared" ca="1" si="258"/>
        <v>0</v>
      </c>
      <c r="Q391" s="3">
        <f ca="1">IF(A391&gt;MAX(OP!$R$17:$R$26),0,VLOOKUP(A391,fees,3,FALSE))</f>
        <v>0</v>
      </c>
      <c r="R391" s="200" t="str">
        <f t="shared" ca="1" si="241"/>
        <v/>
      </c>
      <c r="S391" s="9" t="str">
        <f ca="1">IF(COUNTIF(($T$4:T390),"F")&gt;=1,"",IF(OR(C392&lt;&gt;$C$3,E391=""),"",A391))</f>
        <v/>
      </c>
      <c r="T391" s="20" t="str">
        <f t="shared" ca="1" si="233"/>
        <v/>
      </c>
      <c r="U391" s="2">
        <f ca="1">IF(IF(OP!$C$83=1,$Z390,IF(OP!$C$83=2,$AA390,IF(OP!$C$83=3,$AB390,)))+$K391-$O391-$P391-$AS391&lt;OP!$C$142,0,$AS391)</f>
        <v>0</v>
      </c>
      <c r="V391" s="9"/>
      <c r="W391" s="19">
        <f ca="1">MAX(SUM($K$4:K391),0)</f>
        <v>2000000</v>
      </c>
      <c r="X391" s="19"/>
      <c r="Y391" s="19">
        <f t="shared" ca="1" si="259"/>
        <v>1920000</v>
      </c>
      <c r="Z391" s="2">
        <f ca="1">IF(MIN($Z$4:Z390)=0,0,MAX(0,($Z390+$K391-$O391-$P391)*IF(AND(F391="F",$D$3&lt;&gt;$G$3),((1+(-J391))^(H391/MIN(G391,365))),((1+(-J391))^(1/12)))-$U391))</f>
        <v>365621.00075648224</v>
      </c>
      <c r="AA391" s="2">
        <f ca="1">IF(MIN($AA$4:AA390)=0,0,MAX(0,($AA390+$K391-$O391-$P391)*IF(AND(F391="F",$D$3&lt;&gt;$G$3),((1+$AA$1)^(H391/MIN(G391,365))),((1+$AA$1)^(1/12)))-$U391))</f>
        <v>1920000</v>
      </c>
      <c r="AB391" s="2">
        <f ca="1">IF(MIN($AB$4:AB390)=0,0,MAX(0,($AB390+$K391-$O391-$P391)*IF(AND(F391="F",$D$3&lt;&gt;$G$3),((1+(J391))^(H391/MIN(G391,365))),((1+(J391))^(1/12)))-$U391))</f>
        <v>9298692.7663196474</v>
      </c>
      <c r="AC391" s="5"/>
      <c r="AD391" s="5"/>
      <c r="AE391" s="5"/>
      <c r="AF391" s="282">
        <f t="shared" ca="1" si="242"/>
        <v>365621</v>
      </c>
      <c r="AG391" s="282">
        <f t="shared" ca="1" si="243"/>
        <v>1920000</v>
      </c>
      <c r="AH391" s="282">
        <f t="shared" ca="1" si="244"/>
        <v>9298693</v>
      </c>
      <c r="AI391" s="23" t="str">
        <f t="shared" ca="1" si="225"/>
        <v>33-5</v>
      </c>
      <c r="AJ391" s="282">
        <f ca="1">IF(E391&gt;111,,IF(AND(OP!$C$99=1,T391="F"),Z391,IF(AND(OP!$C$99=2,COUNTIF($T$4:T391,"F")=1),OP!$C$97+IF(F391="F",OP!$C$98,0),"")))</f>
        <v>54527</v>
      </c>
      <c r="AK391" s="282">
        <f ca="1">IF(E391&gt;111,,IF(AND(OP!$D$99=1,T391="F"),AA391,IF(AND(OP!$D$99=2,COUNTIF($T$4:T391,"F")=1),OP!$D$97+IF(F391="F",OP!$D$98,0),"")))</f>
        <v>74177</v>
      </c>
      <c r="AL391" s="282">
        <f ca="1">IF(E391&gt;111,,IF(AND(OP!$E$99=1,T391="F"),AB391,IF(AND(OP!$E$99=2,COUNTIF($T$4:T391,"F")=1),OP!$E$97+IF(F391="F",OP!$E$98,0),"")))</f>
        <v>99404</v>
      </c>
      <c r="AM391" s="1">
        <f t="shared" ca="1" si="234"/>
        <v>5</v>
      </c>
      <c r="AN391" s="1" t="e">
        <f ca="1">IF(OR(VLOOKUP($A391,MP,5,0)="季繳",VLOOKUP($A391,MP,5,0)="月繳"),1,"")</f>
        <v>#N/A</v>
      </c>
      <c r="AO391" s="1">
        <f t="shared" ca="1" si="245"/>
        <v>0</v>
      </c>
      <c r="AP391" s="1" t="str">
        <f ca="1">IF(AND(A391&lt;=OP!$C$120,COUNTIF(PAY,C391)=1),1,"")</f>
        <v/>
      </c>
      <c r="AR391" s="301">
        <f ca="1">IF(繳費報酬率資料!$A$1=1,$AY391+$AZ391,$BF391+$BG391)</f>
        <v>0</v>
      </c>
      <c r="AS391" s="1">
        <f ca="1">IF(C391&lt;&gt;IF($C$3=1,12,$C$3-1),0,IF(繳費報酬率資料!$A$1&lt;&gt;1,VLOOKUP($A391,MP,8,0),IF(AND($A391&gt;=OP!$C$79,$A391&lt;=OP!$C$80),OP!$C$78,)))</f>
        <v>0</v>
      </c>
      <c r="AT391" s="298">
        <f t="shared" ca="1" si="246"/>
        <v>0</v>
      </c>
      <c r="AU391" s="298">
        <f ca="1">IF(AND(A391&lt;=OP!$C$120,COUNTIF(PAY,C391)=1),OP!$C$123,0)</f>
        <v>0</v>
      </c>
      <c r="AV391" s="298">
        <f ca="1">IF(AND(A391&gt;=OP!$C$132,A391&lt;=OP!$C$133,$C$3=C391),OP!$C$135,0)</f>
        <v>0</v>
      </c>
      <c r="AW391" s="180">
        <f t="shared" ca="1" si="247"/>
        <v>0.05</v>
      </c>
      <c r="AX391" s="180">
        <f t="shared" ca="1" si="248"/>
        <v>0.05</v>
      </c>
      <c r="AY391" s="286">
        <f t="shared" ca="1" si="249"/>
        <v>0</v>
      </c>
      <c r="AZ391" s="286">
        <f t="shared" ca="1" si="250"/>
        <v>0</v>
      </c>
      <c r="BA391" s="286">
        <f t="shared" ca="1" si="251"/>
        <v>0</v>
      </c>
      <c r="BB391" s="286">
        <f t="shared" ca="1" si="252"/>
        <v>0</v>
      </c>
      <c r="BC391" s="286">
        <f t="shared" ca="1" si="253"/>
        <v>0</v>
      </c>
      <c r="BD391" s="180">
        <f t="shared" ca="1" si="254"/>
        <v>0.05</v>
      </c>
      <c r="BE391" s="180">
        <f t="shared" ca="1" si="255"/>
        <v>0.05</v>
      </c>
      <c r="BF391" s="286">
        <f t="shared" ca="1" si="256"/>
        <v>0</v>
      </c>
      <c r="BG391" s="286">
        <f t="shared" ca="1" si="257"/>
        <v>0</v>
      </c>
    </row>
    <row r="392" spans="1:59">
      <c r="A392" s="1">
        <f t="shared" ca="1" si="236"/>
        <v>33</v>
      </c>
      <c r="B392" s="1">
        <f t="shared" ca="1" si="230"/>
        <v>138</v>
      </c>
      <c r="C392" s="1">
        <f t="shared" ca="1" si="231"/>
        <v>10</v>
      </c>
      <c r="D392" s="1">
        <f ca="1">MIN($D$3,VLOOKUP(C392,OP!$S$30:$T$41,2))</f>
        <v>2</v>
      </c>
      <c r="E392" s="1">
        <f t="shared" ca="1" si="232"/>
        <v>87</v>
      </c>
      <c r="F392" s="11" t="str">
        <f t="shared" ca="1" si="237"/>
        <v/>
      </c>
      <c r="G392" s="8">
        <f t="shared" ca="1" si="238"/>
        <v>365</v>
      </c>
      <c r="H392" s="8">
        <f t="shared" ca="1" si="239"/>
        <v>31</v>
      </c>
      <c r="I392" s="8" t="str">
        <f t="shared" ca="1" si="235"/>
        <v>3310</v>
      </c>
      <c r="J392" s="13">
        <f>IF(繳費報酬率資料!$A$1=1,VALUE(OP!$C$121),VLOOKUP(A392,MP,2,0))</f>
        <v>0.05</v>
      </c>
      <c r="K392" s="14">
        <f ca="1">IF(SUM($K$4:K391,IF(繳費報酬率資料!$A$1=1,$AU392+$AV392,$BB392+$BC392))&gt;OP!$L$58,0,IF(繳費報酬率資料!$A$1=1,$AU392+$AV392,$BB392+$BC392))</f>
        <v>0</v>
      </c>
      <c r="L392" s="2"/>
      <c r="M392" s="2"/>
      <c r="N392" s="2"/>
      <c r="O392" s="261">
        <f t="shared" ca="1" si="240"/>
        <v>0</v>
      </c>
      <c r="P392" s="261">
        <f t="shared" ca="1" si="258"/>
        <v>0</v>
      </c>
      <c r="Q392" s="3">
        <f ca="1">IF(A392&gt;MAX(OP!$R$17:$R$26),0,VLOOKUP(A392,fees,3,FALSE))</f>
        <v>0</v>
      </c>
      <c r="R392" s="200" t="str">
        <f t="shared" ca="1" si="241"/>
        <v/>
      </c>
      <c r="S392" s="9" t="str">
        <f ca="1">IF(COUNTIF(($T$4:T391),"F")&gt;=1,"",IF(OR(C393&lt;&gt;$C$3,E392=""),"",A392))</f>
        <v/>
      </c>
      <c r="T392" s="20" t="str">
        <f t="shared" ca="1" si="233"/>
        <v/>
      </c>
      <c r="U392" s="2">
        <f ca="1">IF(IF(OP!$C$83=1,$Z391,IF(OP!$C$83=2,$AA391,IF(OP!$C$83=3,$AB391,)))+$K392-$O392-$P392-$AS392&lt;OP!$C$142,0,$AS392)</f>
        <v>0</v>
      </c>
      <c r="V392" s="9"/>
      <c r="W392" s="19">
        <f ca="1">MAX(SUM($K$4:K392),0)</f>
        <v>2000000</v>
      </c>
      <c r="X392" s="19"/>
      <c r="Y392" s="19">
        <f t="shared" ca="1" si="259"/>
        <v>1920000</v>
      </c>
      <c r="Z392" s="2">
        <f ca="1">IF(MIN($Z$4:Z391)=0,0,MAX(0,($Z391+$K392-$O392-$P392)*IF(AND(F392="F",$D$3&lt;&gt;$G$3),((1+(-J392))^(H392/MIN(G392,365))),((1+(-J392))^(1/12)))-$U392))</f>
        <v>364061.51063648512</v>
      </c>
      <c r="AA392" s="2">
        <f ca="1">IF(MIN($AA$4:AA391)=0,0,MAX(0,($AA391+$K392-$O392-$P392)*IF(AND(F392="F",$D$3&lt;&gt;$G$3),((1+$AA$1)^(H392/MIN(G392,365))),((1+$AA$1)^(1/12)))-$U392))</f>
        <v>1920000</v>
      </c>
      <c r="AB392" s="2">
        <f ca="1">IF(MIN($AB$4:AB391)=0,0,MAX(0,($AB391+$K392-$O392-$P392)*IF(AND(F392="F",$D$3&lt;&gt;$G$3),((1+(J392))^(H392/MIN(G392,365))),((1+(J392))^(1/12)))-$U392))</f>
        <v>9336576.7916757483</v>
      </c>
      <c r="AC392" s="5"/>
      <c r="AD392" s="5"/>
      <c r="AE392" s="5"/>
      <c r="AF392" s="282">
        <f t="shared" ca="1" si="242"/>
        <v>364062</v>
      </c>
      <c r="AG392" s="282">
        <f t="shared" ca="1" si="243"/>
        <v>1920000</v>
      </c>
      <c r="AH392" s="282">
        <f t="shared" ca="1" si="244"/>
        <v>9336577</v>
      </c>
      <c r="AI392" s="23" t="str">
        <f t="shared" ca="1" si="225"/>
        <v>33-6</v>
      </c>
      <c r="AJ392" s="282">
        <f ca="1">IF(E392&gt;111,,IF(AND(OP!$C$99=1,T392="F"),Z392,IF(AND(OP!$C$99=2,COUNTIF($T$4:T392,"F")=1),OP!$C$97+IF(F392="F",OP!$C$98,0),"")))</f>
        <v>54527</v>
      </c>
      <c r="AK392" s="282">
        <f ca="1">IF(E392&gt;111,,IF(AND(OP!$D$99=1,T392="F"),AA392,IF(AND(OP!$D$99=2,COUNTIF($T$4:T392,"F")=1),OP!$D$97+IF(F392="F",OP!$D$98,0),"")))</f>
        <v>74177</v>
      </c>
      <c r="AL392" s="282">
        <f ca="1">IF(E392&gt;111,,IF(AND(OP!$E$99=1,T392="F"),AB392,IF(AND(OP!$E$99=2,COUNTIF($T$4:T392,"F")=1),OP!$E$97+IF(F392="F",OP!$E$98,0),"")))</f>
        <v>99404</v>
      </c>
      <c r="AM392" s="1">
        <f t="shared" ca="1" si="234"/>
        <v>6</v>
      </c>
      <c r="AN392" s="1" t="e">
        <f ca="1">IF(OR(VLOOKUP($A392,MP,5,0)="月繳"),1,"")</f>
        <v>#N/A</v>
      </c>
      <c r="AO392" s="1">
        <f t="shared" ca="1" si="245"/>
        <v>0</v>
      </c>
      <c r="AP392" s="1" t="str">
        <f ca="1">IF(AND(A392&lt;=OP!$C$120,COUNTIF(PAY,C392)=1),1,"")</f>
        <v/>
      </c>
      <c r="AR392" s="301">
        <f ca="1">IF(繳費報酬率資料!$A$1=1,$AY392+$AZ392,$BF392+$BG392)</f>
        <v>0</v>
      </c>
      <c r="AS392" s="1">
        <f ca="1">IF(C392&lt;&gt;IF($C$3=1,12,$C$3-1),0,IF(繳費報酬率資料!$A$1&lt;&gt;1,VLOOKUP($A392,MP,8,0),IF(AND($A392&gt;=OP!$C$79,$A392&lt;=OP!$C$80),OP!$C$78,)))</f>
        <v>0</v>
      </c>
      <c r="AT392" s="298">
        <f t="shared" ca="1" si="246"/>
        <v>0</v>
      </c>
      <c r="AU392" s="298">
        <f ca="1">IF(AND(A392&lt;=OP!$C$120,COUNTIF(PAY,C392)=1),OP!$C$123,0)</f>
        <v>0</v>
      </c>
      <c r="AV392" s="298">
        <f ca="1">IF(AND(A392&gt;=OP!$C$132,A392&lt;=OP!$C$133,$C$3=C392),OP!$C$135,0)</f>
        <v>0</v>
      </c>
      <c r="AW392" s="180">
        <f t="shared" ca="1" si="247"/>
        <v>0.05</v>
      </c>
      <c r="AX392" s="180">
        <f t="shared" ca="1" si="248"/>
        <v>0.05</v>
      </c>
      <c r="AY392" s="286">
        <f t="shared" ca="1" si="249"/>
        <v>0</v>
      </c>
      <c r="AZ392" s="286">
        <f t="shared" ca="1" si="250"/>
        <v>0</v>
      </c>
      <c r="BA392" s="286">
        <f t="shared" ca="1" si="251"/>
        <v>0</v>
      </c>
      <c r="BB392" s="286">
        <f t="shared" ca="1" si="252"/>
        <v>0</v>
      </c>
      <c r="BC392" s="286">
        <f t="shared" ca="1" si="253"/>
        <v>0</v>
      </c>
      <c r="BD392" s="180">
        <f t="shared" ca="1" si="254"/>
        <v>0.05</v>
      </c>
      <c r="BE392" s="180">
        <f t="shared" ca="1" si="255"/>
        <v>0.05</v>
      </c>
      <c r="BF392" s="286">
        <f t="shared" ca="1" si="256"/>
        <v>0</v>
      </c>
      <c r="BG392" s="286">
        <f t="shared" ca="1" si="257"/>
        <v>0</v>
      </c>
    </row>
    <row r="393" spans="1:59">
      <c r="A393" s="1">
        <f t="shared" ca="1" si="236"/>
        <v>33</v>
      </c>
      <c r="B393" s="1">
        <f t="shared" ca="1" si="230"/>
        <v>138</v>
      </c>
      <c r="C393" s="1">
        <f t="shared" ca="1" si="231"/>
        <v>11</v>
      </c>
      <c r="D393" s="1">
        <f ca="1">MIN($D$3,VLOOKUP(C393,OP!$S$30:$T$41,2))</f>
        <v>2</v>
      </c>
      <c r="E393" s="1">
        <f t="shared" ca="1" si="232"/>
        <v>87</v>
      </c>
      <c r="F393" s="11" t="str">
        <f t="shared" ca="1" si="237"/>
        <v/>
      </c>
      <c r="G393" s="8">
        <f t="shared" ca="1" si="238"/>
        <v>365</v>
      </c>
      <c r="H393" s="8">
        <f t="shared" ca="1" si="239"/>
        <v>30</v>
      </c>
      <c r="I393" s="8" t="str">
        <f t="shared" ca="1" si="235"/>
        <v>3311</v>
      </c>
      <c r="J393" s="13">
        <f>IF(繳費報酬率資料!$A$1=1,VALUE(OP!$C$121),VLOOKUP(A393,MP,2,0))</f>
        <v>0.05</v>
      </c>
      <c r="K393" s="14">
        <f ca="1">IF(SUM($K$4:K392,IF(繳費報酬率資料!$A$1=1,$AU393+$AV393,$BB393+$BC393))&gt;OP!$L$58,0,IF(繳費報酬率資料!$A$1=1,$AU393+$AV393,$BB393+$BC393))</f>
        <v>0</v>
      </c>
      <c r="L393" s="2"/>
      <c r="M393" s="2"/>
      <c r="N393" s="2"/>
      <c r="O393" s="261">
        <f t="shared" ca="1" si="240"/>
        <v>0</v>
      </c>
      <c r="P393" s="261">
        <f t="shared" ca="1" si="258"/>
        <v>0</v>
      </c>
      <c r="Q393" s="3">
        <f ca="1">IF(A393&gt;MAX(OP!$R$17:$R$26),0,VLOOKUP(A393,fees,3,FALSE))</f>
        <v>0</v>
      </c>
      <c r="R393" s="200" t="str">
        <f t="shared" ca="1" si="241"/>
        <v/>
      </c>
      <c r="S393" s="9" t="str">
        <f ca="1">IF(COUNTIF(($T$4:T392),"F")&gt;=1,"",IF(OR(C394&lt;&gt;$C$3,E393=""),"",A393))</f>
        <v/>
      </c>
      <c r="T393" s="20" t="str">
        <f t="shared" ca="1" si="233"/>
        <v/>
      </c>
      <c r="U393" s="2">
        <f ca="1">IF(IF(OP!$C$83=1,$Z392,IF(OP!$C$83=2,$AA392,IF(OP!$C$83=3,$AB392,)))+$K393-$O393-$P393-$AS393&lt;OP!$C$142,0,$AS393)</f>
        <v>0</v>
      </c>
      <c r="V393" s="9"/>
      <c r="W393" s="19">
        <f ca="1">MAX(SUM($K$4:K393),0)</f>
        <v>2000000</v>
      </c>
      <c r="X393" s="19"/>
      <c r="Y393" s="19">
        <f t="shared" ca="1" si="259"/>
        <v>1920000</v>
      </c>
      <c r="Z393" s="2">
        <f ca="1">IF(MIN($Z$4:Z392)=0,0,MAX(0,($Z392+$K393-$O393-$P393)*IF(AND(F393="F",$D$3&lt;&gt;$G$3),((1+(-J393))^(H393/MIN(G393,365))),((1+(-J393))^(1/12)))-$U393))</f>
        <v>362508.67223898025</v>
      </c>
      <c r="AA393" s="2">
        <f ca="1">IF(MIN($AA$4:AA392)=0,0,MAX(0,($AA392+$K393-$O393-$P393)*IF(AND(F393="F",$D$3&lt;&gt;$G$3),((1+$AA$1)^(H393/MIN(G393,365))),((1+$AA$1)^(1/12)))-$U393))</f>
        <v>1920000</v>
      </c>
      <c r="AB393" s="2">
        <f ca="1">IF(MIN($AB$4:AB392)=0,0,MAX(0,($AB392+$K393-$O393-$P393)*IF(AND(F393="F",$D$3&lt;&gt;$G$3),((1+(J393))^(H393/MIN(G393,365))),((1+(J393))^(1/12)))-$U393))</f>
        <v>9374615.161240574</v>
      </c>
      <c r="AC393" s="5"/>
      <c r="AD393" s="5"/>
      <c r="AE393" s="5"/>
      <c r="AF393" s="282">
        <f t="shared" ca="1" si="242"/>
        <v>362509</v>
      </c>
      <c r="AG393" s="282">
        <f t="shared" ca="1" si="243"/>
        <v>1920000</v>
      </c>
      <c r="AH393" s="282">
        <f t="shared" ca="1" si="244"/>
        <v>9374615</v>
      </c>
      <c r="AI393" s="23" t="str">
        <f t="shared" ca="1" si="225"/>
        <v>33-7</v>
      </c>
      <c r="AJ393" s="282">
        <f ca="1">IF(E393&gt;111,,IF(AND(OP!$C$99=1,T393="F"),Z393,IF(AND(OP!$C$99=2,COUNTIF($T$4:T393,"F")=1),OP!$C$97+IF(F393="F",OP!$C$98,0),"")))</f>
        <v>54527</v>
      </c>
      <c r="AK393" s="282">
        <f ca="1">IF(E393&gt;111,,IF(AND(OP!$D$99=1,T393="F"),AA393,IF(AND(OP!$D$99=2,COUNTIF($T$4:T393,"F")=1),OP!$D$97+IF(F393="F",OP!$D$98,0),"")))</f>
        <v>74177</v>
      </c>
      <c r="AL393" s="282">
        <f ca="1">IF(E393&gt;111,,IF(AND(OP!$E$99=1,T393="F"),AB393,IF(AND(OP!$E$99=2,COUNTIF($T$4:T393,"F")=1),OP!$E$97+IF(F393="F",OP!$E$98,0),"")))</f>
        <v>99404</v>
      </c>
      <c r="AM393" s="1">
        <f t="shared" ca="1" si="234"/>
        <v>7</v>
      </c>
      <c r="AN393" s="1" t="e">
        <f ca="1">IF(OR(VLOOKUP($A393,MP,5,0)="月繳"),1,"")</f>
        <v>#N/A</v>
      </c>
      <c r="AO393" s="1">
        <f t="shared" ca="1" si="245"/>
        <v>0</v>
      </c>
      <c r="AP393" s="1" t="str">
        <f ca="1">IF(AND(A393&lt;=OP!$C$120,COUNTIF(PAY,C393)=1),1,"")</f>
        <v/>
      </c>
      <c r="AR393" s="301">
        <f ca="1">IF(繳費報酬率資料!$A$1=1,$AY393+$AZ393,$BF393+$BG393)</f>
        <v>0</v>
      </c>
      <c r="AS393" s="1">
        <f ca="1">IF(C393&lt;&gt;IF($C$3=1,12,$C$3-1),0,IF(繳費報酬率資料!$A$1&lt;&gt;1,VLOOKUP($A393,MP,8,0),IF(AND($A393&gt;=OP!$C$79,$A393&lt;=OP!$C$80),OP!$C$78,)))</f>
        <v>0</v>
      </c>
      <c r="AT393" s="298">
        <f t="shared" ca="1" si="246"/>
        <v>0</v>
      </c>
      <c r="AU393" s="298">
        <f ca="1">IF(AND(A393&lt;=OP!$C$120,COUNTIF(PAY,C393)=1),OP!$C$123,0)</f>
        <v>0</v>
      </c>
      <c r="AV393" s="298">
        <f ca="1">IF(AND(A393&gt;=OP!$C$132,A393&lt;=OP!$C$133,$C$3=C393),OP!$C$135,0)</f>
        <v>0</v>
      </c>
      <c r="AW393" s="180">
        <f t="shared" ca="1" si="247"/>
        <v>0.05</v>
      </c>
      <c r="AX393" s="180">
        <f t="shared" ca="1" si="248"/>
        <v>0.05</v>
      </c>
      <c r="AY393" s="286">
        <f t="shared" ca="1" si="249"/>
        <v>0</v>
      </c>
      <c r="AZ393" s="286">
        <f t="shared" ca="1" si="250"/>
        <v>0</v>
      </c>
      <c r="BA393" s="286">
        <f t="shared" ca="1" si="251"/>
        <v>0</v>
      </c>
      <c r="BB393" s="286">
        <f t="shared" ca="1" si="252"/>
        <v>0</v>
      </c>
      <c r="BC393" s="286">
        <f t="shared" ca="1" si="253"/>
        <v>0</v>
      </c>
      <c r="BD393" s="180">
        <f t="shared" ca="1" si="254"/>
        <v>0.05</v>
      </c>
      <c r="BE393" s="180">
        <f t="shared" ca="1" si="255"/>
        <v>0.05</v>
      </c>
      <c r="BF393" s="286">
        <f t="shared" ca="1" si="256"/>
        <v>0</v>
      </c>
      <c r="BG393" s="286">
        <f t="shared" ca="1" si="257"/>
        <v>0</v>
      </c>
    </row>
    <row r="394" spans="1:59">
      <c r="A394" s="1">
        <f t="shared" ca="1" si="236"/>
        <v>33</v>
      </c>
      <c r="B394" s="1">
        <f t="shared" ca="1" si="230"/>
        <v>138</v>
      </c>
      <c r="C394" s="1">
        <f t="shared" ca="1" si="231"/>
        <v>12</v>
      </c>
      <c r="D394" s="1">
        <f ca="1">MIN($D$3,VLOOKUP(C394,OP!$S$30:$T$41,2))</f>
        <v>2</v>
      </c>
      <c r="E394" s="1">
        <f t="shared" ca="1" si="232"/>
        <v>87</v>
      </c>
      <c r="F394" s="11" t="str">
        <f t="shared" ca="1" si="237"/>
        <v/>
      </c>
      <c r="G394" s="8">
        <f t="shared" ca="1" si="238"/>
        <v>365</v>
      </c>
      <c r="H394" s="8">
        <f t="shared" ca="1" si="239"/>
        <v>31</v>
      </c>
      <c r="I394" s="8" t="str">
        <f t="shared" ca="1" si="235"/>
        <v>3312</v>
      </c>
      <c r="J394" s="13">
        <f>IF(繳費報酬率資料!$A$1=1,VALUE(OP!$C$121),VLOOKUP(A394,MP,2,0))</f>
        <v>0.05</v>
      </c>
      <c r="K394" s="14">
        <f ca="1">IF(SUM($K$4:K393,IF(繳費報酬率資料!$A$1=1,$AU394+$AV394,$BB394+$BC394))&gt;OP!$L$58,0,IF(繳費報酬率資料!$A$1=1,$AU394+$AV394,$BB394+$BC394))</f>
        <v>0</v>
      </c>
      <c r="L394" s="2"/>
      <c r="M394" s="2"/>
      <c r="N394" s="2"/>
      <c r="O394" s="261">
        <f t="shared" ca="1" si="240"/>
        <v>0</v>
      </c>
      <c r="P394" s="261">
        <f t="shared" ca="1" si="258"/>
        <v>0</v>
      </c>
      <c r="Q394" s="3">
        <f ca="1">IF(A394&gt;MAX(OP!$R$17:$R$26),0,VLOOKUP(A394,fees,3,FALSE))</f>
        <v>0</v>
      </c>
      <c r="R394" s="200" t="str">
        <f t="shared" ca="1" si="241"/>
        <v/>
      </c>
      <c r="S394" s="9" t="str">
        <f ca="1">IF(COUNTIF(($T$4:T393),"F")&gt;=1,"",IF(OR(C395&lt;&gt;$C$3,E394=""),"",A394))</f>
        <v/>
      </c>
      <c r="T394" s="20" t="str">
        <f t="shared" ca="1" si="233"/>
        <v/>
      </c>
      <c r="U394" s="2">
        <f ca="1">IF(IF(OP!$C$83=1,$Z393,IF(OP!$C$83=2,$AA393,IF(OP!$C$83=3,$AB393,)))+$K394-$O394-$P394-$AS394&lt;OP!$C$142,0,$AS394)</f>
        <v>0</v>
      </c>
      <c r="V394" s="9"/>
      <c r="W394" s="19">
        <f ca="1">MAX(SUM($K$4:K394),0)</f>
        <v>2000000</v>
      </c>
      <c r="X394" s="19"/>
      <c r="Y394" s="19">
        <f t="shared" ca="1" si="259"/>
        <v>1920000</v>
      </c>
      <c r="Z394" s="2">
        <f ca="1">IF(MIN($Z$4:Z393)=0,0,MAX(0,($Z393+$K394-$O394-$P394)*IF(AND(F394="F",$D$3&lt;&gt;$G$3),((1+(-J394))^(H394/MIN(G394,365))),((1+(-J394))^(1/12)))-$U394))</f>
        <v>360962.45719225076</v>
      </c>
      <c r="AA394" s="2">
        <f ca="1">IF(MIN($AA$4:AA393)=0,0,MAX(0,($AA393+$K394-$O394-$P394)*IF(AND(F394="F",$D$3&lt;&gt;$G$3),((1+$AA$1)^(H394/MIN(G394,365))),((1+$AA$1)^(1/12)))-$U394))</f>
        <v>1920000</v>
      </c>
      <c r="AB394" s="2">
        <f ca="1">IF(MIN($AB$4:AB393)=0,0,MAX(0,($AB393+$K394-$O394-$P394)*IF(AND(F394="F",$D$3&lt;&gt;$G$3),((1+(J394))^(H394/MIN(G394,365))),((1+(J394))^(1/12)))-$U394))</f>
        <v>9412808.5038315337</v>
      </c>
      <c r="AC394" s="5"/>
      <c r="AD394" s="5"/>
      <c r="AE394" s="5"/>
      <c r="AF394" s="282">
        <f t="shared" ca="1" si="242"/>
        <v>360962</v>
      </c>
      <c r="AG394" s="282">
        <f t="shared" ca="1" si="243"/>
        <v>1920000</v>
      </c>
      <c r="AH394" s="282">
        <f t="shared" ca="1" si="244"/>
        <v>9412809</v>
      </c>
      <c r="AI394" s="23" t="str">
        <f t="shared" ca="1" si="225"/>
        <v>33-8</v>
      </c>
      <c r="AJ394" s="282">
        <f ca="1">IF(E394&gt;111,,IF(AND(OP!$C$99=1,T394="F"),Z394,IF(AND(OP!$C$99=2,COUNTIF($T$4:T394,"F")=1),OP!$C$97+IF(F394="F",OP!$C$98,0),"")))</f>
        <v>54527</v>
      </c>
      <c r="AK394" s="282">
        <f ca="1">IF(E394&gt;111,,IF(AND(OP!$D$99=1,T394="F"),AA394,IF(AND(OP!$D$99=2,COUNTIF($T$4:T394,"F")=1),OP!$D$97+IF(F394="F",OP!$D$98,0),"")))</f>
        <v>74177</v>
      </c>
      <c r="AL394" s="282">
        <f ca="1">IF(E394&gt;111,,IF(AND(OP!$E$99=1,T394="F"),AB394,IF(AND(OP!$E$99=2,COUNTIF($T$4:T394,"F")=1),OP!$E$97+IF(F394="F",OP!$E$98,0),"")))</f>
        <v>99404</v>
      </c>
      <c r="AM394" s="1">
        <f t="shared" ca="1" si="234"/>
        <v>8</v>
      </c>
      <c r="AN394" s="1" t="e">
        <f ca="1">IF(OR(VLOOKUP($A394,MP,5,0)="半年繳",VLOOKUP($A394,MP,5,0)="季繳",VLOOKUP($A394,MP,5,0)="月繳"),1,"")</f>
        <v>#N/A</v>
      </c>
      <c r="AO394" s="1">
        <f t="shared" ca="1" si="245"/>
        <v>0</v>
      </c>
      <c r="AP394" s="1" t="str">
        <f ca="1">IF(AND(A394&lt;=OP!$C$120,COUNTIF(PAY,C394)=1),1,"")</f>
        <v/>
      </c>
      <c r="AR394" s="301">
        <f ca="1">IF(繳費報酬率資料!$A$1=1,$AY394+$AZ394,$BF394+$BG394)</f>
        <v>0</v>
      </c>
      <c r="AS394" s="1">
        <f ca="1">IF(C394&lt;&gt;IF($C$3=1,12,$C$3-1),0,IF(繳費報酬率資料!$A$1&lt;&gt;1,VLOOKUP($A394,MP,8,0),IF(AND($A394&gt;=OP!$C$79,$A394&lt;=OP!$C$80),OP!$C$78,)))</f>
        <v>0</v>
      </c>
      <c r="AT394" s="298">
        <f t="shared" ca="1" si="246"/>
        <v>0</v>
      </c>
      <c r="AU394" s="298">
        <f ca="1">IF(AND(A394&lt;=OP!$C$120,COUNTIF(PAY,C394)=1),OP!$C$123,0)</f>
        <v>0</v>
      </c>
      <c r="AV394" s="298">
        <f ca="1">IF(AND(A394&gt;=OP!$C$132,A394&lt;=OP!$C$133,$C$3=C394),OP!$C$135,0)</f>
        <v>0</v>
      </c>
      <c r="AW394" s="180">
        <f t="shared" ca="1" si="247"/>
        <v>0.05</v>
      </c>
      <c r="AX394" s="180">
        <f t="shared" ca="1" si="248"/>
        <v>0.05</v>
      </c>
      <c r="AY394" s="286">
        <f t="shared" ca="1" si="249"/>
        <v>0</v>
      </c>
      <c r="AZ394" s="286">
        <f t="shared" ca="1" si="250"/>
        <v>0</v>
      </c>
      <c r="BA394" s="286">
        <f t="shared" ca="1" si="251"/>
        <v>0</v>
      </c>
      <c r="BB394" s="286">
        <f t="shared" ca="1" si="252"/>
        <v>0</v>
      </c>
      <c r="BC394" s="286">
        <f t="shared" ca="1" si="253"/>
        <v>0</v>
      </c>
      <c r="BD394" s="180">
        <f t="shared" ca="1" si="254"/>
        <v>0.05</v>
      </c>
      <c r="BE394" s="180">
        <f t="shared" ca="1" si="255"/>
        <v>0.05</v>
      </c>
      <c r="BF394" s="286">
        <f t="shared" ca="1" si="256"/>
        <v>0</v>
      </c>
      <c r="BG394" s="286">
        <f t="shared" ca="1" si="257"/>
        <v>0</v>
      </c>
    </row>
    <row r="395" spans="1:59">
      <c r="A395" s="1">
        <f t="shared" ca="1" si="236"/>
        <v>33</v>
      </c>
      <c r="B395" s="1">
        <f t="shared" ca="1" si="230"/>
        <v>139</v>
      </c>
      <c r="C395" s="1">
        <f t="shared" ca="1" si="231"/>
        <v>1</v>
      </c>
      <c r="D395" s="1">
        <f ca="1">MIN($D$3,VLOOKUP(C395,OP!$S$30:$T$41,2))</f>
        <v>2</v>
      </c>
      <c r="E395" s="1">
        <f t="shared" ca="1" si="232"/>
        <v>87</v>
      </c>
      <c r="F395" s="11" t="str">
        <f t="shared" ca="1" si="237"/>
        <v/>
      </c>
      <c r="G395" s="8">
        <f t="shared" ca="1" si="238"/>
        <v>365</v>
      </c>
      <c r="H395" s="8">
        <f t="shared" ca="1" si="239"/>
        <v>31</v>
      </c>
      <c r="I395" s="8" t="str">
        <f t="shared" ca="1" si="235"/>
        <v>331</v>
      </c>
      <c r="J395" s="13">
        <f>IF(繳費報酬率資料!$A$1=1,VALUE(OP!$C$121),VLOOKUP(A395,MP,2,0))</f>
        <v>0.05</v>
      </c>
      <c r="K395" s="14">
        <f ca="1">IF(SUM($K$4:K394,IF(繳費報酬率資料!$A$1=1,$AU395+$AV395,$BB395+$BC395))&gt;OP!$L$58,0,IF(繳費報酬率資料!$A$1=1,$AU395+$AV395,$BB395+$BC395))</f>
        <v>0</v>
      </c>
      <c r="L395" s="2"/>
      <c r="M395" s="2"/>
      <c r="N395" s="2"/>
      <c r="O395" s="261">
        <f t="shared" ca="1" si="240"/>
        <v>0</v>
      </c>
      <c r="P395" s="261">
        <f t="shared" ca="1" si="258"/>
        <v>0</v>
      </c>
      <c r="Q395" s="3">
        <f ca="1">IF(A395&gt;MAX(OP!$R$17:$R$26),0,VLOOKUP(A395,fees,3,FALSE))</f>
        <v>0</v>
      </c>
      <c r="R395" s="200" t="str">
        <f t="shared" ca="1" si="241"/>
        <v/>
      </c>
      <c r="S395" s="9" t="str">
        <f ca="1">IF(COUNTIF(($T$4:T394),"F")&gt;=1,"",IF(OR(C396&lt;&gt;$C$3,E395=""),"",A395))</f>
        <v/>
      </c>
      <c r="T395" s="20" t="str">
        <f t="shared" ca="1" si="233"/>
        <v/>
      </c>
      <c r="U395" s="2">
        <f ca="1">IF(IF(OP!$C$83=1,$Z394,IF(OP!$C$83=2,$AA394,IF(OP!$C$83=3,$AB394,)))+$K395-$O395-$P395-$AS395&lt;OP!$C$142,0,$AS395)</f>
        <v>0</v>
      </c>
      <c r="V395" s="9"/>
      <c r="W395" s="19">
        <f ca="1">MAX(SUM($K$4:K395),0)</f>
        <v>2000000</v>
      </c>
      <c r="X395" s="19"/>
      <c r="Y395" s="19">
        <f t="shared" ca="1" si="259"/>
        <v>1920000</v>
      </c>
      <c r="Z395" s="2">
        <f ca="1">IF(MIN($Z$4:Z394)=0,0,MAX(0,($Z394+$K395-$O395-$P395)*IF(AND(F395="F",$D$3&lt;&gt;$G$3),((1+(-J395))^(H395/MIN(G395,365))),((1+(-J395))^(1/12)))-$U395))</f>
        <v>359422.83724559424</v>
      </c>
      <c r="AA395" s="2">
        <f ca="1">IF(MIN($AA$4:AA394)=0,0,MAX(0,($AA394+$K395-$O395-$P395)*IF(AND(F395="F",$D$3&lt;&gt;$G$3),((1+$AA$1)^(H395/MIN(G395,365))),((1+$AA$1)^(1/12)))-$U395))</f>
        <v>1920000</v>
      </c>
      <c r="AB395" s="2">
        <f ca="1">IF(MIN($AB$4:AB394)=0,0,MAX(0,($AB394+$K395-$O395-$P395)*IF(AND(F395="F",$D$3&lt;&gt;$G$3),((1+(J395))^(H395/MIN(G395,365))),((1+(J395))^(1/12)))-$U395))</f>
        <v>9451157.4508279208</v>
      </c>
      <c r="AC395" s="5"/>
      <c r="AD395" s="5"/>
      <c r="AE395" s="5"/>
      <c r="AF395" s="282">
        <f t="shared" ca="1" si="242"/>
        <v>359423</v>
      </c>
      <c r="AG395" s="282">
        <f t="shared" ca="1" si="243"/>
        <v>1920000</v>
      </c>
      <c r="AH395" s="282">
        <f t="shared" ca="1" si="244"/>
        <v>9451157</v>
      </c>
      <c r="AI395" s="23" t="str">
        <f t="shared" ca="1" si="225"/>
        <v>33-9</v>
      </c>
      <c r="AJ395" s="282">
        <f ca="1">IF(E395&gt;111,,IF(AND(OP!$C$99=1,T395="F"),Z395,IF(AND(OP!$C$99=2,COUNTIF($T$4:T395,"F")=1),OP!$C$97+IF(F395="F",OP!$C$98,0),"")))</f>
        <v>54527</v>
      </c>
      <c r="AK395" s="282">
        <f ca="1">IF(E395&gt;111,,IF(AND(OP!$D$99=1,T395="F"),AA395,IF(AND(OP!$D$99=2,COUNTIF($T$4:T395,"F")=1),OP!$D$97+IF(F395="F",OP!$D$98,0),"")))</f>
        <v>74177</v>
      </c>
      <c r="AL395" s="282">
        <f ca="1">IF(E395&gt;111,,IF(AND(OP!$E$99=1,T395="F"),AB395,IF(AND(OP!$E$99=2,COUNTIF($T$4:T395,"F")=1),OP!$E$97+IF(F395="F",OP!$E$98,0),"")))</f>
        <v>99404</v>
      </c>
      <c r="AM395" s="1">
        <f t="shared" ca="1" si="234"/>
        <v>9</v>
      </c>
      <c r="AN395" s="1" t="e">
        <f ca="1">IF(OR(VLOOKUP($A395,MP,5,0)="月繳"),1,"")</f>
        <v>#N/A</v>
      </c>
      <c r="AO395" s="1">
        <f t="shared" ca="1" si="245"/>
        <v>0</v>
      </c>
      <c r="AP395" s="1" t="str">
        <f ca="1">IF(AND(A395&lt;=OP!$C$120,COUNTIF(PAY,C395)=1),1,"")</f>
        <v/>
      </c>
      <c r="AR395" s="301">
        <f ca="1">IF(繳費報酬率資料!$A$1=1,$AY395+$AZ395,$BF395+$BG395)</f>
        <v>0</v>
      </c>
      <c r="AS395" s="1">
        <f ca="1">IF(C395&lt;&gt;IF($C$3=1,12,$C$3-1),0,IF(繳費報酬率資料!$A$1&lt;&gt;1,VLOOKUP($A395,MP,8,0),IF(AND($A395&gt;=OP!$C$79,$A395&lt;=OP!$C$80),OP!$C$78,)))</f>
        <v>0</v>
      </c>
      <c r="AT395" s="298">
        <f t="shared" ca="1" si="246"/>
        <v>0</v>
      </c>
      <c r="AU395" s="298">
        <f ca="1">IF(AND(A395&lt;=OP!$C$120,COUNTIF(PAY,C395)=1),OP!$C$123,0)</f>
        <v>0</v>
      </c>
      <c r="AV395" s="298">
        <f ca="1">IF(AND(A395&gt;=OP!$C$132,A395&lt;=OP!$C$133,$C$3=C395),OP!$C$135,0)</f>
        <v>0</v>
      </c>
      <c r="AW395" s="180">
        <f t="shared" ca="1" si="247"/>
        <v>0.05</v>
      </c>
      <c r="AX395" s="180">
        <f t="shared" ca="1" si="248"/>
        <v>0.05</v>
      </c>
      <c r="AY395" s="286">
        <f t="shared" ca="1" si="249"/>
        <v>0</v>
      </c>
      <c r="AZ395" s="286">
        <f t="shared" ca="1" si="250"/>
        <v>0</v>
      </c>
      <c r="BA395" s="286">
        <f t="shared" ca="1" si="251"/>
        <v>0</v>
      </c>
      <c r="BB395" s="286">
        <f t="shared" ca="1" si="252"/>
        <v>0</v>
      </c>
      <c r="BC395" s="286">
        <f t="shared" ca="1" si="253"/>
        <v>0</v>
      </c>
      <c r="BD395" s="180">
        <f t="shared" ca="1" si="254"/>
        <v>0.05</v>
      </c>
      <c r="BE395" s="180">
        <f t="shared" ca="1" si="255"/>
        <v>0.05</v>
      </c>
      <c r="BF395" s="286">
        <f t="shared" ca="1" si="256"/>
        <v>0</v>
      </c>
      <c r="BG395" s="286">
        <f t="shared" ca="1" si="257"/>
        <v>0</v>
      </c>
    </row>
    <row r="396" spans="1:59">
      <c r="A396" s="1">
        <f t="shared" ca="1" si="236"/>
        <v>33</v>
      </c>
      <c r="B396" s="1">
        <f t="shared" ca="1" si="230"/>
        <v>139</v>
      </c>
      <c r="C396" s="1">
        <f t="shared" ca="1" si="231"/>
        <v>2</v>
      </c>
      <c r="D396" s="1">
        <f ca="1">MIN($D$3,VLOOKUP(C396,OP!$S$30:$T$41,2))</f>
        <v>2</v>
      </c>
      <c r="E396" s="1">
        <f t="shared" ca="1" si="232"/>
        <v>87</v>
      </c>
      <c r="F396" s="11" t="str">
        <f t="shared" ca="1" si="237"/>
        <v/>
      </c>
      <c r="G396" s="8">
        <f t="shared" ca="1" si="238"/>
        <v>365</v>
      </c>
      <c r="H396" s="8">
        <f t="shared" ca="1" si="239"/>
        <v>28</v>
      </c>
      <c r="I396" s="8" t="str">
        <f t="shared" ca="1" si="235"/>
        <v>332</v>
      </c>
      <c r="J396" s="13">
        <f>IF(繳費報酬率資料!$A$1=1,VALUE(OP!$C$121),VLOOKUP(A396,MP,2,0))</f>
        <v>0.05</v>
      </c>
      <c r="K396" s="14">
        <f ca="1">IF(SUM($K$4:K395,IF(繳費報酬率資料!$A$1=1,$AU396+$AV396,$BB396+$BC396))&gt;OP!$L$58,0,IF(繳費報酬率資料!$A$1=1,$AU396+$AV396,$BB396+$BC396))</f>
        <v>0</v>
      </c>
      <c r="L396" s="2"/>
      <c r="M396" s="2"/>
      <c r="N396" s="2"/>
      <c r="O396" s="261">
        <f t="shared" ca="1" si="240"/>
        <v>0</v>
      </c>
      <c r="P396" s="261">
        <f t="shared" ca="1" si="258"/>
        <v>0</v>
      </c>
      <c r="Q396" s="3">
        <f ca="1">IF(A396&gt;MAX(OP!$R$17:$R$26),0,VLOOKUP(A396,fees,3,FALSE))</f>
        <v>0</v>
      </c>
      <c r="R396" s="200" t="str">
        <f t="shared" ca="1" si="241"/>
        <v/>
      </c>
      <c r="S396" s="9" t="str">
        <f ca="1">IF(COUNTIF(($T$4:T395),"F")&gt;=1,"",IF(OR(C397&lt;&gt;$C$3,E396=""),"",A396))</f>
        <v/>
      </c>
      <c r="T396" s="20" t="str">
        <f t="shared" ca="1" si="233"/>
        <v/>
      </c>
      <c r="U396" s="2">
        <f ca="1">IF(IF(OP!$C$83=1,$Z395,IF(OP!$C$83=2,$AA395,IF(OP!$C$83=3,$AB395,)))+$K396-$O396-$P396-$AS396&lt;OP!$C$142,0,$AS396)</f>
        <v>0</v>
      </c>
      <c r="V396" s="9"/>
      <c r="W396" s="19">
        <f ca="1">MAX(SUM($K$4:K396),0)</f>
        <v>2000000</v>
      </c>
      <c r="X396" s="19"/>
      <c r="Y396" s="19">
        <f t="shared" ca="1" si="259"/>
        <v>1920000</v>
      </c>
      <c r="Z396" s="2">
        <f ca="1">IF(MIN($Z$4:Z395)=0,0,MAX(0,($Z395+$K396-$O396-$P396)*IF(AND(F396="F",$D$3&lt;&gt;$G$3),((1+(-J396))^(H396/MIN(G396,365))),((1+(-J396))^(1/12)))-$U396))</f>
        <v>357889.78426880651</v>
      </c>
      <c r="AA396" s="2">
        <f ca="1">IF(MIN($AA$4:AA395)=0,0,MAX(0,($AA395+$K396-$O396-$P396)*IF(AND(F396="F",$D$3&lt;&gt;$G$3),((1+$AA$1)^(H396/MIN(G396,365))),((1+$AA$1)^(1/12)))-$U396))</f>
        <v>1920000</v>
      </c>
      <c r="AB396" s="2">
        <f ca="1">IF(MIN($AB$4:AB395)=0,0,MAX(0,($AB395+$K396-$O396-$P396)*IF(AND(F396="F",$D$3&lt;&gt;$G$3),((1+(J396))^(H396/MIN(G396,365))),((1+(J396))^(1/12)))-$U396))</f>
        <v>9489662.6361813433</v>
      </c>
      <c r="AC396" s="5"/>
      <c r="AD396" s="5"/>
      <c r="AE396" s="5"/>
      <c r="AF396" s="282">
        <f t="shared" ca="1" si="242"/>
        <v>357890</v>
      </c>
      <c r="AG396" s="282">
        <f t="shared" ca="1" si="243"/>
        <v>1920000</v>
      </c>
      <c r="AH396" s="282">
        <f t="shared" ca="1" si="244"/>
        <v>9489663</v>
      </c>
      <c r="AI396" s="23" t="str">
        <f t="shared" ref="AI396:AI459" ca="1" si="260">IF($G$3=D397,A397,A396)&amp;"-"&amp;AM396</f>
        <v>33-10</v>
      </c>
      <c r="AJ396" s="282">
        <f ca="1">IF(E396&gt;111,,IF(AND(OP!$C$99=1,T396="F"),Z396,IF(AND(OP!$C$99=2,COUNTIF($T$4:T396,"F")=1),OP!$C$97+IF(F396="F",OP!$C$98,0),"")))</f>
        <v>54527</v>
      </c>
      <c r="AK396" s="282">
        <f ca="1">IF(E396&gt;111,,IF(AND(OP!$D$99=1,T396="F"),AA396,IF(AND(OP!$D$99=2,COUNTIF($T$4:T396,"F")=1),OP!$D$97+IF(F396="F",OP!$D$98,0),"")))</f>
        <v>74177</v>
      </c>
      <c r="AL396" s="282">
        <f ca="1">IF(E396&gt;111,,IF(AND(OP!$E$99=1,T396="F"),AB396,IF(AND(OP!$E$99=2,COUNTIF($T$4:T396,"F")=1),OP!$E$97+IF(F396="F",OP!$E$98,0),"")))</f>
        <v>99404</v>
      </c>
      <c r="AM396" s="1">
        <f t="shared" ca="1" si="234"/>
        <v>10</v>
      </c>
      <c r="AN396" s="1" t="e">
        <f ca="1">IF(OR(VLOOKUP($A396,MP,5,0)="月繳"),1,"")</f>
        <v>#N/A</v>
      </c>
      <c r="AO396" s="1">
        <f t="shared" ca="1" si="245"/>
        <v>0</v>
      </c>
      <c r="AP396" s="1" t="str">
        <f ca="1">IF(AND(A396&lt;=OP!$C$120,COUNTIF(PAY,C396)=1),1,"")</f>
        <v/>
      </c>
      <c r="AR396" s="301">
        <f ca="1">IF(繳費報酬率資料!$A$1=1,$AY396+$AZ396,$BF396+$BG396)</f>
        <v>0</v>
      </c>
      <c r="AS396" s="1">
        <f ca="1">IF(C396&lt;&gt;IF($C$3=1,12,$C$3-1),0,IF(繳費報酬率資料!$A$1&lt;&gt;1,VLOOKUP($A396,MP,8,0),IF(AND($A396&gt;=OP!$C$79,$A396&lt;=OP!$C$80),OP!$C$78,)))</f>
        <v>0</v>
      </c>
      <c r="AT396" s="298">
        <f t="shared" ca="1" si="246"/>
        <v>0</v>
      </c>
      <c r="AU396" s="298">
        <f ca="1">IF(AND(A396&lt;=OP!$C$120,COUNTIF(PAY,C396)=1),OP!$C$123,0)</f>
        <v>0</v>
      </c>
      <c r="AV396" s="298">
        <f ca="1">IF(AND(A396&gt;=OP!$C$132,A396&lt;=OP!$C$133,$C$3=C396),OP!$C$135,0)</f>
        <v>0</v>
      </c>
      <c r="AW396" s="180">
        <f t="shared" ca="1" si="247"/>
        <v>0.05</v>
      </c>
      <c r="AX396" s="180">
        <f t="shared" ca="1" si="248"/>
        <v>0.05</v>
      </c>
      <c r="AY396" s="286">
        <f t="shared" ca="1" si="249"/>
        <v>0</v>
      </c>
      <c r="AZ396" s="286">
        <f t="shared" ca="1" si="250"/>
        <v>0</v>
      </c>
      <c r="BA396" s="286">
        <f t="shared" ca="1" si="251"/>
        <v>0</v>
      </c>
      <c r="BB396" s="286">
        <f t="shared" ca="1" si="252"/>
        <v>0</v>
      </c>
      <c r="BC396" s="286">
        <f t="shared" ca="1" si="253"/>
        <v>0</v>
      </c>
      <c r="BD396" s="180">
        <f t="shared" ca="1" si="254"/>
        <v>0.05</v>
      </c>
      <c r="BE396" s="180">
        <f t="shared" ca="1" si="255"/>
        <v>0.05</v>
      </c>
      <c r="BF396" s="286">
        <f t="shared" ca="1" si="256"/>
        <v>0</v>
      </c>
      <c r="BG396" s="286">
        <f t="shared" ca="1" si="257"/>
        <v>0</v>
      </c>
    </row>
    <row r="397" spans="1:59">
      <c r="A397" s="1">
        <f t="shared" ca="1" si="236"/>
        <v>33</v>
      </c>
      <c r="B397" s="1">
        <f t="shared" ca="1" si="230"/>
        <v>139</v>
      </c>
      <c r="C397" s="1">
        <f t="shared" ca="1" si="231"/>
        <v>3</v>
      </c>
      <c r="D397" s="1">
        <f ca="1">MIN($D$3,VLOOKUP(C397,OP!$S$30:$T$41,2))</f>
        <v>2</v>
      </c>
      <c r="E397" s="1">
        <f t="shared" ca="1" si="232"/>
        <v>87</v>
      </c>
      <c r="F397" s="11" t="str">
        <f t="shared" ca="1" si="237"/>
        <v/>
      </c>
      <c r="G397" s="8">
        <f t="shared" ca="1" si="238"/>
        <v>365</v>
      </c>
      <c r="H397" s="8">
        <f t="shared" ca="1" si="239"/>
        <v>31</v>
      </c>
      <c r="I397" s="8" t="str">
        <f t="shared" ca="1" si="235"/>
        <v>333</v>
      </c>
      <c r="J397" s="13">
        <f>IF(繳費報酬率資料!$A$1=1,VALUE(OP!$C$121),VLOOKUP(A397,MP,2,0))</f>
        <v>0.05</v>
      </c>
      <c r="K397" s="14">
        <f ca="1">IF(SUM($K$4:K396,IF(繳費報酬率資料!$A$1=1,$AU397+$AV397,$BB397+$BC397))&gt;OP!$L$58,0,IF(繳費報酬率資料!$A$1=1,$AU397+$AV397,$BB397+$BC397))</f>
        <v>0</v>
      </c>
      <c r="L397" s="2"/>
      <c r="M397" s="2"/>
      <c r="N397" s="2"/>
      <c r="O397" s="261">
        <f t="shared" ca="1" si="240"/>
        <v>0</v>
      </c>
      <c r="P397" s="261">
        <f t="shared" ca="1" si="258"/>
        <v>0</v>
      </c>
      <c r="Q397" s="3">
        <f ca="1">IF(A397&gt;MAX(OP!$R$17:$R$26),0,VLOOKUP(A397,fees,3,FALSE))</f>
        <v>0</v>
      </c>
      <c r="R397" s="200" t="str">
        <f t="shared" ca="1" si="241"/>
        <v/>
      </c>
      <c r="S397" s="9" t="str">
        <f ca="1">IF(COUNTIF(($T$4:T396),"F")&gt;=1,"",IF(OR(C398&lt;&gt;$C$3,E397=""),"",A397))</f>
        <v/>
      </c>
      <c r="T397" s="20" t="str">
        <f t="shared" ca="1" si="233"/>
        <v/>
      </c>
      <c r="U397" s="2">
        <f ca="1">IF(IF(OP!$C$83=1,$Z396,IF(OP!$C$83=2,$AA396,IF(OP!$C$83=3,$AB396,)))+$K397-$O397-$P397-$AS397&lt;OP!$C$142,0,$AS397)</f>
        <v>0</v>
      </c>
      <c r="V397" s="9"/>
      <c r="W397" s="19">
        <f ca="1">MAX(SUM($K$4:K397),0)</f>
        <v>2000000</v>
      </c>
      <c r="X397" s="19"/>
      <c r="Y397" s="19">
        <f t="shared" ca="1" si="259"/>
        <v>1920000</v>
      </c>
      <c r="Z397" s="2">
        <f ca="1">IF(MIN($Z$4:Z396)=0,0,MAX(0,($Z396+$K397-$O397-$P397)*IF(AND(F397="F",$D$3&lt;&gt;$G$3),((1+(-J397))^(H397/MIN(G397,365))),((1+(-J397))^(1/12)))-$U397))</f>
        <v>356363.27025166765</v>
      </c>
      <c r="AA397" s="2">
        <f ca="1">IF(MIN($AA$4:AA396)=0,0,MAX(0,($AA396+$K397-$O397-$P397)*IF(AND(F397="F",$D$3&lt;&gt;$G$3),((1+$AA$1)^(H397/MIN(G397,365))),((1+$AA$1)^(1/12)))-$U397))</f>
        <v>1920000</v>
      </c>
      <c r="AB397" s="2">
        <f ca="1">IF(MIN($AB$4:AB396)=0,0,MAX(0,($AB396+$K397-$O397-$P397)*IF(AND(F397="F",$D$3&lt;&gt;$G$3),((1+(J397))^(H397/MIN(G397,365))),((1+(J397))^(1/12)))-$U397))</f>
        <v>9528324.6964262091</v>
      </c>
      <c r="AC397" s="5"/>
      <c r="AD397" s="5"/>
      <c r="AE397" s="5"/>
      <c r="AF397" s="282">
        <f t="shared" ca="1" si="242"/>
        <v>356363</v>
      </c>
      <c r="AG397" s="282">
        <f t="shared" ca="1" si="243"/>
        <v>1920000</v>
      </c>
      <c r="AH397" s="282">
        <f t="shared" ca="1" si="244"/>
        <v>9528325</v>
      </c>
      <c r="AI397" s="23" t="str">
        <f t="shared" ca="1" si="260"/>
        <v>33-11</v>
      </c>
      <c r="AJ397" s="282">
        <f ca="1">IF(E397&gt;111,,IF(AND(OP!$C$99=1,T397="F"),Z397,IF(AND(OP!$C$99=2,COUNTIF($T$4:T397,"F")=1),OP!$C$97+IF(F397="F",OP!$C$98,0),"")))</f>
        <v>54527</v>
      </c>
      <c r="AK397" s="282">
        <f ca="1">IF(E397&gt;111,,IF(AND(OP!$D$99=1,T397="F"),AA397,IF(AND(OP!$D$99=2,COUNTIF($T$4:T397,"F")=1),OP!$D$97+IF(F397="F",OP!$D$98,0),"")))</f>
        <v>74177</v>
      </c>
      <c r="AL397" s="282">
        <f ca="1">IF(E397&gt;111,,IF(AND(OP!$E$99=1,T397="F"),AB397,IF(AND(OP!$E$99=2,COUNTIF($T$4:T397,"F")=1),OP!$E$97+IF(F397="F",OP!$E$98,0),"")))</f>
        <v>99404</v>
      </c>
      <c r="AM397" s="1">
        <f t="shared" ca="1" si="234"/>
        <v>11</v>
      </c>
      <c r="AN397" s="1" t="e">
        <f ca="1">IF(OR(VLOOKUP($A397,MP,5,0)="季繳",VLOOKUP($A397,MP,5,0)="月繳"),1,"")</f>
        <v>#N/A</v>
      </c>
      <c r="AO397" s="1">
        <f t="shared" ca="1" si="245"/>
        <v>0</v>
      </c>
      <c r="AP397" s="1" t="str">
        <f ca="1">IF(AND(A397&lt;=OP!$C$120,COUNTIF(PAY,C397)=1),1,"")</f>
        <v/>
      </c>
      <c r="AR397" s="301">
        <f ca="1">IF(繳費報酬率資料!$A$1=1,$AY397+$AZ397,$BF397+$BG397)</f>
        <v>0</v>
      </c>
      <c r="AS397" s="1">
        <f ca="1">IF(C397&lt;&gt;IF($C$3=1,12,$C$3-1),0,IF(繳費報酬率資料!$A$1&lt;&gt;1,VLOOKUP($A397,MP,8,0),IF(AND($A397&gt;=OP!$C$79,$A397&lt;=OP!$C$80),OP!$C$78,)))</f>
        <v>0</v>
      </c>
      <c r="AT397" s="298">
        <f t="shared" ca="1" si="246"/>
        <v>0</v>
      </c>
      <c r="AU397" s="298">
        <f ca="1">IF(AND(A397&lt;=OP!$C$120,COUNTIF(PAY,C397)=1),OP!$C$123,0)</f>
        <v>0</v>
      </c>
      <c r="AV397" s="298">
        <f ca="1">IF(AND(A397&gt;=OP!$C$132,A397&lt;=OP!$C$133,$C$3=C397),OP!$C$135,0)</f>
        <v>0</v>
      </c>
      <c r="AW397" s="180">
        <f t="shared" ca="1" si="247"/>
        <v>0.05</v>
      </c>
      <c r="AX397" s="180">
        <f t="shared" ca="1" si="248"/>
        <v>0.05</v>
      </c>
      <c r="AY397" s="286">
        <f t="shared" ca="1" si="249"/>
        <v>0</v>
      </c>
      <c r="AZ397" s="286">
        <f t="shared" ca="1" si="250"/>
        <v>0</v>
      </c>
      <c r="BA397" s="286">
        <f t="shared" ca="1" si="251"/>
        <v>0</v>
      </c>
      <c r="BB397" s="286">
        <f t="shared" ca="1" si="252"/>
        <v>0</v>
      </c>
      <c r="BC397" s="286">
        <f t="shared" ca="1" si="253"/>
        <v>0</v>
      </c>
      <c r="BD397" s="180">
        <f t="shared" ca="1" si="254"/>
        <v>0.05</v>
      </c>
      <c r="BE397" s="180">
        <f t="shared" ca="1" si="255"/>
        <v>0.05</v>
      </c>
      <c r="BF397" s="286">
        <f t="shared" ca="1" si="256"/>
        <v>0</v>
      </c>
      <c r="BG397" s="286">
        <f t="shared" ca="1" si="257"/>
        <v>0</v>
      </c>
    </row>
    <row r="398" spans="1:59">
      <c r="A398" s="1">
        <f t="shared" ca="1" si="236"/>
        <v>33</v>
      </c>
      <c r="B398" s="1">
        <f t="shared" ca="1" si="230"/>
        <v>139</v>
      </c>
      <c r="C398" s="1">
        <f t="shared" ca="1" si="231"/>
        <v>4</v>
      </c>
      <c r="D398" s="1">
        <f ca="1">MIN($D$3,VLOOKUP(C398,OP!$S$30:$T$41,2))</f>
        <v>2</v>
      </c>
      <c r="E398" s="1">
        <f t="shared" ca="1" si="232"/>
        <v>87</v>
      </c>
      <c r="F398" s="11" t="str">
        <f t="shared" ca="1" si="237"/>
        <v/>
      </c>
      <c r="G398" s="8">
        <f t="shared" ca="1" si="238"/>
        <v>365</v>
      </c>
      <c r="H398" s="8">
        <f t="shared" ca="1" si="239"/>
        <v>30</v>
      </c>
      <c r="I398" s="8" t="str">
        <f t="shared" ca="1" si="235"/>
        <v>334</v>
      </c>
      <c r="J398" s="13">
        <f>IF(繳費報酬率資料!$A$1=1,VALUE(OP!$C$121),VLOOKUP(A398,MP,2,0))</f>
        <v>0.05</v>
      </c>
      <c r="K398" s="14">
        <f ca="1">IF(SUM($K$4:K397,IF(繳費報酬率資料!$A$1=1,$AU398+$AV398,$BB398+$BC398))&gt;OP!$L$58,0,IF(繳費報酬率資料!$A$1=1,$AU398+$AV398,$BB398+$BC398))</f>
        <v>0</v>
      </c>
      <c r="L398" s="2"/>
      <c r="M398" s="2"/>
      <c r="N398" s="2"/>
      <c r="O398" s="261">
        <f t="shared" ca="1" si="240"/>
        <v>0</v>
      </c>
      <c r="P398" s="261">
        <f t="shared" ca="1" si="258"/>
        <v>0</v>
      </c>
      <c r="Q398" s="3">
        <f ca="1">IF(A398&gt;MAX(OP!$R$17:$R$26),0,VLOOKUP(A398,fees,3,FALSE))</f>
        <v>0</v>
      </c>
      <c r="R398" s="200" t="str">
        <f t="shared" ca="1" si="241"/>
        <v/>
      </c>
      <c r="S398" s="9" t="str">
        <f ca="1">IF(COUNTIF(($T$4:T397),"F")&gt;=1,"",IF(OR(C399&lt;&gt;$C$3,E398=""),"",A398))</f>
        <v/>
      </c>
      <c r="T398" s="20" t="str">
        <f t="shared" ca="1" si="233"/>
        <v/>
      </c>
      <c r="U398" s="2">
        <f ca="1">IF(IF(OP!$C$83=1,$Z397,IF(OP!$C$83=2,$AA397,IF(OP!$C$83=3,$AB397,)))+$K398-$O398-$P398-$AS398&lt;OP!$C$142,0,$AS398)</f>
        <v>0</v>
      </c>
      <c r="V398" s="9"/>
      <c r="W398" s="19">
        <f ca="1">MAX(SUM($K$4:K398),0)</f>
        <v>2000000</v>
      </c>
      <c r="X398" s="19"/>
      <c r="Y398" s="19">
        <f t="shared" ca="1" si="259"/>
        <v>1920000</v>
      </c>
      <c r="Z398" s="2">
        <f ca="1">IF(MIN($Z$4:Z397)=0,0,MAX(0,($Z397+$K398-$O398-$P398)*IF(AND(F398="F",$D$3&lt;&gt;$G$3),((1+(-J398))^(H398/MIN(G398,365))),((1+(-J398))^(1/12)))-$U398))</f>
        <v>354843.2673034303</v>
      </c>
      <c r="AA398" s="2">
        <f ca="1">IF(MIN($AA$4:AA397)=0,0,MAX(0,($AA397+$K398-$O398-$P398)*IF(AND(F398="F",$D$3&lt;&gt;$G$3),((1+$AA$1)^(H398/MIN(G398,365))),((1+$AA$1)^(1/12)))-$U398))</f>
        <v>1920000</v>
      </c>
      <c r="AB398" s="2">
        <f ca="1">IF(MIN($AB$4:AB397)=0,0,MAX(0,($AB397+$K398-$O398-$P398)*IF(AND(F398="F",$D$3&lt;&gt;$G$3),((1+(J398))^(H398/MIN(G398,365))),((1+(J398))^(1/12)))-$U398))</f>
        <v>9567144.2706902437</v>
      </c>
      <c r="AC398" s="5"/>
      <c r="AD398" s="5"/>
      <c r="AE398" s="5"/>
      <c r="AF398" s="282">
        <f t="shared" ca="1" si="242"/>
        <v>354843</v>
      </c>
      <c r="AG398" s="282">
        <f t="shared" ca="1" si="243"/>
        <v>1920000</v>
      </c>
      <c r="AH398" s="282">
        <f t="shared" ca="1" si="244"/>
        <v>9567144</v>
      </c>
      <c r="AI398" s="23" t="str">
        <f t="shared" ca="1" si="260"/>
        <v>33-12</v>
      </c>
      <c r="AJ398" s="282">
        <f ca="1">IF(E398&gt;111,,IF(AND(OP!$C$99=1,T398="F"),Z398,IF(AND(OP!$C$99=2,COUNTIF($T$4:T398,"F")=1),OP!$C$97+IF(F398="F",OP!$C$98,0),"")))</f>
        <v>54527</v>
      </c>
      <c r="AK398" s="282">
        <f ca="1">IF(E398&gt;111,,IF(AND(OP!$D$99=1,T398="F"),AA398,IF(AND(OP!$D$99=2,COUNTIF($T$4:T398,"F")=1),OP!$D$97+IF(F398="F",OP!$D$98,0),"")))</f>
        <v>74177</v>
      </c>
      <c r="AL398" s="282">
        <f ca="1">IF(E398&gt;111,,IF(AND(OP!$E$99=1,T398="F"),AB398,IF(AND(OP!$E$99=2,COUNTIF($T$4:T398,"F")=1),OP!$E$97+IF(F398="F",OP!$E$98,0),"")))</f>
        <v>99404</v>
      </c>
      <c r="AM398" s="1">
        <f t="shared" ca="1" si="234"/>
        <v>12</v>
      </c>
      <c r="AN398" s="1" t="e">
        <f ca="1">IF(OR(VLOOKUP($A398,MP,5,0)="月繳"),1,"")</f>
        <v>#N/A</v>
      </c>
      <c r="AO398" s="1">
        <f t="shared" ca="1" si="245"/>
        <v>0</v>
      </c>
      <c r="AP398" s="1" t="str">
        <f ca="1">IF(AND(A398&lt;=OP!$C$120,COUNTIF(PAY,C398)=1),1,"")</f>
        <v/>
      </c>
      <c r="AR398" s="301">
        <f ca="1">IF(繳費報酬率資料!$A$1=1,$AY398+$AZ398,$BF398+$BG398)</f>
        <v>0</v>
      </c>
      <c r="AS398" s="1">
        <f ca="1">IF(C398&lt;&gt;IF($C$3=1,12,$C$3-1),0,IF(繳費報酬率資料!$A$1&lt;&gt;1,VLOOKUP($A398,MP,8,0),IF(AND($A398&gt;=OP!$C$79,$A398&lt;=OP!$C$80),OP!$C$78,)))</f>
        <v>0</v>
      </c>
      <c r="AT398" s="298">
        <f t="shared" ca="1" si="246"/>
        <v>0</v>
      </c>
      <c r="AU398" s="298">
        <f ca="1">IF(AND(A398&lt;=OP!$C$120,COUNTIF(PAY,C398)=1),OP!$C$123,0)</f>
        <v>0</v>
      </c>
      <c r="AV398" s="298">
        <f ca="1">IF(AND(A398&gt;=OP!$C$132,A398&lt;=OP!$C$133,$C$3=C398),OP!$C$135,0)</f>
        <v>0</v>
      </c>
      <c r="AW398" s="180">
        <f t="shared" ca="1" si="247"/>
        <v>0.05</v>
      </c>
      <c r="AX398" s="180">
        <f t="shared" ca="1" si="248"/>
        <v>0.05</v>
      </c>
      <c r="AY398" s="286">
        <f t="shared" ca="1" si="249"/>
        <v>0</v>
      </c>
      <c r="AZ398" s="286">
        <f t="shared" ca="1" si="250"/>
        <v>0</v>
      </c>
      <c r="BA398" s="286">
        <f t="shared" ca="1" si="251"/>
        <v>0</v>
      </c>
      <c r="BB398" s="286">
        <f t="shared" ca="1" si="252"/>
        <v>0</v>
      </c>
      <c r="BC398" s="286">
        <f t="shared" ca="1" si="253"/>
        <v>0</v>
      </c>
      <c r="BD398" s="180">
        <f t="shared" ca="1" si="254"/>
        <v>0.05</v>
      </c>
      <c r="BE398" s="180">
        <f t="shared" ca="1" si="255"/>
        <v>0.05</v>
      </c>
      <c r="BF398" s="286">
        <f t="shared" ca="1" si="256"/>
        <v>0</v>
      </c>
      <c r="BG398" s="286">
        <f t="shared" ca="1" si="257"/>
        <v>0</v>
      </c>
    </row>
    <row r="399" spans="1:59">
      <c r="A399" s="1">
        <f t="shared" ca="1" si="236"/>
        <v>33</v>
      </c>
      <c r="B399" s="1">
        <f t="shared" ca="1" si="230"/>
        <v>139</v>
      </c>
      <c r="C399" s="1">
        <f t="shared" ca="1" si="231"/>
        <v>5</v>
      </c>
      <c r="D399" s="1">
        <f ca="1">MIN($D$3,VLOOKUP(C399,OP!$S$30:$T$41,2))</f>
        <v>2</v>
      </c>
      <c r="E399" s="1">
        <f t="shared" ca="1" si="232"/>
        <v>87</v>
      </c>
      <c r="F399" s="11" t="str">
        <f t="shared" ca="1" si="237"/>
        <v/>
      </c>
      <c r="G399" s="8">
        <f t="shared" ca="1" si="238"/>
        <v>365</v>
      </c>
      <c r="H399" s="8">
        <f t="shared" ca="1" si="239"/>
        <v>31</v>
      </c>
      <c r="I399" s="8" t="str">
        <f t="shared" ca="1" si="235"/>
        <v>335</v>
      </c>
      <c r="J399" s="13">
        <f>IF(繳費報酬率資料!$A$1=1,VALUE(OP!$C$121),VLOOKUP(A399,MP,2,0))</f>
        <v>0.05</v>
      </c>
      <c r="K399" s="14">
        <f ca="1">IF(SUM($K$4:K398,IF(繳費報酬率資料!$A$1=1,$AU399+$AV399,$BB399+$BC399))&gt;OP!$L$58,0,IF(繳費報酬率資料!$A$1=1,$AU399+$AV399,$BB399+$BC399))</f>
        <v>0</v>
      </c>
      <c r="L399" s="2">
        <f ca="1">ROUND(IF(OP!$C$78&lt;(IF(OR($T399="F",$E399&gt;=111),0,Z398+$K399-$O399+IF($C$1=1,OP!$C$78,IF($C400=$C$3,SUM(AC388:AC399,0)))))*5%,0,(OP!$C$78-((IF(OR($T399="F",$E399&gt;=111),0,Z398+$K399-$O399+IF($C$1=1,AC399,IF($C400=$C$3,SUM(AC388:AC399,0)))))*5%))*$Q399),0)</f>
        <v>0</v>
      </c>
      <c r="M399" s="2">
        <f ca="1">ROUND(IF(OP!$C$78&lt;(IF(OR($T399="F",$E399&gt;=111),0,AA398+$K399-$O399+IF($C$1=1,AD399,IF($C400=$C$3,SUM(AD388:AD399,0)))))*5%,0,(OP!$C$78-((IF(OR($T399="F",$E399&gt;=111),0,AA398+$K399-$O399+IF($C$1=1,AD399,IF($C400=$C$3,SUM(AD388:AD399,0)))))*5%))*$Q399),0)</f>
        <v>0</v>
      </c>
      <c r="N399" s="2">
        <f ca="1">ROUND(IF(OP!$C$78&lt;(IF(OR($T399="F",$E399&gt;=111),0,AB398+$K399-$O399+IF($C$1=1,AE399,IF($C400=$C$3,SUM(AE388:AE399,0)))))*5%,0,(OP!$C$78-((IF(OR($T399="F",$E399&gt;=111),0,AB398+$K399-$O399+IF($C$1=1,AE399,IF($C400=$C$3,SUM(AE388:AE399,0)))))*5%))*$Q399),0)</f>
        <v>0</v>
      </c>
      <c r="O399" s="261">
        <f t="shared" ca="1" si="240"/>
        <v>0</v>
      </c>
      <c r="P399" s="261">
        <f t="shared" ca="1" si="258"/>
        <v>0</v>
      </c>
      <c r="Q399" s="3">
        <f ca="1">IF(A399&gt;MAX(OP!$R$17:$R$26),0,VLOOKUP(A399,fees,3,FALSE))</f>
        <v>0</v>
      </c>
      <c r="R399" s="200">
        <f t="shared" ca="1" si="241"/>
        <v>33</v>
      </c>
      <c r="S399" s="9" t="str">
        <f ca="1">IF(COUNTIF(($T$4:T398),"F")&gt;=1,"",IF(OR(C400&lt;&gt;$C$3,E399=""),"",A399))</f>
        <v/>
      </c>
      <c r="T399" s="20" t="str">
        <f t="shared" ca="1" si="233"/>
        <v/>
      </c>
      <c r="U399" s="2">
        <f ca="1">IF(IF(OP!$C$83=1,$Z398,IF(OP!$C$83=2,$AA398,IF(OP!$C$83=3,$AB398,)))+$K399-$O399-$P399-$AS399&lt;OP!$C$142,0,$AS399)</f>
        <v>0</v>
      </c>
      <c r="V399" s="19">
        <f ca="1">SUM(K388:K399)</f>
        <v>0</v>
      </c>
      <c r="W399" s="19">
        <f ca="1">MAX(SUM($K$4:K399),0)</f>
        <v>2000000</v>
      </c>
      <c r="X399" s="19">
        <f ca="1">SUM(O388:P399)</f>
        <v>0</v>
      </c>
      <c r="Y399" s="19">
        <f t="shared" ca="1" si="259"/>
        <v>1920000</v>
      </c>
      <c r="Z399" s="2">
        <f ca="1">IF(MIN($Z$4:Z398)=0,0,MAX(0,($Z398+$K399-$O399-$P399)*IF(AND(F399="F",$D$3&lt;&gt;$G$3),((1+(-J399))^(H399/MIN(G399,365))),((1+(-J399))^(1/12)))-$U399))</f>
        <v>353329.74765231</v>
      </c>
      <c r="AA399" s="2">
        <f ca="1">IF(MIN($AA$4:AA398)=0,0,MAX(0,($AA398+$K399-$O399-$P399)*IF(AND(F399="F",$D$3&lt;&gt;$G$3),((1+$AA$1)^(H399/MIN(G399,365))),((1+$AA$1)^(1/12)))-$U399))</f>
        <v>1920000</v>
      </c>
      <c r="AB399" s="2">
        <f ca="1">IF(MIN($AB$4:AB398)=0,0,MAX(0,($AB398+$K399-$O399-$P399)*IF(AND(F399="F",$D$3&lt;&gt;$G$3),((1+(J399))^(H399/MIN(G399,365))),((1+(J399))^(1/12)))-$U399))</f>
        <v>9606122.0007050578</v>
      </c>
      <c r="AC399" s="5"/>
      <c r="AD399" s="5"/>
      <c r="AE399" s="5"/>
      <c r="AF399" s="282">
        <f t="shared" ca="1" si="242"/>
        <v>353330</v>
      </c>
      <c r="AG399" s="282">
        <f t="shared" ca="1" si="243"/>
        <v>1920000</v>
      </c>
      <c r="AH399" s="282">
        <f t="shared" ca="1" si="244"/>
        <v>9606122</v>
      </c>
      <c r="AI399" s="23" t="str">
        <f t="shared" ca="1" si="260"/>
        <v>34-1</v>
      </c>
      <c r="AJ399" s="282">
        <f ca="1">IF(E399&gt;111,,IF(AND(OP!$C$99=1,T399="F"),Z399,IF(AND(OP!$C$99=2,COUNTIF($T$4:T399,"F")=1),OP!$C$97+IF(F399="F",OP!$C$98,0),"")))</f>
        <v>54527</v>
      </c>
      <c r="AK399" s="282">
        <f ca="1">IF(E399&gt;111,,IF(AND(OP!$D$99=1,T399="F"),AA399,IF(AND(OP!$D$99=2,COUNTIF($T$4:T399,"F")=1),OP!$D$97+IF(F399="F",OP!$D$98,0),"")))</f>
        <v>74177</v>
      </c>
      <c r="AL399" s="282">
        <f ca="1">IF(E399&gt;111,,IF(AND(OP!$E$99=1,T399="F"),AB399,IF(AND(OP!$E$99=2,COUNTIF($T$4:T399,"F")=1),OP!$E$97+IF(F399="F",OP!$E$98,0),"")))</f>
        <v>99404</v>
      </c>
      <c r="AM399" s="1">
        <f t="shared" ca="1" si="234"/>
        <v>1</v>
      </c>
      <c r="AN399" s="1" t="e">
        <f ca="1">IF(OR(VLOOKUP($A399,MP,5,0)="月繳"),1,"")</f>
        <v>#N/A</v>
      </c>
      <c r="AO399" s="1">
        <f t="shared" ca="1" si="245"/>
        <v>0</v>
      </c>
      <c r="AP399" s="1" t="str">
        <f ca="1">IF(AND(A399&lt;=OP!$C$120,COUNTIF(PAY,C399)=1),1,"")</f>
        <v/>
      </c>
      <c r="AR399" s="301">
        <f ca="1">IF(繳費報酬率資料!$A$1=1,$AY399+$AZ399,$BF399+$BG399)</f>
        <v>0</v>
      </c>
      <c r="AS399" s="1">
        <f ca="1">IF(C399&lt;&gt;IF($C$3=1,12,$C$3-1),0,IF(繳費報酬率資料!$A$1&lt;&gt;1,VLOOKUP($A399,MP,8,0),IF(AND($A399&gt;=OP!$C$79,$A399&lt;=OP!$C$80),OP!$C$78,)))</f>
        <v>0</v>
      </c>
      <c r="AT399" s="298">
        <f t="shared" ca="1" si="246"/>
        <v>0</v>
      </c>
      <c r="AU399" s="298">
        <f ca="1">IF(AND(A399&lt;=OP!$C$120,COUNTIF(PAY,C399)=1),OP!$C$123,0)</f>
        <v>0</v>
      </c>
      <c r="AV399" s="298">
        <f ca="1">IF(AND(A399&gt;=OP!$C$132,A399&lt;=OP!$C$133,$C$3=C399),OP!$C$135,0)</f>
        <v>0</v>
      </c>
      <c r="AW399" s="180">
        <f t="shared" ca="1" si="247"/>
        <v>0.05</v>
      </c>
      <c r="AX399" s="180">
        <f t="shared" ca="1" si="248"/>
        <v>0.05</v>
      </c>
      <c r="AY399" s="286">
        <f t="shared" ca="1" si="249"/>
        <v>0</v>
      </c>
      <c r="AZ399" s="286">
        <f t="shared" ca="1" si="250"/>
        <v>0</v>
      </c>
      <c r="BA399" s="286">
        <f t="shared" ca="1" si="251"/>
        <v>0</v>
      </c>
      <c r="BB399" s="286">
        <f t="shared" ca="1" si="252"/>
        <v>0</v>
      </c>
      <c r="BC399" s="286">
        <f t="shared" ca="1" si="253"/>
        <v>0</v>
      </c>
      <c r="BD399" s="180">
        <f t="shared" ca="1" si="254"/>
        <v>0.05</v>
      </c>
      <c r="BE399" s="180">
        <f t="shared" ca="1" si="255"/>
        <v>0.05</v>
      </c>
      <c r="BF399" s="286">
        <f t="shared" ca="1" si="256"/>
        <v>0</v>
      </c>
      <c r="BG399" s="286">
        <f t="shared" ca="1" si="257"/>
        <v>0</v>
      </c>
    </row>
    <row r="400" spans="1:59">
      <c r="A400" s="1">
        <f t="shared" ca="1" si="236"/>
        <v>34</v>
      </c>
      <c r="B400" s="1">
        <f t="shared" ca="1" si="230"/>
        <v>139</v>
      </c>
      <c r="C400" s="1">
        <f t="shared" ca="1" si="231"/>
        <v>6</v>
      </c>
      <c r="D400" s="1">
        <f ca="1">MIN($D$3,VLOOKUP(C400,OP!$S$30:$T$41,2))</f>
        <v>2</v>
      </c>
      <c r="E400" s="1">
        <f t="shared" ca="1" si="232"/>
        <v>88</v>
      </c>
      <c r="F400" s="11" t="str">
        <f t="shared" ca="1" si="237"/>
        <v/>
      </c>
      <c r="G400" s="6">
        <f ca="1">DATEDIF(DATE(B400+1911,C400,D400),DATE(B412+1911,C412,D412),"d")</f>
        <v>365</v>
      </c>
      <c r="H400" s="8">
        <f t="shared" ca="1" si="239"/>
        <v>30</v>
      </c>
      <c r="I400" s="8" t="str">
        <f t="shared" ca="1" si="235"/>
        <v>346</v>
      </c>
      <c r="J400" s="13">
        <f>IF(繳費報酬率資料!$A$1=1,VALUE(OP!$C$121),VLOOKUP(A400,MP,2,0))</f>
        <v>0.05</v>
      </c>
      <c r="K400" s="14">
        <f ca="1">IF(SUM($K$4:K399,IF(繳費報酬率資料!$A$1=1,$AU400+$AV400,$BB400+$BC400))&gt;OP!$L$58,0,IF(繳費報酬率資料!$A$1=1,$AU400+$AV400,$BB400+$BC400))</f>
        <v>0</v>
      </c>
      <c r="L400" s="2"/>
      <c r="M400" s="2"/>
      <c r="N400" s="2"/>
      <c r="O400" s="261">
        <f t="shared" ca="1" si="240"/>
        <v>0</v>
      </c>
      <c r="P400" s="261">
        <f t="shared" ca="1" si="258"/>
        <v>0</v>
      </c>
      <c r="Q400" s="3">
        <f ca="1">IF(A400&gt;MAX(OP!$R$17:$R$26),0,VLOOKUP(A400,fees,3,FALSE))</f>
        <v>0</v>
      </c>
      <c r="R400" s="200" t="str">
        <f t="shared" ca="1" si="241"/>
        <v/>
      </c>
      <c r="S400" s="9" t="str">
        <f ca="1">IF(COUNTIF(($T$4:T399),"F")&gt;=1,"",IF(OR(C401&lt;&gt;$C$3,E400=""),"",A400))</f>
        <v/>
      </c>
      <c r="T400" s="20" t="str">
        <f t="shared" ca="1" si="233"/>
        <v/>
      </c>
      <c r="U400" s="2">
        <f ca="1">IF(IF(OP!$C$83=1,$Z399,IF(OP!$C$83=2,$AA399,IF(OP!$C$83=3,$AB399,)))+$K400-$O400-$P400-$AS400&lt;OP!$C$142,0,$AS400)</f>
        <v>0</v>
      </c>
      <c r="V400" s="9"/>
      <c r="W400" s="19">
        <f ca="1">MAX(SUM($K$4:K400),0)</f>
        <v>2000000</v>
      </c>
      <c r="X400" s="19"/>
      <c r="Y400" s="19">
        <f t="shared" ca="1" si="259"/>
        <v>1920000</v>
      </c>
      <c r="Z400" s="2">
        <f ca="1">IF(MIN($Z$4:Z399)=0,0,MAX(0,($Z399+$K400-$O400-$P400)*IF(AND(F400="F",$D$3&lt;&gt;$G$3),((1+(-J400))^(H400/MIN(G400,365))),((1+(-J400))^(1/12)))-$U400))</f>
        <v>351822.68364497786</v>
      </c>
      <c r="AA400" s="2">
        <f ca="1">IF(MIN($AA$4:AA399)=0,0,MAX(0,($AA399+$K400-$O400-$P400)*IF(AND(F400="F",$D$3&lt;&gt;$G$3),((1+$AA$1)^(H400/MIN(G400,365))),((1+$AA$1)^(1/12)))-$U400))</f>
        <v>1920000</v>
      </c>
      <c r="AB400" s="2">
        <f ca="1">IF(MIN($AB$4:AB399)=0,0,MAX(0,($AB399+$K400-$O400-$P400)*IF(AND(F400="F",$D$3&lt;&gt;$G$3),((1+(J400))^(H400/MIN(G400,365))),((1+(J400))^(1/12)))-$U400))</f>
        <v>9645258.5308167581</v>
      </c>
      <c r="AC400" s="21"/>
      <c r="AD400" s="21"/>
      <c r="AE400" s="21"/>
      <c r="AF400" s="282">
        <f t="shared" ca="1" si="242"/>
        <v>351823</v>
      </c>
      <c r="AG400" s="282">
        <f t="shared" ca="1" si="243"/>
        <v>1920000</v>
      </c>
      <c r="AH400" s="282">
        <f t="shared" ca="1" si="244"/>
        <v>9645259</v>
      </c>
      <c r="AI400" s="23" t="str">
        <f t="shared" ca="1" si="260"/>
        <v>34-2</v>
      </c>
      <c r="AJ400" s="281">
        <f ca="1">IF(E400&gt;111,,IF(AND(OP!$C$99=1,T400="F"),Z400,IF(AND(OP!$C$99=2,COUNTIF($T$4:T400,"F")=1),OP!$C$97+IF(F400="F",OP!$C$98,0),"")))</f>
        <v>54527</v>
      </c>
      <c r="AK400" s="281">
        <f ca="1">IF(E400&gt;111,,IF(AND(OP!$D$99=1,T400="F"),AA400,IF(AND(OP!$D$99=2,COUNTIF($T$4:T400,"F")=1),OP!$D$97+IF(F400="F",OP!$D$98,0),"")))</f>
        <v>74177</v>
      </c>
      <c r="AL400" s="281">
        <f ca="1">IF(E400&gt;111,,IF(AND(OP!$E$99=1,T400="F"),AB400,IF(AND(OP!$E$99=2,COUNTIF($T$4:T400,"F")=1),OP!$E$97+IF(F400="F",OP!$E$98,0),"")))</f>
        <v>99404</v>
      </c>
      <c r="AM400" s="1">
        <f t="shared" ca="1" si="234"/>
        <v>2</v>
      </c>
      <c r="AN400" s="1" t="e">
        <f ca="1">IF(OR(VLOOKUP($A400,MP,5,0)="年繳",VLOOKUP($A400,MP,5,0)="半年繳",VLOOKUP($A400,MP,5,0)="季繳",VLOOKUP($A400,MP,5,0)="月繳"),1,"")</f>
        <v>#N/A</v>
      </c>
      <c r="AO400" s="1">
        <f t="shared" ca="1" si="245"/>
        <v>0</v>
      </c>
      <c r="AP400" s="1" t="str">
        <f ca="1">IF(AND(A400&lt;=OP!$C$120,COUNTIF(PAY,C400)=1),1,"")</f>
        <v/>
      </c>
      <c r="AR400" s="301">
        <f ca="1">IF(繳費報酬率資料!$A$1=1,$AY400+$AZ400,$BF400+$BG400)</f>
        <v>0</v>
      </c>
      <c r="AS400" s="1">
        <f ca="1">IF(C400&lt;&gt;IF($C$3=1,12,$C$3-1),0,IF(繳費報酬率資料!$A$1&lt;&gt;1,VLOOKUP($A400,MP,8,0),IF(AND($A400&gt;=OP!$C$79,$A400&lt;=OP!$C$80),OP!$C$78,)))</f>
        <v>0</v>
      </c>
      <c r="AT400" s="298">
        <f t="shared" ca="1" si="246"/>
        <v>0</v>
      </c>
      <c r="AU400" s="298">
        <f ca="1">IF(AND(A400&lt;=OP!$C$120,COUNTIF(PAY,C400)=1),OP!$C$123,0)</f>
        <v>0</v>
      </c>
      <c r="AV400" s="298">
        <f ca="1">IF(AND(A400&gt;=OP!$C$132,A400&lt;=OP!$C$133,$C$3=C400),OP!$C$135,0)</f>
        <v>0</v>
      </c>
      <c r="AW400" s="180">
        <f t="shared" ca="1" si="247"/>
        <v>0.05</v>
      </c>
      <c r="AX400" s="180">
        <f t="shared" ca="1" si="248"/>
        <v>0.05</v>
      </c>
      <c r="AY400" s="286">
        <f t="shared" ca="1" si="249"/>
        <v>0</v>
      </c>
      <c r="AZ400" s="286">
        <f t="shared" ca="1" si="250"/>
        <v>0</v>
      </c>
      <c r="BA400" s="286">
        <f t="shared" ca="1" si="251"/>
        <v>0</v>
      </c>
      <c r="BB400" s="286">
        <f t="shared" ca="1" si="252"/>
        <v>0</v>
      </c>
      <c r="BC400" s="286">
        <f t="shared" ca="1" si="253"/>
        <v>0</v>
      </c>
      <c r="BD400" s="180">
        <f t="shared" ca="1" si="254"/>
        <v>0.05</v>
      </c>
      <c r="BE400" s="180">
        <f t="shared" ca="1" si="255"/>
        <v>0.05</v>
      </c>
      <c r="BF400" s="286">
        <f t="shared" ca="1" si="256"/>
        <v>0</v>
      </c>
      <c r="BG400" s="286">
        <f t="shared" ca="1" si="257"/>
        <v>0</v>
      </c>
    </row>
    <row r="401" spans="1:59">
      <c r="A401" s="1">
        <f t="shared" ca="1" si="236"/>
        <v>34</v>
      </c>
      <c r="B401" s="1">
        <f t="shared" ca="1" si="230"/>
        <v>139</v>
      </c>
      <c r="C401" s="1">
        <f t="shared" ca="1" si="231"/>
        <v>7</v>
      </c>
      <c r="D401" s="1">
        <f ca="1">MIN($D$3,VLOOKUP(C401,OP!$S$30:$T$41,2))</f>
        <v>2</v>
      </c>
      <c r="E401" s="1">
        <f t="shared" ca="1" si="232"/>
        <v>88</v>
      </c>
      <c r="F401" s="11" t="str">
        <f t="shared" ca="1" si="237"/>
        <v/>
      </c>
      <c r="G401" s="8">
        <f t="shared" ref="G401:G411" ca="1" si="261">G400</f>
        <v>365</v>
      </c>
      <c r="H401" s="8">
        <f t="shared" ca="1" si="239"/>
        <v>31</v>
      </c>
      <c r="I401" s="8" t="str">
        <f t="shared" ca="1" si="235"/>
        <v>347</v>
      </c>
      <c r="J401" s="13">
        <f>IF(繳費報酬率資料!$A$1=1,VALUE(OP!$C$121),VLOOKUP(A401,MP,2,0))</f>
        <v>0.05</v>
      </c>
      <c r="K401" s="14">
        <f ca="1">IF(SUM($K$4:K400,IF(繳費報酬率資料!$A$1=1,$AU401+$AV401,$BB401+$BC401))&gt;OP!$L$58,0,IF(繳費報酬率資料!$A$1=1,$AU401+$AV401,$BB401+$BC401))</f>
        <v>0</v>
      </c>
      <c r="L401" s="2"/>
      <c r="M401" s="2"/>
      <c r="N401" s="2"/>
      <c r="O401" s="261">
        <f t="shared" ca="1" si="240"/>
        <v>0</v>
      </c>
      <c r="P401" s="261">
        <f t="shared" ca="1" si="258"/>
        <v>0</v>
      </c>
      <c r="Q401" s="3">
        <f ca="1">IF(A401&gt;MAX(OP!$R$17:$R$26),0,VLOOKUP(A401,fees,3,FALSE))</f>
        <v>0</v>
      </c>
      <c r="R401" s="200" t="str">
        <f t="shared" ca="1" si="241"/>
        <v/>
      </c>
      <c r="S401" s="9" t="str">
        <f ca="1">IF(COUNTIF(($T$4:T400),"F")&gt;=1,"",IF(OR(C402&lt;&gt;$C$3,E401=""),"",A401))</f>
        <v/>
      </c>
      <c r="T401" s="20" t="str">
        <f t="shared" ca="1" si="233"/>
        <v/>
      </c>
      <c r="U401" s="2">
        <f ca="1">IF(IF(OP!$C$83=1,$Z400,IF(OP!$C$83=2,$AA400,IF(OP!$C$83=3,$AB400,)))+$K401-$O401-$P401-$AS401&lt;OP!$C$142,0,$AS401)</f>
        <v>0</v>
      </c>
      <c r="V401" s="9"/>
      <c r="W401" s="19">
        <f ca="1">MAX(SUM($K$4:K401),0)</f>
        <v>2000000</v>
      </c>
      <c r="X401" s="19"/>
      <c r="Y401" s="19">
        <f t="shared" ca="1" si="259"/>
        <v>1920000</v>
      </c>
      <c r="Z401" s="2">
        <f ca="1">IF(MIN($Z$4:Z400)=0,0,MAX(0,($Z400+$K401-$O401-$P401)*IF(AND(F401="F",$D$3&lt;&gt;$G$3),((1+(-J401))^(H401/MIN(G401,365))),((1+(-J401))^(1/12)))-$U401))</f>
        <v>350322.04774605518</v>
      </c>
      <c r="AA401" s="2">
        <f ca="1">IF(MIN($AA$4:AA400)=0,0,MAX(0,($AA400+$K401-$O401-$P401)*IF(AND(F401="F",$D$3&lt;&gt;$G$3),((1+$AA$1)^(H401/MIN(G401,365))),((1+$AA$1)^(1/12)))-$U401))</f>
        <v>1920000</v>
      </c>
      <c r="AB401" s="2">
        <f ca="1">IF(MIN($AB$4:AB400)=0,0,MAX(0,($AB400+$K401-$O401-$P401)*IF(AND(F401="F",$D$3&lt;&gt;$G$3),((1+(J401))^(H401/MIN(G401,365))),((1+(J401))^(1/12)))-$U401))</f>
        <v>9684554.5079965964</v>
      </c>
      <c r="AC401" s="5"/>
      <c r="AD401" s="5"/>
      <c r="AE401" s="5"/>
      <c r="AF401" s="282">
        <f t="shared" ca="1" si="242"/>
        <v>350322</v>
      </c>
      <c r="AG401" s="282">
        <f t="shared" ca="1" si="243"/>
        <v>1920000</v>
      </c>
      <c r="AH401" s="282">
        <f t="shared" ca="1" si="244"/>
        <v>9684555</v>
      </c>
      <c r="AI401" s="23" t="str">
        <f t="shared" ca="1" si="260"/>
        <v>34-3</v>
      </c>
      <c r="AJ401" s="282">
        <f ca="1">IF(E401&gt;111,,IF(AND(OP!$C$99=1,T401="F"),Z401,IF(AND(OP!$C$99=2,COUNTIF($T$4:T401,"F")=1),OP!$C$97+IF(F401="F",OP!$C$98,0),"")))</f>
        <v>54527</v>
      </c>
      <c r="AK401" s="282">
        <f ca="1">IF(E401&gt;111,,IF(AND(OP!$D$99=1,T401="F"),AA401,IF(AND(OP!$D$99=2,COUNTIF($T$4:T401,"F")=1),OP!$D$97+IF(F401="F",OP!$D$98,0),"")))</f>
        <v>74177</v>
      </c>
      <c r="AL401" s="282">
        <f ca="1">IF(E401&gt;111,,IF(AND(OP!$E$99=1,T401="F"),AB401,IF(AND(OP!$E$99=2,COUNTIF($T$4:T401,"F")=1),OP!$E$97+IF(F401="F",OP!$E$98,0),"")))</f>
        <v>99404</v>
      </c>
      <c r="AM401" s="1">
        <f t="shared" ca="1" si="234"/>
        <v>3</v>
      </c>
      <c r="AN401" s="1" t="e">
        <f ca="1">IF(OR(VLOOKUP($A401,MP,5,0)="月繳"),1,"")</f>
        <v>#N/A</v>
      </c>
      <c r="AO401" s="1">
        <f t="shared" ca="1" si="245"/>
        <v>0</v>
      </c>
      <c r="AP401" s="1" t="str">
        <f ca="1">IF(AND(A401&lt;=OP!$C$120,COUNTIF(PAY,C401)=1),1,"")</f>
        <v/>
      </c>
      <c r="AR401" s="301">
        <f ca="1">IF(繳費報酬率資料!$A$1=1,$AY401+$AZ401,$BF401+$BG401)</f>
        <v>0</v>
      </c>
      <c r="AS401" s="1">
        <f ca="1">IF(C401&lt;&gt;IF($C$3=1,12,$C$3-1),0,IF(繳費報酬率資料!$A$1&lt;&gt;1,VLOOKUP($A401,MP,8,0),IF(AND($A401&gt;=OP!$C$79,$A401&lt;=OP!$C$80),OP!$C$78,)))</f>
        <v>0</v>
      </c>
      <c r="AT401" s="298">
        <f t="shared" ca="1" si="246"/>
        <v>0</v>
      </c>
      <c r="AU401" s="298">
        <f ca="1">IF(AND(A401&lt;=OP!$C$120,COUNTIF(PAY,C401)=1),OP!$C$123,0)</f>
        <v>0</v>
      </c>
      <c r="AV401" s="298">
        <f ca="1">IF(AND(A401&gt;=OP!$C$132,A401&lt;=OP!$C$133,$C$3=C401),OP!$C$135,0)</f>
        <v>0</v>
      </c>
      <c r="AW401" s="180">
        <f t="shared" ca="1" si="247"/>
        <v>0.05</v>
      </c>
      <c r="AX401" s="180">
        <f t="shared" ca="1" si="248"/>
        <v>0.05</v>
      </c>
      <c r="AY401" s="286">
        <f t="shared" ca="1" si="249"/>
        <v>0</v>
      </c>
      <c r="AZ401" s="286">
        <f t="shared" ca="1" si="250"/>
        <v>0</v>
      </c>
      <c r="BA401" s="286">
        <f t="shared" ca="1" si="251"/>
        <v>0</v>
      </c>
      <c r="BB401" s="286">
        <f t="shared" ca="1" si="252"/>
        <v>0</v>
      </c>
      <c r="BC401" s="286">
        <f t="shared" ca="1" si="253"/>
        <v>0</v>
      </c>
      <c r="BD401" s="180">
        <f t="shared" ca="1" si="254"/>
        <v>0.05</v>
      </c>
      <c r="BE401" s="180">
        <f t="shared" ca="1" si="255"/>
        <v>0.05</v>
      </c>
      <c r="BF401" s="286">
        <f t="shared" ca="1" si="256"/>
        <v>0</v>
      </c>
      <c r="BG401" s="286">
        <f t="shared" ca="1" si="257"/>
        <v>0</v>
      </c>
    </row>
    <row r="402" spans="1:59">
      <c r="A402" s="1">
        <f t="shared" ca="1" si="236"/>
        <v>34</v>
      </c>
      <c r="B402" s="1">
        <f t="shared" ca="1" si="230"/>
        <v>139</v>
      </c>
      <c r="C402" s="1">
        <f t="shared" ca="1" si="231"/>
        <v>8</v>
      </c>
      <c r="D402" s="1">
        <f ca="1">MIN($D$3,VLOOKUP(C402,OP!$S$30:$T$41,2))</f>
        <v>2</v>
      </c>
      <c r="E402" s="1">
        <f t="shared" ca="1" si="232"/>
        <v>88</v>
      </c>
      <c r="F402" s="11" t="str">
        <f t="shared" ca="1" si="237"/>
        <v/>
      </c>
      <c r="G402" s="8">
        <f t="shared" ca="1" si="261"/>
        <v>365</v>
      </c>
      <c r="H402" s="8">
        <f t="shared" ca="1" si="239"/>
        <v>31</v>
      </c>
      <c r="I402" s="8" t="str">
        <f t="shared" ca="1" si="235"/>
        <v>348</v>
      </c>
      <c r="J402" s="13">
        <f>IF(繳費報酬率資料!$A$1=1,VALUE(OP!$C$121),VLOOKUP(A402,MP,2,0))</f>
        <v>0.05</v>
      </c>
      <c r="K402" s="14">
        <f ca="1">IF(SUM($K$4:K401,IF(繳費報酬率資料!$A$1=1,$AU402+$AV402,$BB402+$BC402))&gt;OP!$L$58,0,IF(繳費報酬率資料!$A$1=1,$AU402+$AV402,$BB402+$BC402))</f>
        <v>0</v>
      </c>
      <c r="L402" s="2"/>
      <c r="M402" s="2"/>
      <c r="N402" s="2"/>
      <c r="O402" s="261">
        <f t="shared" ca="1" si="240"/>
        <v>0</v>
      </c>
      <c r="P402" s="261">
        <f t="shared" ca="1" si="258"/>
        <v>0</v>
      </c>
      <c r="Q402" s="3">
        <f ca="1">IF(A402&gt;MAX(OP!$R$17:$R$26),0,VLOOKUP(A402,fees,3,FALSE))</f>
        <v>0</v>
      </c>
      <c r="R402" s="200" t="str">
        <f t="shared" ca="1" si="241"/>
        <v/>
      </c>
      <c r="S402" s="9" t="str">
        <f ca="1">IF(COUNTIF(($T$4:T401),"F")&gt;=1,"",IF(OR(C403&lt;&gt;$C$3,E402=""),"",A402))</f>
        <v/>
      </c>
      <c r="T402" s="20" t="str">
        <f t="shared" ca="1" si="233"/>
        <v/>
      </c>
      <c r="U402" s="2">
        <f ca="1">IF(IF(OP!$C$83=1,$Z401,IF(OP!$C$83=2,$AA401,IF(OP!$C$83=3,$AB401,)))+$K402-$O402-$P402-$AS402&lt;OP!$C$142,0,$AS402)</f>
        <v>0</v>
      </c>
      <c r="V402" s="9"/>
      <c r="W402" s="19">
        <f ca="1">MAX(SUM($K$4:K402),0)</f>
        <v>2000000</v>
      </c>
      <c r="X402" s="19"/>
      <c r="Y402" s="19">
        <f t="shared" ca="1" si="259"/>
        <v>1920000</v>
      </c>
      <c r="Z402" s="2">
        <f ca="1">IF(MIN($Z$4:Z401)=0,0,MAX(0,($Z401+$K402-$O402-$P402)*IF(AND(F402="F",$D$3&lt;&gt;$G$3),((1+(-J402))^(H402/MIN(G402,365))),((1+(-J402))^(1/12)))-$U402))</f>
        <v>348827.81253761041</v>
      </c>
      <c r="AA402" s="2">
        <f ca="1">IF(MIN($AA$4:AA401)=0,0,MAX(0,($AA401+$K402-$O402-$P402)*IF(AND(F402="F",$D$3&lt;&gt;$G$3),((1+$AA$1)^(H402/MIN(G402,365))),((1+$AA$1)^(1/12)))-$U402))</f>
        <v>1920000</v>
      </c>
      <c r="AB402" s="2">
        <f ca="1">IF(MIN($AB$4:AB401)=0,0,MAX(0,($AB401+$K402-$O402-$P402)*IF(AND(F402="F",$D$3&lt;&gt;$G$3),((1+(J402))^(H402/MIN(G402,365))),((1+(J402))^(1/12)))-$U402))</f>
        <v>9724010.5818516649</v>
      </c>
      <c r="AC402" s="5"/>
      <c r="AD402" s="5"/>
      <c r="AE402" s="5"/>
      <c r="AF402" s="282">
        <f t="shared" ca="1" si="242"/>
        <v>348828</v>
      </c>
      <c r="AG402" s="282">
        <f t="shared" ca="1" si="243"/>
        <v>1920000</v>
      </c>
      <c r="AH402" s="282">
        <f t="shared" ca="1" si="244"/>
        <v>9724011</v>
      </c>
      <c r="AI402" s="23" t="str">
        <f t="shared" ca="1" si="260"/>
        <v>34-4</v>
      </c>
      <c r="AJ402" s="282">
        <f ca="1">IF(E402&gt;111,,IF(AND(OP!$C$99=1,T402="F"),Z402,IF(AND(OP!$C$99=2,COUNTIF($T$4:T402,"F")=1),OP!$C$97+IF(F402="F",OP!$C$98,0),"")))</f>
        <v>54527</v>
      </c>
      <c r="AK402" s="282">
        <f ca="1">IF(E402&gt;111,,IF(AND(OP!$D$99=1,T402="F"),AA402,IF(AND(OP!$D$99=2,COUNTIF($T$4:T402,"F")=1),OP!$D$97+IF(F402="F",OP!$D$98,0),"")))</f>
        <v>74177</v>
      </c>
      <c r="AL402" s="282">
        <f ca="1">IF(E402&gt;111,,IF(AND(OP!$E$99=1,T402="F"),AB402,IF(AND(OP!$E$99=2,COUNTIF($T$4:T402,"F")=1),OP!$E$97+IF(F402="F",OP!$E$98,0),"")))</f>
        <v>99404</v>
      </c>
      <c r="AM402" s="1">
        <f t="shared" ca="1" si="234"/>
        <v>4</v>
      </c>
      <c r="AN402" s="1" t="e">
        <f ca="1">IF(OR(VLOOKUP($A402,MP,5,0)="月繳"),1,"")</f>
        <v>#N/A</v>
      </c>
      <c r="AO402" s="1">
        <f t="shared" ca="1" si="245"/>
        <v>0</v>
      </c>
      <c r="AP402" s="1" t="str">
        <f ca="1">IF(AND(A402&lt;=OP!$C$120,COUNTIF(PAY,C402)=1),1,"")</f>
        <v/>
      </c>
      <c r="AR402" s="301">
        <f ca="1">IF(繳費報酬率資料!$A$1=1,$AY402+$AZ402,$BF402+$BG402)</f>
        <v>0</v>
      </c>
      <c r="AS402" s="1">
        <f ca="1">IF(C402&lt;&gt;IF($C$3=1,12,$C$3-1),0,IF(繳費報酬率資料!$A$1&lt;&gt;1,VLOOKUP($A402,MP,8,0),IF(AND($A402&gt;=OP!$C$79,$A402&lt;=OP!$C$80),OP!$C$78,)))</f>
        <v>0</v>
      </c>
      <c r="AT402" s="298">
        <f t="shared" ca="1" si="246"/>
        <v>0</v>
      </c>
      <c r="AU402" s="298">
        <f ca="1">IF(AND(A402&lt;=OP!$C$120,COUNTIF(PAY,C402)=1),OP!$C$123,0)</f>
        <v>0</v>
      </c>
      <c r="AV402" s="298">
        <f ca="1">IF(AND(A402&gt;=OP!$C$132,A402&lt;=OP!$C$133,$C$3=C402),OP!$C$135,0)</f>
        <v>0</v>
      </c>
      <c r="AW402" s="180">
        <f t="shared" ca="1" si="247"/>
        <v>0.05</v>
      </c>
      <c r="AX402" s="180">
        <f t="shared" ca="1" si="248"/>
        <v>0.05</v>
      </c>
      <c r="AY402" s="286">
        <f t="shared" ca="1" si="249"/>
        <v>0</v>
      </c>
      <c r="AZ402" s="286">
        <f t="shared" ca="1" si="250"/>
        <v>0</v>
      </c>
      <c r="BA402" s="286">
        <f t="shared" ca="1" si="251"/>
        <v>0</v>
      </c>
      <c r="BB402" s="286">
        <f t="shared" ca="1" si="252"/>
        <v>0</v>
      </c>
      <c r="BC402" s="286">
        <f t="shared" ca="1" si="253"/>
        <v>0</v>
      </c>
      <c r="BD402" s="180">
        <f t="shared" ca="1" si="254"/>
        <v>0.05</v>
      </c>
      <c r="BE402" s="180">
        <f t="shared" ca="1" si="255"/>
        <v>0.05</v>
      </c>
      <c r="BF402" s="286">
        <f t="shared" ca="1" si="256"/>
        <v>0</v>
      </c>
      <c r="BG402" s="286">
        <f t="shared" ca="1" si="257"/>
        <v>0</v>
      </c>
    </row>
    <row r="403" spans="1:59">
      <c r="A403" s="1">
        <f t="shared" ca="1" si="236"/>
        <v>34</v>
      </c>
      <c r="B403" s="1">
        <f t="shared" ca="1" si="230"/>
        <v>139</v>
      </c>
      <c r="C403" s="1">
        <f t="shared" ca="1" si="231"/>
        <v>9</v>
      </c>
      <c r="D403" s="1">
        <f ca="1">MIN($D$3,VLOOKUP(C403,OP!$S$30:$T$41,2))</f>
        <v>2</v>
      </c>
      <c r="E403" s="1">
        <f t="shared" ca="1" si="232"/>
        <v>88</v>
      </c>
      <c r="F403" s="11" t="str">
        <f t="shared" ca="1" si="237"/>
        <v/>
      </c>
      <c r="G403" s="8">
        <f t="shared" ca="1" si="261"/>
        <v>365</v>
      </c>
      <c r="H403" s="8">
        <f t="shared" ca="1" si="239"/>
        <v>30</v>
      </c>
      <c r="I403" s="8" t="str">
        <f t="shared" ca="1" si="235"/>
        <v>349</v>
      </c>
      <c r="J403" s="13">
        <f>IF(繳費報酬率資料!$A$1=1,VALUE(OP!$C$121),VLOOKUP(A403,MP,2,0))</f>
        <v>0.05</v>
      </c>
      <c r="K403" s="14">
        <f ca="1">IF(SUM($K$4:K402,IF(繳費報酬率資料!$A$1=1,$AU403+$AV403,$BB403+$BC403))&gt;OP!$L$58,0,IF(繳費報酬率資料!$A$1=1,$AU403+$AV403,$BB403+$BC403))</f>
        <v>0</v>
      </c>
      <c r="L403" s="2"/>
      <c r="M403" s="2"/>
      <c r="N403" s="2"/>
      <c r="O403" s="261">
        <f t="shared" ca="1" si="240"/>
        <v>0</v>
      </c>
      <c r="P403" s="261">
        <f t="shared" ca="1" si="258"/>
        <v>0</v>
      </c>
      <c r="Q403" s="3">
        <f ca="1">IF(A403&gt;MAX(OP!$R$17:$R$26),0,VLOOKUP(A403,fees,3,FALSE))</f>
        <v>0</v>
      </c>
      <c r="R403" s="200" t="str">
        <f t="shared" ca="1" si="241"/>
        <v/>
      </c>
      <c r="S403" s="9" t="str">
        <f ca="1">IF(COUNTIF(($T$4:T402),"F")&gt;=1,"",IF(OR(C404&lt;&gt;$C$3,E403=""),"",A403))</f>
        <v/>
      </c>
      <c r="T403" s="20" t="str">
        <f t="shared" ca="1" si="233"/>
        <v/>
      </c>
      <c r="U403" s="2">
        <f ca="1">IF(IF(OP!$C$83=1,$Z402,IF(OP!$C$83=2,$AA402,IF(OP!$C$83=3,$AB402,)))+$K403-$O403-$P403-$AS403&lt;OP!$C$142,0,$AS403)</f>
        <v>0</v>
      </c>
      <c r="V403" s="9"/>
      <c r="W403" s="19">
        <f ca="1">MAX(SUM($K$4:K403),0)</f>
        <v>2000000</v>
      </c>
      <c r="X403" s="19"/>
      <c r="Y403" s="19">
        <f t="shared" ca="1" si="259"/>
        <v>1920000</v>
      </c>
      <c r="Z403" s="2">
        <f ca="1">IF(MIN($Z$4:Z402)=0,0,MAX(0,($Z402+$K403-$O403-$P403)*IF(AND(F403="F",$D$3&lt;&gt;$G$3),((1+(-J403))^(H403/MIN(G403,365))),((1+(-J403))^(1/12)))-$U403))</f>
        <v>347339.95071865834</v>
      </c>
      <c r="AA403" s="2">
        <f ca="1">IF(MIN($AA$4:AA402)=0,0,MAX(0,($AA402+$K403-$O403-$P403)*IF(AND(F403="F",$D$3&lt;&gt;$G$3),((1+$AA$1)^(H403/MIN(G403,365))),((1+$AA$1)^(1/12)))-$U403))</f>
        <v>1920000</v>
      </c>
      <c r="AB403" s="2">
        <f ca="1">IF(MIN($AB$4:AB402)=0,0,MAX(0,($AB402+$K403-$O403-$P403)*IF(AND(F403="F",$D$3&lt;&gt;$G$3),((1+(J403))^(H403/MIN(G403,365))),((1+(J403))^(1/12)))-$U403))</f>
        <v>9763627.4046356343</v>
      </c>
      <c r="AC403" s="5"/>
      <c r="AD403" s="5"/>
      <c r="AE403" s="5"/>
      <c r="AF403" s="282">
        <f t="shared" ca="1" si="242"/>
        <v>347340</v>
      </c>
      <c r="AG403" s="282">
        <f t="shared" ca="1" si="243"/>
        <v>1920000</v>
      </c>
      <c r="AH403" s="282">
        <f t="shared" ca="1" si="244"/>
        <v>9763627</v>
      </c>
      <c r="AI403" s="23" t="str">
        <f t="shared" ca="1" si="260"/>
        <v>34-5</v>
      </c>
      <c r="AJ403" s="282">
        <f ca="1">IF(E403&gt;111,,IF(AND(OP!$C$99=1,T403="F"),Z403,IF(AND(OP!$C$99=2,COUNTIF($T$4:T403,"F")=1),OP!$C$97+IF(F403="F",OP!$C$98,0),"")))</f>
        <v>54527</v>
      </c>
      <c r="AK403" s="282">
        <f ca="1">IF(E403&gt;111,,IF(AND(OP!$D$99=1,T403="F"),AA403,IF(AND(OP!$D$99=2,COUNTIF($T$4:T403,"F")=1),OP!$D$97+IF(F403="F",OP!$D$98,0),"")))</f>
        <v>74177</v>
      </c>
      <c r="AL403" s="282">
        <f ca="1">IF(E403&gt;111,,IF(AND(OP!$E$99=1,T403="F"),AB403,IF(AND(OP!$E$99=2,COUNTIF($T$4:T403,"F")=1),OP!$E$97+IF(F403="F",OP!$E$98,0),"")))</f>
        <v>99404</v>
      </c>
      <c r="AM403" s="1">
        <f t="shared" ca="1" si="234"/>
        <v>5</v>
      </c>
      <c r="AN403" s="1" t="e">
        <f ca="1">IF(OR(VLOOKUP($A403,MP,5,0)="季繳",VLOOKUP($A403,MP,5,0)="月繳"),1,"")</f>
        <v>#N/A</v>
      </c>
      <c r="AO403" s="1">
        <f t="shared" ca="1" si="245"/>
        <v>0</v>
      </c>
      <c r="AP403" s="1" t="str">
        <f ca="1">IF(AND(A403&lt;=OP!$C$120,COUNTIF(PAY,C403)=1),1,"")</f>
        <v/>
      </c>
      <c r="AR403" s="301">
        <f ca="1">IF(繳費報酬率資料!$A$1=1,$AY403+$AZ403,$BF403+$BG403)</f>
        <v>0</v>
      </c>
      <c r="AS403" s="1">
        <f ca="1">IF(C403&lt;&gt;IF($C$3=1,12,$C$3-1),0,IF(繳費報酬率資料!$A$1&lt;&gt;1,VLOOKUP($A403,MP,8,0),IF(AND($A403&gt;=OP!$C$79,$A403&lt;=OP!$C$80),OP!$C$78,)))</f>
        <v>0</v>
      </c>
      <c r="AT403" s="298">
        <f t="shared" ca="1" si="246"/>
        <v>0</v>
      </c>
      <c r="AU403" s="298">
        <f ca="1">IF(AND(A403&lt;=OP!$C$120,COUNTIF(PAY,C403)=1),OP!$C$123,0)</f>
        <v>0</v>
      </c>
      <c r="AV403" s="298">
        <f ca="1">IF(AND(A403&gt;=OP!$C$132,A403&lt;=OP!$C$133,$C$3=C403),OP!$C$135,0)</f>
        <v>0</v>
      </c>
      <c r="AW403" s="180">
        <f t="shared" ca="1" si="247"/>
        <v>0.05</v>
      </c>
      <c r="AX403" s="180">
        <f t="shared" ca="1" si="248"/>
        <v>0.05</v>
      </c>
      <c r="AY403" s="286">
        <f t="shared" ca="1" si="249"/>
        <v>0</v>
      </c>
      <c r="AZ403" s="286">
        <f t="shared" ca="1" si="250"/>
        <v>0</v>
      </c>
      <c r="BA403" s="286">
        <f t="shared" ca="1" si="251"/>
        <v>0</v>
      </c>
      <c r="BB403" s="286">
        <f t="shared" ca="1" si="252"/>
        <v>0</v>
      </c>
      <c r="BC403" s="286">
        <f t="shared" ca="1" si="253"/>
        <v>0</v>
      </c>
      <c r="BD403" s="180">
        <f t="shared" ca="1" si="254"/>
        <v>0.05</v>
      </c>
      <c r="BE403" s="180">
        <f t="shared" ca="1" si="255"/>
        <v>0.05</v>
      </c>
      <c r="BF403" s="286">
        <f t="shared" ca="1" si="256"/>
        <v>0</v>
      </c>
      <c r="BG403" s="286">
        <f t="shared" ca="1" si="257"/>
        <v>0</v>
      </c>
    </row>
    <row r="404" spans="1:59">
      <c r="A404" s="1">
        <f t="shared" ca="1" si="236"/>
        <v>34</v>
      </c>
      <c r="B404" s="1">
        <f t="shared" ca="1" si="230"/>
        <v>139</v>
      </c>
      <c r="C404" s="1">
        <f t="shared" ca="1" si="231"/>
        <v>10</v>
      </c>
      <c r="D404" s="1">
        <f ca="1">MIN($D$3,VLOOKUP(C404,OP!$S$30:$T$41,2))</f>
        <v>2</v>
      </c>
      <c r="E404" s="1">
        <f t="shared" ca="1" si="232"/>
        <v>88</v>
      </c>
      <c r="F404" s="11" t="str">
        <f t="shared" ca="1" si="237"/>
        <v/>
      </c>
      <c r="G404" s="8">
        <f t="shared" ca="1" si="261"/>
        <v>365</v>
      </c>
      <c r="H404" s="8">
        <f t="shared" ca="1" si="239"/>
        <v>31</v>
      </c>
      <c r="I404" s="8" t="str">
        <f t="shared" ca="1" si="235"/>
        <v>3410</v>
      </c>
      <c r="J404" s="13">
        <f>IF(繳費報酬率資料!$A$1=1,VALUE(OP!$C$121),VLOOKUP(A404,MP,2,0))</f>
        <v>0.05</v>
      </c>
      <c r="K404" s="14">
        <f ca="1">IF(SUM($K$4:K403,IF(繳費報酬率資料!$A$1=1,$AU404+$AV404,$BB404+$BC404))&gt;OP!$L$58,0,IF(繳費報酬率資料!$A$1=1,$AU404+$AV404,$BB404+$BC404))</f>
        <v>0</v>
      </c>
      <c r="L404" s="2"/>
      <c r="M404" s="2"/>
      <c r="N404" s="2"/>
      <c r="O404" s="261">
        <f t="shared" ca="1" si="240"/>
        <v>0</v>
      </c>
      <c r="P404" s="261">
        <f t="shared" ca="1" si="258"/>
        <v>0</v>
      </c>
      <c r="Q404" s="3">
        <f ca="1">IF(A404&gt;MAX(OP!$R$17:$R$26),0,VLOOKUP(A404,fees,3,FALSE))</f>
        <v>0</v>
      </c>
      <c r="R404" s="200" t="str">
        <f t="shared" ca="1" si="241"/>
        <v/>
      </c>
      <c r="S404" s="9" t="str">
        <f ca="1">IF(COUNTIF(($T$4:T403),"F")&gt;=1,"",IF(OR(C405&lt;&gt;$C$3,E404=""),"",A404))</f>
        <v/>
      </c>
      <c r="T404" s="20" t="str">
        <f t="shared" ca="1" si="233"/>
        <v/>
      </c>
      <c r="U404" s="2">
        <f ca="1">IF(IF(OP!$C$83=1,$Z403,IF(OP!$C$83=2,$AA403,IF(OP!$C$83=3,$AB403,)))+$K404-$O404-$P404-$AS404&lt;OP!$C$142,0,$AS404)</f>
        <v>0</v>
      </c>
      <c r="V404" s="9"/>
      <c r="W404" s="19">
        <f ca="1">MAX(SUM($K$4:K404),0)</f>
        <v>2000000</v>
      </c>
      <c r="X404" s="19"/>
      <c r="Y404" s="19">
        <f t="shared" ca="1" si="259"/>
        <v>1920000</v>
      </c>
      <c r="Z404" s="2">
        <f ca="1">IF(MIN($Z$4:Z403)=0,0,MAX(0,($Z403+$K404-$O404-$P404)*IF(AND(F404="F",$D$3&lt;&gt;$G$3),((1+(-J404))^(H404/MIN(G404,365))),((1+(-J404))^(1/12)))-$U404))</f>
        <v>345858.43510466104</v>
      </c>
      <c r="AA404" s="2">
        <f ca="1">IF(MIN($AA$4:AA403)=0,0,MAX(0,($AA403+$K404-$O404-$P404)*IF(AND(F404="F",$D$3&lt;&gt;$G$3),((1+$AA$1)^(H404/MIN(G404,365))),((1+$AA$1)^(1/12)))-$U404))</f>
        <v>1920000</v>
      </c>
      <c r="AB404" s="2">
        <f ca="1">IF(MIN($AB$4:AB403)=0,0,MAX(0,($AB403+$K404-$O404-$P404)*IF(AND(F404="F",$D$3&lt;&gt;$G$3),((1+(J404))^(H404/MIN(G404,365))),((1+(J404))^(1/12)))-$U404))</f>
        <v>9803405.631259542</v>
      </c>
      <c r="AC404" s="5"/>
      <c r="AD404" s="5"/>
      <c r="AE404" s="5"/>
      <c r="AF404" s="282">
        <f t="shared" ca="1" si="242"/>
        <v>345858</v>
      </c>
      <c r="AG404" s="282">
        <f t="shared" ca="1" si="243"/>
        <v>1920000</v>
      </c>
      <c r="AH404" s="282">
        <f t="shared" ca="1" si="244"/>
        <v>9803406</v>
      </c>
      <c r="AI404" s="23" t="str">
        <f t="shared" ca="1" si="260"/>
        <v>34-6</v>
      </c>
      <c r="AJ404" s="282">
        <f ca="1">IF(E404&gt;111,,IF(AND(OP!$C$99=1,T404="F"),Z404,IF(AND(OP!$C$99=2,COUNTIF($T$4:T404,"F")=1),OP!$C$97+IF(F404="F",OP!$C$98,0),"")))</f>
        <v>54527</v>
      </c>
      <c r="AK404" s="282">
        <f ca="1">IF(E404&gt;111,,IF(AND(OP!$D$99=1,T404="F"),AA404,IF(AND(OP!$D$99=2,COUNTIF($T$4:T404,"F")=1),OP!$D$97+IF(F404="F",OP!$D$98,0),"")))</f>
        <v>74177</v>
      </c>
      <c r="AL404" s="282">
        <f ca="1">IF(E404&gt;111,,IF(AND(OP!$E$99=1,T404="F"),AB404,IF(AND(OP!$E$99=2,COUNTIF($T$4:T404,"F")=1),OP!$E$97+IF(F404="F",OP!$E$98,0),"")))</f>
        <v>99404</v>
      </c>
      <c r="AM404" s="1">
        <f t="shared" ca="1" si="234"/>
        <v>6</v>
      </c>
      <c r="AN404" s="1" t="e">
        <f ca="1">IF(OR(VLOOKUP($A404,MP,5,0)="月繳"),1,"")</f>
        <v>#N/A</v>
      </c>
      <c r="AO404" s="1">
        <f t="shared" ca="1" si="245"/>
        <v>0</v>
      </c>
      <c r="AP404" s="1" t="str">
        <f ca="1">IF(AND(A404&lt;=OP!$C$120,COUNTIF(PAY,C404)=1),1,"")</f>
        <v/>
      </c>
      <c r="AR404" s="301">
        <f ca="1">IF(繳費報酬率資料!$A$1=1,$AY404+$AZ404,$BF404+$BG404)</f>
        <v>0</v>
      </c>
      <c r="AS404" s="1">
        <f ca="1">IF(C404&lt;&gt;IF($C$3=1,12,$C$3-1),0,IF(繳費報酬率資料!$A$1&lt;&gt;1,VLOOKUP($A404,MP,8,0),IF(AND($A404&gt;=OP!$C$79,$A404&lt;=OP!$C$80),OP!$C$78,)))</f>
        <v>0</v>
      </c>
      <c r="AT404" s="298">
        <f t="shared" ca="1" si="246"/>
        <v>0</v>
      </c>
      <c r="AU404" s="298">
        <f ca="1">IF(AND(A404&lt;=OP!$C$120,COUNTIF(PAY,C404)=1),OP!$C$123,0)</f>
        <v>0</v>
      </c>
      <c r="AV404" s="298">
        <f ca="1">IF(AND(A404&gt;=OP!$C$132,A404&lt;=OP!$C$133,$C$3=C404),OP!$C$135,0)</f>
        <v>0</v>
      </c>
      <c r="AW404" s="180">
        <f t="shared" ca="1" si="247"/>
        <v>0.05</v>
      </c>
      <c r="AX404" s="180">
        <f t="shared" ca="1" si="248"/>
        <v>0.05</v>
      </c>
      <c r="AY404" s="286">
        <f t="shared" ca="1" si="249"/>
        <v>0</v>
      </c>
      <c r="AZ404" s="286">
        <f t="shared" ca="1" si="250"/>
        <v>0</v>
      </c>
      <c r="BA404" s="286">
        <f t="shared" ca="1" si="251"/>
        <v>0</v>
      </c>
      <c r="BB404" s="286">
        <f t="shared" ca="1" si="252"/>
        <v>0</v>
      </c>
      <c r="BC404" s="286">
        <f t="shared" ca="1" si="253"/>
        <v>0</v>
      </c>
      <c r="BD404" s="180">
        <f t="shared" ca="1" si="254"/>
        <v>0.05</v>
      </c>
      <c r="BE404" s="180">
        <f t="shared" ca="1" si="255"/>
        <v>0.05</v>
      </c>
      <c r="BF404" s="286">
        <f t="shared" ca="1" si="256"/>
        <v>0</v>
      </c>
      <c r="BG404" s="286">
        <f t="shared" ca="1" si="257"/>
        <v>0</v>
      </c>
    </row>
    <row r="405" spans="1:59">
      <c r="A405" s="1">
        <f t="shared" ca="1" si="236"/>
        <v>34</v>
      </c>
      <c r="B405" s="1">
        <f t="shared" ca="1" si="230"/>
        <v>139</v>
      </c>
      <c r="C405" s="1">
        <f t="shared" ca="1" si="231"/>
        <v>11</v>
      </c>
      <c r="D405" s="1">
        <f ca="1">MIN($D$3,VLOOKUP(C405,OP!$S$30:$T$41,2))</f>
        <v>2</v>
      </c>
      <c r="E405" s="1">
        <f t="shared" ca="1" si="232"/>
        <v>88</v>
      </c>
      <c r="F405" s="11" t="str">
        <f t="shared" ca="1" si="237"/>
        <v/>
      </c>
      <c r="G405" s="8">
        <f t="shared" ca="1" si="261"/>
        <v>365</v>
      </c>
      <c r="H405" s="8">
        <f t="shared" ca="1" si="239"/>
        <v>30</v>
      </c>
      <c r="I405" s="8" t="str">
        <f t="shared" ca="1" si="235"/>
        <v>3411</v>
      </c>
      <c r="J405" s="13">
        <f>IF(繳費報酬率資料!$A$1=1,VALUE(OP!$C$121),VLOOKUP(A405,MP,2,0))</f>
        <v>0.05</v>
      </c>
      <c r="K405" s="14">
        <f ca="1">IF(SUM($K$4:K404,IF(繳費報酬率資料!$A$1=1,$AU405+$AV405,$BB405+$BC405))&gt;OP!$L$58,0,IF(繳費報酬率資料!$A$1=1,$AU405+$AV405,$BB405+$BC405))</f>
        <v>0</v>
      </c>
      <c r="L405" s="2"/>
      <c r="M405" s="2"/>
      <c r="N405" s="2"/>
      <c r="O405" s="261">
        <f t="shared" ca="1" si="240"/>
        <v>0</v>
      </c>
      <c r="P405" s="261">
        <f t="shared" ca="1" si="258"/>
        <v>0</v>
      </c>
      <c r="Q405" s="3">
        <f ca="1">IF(A405&gt;MAX(OP!$R$17:$R$26),0,VLOOKUP(A405,fees,3,FALSE))</f>
        <v>0</v>
      </c>
      <c r="R405" s="200" t="str">
        <f t="shared" ca="1" si="241"/>
        <v/>
      </c>
      <c r="S405" s="9" t="str">
        <f ca="1">IF(COUNTIF(($T$4:T404),"F")&gt;=1,"",IF(OR(C406&lt;&gt;$C$3,E405=""),"",A405))</f>
        <v/>
      </c>
      <c r="T405" s="20" t="str">
        <f t="shared" ca="1" si="233"/>
        <v/>
      </c>
      <c r="U405" s="2">
        <f ca="1">IF(IF(OP!$C$83=1,$Z404,IF(OP!$C$83=2,$AA404,IF(OP!$C$83=3,$AB404,)))+$K405-$O405-$P405-$AS405&lt;OP!$C$142,0,$AS405)</f>
        <v>0</v>
      </c>
      <c r="V405" s="9"/>
      <c r="W405" s="19">
        <f ca="1">MAX(SUM($K$4:K405),0)</f>
        <v>2000000</v>
      </c>
      <c r="X405" s="19"/>
      <c r="Y405" s="19">
        <f t="shared" ca="1" si="259"/>
        <v>1920000</v>
      </c>
      <c r="Z405" s="2">
        <f ca="1">IF(MIN($Z$4:Z404)=0,0,MAX(0,($Z404+$K405-$O405-$P405)*IF(AND(F405="F",$D$3&lt;&gt;$G$3),((1+(-J405))^(H405/MIN(G405,365))),((1+(-J405))^(1/12)))-$U405))</f>
        <v>344383.23862703139</v>
      </c>
      <c r="AA405" s="2">
        <f ca="1">IF(MIN($AA$4:AA404)=0,0,MAX(0,($AA404+$K405-$O405-$P405)*IF(AND(F405="F",$D$3&lt;&gt;$G$3),((1+$AA$1)^(H405/MIN(G405,365))),((1+$AA$1)^(1/12)))-$U405))</f>
        <v>1920000</v>
      </c>
      <c r="AB405" s="2">
        <f ca="1">IF(MIN($AB$4:AB404)=0,0,MAX(0,($AB404+$K405-$O405-$P405)*IF(AND(F405="F",$D$3&lt;&gt;$G$3),((1+(J405))^(H405/MIN(G405,365))),((1+(J405))^(1/12)))-$U405))</f>
        <v>9843345.9193026088</v>
      </c>
      <c r="AC405" s="5"/>
      <c r="AD405" s="5"/>
      <c r="AE405" s="5"/>
      <c r="AF405" s="282">
        <f t="shared" ca="1" si="242"/>
        <v>344383</v>
      </c>
      <c r="AG405" s="282">
        <f t="shared" ca="1" si="243"/>
        <v>1920000</v>
      </c>
      <c r="AH405" s="282">
        <f t="shared" ca="1" si="244"/>
        <v>9843346</v>
      </c>
      <c r="AI405" s="23" t="str">
        <f t="shared" ca="1" si="260"/>
        <v>34-7</v>
      </c>
      <c r="AJ405" s="282">
        <f ca="1">IF(E405&gt;111,,IF(AND(OP!$C$99=1,T405="F"),Z405,IF(AND(OP!$C$99=2,COUNTIF($T$4:T405,"F")=1),OP!$C$97+IF(F405="F",OP!$C$98,0),"")))</f>
        <v>54527</v>
      </c>
      <c r="AK405" s="282">
        <f ca="1">IF(E405&gt;111,,IF(AND(OP!$D$99=1,T405="F"),AA405,IF(AND(OP!$D$99=2,COUNTIF($T$4:T405,"F")=1),OP!$D$97+IF(F405="F",OP!$D$98,0),"")))</f>
        <v>74177</v>
      </c>
      <c r="AL405" s="282">
        <f ca="1">IF(E405&gt;111,,IF(AND(OP!$E$99=1,T405="F"),AB405,IF(AND(OP!$E$99=2,COUNTIF($T$4:T405,"F")=1),OP!$E$97+IF(F405="F",OP!$E$98,0),"")))</f>
        <v>99404</v>
      </c>
      <c r="AM405" s="1">
        <f t="shared" ca="1" si="234"/>
        <v>7</v>
      </c>
      <c r="AN405" s="1" t="e">
        <f ca="1">IF(OR(VLOOKUP($A405,MP,5,0)="月繳"),1,"")</f>
        <v>#N/A</v>
      </c>
      <c r="AO405" s="1">
        <f t="shared" ca="1" si="245"/>
        <v>0</v>
      </c>
      <c r="AP405" s="1" t="str">
        <f ca="1">IF(AND(A405&lt;=OP!$C$120,COUNTIF(PAY,C405)=1),1,"")</f>
        <v/>
      </c>
      <c r="AR405" s="301">
        <f ca="1">IF(繳費報酬率資料!$A$1=1,$AY405+$AZ405,$BF405+$BG405)</f>
        <v>0</v>
      </c>
      <c r="AS405" s="1">
        <f ca="1">IF(C405&lt;&gt;IF($C$3=1,12,$C$3-1),0,IF(繳費報酬率資料!$A$1&lt;&gt;1,VLOOKUP($A405,MP,8,0),IF(AND($A405&gt;=OP!$C$79,$A405&lt;=OP!$C$80),OP!$C$78,)))</f>
        <v>0</v>
      </c>
      <c r="AT405" s="298">
        <f t="shared" ca="1" si="246"/>
        <v>0</v>
      </c>
      <c r="AU405" s="298">
        <f ca="1">IF(AND(A405&lt;=OP!$C$120,COUNTIF(PAY,C405)=1),OP!$C$123,0)</f>
        <v>0</v>
      </c>
      <c r="AV405" s="298">
        <f ca="1">IF(AND(A405&gt;=OP!$C$132,A405&lt;=OP!$C$133,$C$3=C405),OP!$C$135,0)</f>
        <v>0</v>
      </c>
      <c r="AW405" s="180">
        <f t="shared" ca="1" si="247"/>
        <v>0.05</v>
      </c>
      <c r="AX405" s="180">
        <f t="shared" ca="1" si="248"/>
        <v>0.05</v>
      </c>
      <c r="AY405" s="286">
        <f t="shared" ca="1" si="249"/>
        <v>0</v>
      </c>
      <c r="AZ405" s="286">
        <f t="shared" ca="1" si="250"/>
        <v>0</v>
      </c>
      <c r="BA405" s="286">
        <f t="shared" ca="1" si="251"/>
        <v>0</v>
      </c>
      <c r="BB405" s="286">
        <f t="shared" ca="1" si="252"/>
        <v>0</v>
      </c>
      <c r="BC405" s="286">
        <f t="shared" ca="1" si="253"/>
        <v>0</v>
      </c>
      <c r="BD405" s="180">
        <f t="shared" ca="1" si="254"/>
        <v>0.05</v>
      </c>
      <c r="BE405" s="180">
        <f t="shared" ca="1" si="255"/>
        <v>0.05</v>
      </c>
      <c r="BF405" s="286">
        <f t="shared" ca="1" si="256"/>
        <v>0</v>
      </c>
      <c r="BG405" s="286">
        <f t="shared" ca="1" si="257"/>
        <v>0</v>
      </c>
    </row>
    <row r="406" spans="1:59">
      <c r="A406" s="1">
        <f t="shared" ca="1" si="236"/>
        <v>34</v>
      </c>
      <c r="B406" s="1">
        <f t="shared" ca="1" si="230"/>
        <v>139</v>
      </c>
      <c r="C406" s="1">
        <f t="shared" ca="1" si="231"/>
        <v>12</v>
      </c>
      <c r="D406" s="1">
        <f ca="1">MIN($D$3,VLOOKUP(C406,OP!$S$30:$T$41,2))</f>
        <v>2</v>
      </c>
      <c r="E406" s="1">
        <f t="shared" ca="1" si="232"/>
        <v>88</v>
      </c>
      <c r="F406" s="11" t="str">
        <f t="shared" ca="1" si="237"/>
        <v/>
      </c>
      <c r="G406" s="8">
        <f t="shared" ca="1" si="261"/>
        <v>365</v>
      </c>
      <c r="H406" s="8">
        <f t="shared" ca="1" si="239"/>
        <v>31</v>
      </c>
      <c r="I406" s="8" t="str">
        <f t="shared" ca="1" si="235"/>
        <v>3412</v>
      </c>
      <c r="J406" s="13">
        <f>IF(繳費報酬率資料!$A$1=1,VALUE(OP!$C$121),VLOOKUP(A406,MP,2,0))</f>
        <v>0.05</v>
      </c>
      <c r="K406" s="14">
        <f ca="1">IF(SUM($K$4:K405,IF(繳費報酬率資料!$A$1=1,$AU406+$AV406,$BB406+$BC406))&gt;OP!$L$58,0,IF(繳費報酬率資料!$A$1=1,$AU406+$AV406,$BB406+$BC406))</f>
        <v>0</v>
      </c>
      <c r="L406" s="2"/>
      <c r="M406" s="2"/>
      <c r="N406" s="2"/>
      <c r="O406" s="261">
        <f t="shared" ca="1" si="240"/>
        <v>0</v>
      </c>
      <c r="P406" s="261">
        <f t="shared" ca="1" si="258"/>
        <v>0</v>
      </c>
      <c r="Q406" s="3">
        <f ca="1">IF(A406&gt;MAX(OP!$R$17:$R$26),0,VLOOKUP(A406,fees,3,FALSE))</f>
        <v>0</v>
      </c>
      <c r="R406" s="200" t="str">
        <f t="shared" ca="1" si="241"/>
        <v/>
      </c>
      <c r="S406" s="9" t="str">
        <f ca="1">IF(COUNTIF(($T$4:T405),"F")&gt;=1,"",IF(OR(C407&lt;&gt;$C$3,E406=""),"",A406))</f>
        <v/>
      </c>
      <c r="T406" s="20" t="str">
        <f t="shared" ca="1" si="233"/>
        <v/>
      </c>
      <c r="U406" s="2">
        <f ca="1">IF(IF(OP!$C$83=1,$Z405,IF(OP!$C$83=2,$AA405,IF(OP!$C$83=3,$AB405,)))+$K406-$O406-$P406-$AS406&lt;OP!$C$142,0,$AS406)</f>
        <v>0</v>
      </c>
      <c r="V406" s="9"/>
      <c r="W406" s="19">
        <f ca="1">MAX(SUM($K$4:K406),0)</f>
        <v>2000000</v>
      </c>
      <c r="X406" s="19"/>
      <c r="Y406" s="19">
        <f t="shared" ca="1" si="259"/>
        <v>1920000</v>
      </c>
      <c r="Z406" s="2">
        <f ca="1">IF(MIN($Z$4:Z405)=0,0,MAX(0,($Z405+$K406-$O406-$P406)*IF(AND(F406="F",$D$3&lt;&gt;$G$3),((1+(-J406))^(H406/MIN(G406,365))),((1+(-J406))^(1/12)))-$U406))</f>
        <v>342914.33433263836</v>
      </c>
      <c r="AA406" s="2">
        <f ca="1">IF(MIN($AA$4:AA405)=0,0,MAX(0,($AA405+$K406-$O406-$P406)*IF(AND(F406="F",$D$3&lt;&gt;$G$3),((1+$AA$1)^(H406/MIN(G406,365))),((1+$AA$1)^(1/12)))-$U406))</f>
        <v>1920000</v>
      </c>
      <c r="AB406" s="2">
        <f ca="1">IF(MIN($AB$4:AB405)=0,0,MAX(0,($AB405+$K406-$O406-$P406)*IF(AND(F406="F",$D$3&lt;&gt;$G$3),((1+(J406))^(H406/MIN(G406,365))),((1+(J406))^(1/12)))-$U406))</f>
        <v>9883448.9290231168</v>
      </c>
      <c r="AC406" s="5"/>
      <c r="AD406" s="5"/>
      <c r="AE406" s="5"/>
      <c r="AF406" s="282">
        <f t="shared" ca="1" si="242"/>
        <v>342914</v>
      </c>
      <c r="AG406" s="282">
        <f t="shared" ca="1" si="243"/>
        <v>1920000</v>
      </c>
      <c r="AH406" s="282">
        <f t="shared" ca="1" si="244"/>
        <v>9883449</v>
      </c>
      <c r="AI406" s="23" t="str">
        <f t="shared" ca="1" si="260"/>
        <v>34-8</v>
      </c>
      <c r="AJ406" s="282">
        <f ca="1">IF(E406&gt;111,,IF(AND(OP!$C$99=1,T406="F"),Z406,IF(AND(OP!$C$99=2,COUNTIF($T$4:T406,"F")=1),OP!$C$97+IF(F406="F",OP!$C$98,0),"")))</f>
        <v>54527</v>
      </c>
      <c r="AK406" s="282">
        <f ca="1">IF(E406&gt;111,,IF(AND(OP!$D$99=1,T406="F"),AA406,IF(AND(OP!$D$99=2,COUNTIF($T$4:T406,"F")=1),OP!$D$97+IF(F406="F",OP!$D$98,0),"")))</f>
        <v>74177</v>
      </c>
      <c r="AL406" s="282">
        <f ca="1">IF(E406&gt;111,,IF(AND(OP!$E$99=1,T406="F"),AB406,IF(AND(OP!$E$99=2,COUNTIF($T$4:T406,"F")=1),OP!$E$97+IF(F406="F",OP!$E$98,0),"")))</f>
        <v>99404</v>
      </c>
      <c r="AM406" s="1">
        <f t="shared" ca="1" si="234"/>
        <v>8</v>
      </c>
      <c r="AN406" s="1" t="e">
        <f ca="1">IF(OR(VLOOKUP($A406,MP,5,0)="半年繳",VLOOKUP($A406,MP,5,0)="季繳",VLOOKUP($A406,MP,5,0)="月繳"),1,"")</f>
        <v>#N/A</v>
      </c>
      <c r="AO406" s="1">
        <f t="shared" ca="1" si="245"/>
        <v>0</v>
      </c>
      <c r="AP406" s="1" t="str">
        <f ca="1">IF(AND(A406&lt;=OP!$C$120,COUNTIF(PAY,C406)=1),1,"")</f>
        <v/>
      </c>
      <c r="AR406" s="301">
        <f ca="1">IF(繳費報酬率資料!$A$1=1,$AY406+$AZ406,$BF406+$BG406)</f>
        <v>0</v>
      </c>
      <c r="AS406" s="1">
        <f ca="1">IF(C406&lt;&gt;IF($C$3=1,12,$C$3-1),0,IF(繳費報酬率資料!$A$1&lt;&gt;1,VLOOKUP($A406,MP,8,0),IF(AND($A406&gt;=OP!$C$79,$A406&lt;=OP!$C$80),OP!$C$78,)))</f>
        <v>0</v>
      </c>
      <c r="AT406" s="298">
        <f t="shared" ca="1" si="246"/>
        <v>0</v>
      </c>
      <c r="AU406" s="298">
        <f ca="1">IF(AND(A406&lt;=OP!$C$120,COUNTIF(PAY,C406)=1),OP!$C$123,0)</f>
        <v>0</v>
      </c>
      <c r="AV406" s="298">
        <f ca="1">IF(AND(A406&gt;=OP!$C$132,A406&lt;=OP!$C$133,$C$3=C406),OP!$C$135,0)</f>
        <v>0</v>
      </c>
      <c r="AW406" s="180">
        <f t="shared" ca="1" si="247"/>
        <v>0.05</v>
      </c>
      <c r="AX406" s="180">
        <f t="shared" ca="1" si="248"/>
        <v>0.05</v>
      </c>
      <c r="AY406" s="286">
        <f t="shared" ca="1" si="249"/>
        <v>0</v>
      </c>
      <c r="AZ406" s="286">
        <f t="shared" ca="1" si="250"/>
        <v>0</v>
      </c>
      <c r="BA406" s="286">
        <f t="shared" ca="1" si="251"/>
        <v>0</v>
      </c>
      <c r="BB406" s="286">
        <f t="shared" ca="1" si="252"/>
        <v>0</v>
      </c>
      <c r="BC406" s="286">
        <f t="shared" ca="1" si="253"/>
        <v>0</v>
      </c>
      <c r="BD406" s="180">
        <f t="shared" ca="1" si="254"/>
        <v>0.05</v>
      </c>
      <c r="BE406" s="180">
        <f t="shared" ca="1" si="255"/>
        <v>0.05</v>
      </c>
      <c r="BF406" s="286">
        <f t="shared" ca="1" si="256"/>
        <v>0</v>
      </c>
      <c r="BG406" s="286">
        <f t="shared" ca="1" si="257"/>
        <v>0</v>
      </c>
    </row>
    <row r="407" spans="1:59">
      <c r="A407" s="1">
        <f t="shared" ca="1" si="236"/>
        <v>34</v>
      </c>
      <c r="B407" s="1">
        <f t="shared" ca="1" si="230"/>
        <v>140</v>
      </c>
      <c r="C407" s="1">
        <f t="shared" ca="1" si="231"/>
        <v>1</v>
      </c>
      <c r="D407" s="1">
        <f ca="1">MIN($D$3,VLOOKUP(C407,OP!$S$30:$T$41,2))</f>
        <v>2</v>
      </c>
      <c r="E407" s="1">
        <f t="shared" ca="1" si="232"/>
        <v>88</v>
      </c>
      <c r="F407" s="11" t="str">
        <f t="shared" ca="1" si="237"/>
        <v/>
      </c>
      <c r="G407" s="8">
        <f t="shared" ca="1" si="261"/>
        <v>365</v>
      </c>
      <c r="H407" s="8">
        <f t="shared" ca="1" si="239"/>
        <v>31</v>
      </c>
      <c r="I407" s="8" t="str">
        <f t="shared" ca="1" si="235"/>
        <v>341</v>
      </c>
      <c r="J407" s="13">
        <f>IF(繳費報酬率資料!$A$1=1,VALUE(OP!$C$121),VLOOKUP(A407,MP,2,0))</f>
        <v>0.05</v>
      </c>
      <c r="K407" s="14">
        <f ca="1">IF(SUM($K$4:K406,IF(繳費報酬率資料!$A$1=1,$AU407+$AV407,$BB407+$BC407))&gt;OP!$L$58,0,IF(繳費報酬率資料!$A$1=1,$AU407+$AV407,$BB407+$BC407))</f>
        <v>0</v>
      </c>
      <c r="L407" s="2"/>
      <c r="M407" s="2"/>
      <c r="N407" s="2"/>
      <c r="O407" s="261">
        <f t="shared" ca="1" si="240"/>
        <v>0</v>
      </c>
      <c r="P407" s="261">
        <f t="shared" ca="1" si="258"/>
        <v>0</v>
      </c>
      <c r="Q407" s="3">
        <f ca="1">IF(A407&gt;MAX(OP!$R$17:$R$26),0,VLOOKUP(A407,fees,3,FALSE))</f>
        <v>0</v>
      </c>
      <c r="R407" s="200" t="str">
        <f t="shared" ca="1" si="241"/>
        <v/>
      </c>
      <c r="S407" s="9" t="str">
        <f ca="1">IF(COUNTIF(($T$4:T406),"F")&gt;=1,"",IF(OR(C408&lt;&gt;$C$3,E407=""),"",A407))</f>
        <v/>
      </c>
      <c r="T407" s="20" t="str">
        <f t="shared" ca="1" si="233"/>
        <v/>
      </c>
      <c r="U407" s="2">
        <f ca="1">IF(IF(OP!$C$83=1,$Z406,IF(OP!$C$83=2,$AA406,IF(OP!$C$83=3,$AB406,)))+$K407-$O407-$P407-$AS407&lt;OP!$C$142,0,$AS407)</f>
        <v>0</v>
      </c>
      <c r="V407" s="9"/>
      <c r="W407" s="19">
        <f ca="1">MAX(SUM($K$4:K407),0)</f>
        <v>2000000</v>
      </c>
      <c r="X407" s="19"/>
      <c r="Y407" s="19">
        <f t="shared" ca="1" si="259"/>
        <v>1920000</v>
      </c>
      <c r="Z407" s="2">
        <f ca="1">IF(MIN($Z$4:Z406)=0,0,MAX(0,($Z406+$K407-$O407-$P407)*IF(AND(F407="F",$D$3&lt;&gt;$G$3),((1+(-J407))^(H407/MIN(G407,365))),((1+(-J407))^(1/12)))-$U407))</f>
        <v>341451.69538331463</v>
      </c>
      <c r="AA407" s="2">
        <f ca="1">IF(MIN($AA$4:AA406)=0,0,MAX(0,($AA406+$K407-$O407-$P407)*IF(AND(F407="F",$D$3&lt;&gt;$G$3),((1+$AA$1)^(H407/MIN(G407,365))),((1+$AA$1)^(1/12)))-$U407))</f>
        <v>1920000</v>
      </c>
      <c r="AB407" s="2">
        <f ca="1">IF(MIN($AB$4:AB406)=0,0,MAX(0,($AB406+$K407-$O407-$P407)*IF(AND(F407="F",$D$3&lt;&gt;$G$3),((1+(J407))^(H407/MIN(G407,365))),((1+(J407))^(1/12)))-$U407))</f>
        <v>9923715.3233693242</v>
      </c>
      <c r="AC407" s="5"/>
      <c r="AD407" s="5"/>
      <c r="AE407" s="5"/>
      <c r="AF407" s="282">
        <f t="shared" ca="1" si="242"/>
        <v>341452</v>
      </c>
      <c r="AG407" s="282">
        <f t="shared" ca="1" si="243"/>
        <v>1920000</v>
      </c>
      <c r="AH407" s="282">
        <f t="shared" ca="1" si="244"/>
        <v>9923715</v>
      </c>
      <c r="AI407" s="23" t="str">
        <f t="shared" ca="1" si="260"/>
        <v>34-9</v>
      </c>
      <c r="AJ407" s="282">
        <f ca="1">IF(E407&gt;111,,IF(AND(OP!$C$99=1,T407="F"),Z407,IF(AND(OP!$C$99=2,COUNTIF($T$4:T407,"F")=1),OP!$C$97+IF(F407="F",OP!$C$98,0),"")))</f>
        <v>54527</v>
      </c>
      <c r="AK407" s="282">
        <f ca="1">IF(E407&gt;111,,IF(AND(OP!$D$99=1,T407="F"),AA407,IF(AND(OP!$D$99=2,COUNTIF($T$4:T407,"F")=1),OP!$D$97+IF(F407="F",OP!$D$98,0),"")))</f>
        <v>74177</v>
      </c>
      <c r="AL407" s="282">
        <f ca="1">IF(E407&gt;111,,IF(AND(OP!$E$99=1,T407="F"),AB407,IF(AND(OP!$E$99=2,COUNTIF($T$4:T407,"F")=1),OP!$E$97+IF(F407="F",OP!$E$98,0),"")))</f>
        <v>99404</v>
      </c>
      <c r="AM407" s="1">
        <f t="shared" ca="1" si="234"/>
        <v>9</v>
      </c>
      <c r="AN407" s="1" t="e">
        <f ca="1">IF(OR(VLOOKUP($A407,MP,5,0)="月繳"),1,"")</f>
        <v>#N/A</v>
      </c>
      <c r="AO407" s="1">
        <f t="shared" ca="1" si="245"/>
        <v>0</v>
      </c>
      <c r="AP407" s="1" t="str">
        <f ca="1">IF(AND(A407&lt;=OP!$C$120,COUNTIF(PAY,C407)=1),1,"")</f>
        <v/>
      </c>
      <c r="AR407" s="301">
        <f ca="1">IF(繳費報酬率資料!$A$1=1,$AY407+$AZ407,$BF407+$BG407)</f>
        <v>0</v>
      </c>
      <c r="AS407" s="1">
        <f ca="1">IF(C407&lt;&gt;IF($C$3=1,12,$C$3-1),0,IF(繳費報酬率資料!$A$1&lt;&gt;1,VLOOKUP($A407,MP,8,0),IF(AND($A407&gt;=OP!$C$79,$A407&lt;=OP!$C$80),OP!$C$78,)))</f>
        <v>0</v>
      </c>
      <c r="AT407" s="298">
        <f t="shared" ca="1" si="246"/>
        <v>0</v>
      </c>
      <c r="AU407" s="298">
        <f ca="1">IF(AND(A407&lt;=OP!$C$120,COUNTIF(PAY,C407)=1),OP!$C$123,0)</f>
        <v>0</v>
      </c>
      <c r="AV407" s="298">
        <f ca="1">IF(AND(A407&gt;=OP!$C$132,A407&lt;=OP!$C$133,$C$3=C407),OP!$C$135,0)</f>
        <v>0</v>
      </c>
      <c r="AW407" s="180">
        <f t="shared" ca="1" si="247"/>
        <v>0.05</v>
      </c>
      <c r="AX407" s="180">
        <f t="shared" ca="1" si="248"/>
        <v>0.05</v>
      </c>
      <c r="AY407" s="286">
        <f t="shared" ca="1" si="249"/>
        <v>0</v>
      </c>
      <c r="AZ407" s="286">
        <f t="shared" ca="1" si="250"/>
        <v>0</v>
      </c>
      <c r="BA407" s="286">
        <f t="shared" ca="1" si="251"/>
        <v>0</v>
      </c>
      <c r="BB407" s="286">
        <f t="shared" ca="1" si="252"/>
        <v>0</v>
      </c>
      <c r="BC407" s="286">
        <f t="shared" ca="1" si="253"/>
        <v>0</v>
      </c>
      <c r="BD407" s="180">
        <f t="shared" ca="1" si="254"/>
        <v>0.05</v>
      </c>
      <c r="BE407" s="180">
        <f t="shared" ca="1" si="255"/>
        <v>0.05</v>
      </c>
      <c r="BF407" s="286">
        <f t="shared" ca="1" si="256"/>
        <v>0</v>
      </c>
      <c r="BG407" s="286">
        <f t="shared" ca="1" si="257"/>
        <v>0</v>
      </c>
    </row>
    <row r="408" spans="1:59">
      <c r="A408" s="1">
        <f t="shared" ca="1" si="236"/>
        <v>34</v>
      </c>
      <c r="B408" s="1">
        <f t="shared" ca="1" si="230"/>
        <v>140</v>
      </c>
      <c r="C408" s="1">
        <f t="shared" ca="1" si="231"/>
        <v>2</v>
      </c>
      <c r="D408" s="1">
        <f ca="1">MIN($D$3,VLOOKUP(C408,OP!$S$30:$T$41,2))</f>
        <v>2</v>
      </c>
      <c r="E408" s="1">
        <f t="shared" ca="1" si="232"/>
        <v>88</v>
      </c>
      <c r="F408" s="11" t="str">
        <f t="shared" ca="1" si="237"/>
        <v/>
      </c>
      <c r="G408" s="8">
        <f t="shared" ca="1" si="261"/>
        <v>365</v>
      </c>
      <c r="H408" s="8">
        <f t="shared" ca="1" si="239"/>
        <v>28</v>
      </c>
      <c r="I408" s="8" t="str">
        <f t="shared" ca="1" si="235"/>
        <v>342</v>
      </c>
      <c r="J408" s="13">
        <f>IF(繳費報酬率資料!$A$1=1,VALUE(OP!$C$121),VLOOKUP(A408,MP,2,0))</f>
        <v>0.05</v>
      </c>
      <c r="K408" s="14">
        <f ca="1">IF(SUM($K$4:K407,IF(繳費報酬率資料!$A$1=1,$AU408+$AV408,$BB408+$BC408))&gt;OP!$L$58,0,IF(繳費報酬率資料!$A$1=1,$AU408+$AV408,$BB408+$BC408))</f>
        <v>0</v>
      </c>
      <c r="L408" s="2"/>
      <c r="M408" s="2"/>
      <c r="N408" s="2"/>
      <c r="O408" s="261">
        <f t="shared" ca="1" si="240"/>
        <v>0</v>
      </c>
      <c r="P408" s="261">
        <f t="shared" ca="1" si="258"/>
        <v>0</v>
      </c>
      <c r="Q408" s="3">
        <f ca="1">IF(A408&gt;MAX(OP!$R$17:$R$26),0,VLOOKUP(A408,fees,3,FALSE))</f>
        <v>0</v>
      </c>
      <c r="R408" s="200" t="str">
        <f t="shared" ca="1" si="241"/>
        <v/>
      </c>
      <c r="S408" s="9" t="str">
        <f ca="1">IF(COUNTIF(($T$4:T407),"F")&gt;=1,"",IF(OR(C409&lt;&gt;$C$3,E408=""),"",A408))</f>
        <v/>
      </c>
      <c r="T408" s="20" t="str">
        <f t="shared" ca="1" si="233"/>
        <v/>
      </c>
      <c r="U408" s="2">
        <f ca="1">IF(IF(OP!$C$83=1,$Z407,IF(OP!$C$83=2,$AA407,IF(OP!$C$83=3,$AB407,)))+$K408-$O408-$P408-$AS408&lt;OP!$C$142,0,$AS408)</f>
        <v>0</v>
      </c>
      <c r="V408" s="9"/>
      <c r="W408" s="19">
        <f ca="1">MAX(SUM($K$4:K408),0)</f>
        <v>2000000</v>
      </c>
      <c r="X408" s="19"/>
      <c r="Y408" s="19">
        <f t="shared" ca="1" si="259"/>
        <v>1920000</v>
      </c>
      <c r="Z408" s="2">
        <f ca="1">IF(MIN($Z$4:Z407)=0,0,MAX(0,($Z407+$K408-$O408-$P408)*IF(AND(F408="F",$D$3&lt;&gt;$G$3),((1+(-J408))^(H408/MIN(G408,365))),((1+(-J408))^(1/12)))-$U408))</f>
        <v>339995.29505536624</v>
      </c>
      <c r="AA408" s="2">
        <f ca="1">IF(MIN($AA$4:AA407)=0,0,MAX(0,($AA407+$K408-$O408-$P408)*IF(AND(F408="F",$D$3&lt;&gt;$G$3),((1+$AA$1)^(H408/MIN(G408,365))),((1+$AA$1)^(1/12)))-$U408))</f>
        <v>1920000</v>
      </c>
      <c r="AB408" s="2">
        <f ca="1">IF(MIN($AB$4:AB407)=0,0,MAX(0,($AB407+$K408-$O408-$P408)*IF(AND(F408="F",$D$3&lt;&gt;$G$3),((1+(J408))^(H408/MIN(G408,365))),((1+(J408))^(1/12)))-$U408))</f>
        <v>9964145.7679904196</v>
      </c>
      <c r="AC408" s="5"/>
      <c r="AD408" s="5"/>
      <c r="AE408" s="5"/>
      <c r="AF408" s="282">
        <f t="shared" ca="1" si="242"/>
        <v>339995</v>
      </c>
      <c r="AG408" s="282">
        <f t="shared" ca="1" si="243"/>
        <v>1920000</v>
      </c>
      <c r="AH408" s="282">
        <f t="shared" ca="1" si="244"/>
        <v>9964146</v>
      </c>
      <c r="AI408" s="23" t="str">
        <f t="shared" ca="1" si="260"/>
        <v>34-10</v>
      </c>
      <c r="AJ408" s="282">
        <f ca="1">IF(E408&gt;111,,IF(AND(OP!$C$99=1,T408="F"),Z408,IF(AND(OP!$C$99=2,COUNTIF($T$4:T408,"F")=1),OP!$C$97+IF(F408="F",OP!$C$98,0),"")))</f>
        <v>54527</v>
      </c>
      <c r="AK408" s="282">
        <f ca="1">IF(E408&gt;111,,IF(AND(OP!$D$99=1,T408="F"),AA408,IF(AND(OP!$D$99=2,COUNTIF($T$4:T408,"F")=1),OP!$D$97+IF(F408="F",OP!$D$98,0),"")))</f>
        <v>74177</v>
      </c>
      <c r="AL408" s="282">
        <f ca="1">IF(E408&gt;111,,IF(AND(OP!$E$99=1,T408="F"),AB408,IF(AND(OP!$E$99=2,COUNTIF($T$4:T408,"F")=1),OP!$E$97+IF(F408="F",OP!$E$98,0),"")))</f>
        <v>99404</v>
      </c>
      <c r="AM408" s="1">
        <f t="shared" ca="1" si="234"/>
        <v>10</v>
      </c>
      <c r="AN408" s="1" t="e">
        <f ca="1">IF(OR(VLOOKUP($A408,MP,5,0)="月繳"),1,"")</f>
        <v>#N/A</v>
      </c>
      <c r="AO408" s="1">
        <f t="shared" ca="1" si="245"/>
        <v>0</v>
      </c>
      <c r="AP408" s="1" t="str">
        <f ca="1">IF(AND(A408&lt;=OP!$C$120,COUNTIF(PAY,C408)=1),1,"")</f>
        <v/>
      </c>
      <c r="AR408" s="301">
        <f ca="1">IF(繳費報酬率資料!$A$1=1,$AY408+$AZ408,$BF408+$BG408)</f>
        <v>0</v>
      </c>
      <c r="AS408" s="1">
        <f ca="1">IF(C408&lt;&gt;IF($C$3=1,12,$C$3-1),0,IF(繳費報酬率資料!$A$1&lt;&gt;1,VLOOKUP($A408,MP,8,0),IF(AND($A408&gt;=OP!$C$79,$A408&lt;=OP!$C$80),OP!$C$78,)))</f>
        <v>0</v>
      </c>
      <c r="AT408" s="298">
        <f t="shared" ca="1" si="246"/>
        <v>0</v>
      </c>
      <c r="AU408" s="298">
        <f ca="1">IF(AND(A408&lt;=OP!$C$120,COUNTIF(PAY,C408)=1),OP!$C$123,0)</f>
        <v>0</v>
      </c>
      <c r="AV408" s="298">
        <f ca="1">IF(AND(A408&gt;=OP!$C$132,A408&lt;=OP!$C$133,$C$3=C408),OP!$C$135,0)</f>
        <v>0</v>
      </c>
      <c r="AW408" s="180">
        <f t="shared" ca="1" si="247"/>
        <v>0.05</v>
      </c>
      <c r="AX408" s="180">
        <f t="shared" ca="1" si="248"/>
        <v>0.05</v>
      </c>
      <c r="AY408" s="286">
        <f t="shared" ca="1" si="249"/>
        <v>0</v>
      </c>
      <c r="AZ408" s="286">
        <f t="shared" ca="1" si="250"/>
        <v>0</v>
      </c>
      <c r="BA408" s="286">
        <f t="shared" ca="1" si="251"/>
        <v>0</v>
      </c>
      <c r="BB408" s="286">
        <f t="shared" ca="1" si="252"/>
        <v>0</v>
      </c>
      <c r="BC408" s="286">
        <f t="shared" ca="1" si="253"/>
        <v>0</v>
      </c>
      <c r="BD408" s="180">
        <f t="shared" ca="1" si="254"/>
        <v>0.05</v>
      </c>
      <c r="BE408" s="180">
        <f t="shared" ca="1" si="255"/>
        <v>0.05</v>
      </c>
      <c r="BF408" s="286">
        <f t="shared" ca="1" si="256"/>
        <v>0</v>
      </c>
      <c r="BG408" s="286">
        <f t="shared" ca="1" si="257"/>
        <v>0</v>
      </c>
    </row>
    <row r="409" spans="1:59">
      <c r="A409" s="1">
        <f t="shared" ca="1" si="236"/>
        <v>34</v>
      </c>
      <c r="B409" s="1">
        <f t="shared" ca="1" si="230"/>
        <v>140</v>
      </c>
      <c r="C409" s="1">
        <f t="shared" ca="1" si="231"/>
        <v>3</v>
      </c>
      <c r="D409" s="1">
        <f ca="1">MIN($D$3,VLOOKUP(C409,OP!$S$30:$T$41,2))</f>
        <v>2</v>
      </c>
      <c r="E409" s="1">
        <f t="shared" ca="1" si="232"/>
        <v>88</v>
      </c>
      <c r="F409" s="11" t="str">
        <f t="shared" ca="1" si="237"/>
        <v/>
      </c>
      <c r="G409" s="8">
        <f t="shared" ca="1" si="261"/>
        <v>365</v>
      </c>
      <c r="H409" s="8">
        <f t="shared" ca="1" si="239"/>
        <v>31</v>
      </c>
      <c r="I409" s="8" t="str">
        <f t="shared" ca="1" si="235"/>
        <v>343</v>
      </c>
      <c r="J409" s="13">
        <f>IF(繳費報酬率資料!$A$1=1,VALUE(OP!$C$121),VLOOKUP(A409,MP,2,0))</f>
        <v>0.05</v>
      </c>
      <c r="K409" s="14">
        <f ca="1">IF(SUM($K$4:K408,IF(繳費報酬率資料!$A$1=1,$AU409+$AV409,$BB409+$BC409))&gt;OP!$L$58,0,IF(繳費報酬率資料!$A$1=1,$AU409+$AV409,$BB409+$BC409))</f>
        <v>0</v>
      </c>
      <c r="L409" s="2"/>
      <c r="M409" s="2"/>
      <c r="N409" s="2"/>
      <c r="O409" s="261">
        <f t="shared" ca="1" si="240"/>
        <v>0</v>
      </c>
      <c r="P409" s="261">
        <f t="shared" ca="1" si="258"/>
        <v>0</v>
      </c>
      <c r="Q409" s="3">
        <f ca="1">IF(A409&gt;MAX(OP!$R$17:$R$26),0,VLOOKUP(A409,fees,3,FALSE))</f>
        <v>0</v>
      </c>
      <c r="R409" s="200" t="str">
        <f t="shared" ca="1" si="241"/>
        <v/>
      </c>
      <c r="S409" s="9" t="str">
        <f ca="1">IF(COUNTIF(($T$4:T408),"F")&gt;=1,"",IF(OR(C410&lt;&gt;$C$3,E409=""),"",A409))</f>
        <v/>
      </c>
      <c r="T409" s="20" t="str">
        <f t="shared" ca="1" si="233"/>
        <v/>
      </c>
      <c r="U409" s="2">
        <f ca="1">IF(IF(OP!$C$83=1,$Z408,IF(OP!$C$83=2,$AA408,IF(OP!$C$83=3,$AB408,)))+$K409-$O409-$P409-$AS409&lt;OP!$C$142,0,$AS409)</f>
        <v>0</v>
      </c>
      <c r="V409" s="9"/>
      <c r="W409" s="19">
        <f ca="1">MAX(SUM($K$4:K409),0)</f>
        <v>2000000</v>
      </c>
      <c r="X409" s="19"/>
      <c r="Y409" s="19">
        <f t="shared" ca="1" si="259"/>
        <v>1920000</v>
      </c>
      <c r="Z409" s="2">
        <f ca="1">IF(MIN($Z$4:Z408)=0,0,MAX(0,($Z408+$K409-$O409-$P409)*IF(AND(F409="F",$D$3&lt;&gt;$G$3),((1+(-J409))^(H409/MIN(G409,365))),((1+(-J409))^(1/12)))-$U409))</f>
        <v>338545.10673908429</v>
      </c>
      <c r="AA409" s="2">
        <f ca="1">IF(MIN($AA$4:AA408)=0,0,MAX(0,($AA408+$K409-$O409-$P409)*IF(AND(F409="F",$D$3&lt;&gt;$G$3),((1+$AA$1)^(H409/MIN(G409,365))),((1+$AA$1)^(1/12)))-$U409))</f>
        <v>1920000</v>
      </c>
      <c r="AB409" s="2">
        <f ca="1">IF(MIN($AB$4:AB408)=0,0,MAX(0,($AB408+$K409-$O409-$P409)*IF(AND(F409="F",$D$3&lt;&gt;$G$3),((1+(J409))^(H409/MIN(G409,365))),((1+(J409))^(1/12)))-$U409))</f>
        <v>10004740.931247529</v>
      </c>
      <c r="AC409" s="5"/>
      <c r="AD409" s="5"/>
      <c r="AE409" s="5"/>
      <c r="AF409" s="282">
        <f t="shared" ca="1" si="242"/>
        <v>338545</v>
      </c>
      <c r="AG409" s="282">
        <f t="shared" ca="1" si="243"/>
        <v>1920000</v>
      </c>
      <c r="AH409" s="282">
        <f t="shared" ca="1" si="244"/>
        <v>10004741</v>
      </c>
      <c r="AI409" s="23" t="str">
        <f t="shared" ca="1" si="260"/>
        <v>34-11</v>
      </c>
      <c r="AJ409" s="282">
        <f ca="1">IF(E409&gt;111,,IF(AND(OP!$C$99=1,T409="F"),Z409,IF(AND(OP!$C$99=2,COUNTIF($T$4:T409,"F")=1),OP!$C$97+IF(F409="F",OP!$C$98,0),"")))</f>
        <v>54527</v>
      </c>
      <c r="AK409" s="282">
        <f ca="1">IF(E409&gt;111,,IF(AND(OP!$D$99=1,T409="F"),AA409,IF(AND(OP!$D$99=2,COUNTIF($T$4:T409,"F")=1),OP!$D$97+IF(F409="F",OP!$D$98,0),"")))</f>
        <v>74177</v>
      </c>
      <c r="AL409" s="282">
        <f ca="1">IF(E409&gt;111,,IF(AND(OP!$E$99=1,T409="F"),AB409,IF(AND(OP!$E$99=2,COUNTIF($T$4:T409,"F")=1),OP!$E$97+IF(F409="F",OP!$E$98,0),"")))</f>
        <v>99404</v>
      </c>
      <c r="AM409" s="1">
        <f t="shared" ca="1" si="234"/>
        <v>11</v>
      </c>
      <c r="AN409" s="1" t="e">
        <f ca="1">IF(OR(VLOOKUP($A409,MP,5,0)="季繳",VLOOKUP($A409,MP,5,0)="月繳"),1,"")</f>
        <v>#N/A</v>
      </c>
      <c r="AO409" s="1">
        <f t="shared" ca="1" si="245"/>
        <v>0</v>
      </c>
      <c r="AP409" s="1" t="str">
        <f ca="1">IF(AND(A409&lt;=OP!$C$120,COUNTIF(PAY,C409)=1),1,"")</f>
        <v/>
      </c>
      <c r="AR409" s="301">
        <f ca="1">IF(繳費報酬率資料!$A$1=1,$AY409+$AZ409,$BF409+$BG409)</f>
        <v>0</v>
      </c>
      <c r="AS409" s="1">
        <f ca="1">IF(C409&lt;&gt;IF($C$3=1,12,$C$3-1),0,IF(繳費報酬率資料!$A$1&lt;&gt;1,VLOOKUP($A409,MP,8,0),IF(AND($A409&gt;=OP!$C$79,$A409&lt;=OP!$C$80),OP!$C$78,)))</f>
        <v>0</v>
      </c>
      <c r="AT409" s="298">
        <f t="shared" ca="1" si="246"/>
        <v>0</v>
      </c>
      <c r="AU409" s="298">
        <f ca="1">IF(AND(A409&lt;=OP!$C$120,COUNTIF(PAY,C409)=1),OP!$C$123,0)</f>
        <v>0</v>
      </c>
      <c r="AV409" s="298">
        <f ca="1">IF(AND(A409&gt;=OP!$C$132,A409&lt;=OP!$C$133,$C$3=C409),OP!$C$135,0)</f>
        <v>0</v>
      </c>
      <c r="AW409" s="180">
        <f t="shared" ca="1" si="247"/>
        <v>0.05</v>
      </c>
      <c r="AX409" s="180">
        <f t="shared" ca="1" si="248"/>
        <v>0.05</v>
      </c>
      <c r="AY409" s="286">
        <f t="shared" ca="1" si="249"/>
        <v>0</v>
      </c>
      <c r="AZ409" s="286">
        <f t="shared" ca="1" si="250"/>
        <v>0</v>
      </c>
      <c r="BA409" s="286">
        <f t="shared" ca="1" si="251"/>
        <v>0</v>
      </c>
      <c r="BB409" s="286">
        <f t="shared" ca="1" si="252"/>
        <v>0</v>
      </c>
      <c r="BC409" s="286">
        <f t="shared" ca="1" si="253"/>
        <v>0</v>
      </c>
      <c r="BD409" s="180">
        <f t="shared" ca="1" si="254"/>
        <v>0.05</v>
      </c>
      <c r="BE409" s="180">
        <f t="shared" ca="1" si="255"/>
        <v>0.05</v>
      </c>
      <c r="BF409" s="286">
        <f t="shared" ca="1" si="256"/>
        <v>0</v>
      </c>
      <c r="BG409" s="286">
        <f t="shared" ca="1" si="257"/>
        <v>0</v>
      </c>
    </row>
    <row r="410" spans="1:59">
      <c r="A410" s="1">
        <f t="shared" ca="1" si="236"/>
        <v>34</v>
      </c>
      <c r="B410" s="1">
        <f t="shared" ca="1" si="230"/>
        <v>140</v>
      </c>
      <c r="C410" s="1">
        <f t="shared" ca="1" si="231"/>
        <v>4</v>
      </c>
      <c r="D410" s="1">
        <f ca="1">MIN($D$3,VLOOKUP(C410,OP!$S$30:$T$41,2))</f>
        <v>2</v>
      </c>
      <c r="E410" s="1">
        <f t="shared" ca="1" si="232"/>
        <v>88</v>
      </c>
      <c r="F410" s="11" t="str">
        <f t="shared" ca="1" si="237"/>
        <v/>
      </c>
      <c r="G410" s="8">
        <f t="shared" ca="1" si="261"/>
        <v>365</v>
      </c>
      <c r="H410" s="8">
        <f t="shared" ca="1" si="239"/>
        <v>30</v>
      </c>
      <c r="I410" s="8" t="str">
        <f t="shared" ca="1" si="235"/>
        <v>344</v>
      </c>
      <c r="J410" s="13">
        <f>IF(繳費報酬率資料!$A$1=1,VALUE(OP!$C$121),VLOOKUP(A410,MP,2,0))</f>
        <v>0.05</v>
      </c>
      <c r="K410" s="14">
        <f ca="1">IF(SUM($K$4:K409,IF(繳費報酬率資料!$A$1=1,$AU410+$AV410,$BB410+$BC410))&gt;OP!$L$58,0,IF(繳費報酬率資料!$A$1=1,$AU410+$AV410,$BB410+$BC410))</f>
        <v>0</v>
      </c>
      <c r="L410" s="2"/>
      <c r="M410" s="2"/>
      <c r="N410" s="2"/>
      <c r="O410" s="261">
        <f t="shared" ca="1" si="240"/>
        <v>0</v>
      </c>
      <c r="P410" s="261">
        <f t="shared" ca="1" si="258"/>
        <v>0</v>
      </c>
      <c r="Q410" s="3">
        <f ca="1">IF(A410&gt;MAX(OP!$R$17:$R$26),0,VLOOKUP(A410,fees,3,FALSE))</f>
        <v>0</v>
      </c>
      <c r="R410" s="200" t="str">
        <f t="shared" ca="1" si="241"/>
        <v/>
      </c>
      <c r="S410" s="9" t="str">
        <f ca="1">IF(COUNTIF(($T$4:T409),"F")&gt;=1,"",IF(OR(C411&lt;&gt;$C$3,E410=""),"",A410))</f>
        <v/>
      </c>
      <c r="T410" s="20" t="str">
        <f t="shared" ca="1" si="233"/>
        <v/>
      </c>
      <c r="U410" s="2">
        <f ca="1">IF(IF(OP!$C$83=1,$Z409,IF(OP!$C$83=2,$AA409,IF(OP!$C$83=3,$AB409,)))+$K410-$O410-$P410-$AS410&lt;OP!$C$142,0,$AS410)</f>
        <v>0</v>
      </c>
      <c r="V410" s="9"/>
      <c r="W410" s="19">
        <f ca="1">MAX(SUM($K$4:K410),0)</f>
        <v>2000000</v>
      </c>
      <c r="X410" s="19"/>
      <c r="Y410" s="19">
        <f t="shared" ca="1" si="259"/>
        <v>1920000</v>
      </c>
      <c r="Z410" s="2">
        <f ca="1">IF(MIN($Z$4:Z409)=0,0,MAX(0,($Z409+$K410-$O410-$P410)*IF(AND(F410="F",$D$3&lt;&gt;$G$3),((1+(-J410))^(H410/MIN(G410,365))),((1+(-J410))^(1/12)))-$U410))</f>
        <v>337101.10393825878</v>
      </c>
      <c r="AA410" s="2">
        <f ca="1">IF(MIN($AA$4:AA409)=0,0,MAX(0,($AA409+$K410-$O410-$P410)*IF(AND(F410="F",$D$3&lt;&gt;$G$3),((1+$AA$1)^(H410/MIN(G410,365))),((1+$AA$1)^(1/12)))-$U410))</f>
        <v>1920000</v>
      </c>
      <c r="AB410" s="2">
        <f ca="1">IF(MIN($AB$4:AB409)=0,0,MAX(0,($AB409+$K410-$O410-$P410)*IF(AND(F410="F",$D$3&lt;&gt;$G$3),((1+(J410))^(H410/MIN(G410,365))),((1+(J410))^(1/12)))-$U410))</f>
        <v>10045501.484224765</v>
      </c>
      <c r="AC410" s="5"/>
      <c r="AD410" s="5"/>
      <c r="AE410" s="5"/>
      <c r="AF410" s="282">
        <f t="shared" ca="1" si="242"/>
        <v>337101</v>
      </c>
      <c r="AG410" s="282">
        <f t="shared" ca="1" si="243"/>
        <v>1920000</v>
      </c>
      <c r="AH410" s="282">
        <f t="shared" ca="1" si="244"/>
        <v>10045501</v>
      </c>
      <c r="AI410" s="23" t="str">
        <f t="shared" ca="1" si="260"/>
        <v>34-12</v>
      </c>
      <c r="AJ410" s="282">
        <f ca="1">IF(E410&gt;111,,IF(AND(OP!$C$99=1,T410="F"),Z410,IF(AND(OP!$C$99=2,COUNTIF($T$4:T410,"F")=1),OP!$C$97+IF(F410="F",OP!$C$98,0),"")))</f>
        <v>54527</v>
      </c>
      <c r="AK410" s="282">
        <f ca="1">IF(E410&gt;111,,IF(AND(OP!$D$99=1,T410="F"),AA410,IF(AND(OP!$D$99=2,COUNTIF($T$4:T410,"F")=1),OP!$D$97+IF(F410="F",OP!$D$98,0),"")))</f>
        <v>74177</v>
      </c>
      <c r="AL410" s="282">
        <f ca="1">IF(E410&gt;111,,IF(AND(OP!$E$99=1,T410="F"),AB410,IF(AND(OP!$E$99=2,COUNTIF($T$4:T410,"F")=1),OP!$E$97+IF(F410="F",OP!$E$98,0),"")))</f>
        <v>99404</v>
      </c>
      <c r="AM410" s="1">
        <f t="shared" ca="1" si="234"/>
        <v>12</v>
      </c>
      <c r="AN410" s="1" t="e">
        <f ca="1">IF(OR(VLOOKUP($A410,MP,5,0)="月繳"),1,"")</f>
        <v>#N/A</v>
      </c>
      <c r="AO410" s="1">
        <f t="shared" ca="1" si="245"/>
        <v>0</v>
      </c>
      <c r="AP410" s="1" t="str">
        <f ca="1">IF(AND(A410&lt;=OP!$C$120,COUNTIF(PAY,C410)=1),1,"")</f>
        <v/>
      </c>
      <c r="AR410" s="301">
        <f ca="1">IF(繳費報酬率資料!$A$1=1,$AY410+$AZ410,$BF410+$BG410)</f>
        <v>0</v>
      </c>
      <c r="AS410" s="1">
        <f ca="1">IF(C410&lt;&gt;IF($C$3=1,12,$C$3-1),0,IF(繳費報酬率資料!$A$1&lt;&gt;1,VLOOKUP($A410,MP,8,0),IF(AND($A410&gt;=OP!$C$79,$A410&lt;=OP!$C$80),OP!$C$78,)))</f>
        <v>0</v>
      </c>
      <c r="AT410" s="298">
        <f t="shared" ca="1" si="246"/>
        <v>0</v>
      </c>
      <c r="AU410" s="298">
        <f ca="1">IF(AND(A410&lt;=OP!$C$120,COUNTIF(PAY,C410)=1),OP!$C$123,0)</f>
        <v>0</v>
      </c>
      <c r="AV410" s="298">
        <f ca="1">IF(AND(A410&gt;=OP!$C$132,A410&lt;=OP!$C$133,$C$3=C410),OP!$C$135,0)</f>
        <v>0</v>
      </c>
      <c r="AW410" s="180">
        <f t="shared" ca="1" si="247"/>
        <v>0.05</v>
      </c>
      <c r="AX410" s="180">
        <f t="shared" ca="1" si="248"/>
        <v>0.05</v>
      </c>
      <c r="AY410" s="286">
        <f t="shared" ca="1" si="249"/>
        <v>0</v>
      </c>
      <c r="AZ410" s="286">
        <f t="shared" ca="1" si="250"/>
        <v>0</v>
      </c>
      <c r="BA410" s="286">
        <f t="shared" ca="1" si="251"/>
        <v>0</v>
      </c>
      <c r="BB410" s="286">
        <f t="shared" ca="1" si="252"/>
        <v>0</v>
      </c>
      <c r="BC410" s="286">
        <f t="shared" ca="1" si="253"/>
        <v>0</v>
      </c>
      <c r="BD410" s="180">
        <f t="shared" ca="1" si="254"/>
        <v>0.05</v>
      </c>
      <c r="BE410" s="180">
        <f t="shared" ca="1" si="255"/>
        <v>0.05</v>
      </c>
      <c r="BF410" s="286">
        <f t="shared" ca="1" si="256"/>
        <v>0</v>
      </c>
      <c r="BG410" s="286">
        <f t="shared" ca="1" si="257"/>
        <v>0</v>
      </c>
    </row>
    <row r="411" spans="1:59">
      <c r="A411" s="1">
        <f t="shared" ca="1" si="236"/>
        <v>34</v>
      </c>
      <c r="B411" s="1">
        <f t="shared" ca="1" si="230"/>
        <v>140</v>
      </c>
      <c r="C411" s="1">
        <f t="shared" ca="1" si="231"/>
        <v>5</v>
      </c>
      <c r="D411" s="1">
        <f ca="1">MIN($D$3,VLOOKUP(C411,OP!$S$30:$T$41,2))</f>
        <v>2</v>
      </c>
      <c r="E411" s="1">
        <f t="shared" ca="1" si="232"/>
        <v>88</v>
      </c>
      <c r="F411" s="11" t="str">
        <f t="shared" ca="1" si="237"/>
        <v/>
      </c>
      <c r="G411" s="8">
        <f t="shared" ca="1" si="261"/>
        <v>365</v>
      </c>
      <c r="H411" s="8">
        <f t="shared" ca="1" si="239"/>
        <v>31</v>
      </c>
      <c r="I411" s="8" t="str">
        <f t="shared" ca="1" si="235"/>
        <v>345</v>
      </c>
      <c r="J411" s="13">
        <f>IF(繳費報酬率資料!$A$1=1,VALUE(OP!$C$121),VLOOKUP(A411,MP,2,0))</f>
        <v>0.05</v>
      </c>
      <c r="K411" s="14">
        <f ca="1">IF(SUM($K$4:K410,IF(繳費報酬率資料!$A$1=1,$AU411+$AV411,$BB411+$BC411))&gt;OP!$L$58,0,IF(繳費報酬率資料!$A$1=1,$AU411+$AV411,$BB411+$BC411))</f>
        <v>0</v>
      </c>
      <c r="L411" s="2">
        <f ca="1">ROUND(IF(OP!$C$78&lt;(IF(OR($T411="F",$E411&gt;=111),0,Z410+$K411-$O411+IF($C$1=1,OP!$C$78,IF($C412=$C$3,SUM(AC400:AC411,0)))))*5%,0,(OP!$C$78-((IF(OR($T411="F",$E411&gt;=111),0,Z410+$K411-$O411+IF($C$1=1,AC411,IF($C412=$C$3,SUM(AC400:AC411,0)))))*5%))*$Q411),0)</f>
        <v>0</v>
      </c>
      <c r="M411" s="2">
        <f ca="1">ROUND(IF(OP!$C$78&lt;(IF(OR($T411="F",$E411&gt;=111),0,AA410+$K411-$O411+IF($C$1=1,AD411,IF($C412=$C$3,SUM(AD400:AD411,0)))))*5%,0,(OP!$C$78-((IF(OR($T411="F",$E411&gt;=111),0,AA410+$K411-$O411+IF($C$1=1,AD411,IF($C412=$C$3,SUM(AD400:AD411,0)))))*5%))*$Q411),0)</f>
        <v>0</v>
      </c>
      <c r="N411" s="2">
        <f ca="1">ROUND(IF(OP!$C$78&lt;(IF(OR($T411="F",$E411&gt;=111),0,AB410+$K411-$O411+IF($C$1=1,AE411,IF($C412=$C$3,SUM(AE400:AE411,0)))))*5%,0,(OP!$C$78-((IF(OR($T411="F",$E411&gt;=111),0,AB410+$K411-$O411+IF($C$1=1,AE411,IF($C412=$C$3,SUM(AE400:AE411,0)))))*5%))*$Q411),0)</f>
        <v>0</v>
      </c>
      <c r="O411" s="261">
        <f t="shared" ca="1" si="240"/>
        <v>0</v>
      </c>
      <c r="P411" s="261">
        <f t="shared" ca="1" si="258"/>
        <v>0</v>
      </c>
      <c r="Q411" s="3">
        <f ca="1">IF(A411&gt;MAX(OP!$R$17:$R$26),0,VLOOKUP(A411,fees,3,FALSE))</f>
        <v>0</v>
      </c>
      <c r="R411" s="200">
        <f t="shared" ca="1" si="241"/>
        <v>34</v>
      </c>
      <c r="S411" s="9" t="str">
        <f ca="1">IF(COUNTIF(($T$4:T410),"F")&gt;=1,"",IF(OR(C412&lt;&gt;$C$3,E411=""),"",A411))</f>
        <v/>
      </c>
      <c r="T411" s="20" t="str">
        <f t="shared" ca="1" si="233"/>
        <v/>
      </c>
      <c r="U411" s="2">
        <f ca="1">IF(IF(OP!$C$83=1,$Z410,IF(OP!$C$83=2,$AA410,IF(OP!$C$83=3,$AB410,)))+$K411-$O411-$P411-$AS411&lt;OP!$C$142,0,$AS411)</f>
        <v>0</v>
      </c>
      <c r="V411" s="19">
        <f ca="1">SUM(K400:K411)</f>
        <v>0</v>
      </c>
      <c r="W411" s="19">
        <f ca="1">MAX(SUM($K$4:K411),0)</f>
        <v>2000000</v>
      </c>
      <c r="X411" s="19">
        <f ca="1">SUM(O400:P411)</f>
        <v>0</v>
      </c>
      <c r="Y411" s="19">
        <f t="shared" ca="1" si="259"/>
        <v>1920000</v>
      </c>
      <c r="Z411" s="2">
        <f ca="1">IF(MIN($Z$4:Z410)=0,0,MAX(0,($Z410+$K411-$O411-$P411)*IF(AND(F411="F",$D$3&lt;&gt;$G$3),((1+(-J411))^(H411/MIN(G411,365))),((1+(-J411))^(1/12)))-$U411))</f>
        <v>335663.2602696945</v>
      </c>
      <c r="AA411" s="2">
        <f ca="1">IF(MIN($AA$4:AA410)=0,0,MAX(0,($AA410+$K411-$O411-$P411)*IF(AND(F411="F",$D$3&lt;&gt;$G$3),((1+$AA$1)^(H411/MIN(G411,365))),((1+$AA$1)^(1/12)))-$U411))</f>
        <v>1920000</v>
      </c>
      <c r="AB411" s="2">
        <f ca="1">IF(MIN($AB$4:AB410)=0,0,MAX(0,($AB410+$K411-$O411-$P411)*IF(AND(F411="F",$D$3&lt;&gt;$G$3),((1+(J411))^(H411/MIN(G411,365))),((1+(J411))^(1/12)))-$U411))</f>
        <v>10086428.100740319</v>
      </c>
      <c r="AC411" s="5"/>
      <c r="AD411" s="5"/>
      <c r="AE411" s="5"/>
      <c r="AF411" s="282">
        <f t="shared" ca="1" si="242"/>
        <v>335663</v>
      </c>
      <c r="AG411" s="282">
        <f t="shared" ca="1" si="243"/>
        <v>1920000</v>
      </c>
      <c r="AH411" s="282">
        <f t="shared" ca="1" si="244"/>
        <v>10086428</v>
      </c>
      <c r="AI411" s="23" t="str">
        <f t="shared" ca="1" si="260"/>
        <v>35-1</v>
      </c>
      <c r="AJ411" s="282">
        <f ca="1">IF(E411&gt;111,,IF(AND(OP!$C$99=1,T411="F"),Z411,IF(AND(OP!$C$99=2,COUNTIF($T$4:T411,"F")=1),OP!$C$97+IF(F411="F",OP!$C$98,0),"")))</f>
        <v>54527</v>
      </c>
      <c r="AK411" s="282">
        <f ca="1">IF(E411&gt;111,,IF(AND(OP!$D$99=1,T411="F"),AA411,IF(AND(OP!$D$99=2,COUNTIF($T$4:T411,"F")=1),OP!$D$97+IF(F411="F",OP!$D$98,0),"")))</f>
        <v>74177</v>
      </c>
      <c r="AL411" s="282">
        <f ca="1">IF(E411&gt;111,,IF(AND(OP!$E$99=1,T411="F"),AB411,IF(AND(OP!$E$99=2,COUNTIF($T$4:T411,"F")=1),OP!$E$97+IF(F411="F",OP!$E$98,0),"")))</f>
        <v>99404</v>
      </c>
      <c r="AM411" s="1">
        <f t="shared" ca="1" si="234"/>
        <v>1</v>
      </c>
      <c r="AN411" s="1" t="e">
        <f ca="1">IF(OR(VLOOKUP($A411,MP,5,0)="月繳"),1,"")</f>
        <v>#N/A</v>
      </c>
      <c r="AO411" s="1">
        <f t="shared" ca="1" si="245"/>
        <v>0</v>
      </c>
      <c r="AP411" s="1" t="str">
        <f ca="1">IF(AND(A411&lt;=OP!$C$120,COUNTIF(PAY,C411)=1),1,"")</f>
        <v/>
      </c>
      <c r="AR411" s="301">
        <f ca="1">IF(繳費報酬率資料!$A$1=1,$AY411+$AZ411,$BF411+$BG411)</f>
        <v>0</v>
      </c>
      <c r="AS411" s="1">
        <f ca="1">IF(C411&lt;&gt;IF($C$3=1,12,$C$3-1),0,IF(繳費報酬率資料!$A$1&lt;&gt;1,VLOOKUP($A411,MP,8,0),IF(AND($A411&gt;=OP!$C$79,$A411&lt;=OP!$C$80),OP!$C$78,)))</f>
        <v>0</v>
      </c>
      <c r="AT411" s="298">
        <f t="shared" ca="1" si="246"/>
        <v>0</v>
      </c>
      <c r="AU411" s="298">
        <f ca="1">IF(AND(A411&lt;=OP!$C$120,COUNTIF(PAY,C411)=1),OP!$C$123,0)</f>
        <v>0</v>
      </c>
      <c r="AV411" s="298">
        <f ca="1">IF(AND(A411&gt;=OP!$C$132,A411&lt;=OP!$C$133,$C$3=C411),OP!$C$135,0)</f>
        <v>0</v>
      </c>
      <c r="AW411" s="180">
        <f t="shared" ca="1" si="247"/>
        <v>0.05</v>
      </c>
      <c r="AX411" s="180">
        <f t="shared" ca="1" si="248"/>
        <v>0.05</v>
      </c>
      <c r="AY411" s="286">
        <f t="shared" ca="1" si="249"/>
        <v>0</v>
      </c>
      <c r="AZ411" s="286">
        <f t="shared" ca="1" si="250"/>
        <v>0</v>
      </c>
      <c r="BA411" s="286">
        <f t="shared" ca="1" si="251"/>
        <v>0</v>
      </c>
      <c r="BB411" s="286">
        <f t="shared" ca="1" si="252"/>
        <v>0</v>
      </c>
      <c r="BC411" s="286">
        <f t="shared" ca="1" si="253"/>
        <v>0</v>
      </c>
      <c r="BD411" s="180">
        <f t="shared" ca="1" si="254"/>
        <v>0.05</v>
      </c>
      <c r="BE411" s="180">
        <f t="shared" ca="1" si="255"/>
        <v>0.05</v>
      </c>
      <c r="BF411" s="286">
        <f t="shared" ca="1" si="256"/>
        <v>0</v>
      </c>
      <c r="BG411" s="286">
        <f t="shared" ca="1" si="257"/>
        <v>0</v>
      </c>
    </row>
    <row r="412" spans="1:59">
      <c r="A412" s="1">
        <f t="shared" ca="1" si="236"/>
        <v>35</v>
      </c>
      <c r="B412" s="1">
        <f t="shared" ca="1" si="230"/>
        <v>140</v>
      </c>
      <c r="C412" s="1">
        <f t="shared" ca="1" si="231"/>
        <v>6</v>
      </c>
      <c r="D412" s="1">
        <f ca="1">MIN($D$3,VLOOKUP(C412,OP!$S$30:$T$41,2))</f>
        <v>2</v>
      </c>
      <c r="E412" s="1">
        <f t="shared" ca="1" si="232"/>
        <v>89</v>
      </c>
      <c r="F412" s="11" t="str">
        <f t="shared" ca="1" si="237"/>
        <v/>
      </c>
      <c r="G412" s="6">
        <f ca="1">DATEDIF(DATE(B412+1911,C412,D412),DATE(B424+1911,C424,D424),"d")</f>
        <v>366</v>
      </c>
      <c r="H412" s="8">
        <f t="shared" ca="1" si="239"/>
        <v>30</v>
      </c>
      <c r="I412" s="8" t="str">
        <f t="shared" ca="1" si="235"/>
        <v>356</v>
      </c>
      <c r="J412" s="13">
        <f>IF(繳費報酬率資料!$A$1=1,VALUE(OP!$C$121),VLOOKUP(A412,MP,2,0))</f>
        <v>0.05</v>
      </c>
      <c r="K412" s="14">
        <f ca="1">IF(SUM($K$4:K411,IF(繳費報酬率資料!$A$1=1,$AU412+$AV412,$BB412+$BC412))&gt;OP!$L$58,0,IF(繳費報酬率資料!$A$1=1,$AU412+$AV412,$BB412+$BC412))</f>
        <v>0</v>
      </c>
      <c r="L412" s="2"/>
      <c r="M412" s="2"/>
      <c r="N412" s="2"/>
      <c r="O412" s="261">
        <f t="shared" ca="1" si="240"/>
        <v>0</v>
      </c>
      <c r="P412" s="261">
        <f t="shared" ca="1" si="258"/>
        <v>0</v>
      </c>
      <c r="Q412" s="3">
        <f ca="1">IF(A412&gt;MAX(OP!$R$17:$R$26),0,VLOOKUP(A412,fees,3,FALSE))</f>
        <v>0</v>
      </c>
      <c r="R412" s="200" t="str">
        <f t="shared" ca="1" si="241"/>
        <v/>
      </c>
      <c r="S412" s="9" t="str">
        <f ca="1">IF(COUNTIF(($T$4:T411),"F")&gt;=1,"",IF(OR(C413&lt;&gt;$C$3,E412=""),"",A412))</f>
        <v/>
      </c>
      <c r="T412" s="20" t="str">
        <f t="shared" ca="1" si="233"/>
        <v/>
      </c>
      <c r="U412" s="2">
        <f ca="1">IF(IF(OP!$C$83=1,$Z411,IF(OP!$C$83=2,$AA411,IF(OP!$C$83=3,$AB411,)))+$K412-$O412-$P412-$AS412&lt;OP!$C$142,0,$AS412)</f>
        <v>0</v>
      </c>
      <c r="V412" s="9"/>
      <c r="W412" s="19">
        <f ca="1">MAX(SUM($K$4:K412),0)</f>
        <v>2000000</v>
      </c>
      <c r="X412" s="19"/>
      <c r="Y412" s="19">
        <f t="shared" ca="1" si="259"/>
        <v>1920000</v>
      </c>
      <c r="Z412" s="2">
        <f ca="1">IF(MIN($Z$4:Z411)=0,0,MAX(0,($Z411+$K412-$O412-$P412)*IF(AND(F412="F",$D$3&lt;&gt;$G$3),((1+(-J412))^(H412/MIN(G412,365))),((1+(-J412))^(1/12)))-$U412))</f>
        <v>334231.54946272896</v>
      </c>
      <c r="AA412" s="2">
        <f ca="1">IF(MIN($AA$4:AA411)=0,0,MAX(0,($AA411+$K412-$O412-$P412)*IF(AND(F412="F",$D$3&lt;&gt;$G$3),((1+$AA$1)^(H412/MIN(G412,365))),((1+$AA$1)^(1/12)))-$U412))</f>
        <v>1920000</v>
      </c>
      <c r="AB412" s="2">
        <f ca="1">IF(MIN($AB$4:AB411)=0,0,MAX(0,($AB411+$K412-$O412-$P412)*IF(AND(F412="F",$D$3&lt;&gt;$G$3),((1+(J412))^(H412/MIN(G412,365))),((1+(J412))^(1/12)))-$U412))</f>
        <v>10127521.457357604</v>
      </c>
      <c r="AC412" s="21"/>
      <c r="AD412" s="21"/>
      <c r="AE412" s="21"/>
      <c r="AF412" s="282">
        <f t="shared" ca="1" si="242"/>
        <v>334232</v>
      </c>
      <c r="AG412" s="282">
        <f t="shared" ca="1" si="243"/>
        <v>1920000</v>
      </c>
      <c r="AH412" s="282">
        <f t="shared" ca="1" si="244"/>
        <v>10127521</v>
      </c>
      <c r="AI412" s="23" t="str">
        <f t="shared" ca="1" si="260"/>
        <v>35-2</v>
      </c>
      <c r="AJ412" s="281">
        <f ca="1">IF(E412&gt;111,,IF(AND(OP!$C$99=1,T412="F"),Z412,IF(AND(OP!$C$99=2,COUNTIF($T$4:T412,"F")=1),OP!$C$97+IF(F412="F",OP!$C$98,0),"")))</f>
        <v>54527</v>
      </c>
      <c r="AK412" s="281">
        <f ca="1">IF(E412&gt;111,,IF(AND(OP!$D$99=1,T412="F"),AA412,IF(AND(OP!$D$99=2,COUNTIF($T$4:T412,"F")=1),OP!$D$97+IF(F412="F",OP!$D$98,0),"")))</f>
        <v>74177</v>
      </c>
      <c r="AL412" s="281">
        <f ca="1">IF(E412&gt;111,,IF(AND(OP!$E$99=1,T412="F"),AB412,IF(AND(OP!$E$99=2,COUNTIF($T$4:T412,"F")=1),OP!$E$97+IF(F412="F",OP!$E$98,0),"")))</f>
        <v>99404</v>
      </c>
      <c r="AM412" s="1">
        <f t="shared" ca="1" si="234"/>
        <v>2</v>
      </c>
      <c r="AN412" s="1" t="e">
        <f ca="1">IF(OR(VLOOKUP($A412,MP,5,0)="年繳",VLOOKUP($A412,MP,5,0)="半年繳",VLOOKUP($A412,MP,5,0)="季繳",VLOOKUP($A412,MP,5,0)="月繳"),1,"")</f>
        <v>#N/A</v>
      </c>
      <c r="AO412" s="1">
        <f t="shared" ca="1" si="245"/>
        <v>0</v>
      </c>
      <c r="AP412" s="1" t="str">
        <f ca="1">IF(AND(A412&lt;=OP!$C$120,COUNTIF(PAY,C412)=1),1,"")</f>
        <v/>
      </c>
      <c r="AR412" s="301">
        <f ca="1">IF(繳費報酬率資料!$A$1=1,$AY412+$AZ412,$BF412+$BG412)</f>
        <v>0</v>
      </c>
      <c r="AS412" s="1">
        <f ca="1">IF(C412&lt;&gt;IF($C$3=1,12,$C$3-1),0,IF(繳費報酬率資料!$A$1&lt;&gt;1,VLOOKUP($A412,MP,8,0),IF(AND($A412&gt;=OP!$C$79,$A412&lt;=OP!$C$80),OP!$C$78,)))</f>
        <v>0</v>
      </c>
      <c r="AT412" s="298">
        <f t="shared" ca="1" si="246"/>
        <v>0</v>
      </c>
      <c r="AU412" s="298">
        <f ca="1">IF(AND(A412&lt;=OP!$C$120,COUNTIF(PAY,C412)=1),OP!$C$123,0)</f>
        <v>0</v>
      </c>
      <c r="AV412" s="298">
        <f ca="1">IF(AND(A412&gt;=OP!$C$132,A412&lt;=OP!$C$133,$C$3=C412),OP!$C$135,0)</f>
        <v>0</v>
      </c>
      <c r="AW412" s="180">
        <f t="shared" ca="1" si="247"/>
        <v>0.05</v>
      </c>
      <c r="AX412" s="180">
        <f t="shared" ca="1" si="248"/>
        <v>0.05</v>
      </c>
      <c r="AY412" s="286">
        <f t="shared" ca="1" si="249"/>
        <v>0</v>
      </c>
      <c r="AZ412" s="286">
        <f t="shared" ca="1" si="250"/>
        <v>0</v>
      </c>
      <c r="BA412" s="286">
        <f t="shared" ca="1" si="251"/>
        <v>0</v>
      </c>
      <c r="BB412" s="286">
        <f t="shared" ca="1" si="252"/>
        <v>0</v>
      </c>
      <c r="BC412" s="286">
        <f t="shared" ca="1" si="253"/>
        <v>0</v>
      </c>
      <c r="BD412" s="180">
        <f t="shared" ca="1" si="254"/>
        <v>0.05</v>
      </c>
      <c r="BE412" s="180">
        <f t="shared" ca="1" si="255"/>
        <v>0.05</v>
      </c>
      <c r="BF412" s="286">
        <f t="shared" ca="1" si="256"/>
        <v>0</v>
      </c>
      <c r="BG412" s="286">
        <f t="shared" ca="1" si="257"/>
        <v>0</v>
      </c>
    </row>
    <row r="413" spans="1:59">
      <c r="A413" s="1">
        <f t="shared" ca="1" si="236"/>
        <v>35</v>
      </c>
      <c r="B413" s="1">
        <f t="shared" ca="1" si="230"/>
        <v>140</v>
      </c>
      <c r="C413" s="1">
        <f t="shared" ca="1" si="231"/>
        <v>7</v>
      </c>
      <c r="D413" s="1">
        <f ca="1">MIN($D$3,VLOOKUP(C413,OP!$S$30:$T$41,2))</f>
        <v>2</v>
      </c>
      <c r="E413" s="1">
        <f t="shared" ca="1" si="232"/>
        <v>89</v>
      </c>
      <c r="F413" s="11" t="str">
        <f t="shared" ca="1" si="237"/>
        <v/>
      </c>
      <c r="G413" s="8">
        <f t="shared" ref="G413:G423" ca="1" si="262">G412</f>
        <v>366</v>
      </c>
      <c r="H413" s="8">
        <f t="shared" ca="1" si="239"/>
        <v>31</v>
      </c>
      <c r="I413" s="8" t="str">
        <f t="shared" ca="1" si="235"/>
        <v>357</v>
      </c>
      <c r="J413" s="13">
        <f>IF(繳費報酬率資料!$A$1=1,VALUE(OP!$C$121),VLOOKUP(A413,MP,2,0))</f>
        <v>0.05</v>
      </c>
      <c r="K413" s="14">
        <f ca="1">IF(SUM($K$4:K412,IF(繳費報酬率資料!$A$1=1,$AU413+$AV413,$BB413+$BC413))&gt;OP!$L$58,0,IF(繳費報酬率資料!$A$1=1,$AU413+$AV413,$BB413+$BC413))</f>
        <v>0</v>
      </c>
      <c r="L413" s="2"/>
      <c r="M413" s="2"/>
      <c r="N413" s="2"/>
      <c r="O413" s="261">
        <f t="shared" ca="1" si="240"/>
        <v>0</v>
      </c>
      <c r="P413" s="261">
        <f t="shared" ca="1" si="258"/>
        <v>0</v>
      </c>
      <c r="Q413" s="3">
        <f ca="1">IF(A413&gt;MAX(OP!$R$17:$R$26),0,VLOOKUP(A413,fees,3,FALSE))</f>
        <v>0</v>
      </c>
      <c r="R413" s="200" t="str">
        <f t="shared" ca="1" si="241"/>
        <v/>
      </c>
      <c r="S413" s="9" t="str">
        <f ca="1">IF(COUNTIF(($T$4:T412),"F")&gt;=1,"",IF(OR(C414&lt;&gt;$C$3,E413=""),"",A413))</f>
        <v/>
      </c>
      <c r="T413" s="20" t="str">
        <f t="shared" ca="1" si="233"/>
        <v/>
      </c>
      <c r="U413" s="2">
        <f ca="1">IF(IF(OP!$C$83=1,$Z412,IF(OP!$C$83=2,$AA412,IF(OP!$C$83=3,$AB412,)))+$K413-$O413-$P413-$AS413&lt;OP!$C$142,0,$AS413)</f>
        <v>0</v>
      </c>
      <c r="V413" s="9"/>
      <c r="W413" s="19">
        <f ca="1">MAX(SUM($K$4:K413),0)</f>
        <v>2000000</v>
      </c>
      <c r="X413" s="19"/>
      <c r="Y413" s="19">
        <f t="shared" ca="1" si="259"/>
        <v>1920000</v>
      </c>
      <c r="Z413" s="2">
        <f ca="1">IF(MIN($Z$4:Z412)=0,0,MAX(0,($Z412+$K413-$O413-$P413)*IF(AND(F413="F",$D$3&lt;&gt;$G$3),((1+(-J413))^(H413/MIN(G413,365))),((1+(-J413))^(1/12)))-$U413))</f>
        <v>332805.94535875239</v>
      </c>
      <c r="AA413" s="2">
        <f ca="1">IF(MIN($AA$4:AA412)=0,0,MAX(0,($AA412+$K413-$O413-$P413)*IF(AND(F413="F",$D$3&lt;&gt;$G$3),((1+$AA$1)^(H413/MIN(G413,365))),((1+$AA$1)^(1/12)))-$U413))</f>
        <v>1920000</v>
      </c>
      <c r="AB413" s="2">
        <f ca="1">IF(MIN($AB$4:AB412)=0,0,MAX(0,($AB412+$K413-$O413-$P413)*IF(AND(F413="F",$D$3&lt;&gt;$G$3),((1+(J413))^(H413/MIN(G413,365))),((1+(J413))^(1/12)))-$U413))</f>
        <v>10168782.233396433</v>
      </c>
      <c r="AC413" s="5"/>
      <c r="AD413" s="5"/>
      <c r="AE413" s="5"/>
      <c r="AF413" s="282">
        <f t="shared" ca="1" si="242"/>
        <v>332806</v>
      </c>
      <c r="AG413" s="282">
        <f t="shared" ca="1" si="243"/>
        <v>1920000</v>
      </c>
      <c r="AH413" s="282">
        <f t="shared" ca="1" si="244"/>
        <v>10168782</v>
      </c>
      <c r="AI413" s="23" t="str">
        <f t="shared" ca="1" si="260"/>
        <v>35-3</v>
      </c>
      <c r="AJ413" s="282">
        <f ca="1">IF(E413&gt;111,,IF(AND(OP!$C$99=1,T413="F"),Z413,IF(AND(OP!$C$99=2,COUNTIF($T$4:T413,"F")=1),OP!$C$97+IF(F413="F",OP!$C$98,0),"")))</f>
        <v>54527</v>
      </c>
      <c r="AK413" s="282">
        <f ca="1">IF(E413&gt;111,,IF(AND(OP!$D$99=1,T413="F"),AA413,IF(AND(OP!$D$99=2,COUNTIF($T$4:T413,"F")=1),OP!$D$97+IF(F413="F",OP!$D$98,0),"")))</f>
        <v>74177</v>
      </c>
      <c r="AL413" s="282">
        <f ca="1">IF(E413&gt;111,,IF(AND(OP!$E$99=1,T413="F"),AB413,IF(AND(OP!$E$99=2,COUNTIF($T$4:T413,"F")=1),OP!$E$97+IF(F413="F",OP!$E$98,0),"")))</f>
        <v>99404</v>
      </c>
      <c r="AM413" s="1">
        <f t="shared" ca="1" si="234"/>
        <v>3</v>
      </c>
      <c r="AN413" s="1" t="e">
        <f ca="1">IF(OR(VLOOKUP($A413,MP,5,0)="月繳"),1,"")</f>
        <v>#N/A</v>
      </c>
      <c r="AO413" s="1">
        <f t="shared" ca="1" si="245"/>
        <v>0</v>
      </c>
      <c r="AP413" s="1" t="str">
        <f ca="1">IF(AND(A413&lt;=OP!$C$120,COUNTIF(PAY,C413)=1),1,"")</f>
        <v/>
      </c>
      <c r="AR413" s="301">
        <f ca="1">IF(繳費報酬率資料!$A$1=1,$AY413+$AZ413,$BF413+$BG413)</f>
        <v>0</v>
      </c>
      <c r="AS413" s="1">
        <f ca="1">IF(C413&lt;&gt;IF($C$3=1,12,$C$3-1),0,IF(繳費報酬率資料!$A$1&lt;&gt;1,VLOOKUP($A413,MP,8,0),IF(AND($A413&gt;=OP!$C$79,$A413&lt;=OP!$C$80),OP!$C$78,)))</f>
        <v>0</v>
      </c>
      <c r="AT413" s="298">
        <f t="shared" ca="1" si="246"/>
        <v>0</v>
      </c>
      <c r="AU413" s="298">
        <f ca="1">IF(AND(A413&lt;=OP!$C$120,COUNTIF(PAY,C413)=1),OP!$C$123,0)</f>
        <v>0</v>
      </c>
      <c r="AV413" s="298">
        <f ca="1">IF(AND(A413&gt;=OP!$C$132,A413&lt;=OP!$C$133,$C$3=C413),OP!$C$135,0)</f>
        <v>0</v>
      </c>
      <c r="AW413" s="180">
        <f t="shared" ca="1" si="247"/>
        <v>0.05</v>
      </c>
      <c r="AX413" s="180">
        <f t="shared" ca="1" si="248"/>
        <v>0.05</v>
      </c>
      <c r="AY413" s="286">
        <f t="shared" ca="1" si="249"/>
        <v>0</v>
      </c>
      <c r="AZ413" s="286">
        <f t="shared" ca="1" si="250"/>
        <v>0</v>
      </c>
      <c r="BA413" s="286">
        <f t="shared" ca="1" si="251"/>
        <v>0</v>
      </c>
      <c r="BB413" s="286">
        <f t="shared" ca="1" si="252"/>
        <v>0</v>
      </c>
      <c r="BC413" s="286">
        <f t="shared" ca="1" si="253"/>
        <v>0</v>
      </c>
      <c r="BD413" s="180">
        <f t="shared" ca="1" si="254"/>
        <v>0.05</v>
      </c>
      <c r="BE413" s="180">
        <f t="shared" ca="1" si="255"/>
        <v>0.05</v>
      </c>
      <c r="BF413" s="286">
        <f t="shared" ca="1" si="256"/>
        <v>0</v>
      </c>
      <c r="BG413" s="286">
        <f t="shared" ca="1" si="257"/>
        <v>0</v>
      </c>
    </row>
    <row r="414" spans="1:59">
      <c r="A414" s="1">
        <f t="shared" ca="1" si="236"/>
        <v>35</v>
      </c>
      <c r="B414" s="1">
        <f t="shared" ca="1" si="230"/>
        <v>140</v>
      </c>
      <c r="C414" s="1">
        <f t="shared" ca="1" si="231"/>
        <v>8</v>
      </c>
      <c r="D414" s="1">
        <f ca="1">MIN($D$3,VLOOKUP(C414,OP!$S$30:$T$41,2))</f>
        <v>2</v>
      </c>
      <c r="E414" s="1">
        <f t="shared" ca="1" si="232"/>
        <v>89</v>
      </c>
      <c r="F414" s="11" t="str">
        <f t="shared" ca="1" si="237"/>
        <v/>
      </c>
      <c r="G414" s="8">
        <f t="shared" ca="1" si="262"/>
        <v>366</v>
      </c>
      <c r="H414" s="8">
        <f t="shared" ca="1" si="239"/>
        <v>31</v>
      </c>
      <c r="I414" s="8" t="str">
        <f t="shared" ca="1" si="235"/>
        <v>358</v>
      </c>
      <c r="J414" s="13">
        <f>IF(繳費報酬率資料!$A$1=1,VALUE(OP!$C$121),VLOOKUP(A414,MP,2,0))</f>
        <v>0.05</v>
      </c>
      <c r="K414" s="14">
        <f ca="1">IF(SUM($K$4:K413,IF(繳費報酬率資料!$A$1=1,$AU414+$AV414,$BB414+$BC414))&gt;OP!$L$58,0,IF(繳費報酬率資料!$A$1=1,$AU414+$AV414,$BB414+$BC414))</f>
        <v>0</v>
      </c>
      <c r="L414" s="2"/>
      <c r="M414" s="2"/>
      <c r="N414" s="2"/>
      <c r="O414" s="261">
        <f t="shared" ca="1" si="240"/>
        <v>0</v>
      </c>
      <c r="P414" s="261">
        <f t="shared" ca="1" si="258"/>
        <v>0</v>
      </c>
      <c r="Q414" s="3">
        <f ca="1">IF(A414&gt;MAX(OP!$R$17:$R$26),0,VLOOKUP(A414,fees,3,FALSE))</f>
        <v>0</v>
      </c>
      <c r="R414" s="200" t="str">
        <f t="shared" ca="1" si="241"/>
        <v/>
      </c>
      <c r="S414" s="9" t="str">
        <f ca="1">IF(COUNTIF(($T$4:T413),"F")&gt;=1,"",IF(OR(C415&lt;&gt;$C$3,E414=""),"",A414))</f>
        <v/>
      </c>
      <c r="T414" s="20" t="str">
        <f t="shared" ca="1" si="233"/>
        <v/>
      </c>
      <c r="U414" s="2">
        <f ca="1">IF(IF(OP!$C$83=1,$Z413,IF(OP!$C$83=2,$AA413,IF(OP!$C$83=3,$AB413,)))+$K414-$O414-$P414-$AS414&lt;OP!$C$142,0,$AS414)</f>
        <v>0</v>
      </c>
      <c r="V414" s="9"/>
      <c r="W414" s="19">
        <f ca="1">MAX(SUM($K$4:K414),0)</f>
        <v>2000000</v>
      </c>
      <c r="X414" s="19"/>
      <c r="Y414" s="19">
        <f t="shared" ca="1" si="259"/>
        <v>1920000</v>
      </c>
      <c r="Z414" s="2">
        <f ca="1">IF(MIN($Z$4:Z413)=0,0,MAX(0,($Z413+$K414-$O414-$P414)*IF(AND(F414="F",$D$3&lt;&gt;$G$3),((1+(-J414))^(H414/MIN(G414,365))),((1+(-J414))^(1/12)))-$U414))</f>
        <v>331386.4219107299</v>
      </c>
      <c r="AA414" s="2">
        <f ca="1">IF(MIN($AA$4:AA413)=0,0,MAX(0,($AA413+$K414-$O414-$P414)*IF(AND(F414="F",$D$3&lt;&gt;$G$3),((1+$AA$1)^(H414/MIN(G414,365))),((1+$AA$1)^(1/12)))-$U414))</f>
        <v>1920000</v>
      </c>
      <c r="AB414" s="2">
        <f ca="1">IF(MIN($AB$4:AB413)=0,0,MAX(0,($AB413+$K414-$O414-$P414)*IF(AND(F414="F",$D$3&lt;&gt;$G$3),((1+(J414))^(H414/MIN(G414,365))),((1+(J414))^(1/12)))-$U414))</f>
        <v>10210211.110944254</v>
      </c>
      <c r="AC414" s="5"/>
      <c r="AD414" s="5"/>
      <c r="AE414" s="5"/>
      <c r="AF414" s="282">
        <f t="shared" ca="1" si="242"/>
        <v>331386</v>
      </c>
      <c r="AG414" s="282">
        <f t="shared" ca="1" si="243"/>
        <v>1920000</v>
      </c>
      <c r="AH414" s="282">
        <f t="shared" ca="1" si="244"/>
        <v>10210211</v>
      </c>
      <c r="AI414" s="23" t="str">
        <f t="shared" ca="1" si="260"/>
        <v>35-4</v>
      </c>
      <c r="AJ414" s="282">
        <f ca="1">IF(E414&gt;111,,IF(AND(OP!$C$99=1,T414="F"),Z414,IF(AND(OP!$C$99=2,COUNTIF($T$4:T414,"F")=1),OP!$C$97+IF(F414="F",OP!$C$98,0),"")))</f>
        <v>54527</v>
      </c>
      <c r="AK414" s="282">
        <f ca="1">IF(E414&gt;111,,IF(AND(OP!$D$99=1,T414="F"),AA414,IF(AND(OP!$D$99=2,COUNTIF($T$4:T414,"F")=1),OP!$D$97+IF(F414="F",OP!$D$98,0),"")))</f>
        <v>74177</v>
      </c>
      <c r="AL414" s="282">
        <f ca="1">IF(E414&gt;111,,IF(AND(OP!$E$99=1,T414="F"),AB414,IF(AND(OP!$E$99=2,COUNTIF($T$4:T414,"F")=1),OP!$E$97+IF(F414="F",OP!$E$98,0),"")))</f>
        <v>99404</v>
      </c>
      <c r="AM414" s="1">
        <f t="shared" ca="1" si="234"/>
        <v>4</v>
      </c>
      <c r="AN414" s="1" t="e">
        <f ca="1">IF(OR(VLOOKUP($A414,MP,5,0)="月繳"),1,"")</f>
        <v>#N/A</v>
      </c>
      <c r="AO414" s="1">
        <f t="shared" ca="1" si="245"/>
        <v>0</v>
      </c>
      <c r="AP414" s="1" t="str">
        <f ca="1">IF(AND(A414&lt;=OP!$C$120,COUNTIF(PAY,C414)=1),1,"")</f>
        <v/>
      </c>
      <c r="AR414" s="301">
        <f ca="1">IF(繳費報酬率資料!$A$1=1,$AY414+$AZ414,$BF414+$BG414)</f>
        <v>0</v>
      </c>
      <c r="AS414" s="1">
        <f ca="1">IF(C414&lt;&gt;IF($C$3=1,12,$C$3-1),0,IF(繳費報酬率資料!$A$1&lt;&gt;1,VLOOKUP($A414,MP,8,0),IF(AND($A414&gt;=OP!$C$79,$A414&lt;=OP!$C$80),OP!$C$78,)))</f>
        <v>0</v>
      </c>
      <c r="AT414" s="298">
        <f t="shared" ca="1" si="246"/>
        <v>0</v>
      </c>
      <c r="AU414" s="298">
        <f ca="1">IF(AND(A414&lt;=OP!$C$120,COUNTIF(PAY,C414)=1),OP!$C$123,0)</f>
        <v>0</v>
      </c>
      <c r="AV414" s="298">
        <f ca="1">IF(AND(A414&gt;=OP!$C$132,A414&lt;=OP!$C$133,$C$3=C414),OP!$C$135,0)</f>
        <v>0</v>
      </c>
      <c r="AW414" s="180">
        <f t="shared" ca="1" si="247"/>
        <v>0.05</v>
      </c>
      <c r="AX414" s="180">
        <f t="shared" ca="1" si="248"/>
        <v>0.05</v>
      </c>
      <c r="AY414" s="286">
        <f t="shared" ca="1" si="249"/>
        <v>0</v>
      </c>
      <c r="AZ414" s="286">
        <f t="shared" ca="1" si="250"/>
        <v>0</v>
      </c>
      <c r="BA414" s="286">
        <f t="shared" ca="1" si="251"/>
        <v>0</v>
      </c>
      <c r="BB414" s="286">
        <f t="shared" ca="1" si="252"/>
        <v>0</v>
      </c>
      <c r="BC414" s="286">
        <f t="shared" ca="1" si="253"/>
        <v>0</v>
      </c>
      <c r="BD414" s="180">
        <f t="shared" ca="1" si="254"/>
        <v>0.05</v>
      </c>
      <c r="BE414" s="180">
        <f t="shared" ca="1" si="255"/>
        <v>0.05</v>
      </c>
      <c r="BF414" s="286">
        <f t="shared" ca="1" si="256"/>
        <v>0</v>
      </c>
      <c r="BG414" s="286">
        <f t="shared" ca="1" si="257"/>
        <v>0</v>
      </c>
    </row>
    <row r="415" spans="1:59">
      <c r="A415" s="1">
        <f t="shared" ca="1" si="236"/>
        <v>35</v>
      </c>
      <c r="B415" s="1">
        <f t="shared" ca="1" si="230"/>
        <v>140</v>
      </c>
      <c r="C415" s="1">
        <f t="shared" ca="1" si="231"/>
        <v>9</v>
      </c>
      <c r="D415" s="1">
        <f ca="1">MIN($D$3,VLOOKUP(C415,OP!$S$30:$T$41,2))</f>
        <v>2</v>
      </c>
      <c r="E415" s="1">
        <f t="shared" ca="1" si="232"/>
        <v>89</v>
      </c>
      <c r="F415" s="11" t="str">
        <f t="shared" ca="1" si="237"/>
        <v/>
      </c>
      <c r="G415" s="8">
        <f t="shared" ca="1" si="262"/>
        <v>366</v>
      </c>
      <c r="H415" s="8">
        <f t="shared" ca="1" si="239"/>
        <v>30</v>
      </c>
      <c r="I415" s="8" t="str">
        <f t="shared" ca="1" si="235"/>
        <v>359</v>
      </c>
      <c r="J415" s="13">
        <f>IF(繳費報酬率資料!$A$1=1,VALUE(OP!$C$121),VLOOKUP(A415,MP,2,0))</f>
        <v>0.05</v>
      </c>
      <c r="K415" s="14">
        <f ca="1">IF(SUM($K$4:K414,IF(繳費報酬率資料!$A$1=1,$AU415+$AV415,$BB415+$BC415))&gt;OP!$L$58,0,IF(繳費報酬率資料!$A$1=1,$AU415+$AV415,$BB415+$BC415))</f>
        <v>0</v>
      </c>
      <c r="L415" s="2"/>
      <c r="M415" s="2"/>
      <c r="N415" s="2"/>
      <c r="O415" s="261">
        <f t="shared" ca="1" si="240"/>
        <v>0</v>
      </c>
      <c r="P415" s="261">
        <f t="shared" ca="1" si="258"/>
        <v>0</v>
      </c>
      <c r="Q415" s="3">
        <f ca="1">IF(A415&gt;MAX(OP!$R$17:$R$26),0,VLOOKUP(A415,fees,3,FALSE))</f>
        <v>0</v>
      </c>
      <c r="R415" s="200" t="str">
        <f t="shared" ca="1" si="241"/>
        <v/>
      </c>
      <c r="S415" s="9" t="str">
        <f ca="1">IF(COUNTIF(($T$4:T414),"F")&gt;=1,"",IF(OR(C416&lt;&gt;$C$3,E415=""),"",A415))</f>
        <v/>
      </c>
      <c r="T415" s="20" t="str">
        <f t="shared" ca="1" si="233"/>
        <v/>
      </c>
      <c r="U415" s="2">
        <f ca="1">IF(IF(OP!$C$83=1,$Z414,IF(OP!$C$83=2,$AA414,IF(OP!$C$83=3,$AB414,)))+$K415-$O415-$P415-$AS415&lt;OP!$C$142,0,$AS415)</f>
        <v>0</v>
      </c>
      <c r="V415" s="9"/>
      <c r="W415" s="19">
        <f ca="1">MAX(SUM($K$4:K415),0)</f>
        <v>2000000</v>
      </c>
      <c r="X415" s="19"/>
      <c r="Y415" s="19">
        <f t="shared" ca="1" si="259"/>
        <v>1920000</v>
      </c>
      <c r="Z415" s="2">
        <f ca="1">IF(MIN($Z$4:Z414)=0,0,MAX(0,($Z414+$K415-$O415-$P415)*IF(AND(F415="F",$D$3&lt;&gt;$G$3),((1+(-J415))^(H415/MIN(G415,365))),((1+(-J415))^(1/12)))-$U415))</f>
        <v>329972.95318272541</v>
      </c>
      <c r="AA415" s="2">
        <f ca="1">IF(MIN($AA$4:AA414)=0,0,MAX(0,($AA414+$K415-$O415-$P415)*IF(AND(F415="F",$D$3&lt;&gt;$G$3),((1+$AA$1)^(H415/MIN(G415,365))),((1+$AA$1)^(1/12)))-$U415))</f>
        <v>1920000</v>
      </c>
      <c r="AB415" s="2">
        <f ca="1">IF(MIN($AB$4:AB414)=0,0,MAX(0,($AB414+$K415-$O415-$P415)*IF(AND(F415="F",$D$3&lt;&gt;$G$3),((1+(J415))^(H415/MIN(G415,365))),((1+(J415))^(1/12)))-$U415))</f>
        <v>10251808.774867423</v>
      </c>
      <c r="AC415" s="5"/>
      <c r="AD415" s="5"/>
      <c r="AE415" s="5"/>
      <c r="AF415" s="282">
        <f t="shared" ca="1" si="242"/>
        <v>329973</v>
      </c>
      <c r="AG415" s="282">
        <f t="shared" ca="1" si="243"/>
        <v>1920000</v>
      </c>
      <c r="AH415" s="282">
        <f t="shared" ca="1" si="244"/>
        <v>10251809</v>
      </c>
      <c r="AI415" s="23" t="str">
        <f t="shared" ca="1" si="260"/>
        <v>35-5</v>
      </c>
      <c r="AJ415" s="282">
        <f ca="1">IF(E415&gt;111,,IF(AND(OP!$C$99=1,T415="F"),Z415,IF(AND(OP!$C$99=2,COUNTIF($T$4:T415,"F")=1),OP!$C$97+IF(F415="F",OP!$C$98,0),"")))</f>
        <v>54527</v>
      </c>
      <c r="AK415" s="282">
        <f ca="1">IF(E415&gt;111,,IF(AND(OP!$D$99=1,T415="F"),AA415,IF(AND(OP!$D$99=2,COUNTIF($T$4:T415,"F")=1),OP!$D$97+IF(F415="F",OP!$D$98,0),"")))</f>
        <v>74177</v>
      </c>
      <c r="AL415" s="282">
        <f ca="1">IF(E415&gt;111,,IF(AND(OP!$E$99=1,T415="F"),AB415,IF(AND(OP!$E$99=2,COUNTIF($T$4:T415,"F")=1),OP!$E$97+IF(F415="F",OP!$E$98,0),"")))</f>
        <v>99404</v>
      </c>
      <c r="AM415" s="1">
        <f t="shared" ca="1" si="234"/>
        <v>5</v>
      </c>
      <c r="AN415" s="1" t="e">
        <f ca="1">IF(OR(VLOOKUP($A415,MP,5,0)="季繳",VLOOKUP($A415,MP,5,0)="月繳"),1,"")</f>
        <v>#N/A</v>
      </c>
      <c r="AO415" s="1">
        <f t="shared" ca="1" si="245"/>
        <v>0</v>
      </c>
      <c r="AP415" s="1" t="str">
        <f ca="1">IF(AND(A415&lt;=OP!$C$120,COUNTIF(PAY,C415)=1),1,"")</f>
        <v/>
      </c>
      <c r="AR415" s="301">
        <f ca="1">IF(繳費報酬率資料!$A$1=1,$AY415+$AZ415,$BF415+$BG415)</f>
        <v>0</v>
      </c>
      <c r="AS415" s="1">
        <f ca="1">IF(C415&lt;&gt;IF($C$3=1,12,$C$3-1),0,IF(繳費報酬率資料!$A$1&lt;&gt;1,VLOOKUP($A415,MP,8,0),IF(AND($A415&gt;=OP!$C$79,$A415&lt;=OP!$C$80),OP!$C$78,)))</f>
        <v>0</v>
      </c>
      <c r="AT415" s="298">
        <f t="shared" ca="1" si="246"/>
        <v>0</v>
      </c>
      <c r="AU415" s="298">
        <f ca="1">IF(AND(A415&lt;=OP!$C$120,COUNTIF(PAY,C415)=1),OP!$C$123,0)</f>
        <v>0</v>
      </c>
      <c r="AV415" s="298">
        <f ca="1">IF(AND(A415&gt;=OP!$C$132,A415&lt;=OP!$C$133,$C$3=C415),OP!$C$135,0)</f>
        <v>0</v>
      </c>
      <c r="AW415" s="180">
        <f t="shared" ca="1" si="247"/>
        <v>0.05</v>
      </c>
      <c r="AX415" s="180">
        <f t="shared" ca="1" si="248"/>
        <v>0.05</v>
      </c>
      <c r="AY415" s="286">
        <f t="shared" ca="1" si="249"/>
        <v>0</v>
      </c>
      <c r="AZ415" s="286">
        <f t="shared" ca="1" si="250"/>
        <v>0</v>
      </c>
      <c r="BA415" s="286">
        <f t="shared" ca="1" si="251"/>
        <v>0</v>
      </c>
      <c r="BB415" s="286">
        <f t="shared" ca="1" si="252"/>
        <v>0</v>
      </c>
      <c r="BC415" s="286">
        <f t="shared" ca="1" si="253"/>
        <v>0</v>
      </c>
      <c r="BD415" s="180">
        <f t="shared" ca="1" si="254"/>
        <v>0.05</v>
      </c>
      <c r="BE415" s="180">
        <f t="shared" ca="1" si="255"/>
        <v>0.05</v>
      </c>
      <c r="BF415" s="286">
        <f t="shared" ca="1" si="256"/>
        <v>0</v>
      </c>
      <c r="BG415" s="286">
        <f t="shared" ca="1" si="257"/>
        <v>0</v>
      </c>
    </row>
    <row r="416" spans="1:59">
      <c r="A416" s="1">
        <f t="shared" ca="1" si="236"/>
        <v>35</v>
      </c>
      <c r="B416" s="1">
        <f t="shared" ca="1" si="230"/>
        <v>140</v>
      </c>
      <c r="C416" s="1">
        <f t="shared" ca="1" si="231"/>
        <v>10</v>
      </c>
      <c r="D416" s="1">
        <f ca="1">MIN($D$3,VLOOKUP(C416,OP!$S$30:$T$41,2))</f>
        <v>2</v>
      </c>
      <c r="E416" s="1">
        <f t="shared" ca="1" si="232"/>
        <v>89</v>
      </c>
      <c r="F416" s="11" t="str">
        <f t="shared" ca="1" si="237"/>
        <v/>
      </c>
      <c r="G416" s="8">
        <f t="shared" ca="1" si="262"/>
        <v>366</v>
      </c>
      <c r="H416" s="8">
        <f t="shared" ca="1" si="239"/>
        <v>31</v>
      </c>
      <c r="I416" s="8" t="str">
        <f t="shared" ca="1" si="235"/>
        <v>3510</v>
      </c>
      <c r="J416" s="13">
        <f>IF(繳費報酬率資料!$A$1=1,VALUE(OP!$C$121),VLOOKUP(A416,MP,2,0))</f>
        <v>0.05</v>
      </c>
      <c r="K416" s="14">
        <f ca="1">IF(SUM($K$4:K415,IF(繳費報酬率資料!$A$1=1,$AU416+$AV416,$BB416+$BC416))&gt;OP!$L$58,0,IF(繳費報酬率資料!$A$1=1,$AU416+$AV416,$BB416+$BC416))</f>
        <v>0</v>
      </c>
      <c r="L416" s="2"/>
      <c r="M416" s="2"/>
      <c r="N416" s="2"/>
      <c r="O416" s="261">
        <f t="shared" ca="1" si="240"/>
        <v>0</v>
      </c>
      <c r="P416" s="261">
        <f t="shared" ca="1" si="258"/>
        <v>0</v>
      </c>
      <c r="Q416" s="3">
        <f ca="1">IF(A416&gt;MAX(OP!$R$17:$R$26),0,VLOOKUP(A416,fees,3,FALSE))</f>
        <v>0</v>
      </c>
      <c r="R416" s="200" t="str">
        <f t="shared" ca="1" si="241"/>
        <v/>
      </c>
      <c r="S416" s="9" t="str">
        <f ca="1">IF(COUNTIF(($T$4:T415),"F")&gt;=1,"",IF(OR(C417&lt;&gt;$C$3,E416=""),"",A416))</f>
        <v/>
      </c>
      <c r="T416" s="20" t="str">
        <f t="shared" ca="1" si="233"/>
        <v/>
      </c>
      <c r="U416" s="2">
        <f ca="1">IF(IF(OP!$C$83=1,$Z415,IF(OP!$C$83=2,$AA415,IF(OP!$C$83=3,$AB415,)))+$K416-$O416-$P416-$AS416&lt;OP!$C$142,0,$AS416)</f>
        <v>0</v>
      </c>
      <c r="V416" s="9"/>
      <c r="W416" s="19">
        <f ca="1">MAX(SUM($K$4:K416),0)</f>
        <v>2000000</v>
      </c>
      <c r="X416" s="19"/>
      <c r="Y416" s="19">
        <f t="shared" ca="1" si="259"/>
        <v>1920000</v>
      </c>
      <c r="Z416" s="2">
        <f ca="1">IF(MIN($Z$4:Z415)=0,0,MAX(0,($Z415+$K416-$O416-$P416)*IF(AND(F416="F",$D$3&lt;&gt;$G$3),((1+(-J416))^(H416/MIN(G416,365))),((1+(-J416))^(1/12)))-$U416))</f>
        <v>328565.51334942802</v>
      </c>
      <c r="AA416" s="2">
        <f ca="1">IF(MIN($AA$4:AA415)=0,0,MAX(0,($AA415+$K416-$O416-$P416)*IF(AND(F416="F",$D$3&lt;&gt;$G$3),((1+$AA$1)^(H416/MIN(G416,365))),((1+$AA$1)^(1/12)))-$U416))</f>
        <v>1920000</v>
      </c>
      <c r="AB416" s="2">
        <f ca="1">IF(MIN($AB$4:AB415)=0,0,MAX(0,($AB415+$K416-$O416-$P416)*IF(AND(F416="F",$D$3&lt;&gt;$G$3),((1+(J416))^(H416/MIN(G416,365))),((1+(J416))^(1/12)))-$U416))</f>
        <v>10293575.912822526</v>
      </c>
      <c r="AC416" s="5"/>
      <c r="AD416" s="5"/>
      <c r="AE416" s="5"/>
      <c r="AF416" s="282">
        <f t="shared" ca="1" si="242"/>
        <v>328566</v>
      </c>
      <c r="AG416" s="282">
        <f t="shared" ca="1" si="243"/>
        <v>1920000</v>
      </c>
      <c r="AH416" s="282">
        <f t="shared" ca="1" si="244"/>
        <v>10293576</v>
      </c>
      <c r="AI416" s="23" t="str">
        <f t="shared" ca="1" si="260"/>
        <v>35-6</v>
      </c>
      <c r="AJ416" s="282">
        <f ca="1">IF(E416&gt;111,,IF(AND(OP!$C$99=1,T416="F"),Z416,IF(AND(OP!$C$99=2,COUNTIF($T$4:T416,"F")=1),OP!$C$97+IF(F416="F",OP!$C$98,0),"")))</f>
        <v>54527</v>
      </c>
      <c r="AK416" s="282">
        <f ca="1">IF(E416&gt;111,,IF(AND(OP!$D$99=1,T416="F"),AA416,IF(AND(OP!$D$99=2,COUNTIF($T$4:T416,"F")=1),OP!$D$97+IF(F416="F",OP!$D$98,0),"")))</f>
        <v>74177</v>
      </c>
      <c r="AL416" s="282">
        <f ca="1">IF(E416&gt;111,,IF(AND(OP!$E$99=1,T416="F"),AB416,IF(AND(OP!$E$99=2,COUNTIF($T$4:T416,"F")=1),OP!$E$97+IF(F416="F",OP!$E$98,0),"")))</f>
        <v>99404</v>
      </c>
      <c r="AM416" s="1">
        <f t="shared" ca="1" si="234"/>
        <v>6</v>
      </c>
      <c r="AN416" s="1" t="e">
        <f ca="1">IF(OR(VLOOKUP($A416,MP,5,0)="月繳"),1,"")</f>
        <v>#N/A</v>
      </c>
      <c r="AO416" s="1">
        <f t="shared" ca="1" si="245"/>
        <v>0</v>
      </c>
      <c r="AP416" s="1" t="str">
        <f ca="1">IF(AND(A416&lt;=OP!$C$120,COUNTIF(PAY,C416)=1),1,"")</f>
        <v/>
      </c>
      <c r="AR416" s="301">
        <f ca="1">IF(繳費報酬率資料!$A$1=1,$AY416+$AZ416,$BF416+$BG416)</f>
        <v>0</v>
      </c>
      <c r="AS416" s="1">
        <f ca="1">IF(C416&lt;&gt;IF($C$3=1,12,$C$3-1),0,IF(繳費報酬率資料!$A$1&lt;&gt;1,VLOOKUP($A416,MP,8,0),IF(AND($A416&gt;=OP!$C$79,$A416&lt;=OP!$C$80),OP!$C$78,)))</f>
        <v>0</v>
      </c>
      <c r="AT416" s="298">
        <f t="shared" ca="1" si="246"/>
        <v>0</v>
      </c>
      <c r="AU416" s="298">
        <f ca="1">IF(AND(A416&lt;=OP!$C$120,COUNTIF(PAY,C416)=1),OP!$C$123,0)</f>
        <v>0</v>
      </c>
      <c r="AV416" s="298">
        <f ca="1">IF(AND(A416&gt;=OP!$C$132,A416&lt;=OP!$C$133,$C$3=C416),OP!$C$135,0)</f>
        <v>0</v>
      </c>
      <c r="AW416" s="180">
        <f t="shared" ca="1" si="247"/>
        <v>0.05</v>
      </c>
      <c r="AX416" s="180">
        <f t="shared" ca="1" si="248"/>
        <v>0.05</v>
      </c>
      <c r="AY416" s="286">
        <f t="shared" ca="1" si="249"/>
        <v>0</v>
      </c>
      <c r="AZ416" s="286">
        <f t="shared" ca="1" si="250"/>
        <v>0</v>
      </c>
      <c r="BA416" s="286">
        <f t="shared" ca="1" si="251"/>
        <v>0</v>
      </c>
      <c r="BB416" s="286">
        <f t="shared" ca="1" si="252"/>
        <v>0</v>
      </c>
      <c r="BC416" s="286">
        <f t="shared" ca="1" si="253"/>
        <v>0</v>
      </c>
      <c r="BD416" s="180">
        <f t="shared" ca="1" si="254"/>
        <v>0.05</v>
      </c>
      <c r="BE416" s="180">
        <f t="shared" ca="1" si="255"/>
        <v>0.05</v>
      </c>
      <c r="BF416" s="286">
        <f t="shared" ca="1" si="256"/>
        <v>0</v>
      </c>
      <c r="BG416" s="286">
        <f t="shared" ca="1" si="257"/>
        <v>0</v>
      </c>
    </row>
    <row r="417" spans="1:59">
      <c r="A417" s="1">
        <f t="shared" ca="1" si="236"/>
        <v>35</v>
      </c>
      <c r="B417" s="1">
        <f t="shared" ca="1" si="230"/>
        <v>140</v>
      </c>
      <c r="C417" s="1">
        <f t="shared" ca="1" si="231"/>
        <v>11</v>
      </c>
      <c r="D417" s="1">
        <f ca="1">MIN($D$3,VLOOKUP(C417,OP!$S$30:$T$41,2))</f>
        <v>2</v>
      </c>
      <c r="E417" s="1">
        <f t="shared" ca="1" si="232"/>
        <v>89</v>
      </c>
      <c r="F417" s="11" t="str">
        <f t="shared" ca="1" si="237"/>
        <v/>
      </c>
      <c r="G417" s="8">
        <f t="shared" ca="1" si="262"/>
        <v>366</v>
      </c>
      <c r="H417" s="8">
        <f t="shared" ca="1" si="239"/>
        <v>30</v>
      </c>
      <c r="I417" s="8" t="str">
        <f t="shared" ca="1" si="235"/>
        <v>3511</v>
      </c>
      <c r="J417" s="13">
        <f>IF(繳費報酬率資料!$A$1=1,VALUE(OP!$C$121),VLOOKUP(A417,MP,2,0))</f>
        <v>0.05</v>
      </c>
      <c r="K417" s="14">
        <f ca="1">IF(SUM($K$4:K416,IF(繳費報酬率資料!$A$1=1,$AU417+$AV417,$BB417+$BC417))&gt;OP!$L$58,0,IF(繳費報酬率資料!$A$1=1,$AU417+$AV417,$BB417+$BC417))</f>
        <v>0</v>
      </c>
      <c r="L417" s="2"/>
      <c r="M417" s="2"/>
      <c r="N417" s="2"/>
      <c r="O417" s="261">
        <f t="shared" ca="1" si="240"/>
        <v>0</v>
      </c>
      <c r="P417" s="261">
        <f t="shared" ca="1" si="258"/>
        <v>0</v>
      </c>
      <c r="Q417" s="3">
        <f ca="1">IF(A417&gt;MAX(OP!$R$17:$R$26),0,VLOOKUP(A417,fees,3,FALSE))</f>
        <v>0</v>
      </c>
      <c r="R417" s="200" t="str">
        <f t="shared" ca="1" si="241"/>
        <v/>
      </c>
      <c r="S417" s="9" t="str">
        <f ca="1">IF(COUNTIF(($T$4:T416),"F")&gt;=1,"",IF(OR(C418&lt;&gt;$C$3,E417=""),"",A417))</f>
        <v/>
      </c>
      <c r="T417" s="20" t="str">
        <f t="shared" ca="1" si="233"/>
        <v/>
      </c>
      <c r="U417" s="2">
        <f ca="1">IF(IF(OP!$C$83=1,$Z416,IF(OP!$C$83=2,$AA416,IF(OP!$C$83=3,$AB416,)))+$K417-$O417-$P417-$AS417&lt;OP!$C$142,0,$AS417)</f>
        <v>0</v>
      </c>
      <c r="V417" s="9"/>
      <c r="W417" s="19">
        <f ca="1">MAX(SUM($K$4:K417),0)</f>
        <v>2000000</v>
      </c>
      <c r="X417" s="19"/>
      <c r="Y417" s="19">
        <f t="shared" ca="1" si="259"/>
        <v>1920000</v>
      </c>
      <c r="Z417" s="2">
        <f ca="1">IF(MIN($Z$4:Z416)=0,0,MAX(0,($Z416+$K417-$O417-$P417)*IF(AND(F417="F",$D$3&lt;&gt;$G$3),((1+(-J417))^(H417/MIN(G417,365))),((1+(-J417))^(1/12)))-$U417))</f>
        <v>327164.07669567986</v>
      </c>
      <c r="AA417" s="2">
        <f ca="1">IF(MIN($AA$4:AA416)=0,0,MAX(0,($AA416+$K417-$O417-$P417)*IF(AND(F417="F",$D$3&lt;&gt;$G$3),((1+$AA$1)^(H417/MIN(G417,365))),((1+$AA$1)^(1/12)))-$U417))</f>
        <v>1920000</v>
      </c>
      <c r="AB417" s="2">
        <f ca="1">IF(MIN($AB$4:AB416)=0,0,MAX(0,($AB416+$K417-$O417-$P417)*IF(AND(F417="F",$D$3&lt;&gt;$G$3),((1+(J417))^(H417/MIN(G417,365))),((1+(J417))^(1/12)))-$U417))</f>
        <v>10335513.215267746</v>
      </c>
      <c r="AC417" s="5"/>
      <c r="AD417" s="5"/>
      <c r="AE417" s="5"/>
      <c r="AF417" s="282">
        <f t="shared" ca="1" si="242"/>
        <v>327164</v>
      </c>
      <c r="AG417" s="282">
        <f t="shared" ca="1" si="243"/>
        <v>1920000</v>
      </c>
      <c r="AH417" s="282">
        <f t="shared" ca="1" si="244"/>
        <v>10335513</v>
      </c>
      <c r="AI417" s="23" t="str">
        <f t="shared" ca="1" si="260"/>
        <v>35-7</v>
      </c>
      <c r="AJ417" s="282">
        <f ca="1">IF(E417&gt;111,,IF(AND(OP!$C$99=1,T417="F"),Z417,IF(AND(OP!$C$99=2,COUNTIF($T$4:T417,"F")=1),OP!$C$97+IF(F417="F",OP!$C$98,0),"")))</f>
        <v>54527</v>
      </c>
      <c r="AK417" s="282">
        <f ca="1">IF(E417&gt;111,,IF(AND(OP!$D$99=1,T417="F"),AA417,IF(AND(OP!$D$99=2,COUNTIF($T$4:T417,"F")=1),OP!$D$97+IF(F417="F",OP!$D$98,0),"")))</f>
        <v>74177</v>
      </c>
      <c r="AL417" s="282">
        <f ca="1">IF(E417&gt;111,,IF(AND(OP!$E$99=1,T417="F"),AB417,IF(AND(OP!$E$99=2,COUNTIF($T$4:T417,"F")=1),OP!$E$97+IF(F417="F",OP!$E$98,0),"")))</f>
        <v>99404</v>
      </c>
      <c r="AM417" s="1">
        <f t="shared" ca="1" si="234"/>
        <v>7</v>
      </c>
      <c r="AN417" s="1" t="e">
        <f ca="1">IF(OR(VLOOKUP($A417,MP,5,0)="月繳"),1,"")</f>
        <v>#N/A</v>
      </c>
      <c r="AO417" s="1">
        <f t="shared" ca="1" si="245"/>
        <v>0</v>
      </c>
      <c r="AP417" s="1" t="str">
        <f ca="1">IF(AND(A417&lt;=OP!$C$120,COUNTIF(PAY,C417)=1),1,"")</f>
        <v/>
      </c>
      <c r="AR417" s="301">
        <f ca="1">IF(繳費報酬率資料!$A$1=1,$AY417+$AZ417,$BF417+$BG417)</f>
        <v>0</v>
      </c>
      <c r="AS417" s="1">
        <f ca="1">IF(C417&lt;&gt;IF($C$3=1,12,$C$3-1),0,IF(繳費報酬率資料!$A$1&lt;&gt;1,VLOOKUP($A417,MP,8,0),IF(AND($A417&gt;=OP!$C$79,$A417&lt;=OP!$C$80),OP!$C$78,)))</f>
        <v>0</v>
      </c>
      <c r="AT417" s="298">
        <f t="shared" ca="1" si="246"/>
        <v>0</v>
      </c>
      <c r="AU417" s="298">
        <f ca="1">IF(AND(A417&lt;=OP!$C$120,COUNTIF(PAY,C417)=1),OP!$C$123,0)</f>
        <v>0</v>
      </c>
      <c r="AV417" s="298">
        <f ca="1">IF(AND(A417&gt;=OP!$C$132,A417&lt;=OP!$C$133,$C$3=C417),OP!$C$135,0)</f>
        <v>0</v>
      </c>
      <c r="AW417" s="180">
        <f t="shared" ca="1" si="247"/>
        <v>0.05</v>
      </c>
      <c r="AX417" s="180">
        <f t="shared" ca="1" si="248"/>
        <v>0.05</v>
      </c>
      <c r="AY417" s="286">
        <f t="shared" ca="1" si="249"/>
        <v>0</v>
      </c>
      <c r="AZ417" s="286">
        <f t="shared" ca="1" si="250"/>
        <v>0</v>
      </c>
      <c r="BA417" s="286">
        <f t="shared" ca="1" si="251"/>
        <v>0</v>
      </c>
      <c r="BB417" s="286">
        <f t="shared" ca="1" si="252"/>
        <v>0</v>
      </c>
      <c r="BC417" s="286">
        <f t="shared" ca="1" si="253"/>
        <v>0</v>
      </c>
      <c r="BD417" s="180">
        <f t="shared" ca="1" si="254"/>
        <v>0.05</v>
      </c>
      <c r="BE417" s="180">
        <f t="shared" ca="1" si="255"/>
        <v>0.05</v>
      </c>
      <c r="BF417" s="286">
        <f t="shared" ca="1" si="256"/>
        <v>0</v>
      </c>
      <c r="BG417" s="286">
        <f t="shared" ca="1" si="257"/>
        <v>0</v>
      </c>
    </row>
    <row r="418" spans="1:59">
      <c r="A418" s="1">
        <f t="shared" ca="1" si="236"/>
        <v>35</v>
      </c>
      <c r="B418" s="1">
        <f t="shared" ca="1" si="230"/>
        <v>140</v>
      </c>
      <c r="C418" s="1">
        <f t="shared" ca="1" si="231"/>
        <v>12</v>
      </c>
      <c r="D418" s="1">
        <f ca="1">MIN($D$3,VLOOKUP(C418,OP!$S$30:$T$41,2))</f>
        <v>2</v>
      </c>
      <c r="E418" s="1">
        <f t="shared" ca="1" si="232"/>
        <v>89</v>
      </c>
      <c r="F418" s="11" t="str">
        <f t="shared" ca="1" si="237"/>
        <v/>
      </c>
      <c r="G418" s="8">
        <f t="shared" ca="1" si="262"/>
        <v>366</v>
      </c>
      <c r="H418" s="8">
        <f t="shared" ca="1" si="239"/>
        <v>31</v>
      </c>
      <c r="I418" s="8" t="str">
        <f t="shared" ca="1" si="235"/>
        <v>3512</v>
      </c>
      <c r="J418" s="13">
        <f>IF(繳費報酬率資料!$A$1=1,VALUE(OP!$C$121),VLOOKUP(A418,MP,2,0))</f>
        <v>0.05</v>
      </c>
      <c r="K418" s="14">
        <f ca="1">IF(SUM($K$4:K417,IF(繳費報酬率資料!$A$1=1,$AU418+$AV418,$BB418+$BC418))&gt;OP!$L$58,0,IF(繳費報酬率資料!$A$1=1,$AU418+$AV418,$BB418+$BC418))</f>
        <v>0</v>
      </c>
      <c r="L418" s="2"/>
      <c r="M418" s="2"/>
      <c r="N418" s="2"/>
      <c r="O418" s="261">
        <f t="shared" ca="1" si="240"/>
        <v>0</v>
      </c>
      <c r="P418" s="261">
        <f t="shared" ca="1" si="258"/>
        <v>0</v>
      </c>
      <c r="Q418" s="3">
        <f ca="1">IF(A418&gt;MAX(OP!$R$17:$R$26),0,VLOOKUP(A418,fees,3,FALSE))</f>
        <v>0</v>
      </c>
      <c r="R418" s="200" t="str">
        <f t="shared" ca="1" si="241"/>
        <v/>
      </c>
      <c r="S418" s="9" t="str">
        <f ca="1">IF(COUNTIF(($T$4:T417),"F")&gt;=1,"",IF(OR(C419&lt;&gt;$C$3,E418=""),"",A418))</f>
        <v/>
      </c>
      <c r="T418" s="20" t="str">
        <f t="shared" ca="1" si="233"/>
        <v/>
      </c>
      <c r="U418" s="2">
        <f ca="1">IF(IF(OP!$C$83=1,$Z417,IF(OP!$C$83=2,$AA417,IF(OP!$C$83=3,$AB417,)))+$K418-$O418-$P418-$AS418&lt;OP!$C$142,0,$AS418)</f>
        <v>0</v>
      </c>
      <c r="V418" s="9"/>
      <c r="W418" s="19">
        <f ca="1">MAX(SUM($K$4:K418),0)</f>
        <v>2000000</v>
      </c>
      <c r="X418" s="19"/>
      <c r="Y418" s="19">
        <f t="shared" ca="1" si="259"/>
        <v>1920000</v>
      </c>
      <c r="Z418" s="2">
        <f ca="1">IF(MIN($Z$4:Z417)=0,0,MAX(0,($Z417+$K418-$O418-$P418)*IF(AND(F418="F",$D$3&lt;&gt;$G$3),((1+(-J418))^(H418/MIN(G418,365))),((1+(-J418))^(1/12)))-$U418))</f>
        <v>325768.61761600646</v>
      </c>
      <c r="AA418" s="2">
        <f ca="1">IF(MIN($AA$4:AA417)=0,0,MAX(0,($AA417+$K418-$O418-$P418)*IF(AND(F418="F",$D$3&lt;&gt;$G$3),((1+$AA$1)^(H418/MIN(G418,365))),((1+$AA$1)^(1/12)))-$U418))</f>
        <v>1920000</v>
      </c>
      <c r="AB418" s="2">
        <f ca="1">IF(MIN($AB$4:AB417)=0,0,MAX(0,($AB417+$K418-$O418-$P418)*IF(AND(F418="F",$D$3&lt;&gt;$G$3),((1+(J418))^(H418/MIN(G418,365))),((1+(J418))^(1/12)))-$U418))</f>
        <v>10377621.37547428</v>
      </c>
      <c r="AC418" s="5"/>
      <c r="AD418" s="5"/>
      <c r="AE418" s="5"/>
      <c r="AF418" s="282">
        <f t="shared" ca="1" si="242"/>
        <v>325769</v>
      </c>
      <c r="AG418" s="282">
        <f t="shared" ca="1" si="243"/>
        <v>1920000</v>
      </c>
      <c r="AH418" s="282">
        <f t="shared" ca="1" si="244"/>
        <v>10377621</v>
      </c>
      <c r="AI418" s="23" t="str">
        <f t="shared" ca="1" si="260"/>
        <v>35-8</v>
      </c>
      <c r="AJ418" s="282">
        <f ca="1">IF(E418&gt;111,,IF(AND(OP!$C$99=1,T418="F"),Z418,IF(AND(OP!$C$99=2,COUNTIF($T$4:T418,"F")=1),OP!$C$97+IF(F418="F",OP!$C$98,0),"")))</f>
        <v>54527</v>
      </c>
      <c r="AK418" s="282">
        <f ca="1">IF(E418&gt;111,,IF(AND(OP!$D$99=1,T418="F"),AA418,IF(AND(OP!$D$99=2,COUNTIF($T$4:T418,"F")=1),OP!$D$97+IF(F418="F",OP!$D$98,0),"")))</f>
        <v>74177</v>
      </c>
      <c r="AL418" s="282">
        <f ca="1">IF(E418&gt;111,,IF(AND(OP!$E$99=1,T418="F"),AB418,IF(AND(OP!$E$99=2,COUNTIF($T$4:T418,"F")=1),OP!$E$97+IF(F418="F",OP!$E$98,0),"")))</f>
        <v>99404</v>
      </c>
      <c r="AM418" s="1">
        <f t="shared" ca="1" si="234"/>
        <v>8</v>
      </c>
      <c r="AN418" s="1" t="e">
        <f ca="1">IF(OR(VLOOKUP($A418,MP,5,0)="半年繳",VLOOKUP($A418,MP,5,0)="季繳",VLOOKUP($A418,MP,5,0)="月繳"),1,"")</f>
        <v>#N/A</v>
      </c>
      <c r="AO418" s="1">
        <f t="shared" ca="1" si="245"/>
        <v>0</v>
      </c>
      <c r="AP418" s="1" t="str">
        <f ca="1">IF(AND(A418&lt;=OP!$C$120,COUNTIF(PAY,C418)=1),1,"")</f>
        <v/>
      </c>
      <c r="AR418" s="301">
        <f ca="1">IF(繳費報酬率資料!$A$1=1,$AY418+$AZ418,$BF418+$BG418)</f>
        <v>0</v>
      </c>
      <c r="AS418" s="1">
        <f ca="1">IF(C418&lt;&gt;IF($C$3=1,12,$C$3-1),0,IF(繳費報酬率資料!$A$1&lt;&gt;1,VLOOKUP($A418,MP,8,0),IF(AND($A418&gt;=OP!$C$79,$A418&lt;=OP!$C$80),OP!$C$78,)))</f>
        <v>0</v>
      </c>
      <c r="AT418" s="298">
        <f t="shared" ca="1" si="246"/>
        <v>0</v>
      </c>
      <c r="AU418" s="298">
        <f ca="1">IF(AND(A418&lt;=OP!$C$120,COUNTIF(PAY,C418)=1),OP!$C$123,0)</f>
        <v>0</v>
      </c>
      <c r="AV418" s="298">
        <f ca="1">IF(AND(A418&gt;=OP!$C$132,A418&lt;=OP!$C$133,$C$3=C418),OP!$C$135,0)</f>
        <v>0</v>
      </c>
      <c r="AW418" s="180">
        <f t="shared" ca="1" si="247"/>
        <v>0.05</v>
      </c>
      <c r="AX418" s="180">
        <f t="shared" ca="1" si="248"/>
        <v>0.05</v>
      </c>
      <c r="AY418" s="286">
        <f t="shared" ca="1" si="249"/>
        <v>0</v>
      </c>
      <c r="AZ418" s="286">
        <f t="shared" ca="1" si="250"/>
        <v>0</v>
      </c>
      <c r="BA418" s="286">
        <f t="shared" ca="1" si="251"/>
        <v>0</v>
      </c>
      <c r="BB418" s="286">
        <f t="shared" ca="1" si="252"/>
        <v>0</v>
      </c>
      <c r="BC418" s="286">
        <f t="shared" ca="1" si="253"/>
        <v>0</v>
      </c>
      <c r="BD418" s="180">
        <f t="shared" ca="1" si="254"/>
        <v>0.05</v>
      </c>
      <c r="BE418" s="180">
        <f t="shared" ca="1" si="255"/>
        <v>0.05</v>
      </c>
      <c r="BF418" s="286">
        <f t="shared" ca="1" si="256"/>
        <v>0</v>
      </c>
      <c r="BG418" s="286">
        <f t="shared" ca="1" si="257"/>
        <v>0</v>
      </c>
    </row>
    <row r="419" spans="1:59">
      <c r="A419" s="1">
        <f t="shared" ca="1" si="236"/>
        <v>35</v>
      </c>
      <c r="B419" s="1">
        <f t="shared" ca="1" si="230"/>
        <v>141</v>
      </c>
      <c r="C419" s="1">
        <f t="shared" ca="1" si="231"/>
        <v>1</v>
      </c>
      <c r="D419" s="1">
        <f ca="1">MIN($D$3,VLOOKUP(C419,OP!$S$30:$T$41,2))</f>
        <v>2</v>
      </c>
      <c r="E419" s="1">
        <f t="shared" ca="1" si="232"/>
        <v>89</v>
      </c>
      <c r="F419" s="11" t="str">
        <f t="shared" ca="1" si="237"/>
        <v/>
      </c>
      <c r="G419" s="8">
        <f t="shared" ca="1" si="262"/>
        <v>366</v>
      </c>
      <c r="H419" s="8">
        <f t="shared" ca="1" si="239"/>
        <v>31</v>
      </c>
      <c r="I419" s="8" t="str">
        <f t="shared" ca="1" si="235"/>
        <v>351</v>
      </c>
      <c r="J419" s="13">
        <f>IF(繳費報酬率資料!$A$1=1,VALUE(OP!$C$121),VLOOKUP(A419,MP,2,0))</f>
        <v>0.05</v>
      </c>
      <c r="K419" s="14">
        <f ca="1">IF(SUM($K$4:K418,IF(繳費報酬率資料!$A$1=1,$AU419+$AV419,$BB419+$BC419))&gt;OP!$L$58,0,IF(繳費報酬率資料!$A$1=1,$AU419+$AV419,$BB419+$BC419))</f>
        <v>0</v>
      </c>
      <c r="L419" s="2"/>
      <c r="M419" s="2"/>
      <c r="N419" s="2"/>
      <c r="O419" s="261">
        <f t="shared" ca="1" si="240"/>
        <v>0</v>
      </c>
      <c r="P419" s="261">
        <f t="shared" ca="1" si="258"/>
        <v>0</v>
      </c>
      <c r="Q419" s="3">
        <f ca="1">IF(A419&gt;MAX(OP!$R$17:$R$26),0,VLOOKUP(A419,fees,3,FALSE))</f>
        <v>0</v>
      </c>
      <c r="R419" s="200" t="str">
        <f t="shared" ca="1" si="241"/>
        <v/>
      </c>
      <c r="S419" s="9" t="str">
        <f ca="1">IF(COUNTIF(($T$4:T418),"F")&gt;=1,"",IF(OR(C420&lt;&gt;$C$3,E419=""),"",A419))</f>
        <v/>
      </c>
      <c r="T419" s="20" t="str">
        <f t="shared" ca="1" si="233"/>
        <v/>
      </c>
      <c r="U419" s="2">
        <f ca="1">IF(IF(OP!$C$83=1,$Z418,IF(OP!$C$83=2,$AA418,IF(OP!$C$83=3,$AB418,)))+$K419-$O419-$P419-$AS419&lt;OP!$C$142,0,$AS419)</f>
        <v>0</v>
      </c>
      <c r="V419" s="9"/>
      <c r="W419" s="19">
        <f ca="1">MAX(SUM($K$4:K419),0)</f>
        <v>2000000</v>
      </c>
      <c r="X419" s="19"/>
      <c r="Y419" s="19">
        <f t="shared" ca="1" si="259"/>
        <v>1920000</v>
      </c>
      <c r="Z419" s="2">
        <f ca="1">IF(MIN($Z$4:Z418)=0,0,MAX(0,($Z418+$K419-$O419-$P419)*IF(AND(F419="F",$D$3&lt;&gt;$G$3),((1+(-J419))^(H419/MIN(G419,365))),((1+(-J419))^(1/12)))-$U419))</f>
        <v>324379.11061414896</v>
      </c>
      <c r="AA419" s="2">
        <f ca="1">IF(MIN($AA$4:AA418)=0,0,MAX(0,($AA418+$K419-$O419-$P419)*IF(AND(F419="F",$D$3&lt;&gt;$G$3),((1+$AA$1)^(H419/MIN(G419,365))),((1+$AA$1)^(1/12)))-$U419))</f>
        <v>1920000</v>
      </c>
      <c r="AB419" s="2">
        <f ca="1">IF(MIN($AB$4:AB418)=0,0,MAX(0,($AB418+$K419-$O419-$P419)*IF(AND(F419="F",$D$3&lt;&gt;$G$3),((1+(J419))^(H419/MIN(G419,365))),((1+(J419))^(1/12)))-$U419))</f>
        <v>10419901.089537797</v>
      </c>
      <c r="AC419" s="5"/>
      <c r="AD419" s="5"/>
      <c r="AE419" s="5"/>
      <c r="AF419" s="282">
        <f t="shared" ca="1" si="242"/>
        <v>324379</v>
      </c>
      <c r="AG419" s="282">
        <f t="shared" ca="1" si="243"/>
        <v>1920000</v>
      </c>
      <c r="AH419" s="282">
        <f t="shared" ca="1" si="244"/>
        <v>10419901</v>
      </c>
      <c r="AI419" s="23" t="str">
        <f t="shared" ca="1" si="260"/>
        <v>35-9</v>
      </c>
      <c r="AJ419" s="282">
        <f ca="1">IF(E419&gt;111,,IF(AND(OP!$C$99=1,T419="F"),Z419,IF(AND(OP!$C$99=2,COUNTIF($T$4:T419,"F")=1),OP!$C$97+IF(F419="F",OP!$C$98,0),"")))</f>
        <v>54527</v>
      </c>
      <c r="AK419" s="282">
        <f ca="1">IF(E419&gt;111,,IF(AND(OP!$D$99=1,T419="F"),AA419,IF(AND(OP!$D$99=2,COUNTIF($T$4:T419,"F")=1),OP!$D$97+IF(F419="F",OP!$D$98,0),"")))</f>
        <v>74177</v>
      </c>
      <c r="AL419" s="282">
        <f ca="1">IF(E419&gt;111,,IF(AND(OP!$E$99=1,T419="F"),AB419,IF(AND(OP!$E$99=2,COUNTIF($T$4:T419,"F")=1),OP!$E$97+IF(F419="F",OP!$E$98,0),"")))</f>
        <v>99404</v>
      </c>
      <c r="AM419" s="1">
        <f t="shared" ca="1" si="234"/>
        <v>9</v>
      </c>
      <c r="AN419" s="1" t="e">
        <f ca="1">IF(OR(VLOOKUP($A419,MP,5,0)="月繳"),1,"")</f>
        <v>#N/A</v>
      </c>
      <c r="AO419" s="1">
        <f t="shared" ca="1" si="245"/>
        <v>0</v>
      </c>
      <c r="AP419" s="1" t="str">
        <f ca="1">IF(AND(A419&lt;=OP!$C$120,COUNTIF(PAY,C419)=1),1,"")</f>
        <v/>
      </c>
      <c r="AR419" s="301">
        <f ca="1">IF(繳費報酬率資料!$A$1=1,$AY419+$AZ419,$BF419+$BG419)</f>
        <v>0</v>
      </c>
      <c r="AS419" s="1">
        <f ca="1">IF(C419&lt;&gt;IF($C$3=1,12,$C$3-1),0,IF(繳費報酬率資料!$A$1&lt;&gt;1,VLOOKUP($A419,MP,8,0),IF(AND($A419&gt;=OP!$C$79,$A419&lt;=OP!$C$80),OP!$C$78,)))</f>
        <v>0</v>
      </c>
      <c r="AT419" s="298">
        <f t="shared" ca="1" si="246"/>
        <v>0</v>
      </c>
      <c r="AU419" s="298">
        <f ca="1">IF(AND(A419&lt;=OP!$C$120,COUNTIF(PAY,C419)=1),OP!$C$123,0)</f>
        <v>0</v>
      </c>
      <c r="AV419" s="298">
        <f ca="1">IF(AND(A419&gt;=OP!$C$132,A419&lt;=OP!$C$133,$C$3=C419),OP!$C$135,0)</f>
        <v>0</v>
      </c>
      <c r="AW419" s="180">
        <f t="shared" ca="1" si="247"/>
        <v>0.05</v>
      </c>
      <c r="AX419" s="180">
        <f t="shared" ca="1" si="248"/>
        <v>0.05</v>
      </c>
      <c r="AY419" s="286">
        <f t="shared" ca="1" si="249"/>
        <v>0</v>
      </c>
      <c r="AZ419" s="286">
        <f t="shared" ca="1" si="250"/>
        <v>0</v>
      </c>
      <c r="BA419" s="286">
        <f t="shared" ca="1" si="251"/>
        <v>0</v>
      </c>
      <c r="BB419" s="286">
        <f t="shared" ca="1" si="252"/>
        <v>0</v>
      </c>
      <c r="BC419" s="286">
        <f t="shared" ca="1" si="253"/>
        <v>0</v>
      </c>
      <c r="BD419" s="180">
        <f t="shared" ca="1" si="254"/>
        <v>0.05</v>
      </c>
      <c r="BE419" s="180">
        <f t="shared" ca="1" si="255"/>
        <v>0.05</v>
      </c>
      <c r="BF419" s="286">
        <f t="shared" ca="1" si="256"/>
        <v>0</v>
      </c>
      <c r="BG419" s="286">
        <f t="shared" ca="1" si="257"/>
        <v>0</v>
      </c>
    </row>
    <row r="420" spans="1:59">
      <c r="A420" s="1">
        <f t="shared" ca="1" si="236"/>
        <v>35</v>
      </c>
      <c r="B420" s="1">
        <f t="shared" ca="1" si="230"/>
        <v>141</v>
      </c>
      <c r="C420" s="1">
        <f t="shared" ca="1" si="231"/>
        <v>2</v>
      </c>
      <c r="D420" s="1">
        <f ca="1">MIN($D$3,VLOOKUP(C420,OP!$S$30:$T$41,2))</f>
        <v>2</v>
      </c>
      <c r="E420" s="1">
        <f t="shared" ca="1" si="232"/>
        <v>89</v>
      </c>
      <c r="F420" s="11" t="str">
        <f t="shared" ca="1" si="237"/>
        <v/>
      </c>
      <c r="G420" s="8">
        <f t="shared" ca="1" si="262"/>
        <v>366</v>
      </c>
      <c r="H420" s="8">
        <f t="shared" ca="1" si="239"/>
        <v>29</v>
      </c>
      <c r="I420" s="8" t="str">
        <f t="shared" ca="1" si="235"/>
        <v>352</v>
      </c>
      <c r="J420" s="13">
        <f>IF(繳費報酬率資料!$A$1=1,VALUE(OP!$C$121),VLOOKUP(A420,MP,2,0))</f>
        <v>0.05</v>
      </c>
      <c r="K420" s="14">
        <f ca="1">IF(SUM($K$4:K419,IF(繳費報酬率資料!$A$1=1,$AU420+$AV420,$BB420+$BC420))&gt;OP!$L$58,0,IF(繳費報酬率資料!$A$1=1,$AU420+$AV420,$BB420+$BC420))</f>
        <v>0</v>
      </c>
      <c r="L420" s="2"/>
      <c r="M420" s="2"/>
      <c r="N420" s="2"/>
      <c r="O420" s="261">
        <f t="shared" ca="1" si="240"/>
        <v>0</v>
      </c>
      <c r="P420" s="261">
        <f t="shared" ca="1" si="258"/>
        <v>0</v>
      </c>
      <c r="Q420" s="3">
        <f ca="1">IF(A420&gt;MAX(OP!$R$17:$R$26),0,VLOOKUP(A420,fees,3,FALSE))</f>
        <v>0</v>
      </c>
      <c r="R420" s="200" t="str">
        <f t="shared" ca="1" si="241"/>
        <v/>
      </c>
      <c r="S420" s="9" t="str">
        <f ca="1">IF(COUNTIF(($T$4:T419),"F")&gt;=1,"",IF(OR(C421&lt;&gt;$C$3,E420=""),"",A420))</f>
        <v/>
      </c>
      <c r="T420" s="20" t="str">
        <f t="shared" ca="1" si="233"/>
        <v/>
      </c>
      <c r="U420" s="2">
        <f ca="1">IF(IF(OP!$C$83=1,$Z419,IF(OP!$C$83=2,$AA419,IF(OP!$C$83=3,$AB419,)))+$K420-$O420-$P420-$AS420&lt;OP!$C$142,0,$AS420)</f>
        <v>0</v>
      </c>
      <c r="V420" s="9"/>
      <c r="W420" s="19">
        <f ca="1">MAX(SUM($K$4:K420),0)</f>
        <v>2000000</v>
      </c>
      <c r="X420" s="19"/>
      <c r="Y420" s="19">
        <f t="shared" ca="1" si="259"/>
        <v>1920000</v>
      </c>
      <c r="Z420" s="2">
        <f ca="1">IF(MIN($Z$4:Z419)=0,0,MAX(0,($Z419+$K420-$O420-$P420)*IF(AND(F420="F",$D$3&lt;&gt;$G$3),((1+(-J420))^(H420/MIN(G420,365))),((1+(-J420))^(1/12)))-$U420))</f>
        <v>322995.53030259802</v>
      </c>
      <c r="AA420" s="2">
        <f ca="1">IF(MIN($AA$4:AA419)=0,0,MAX(0,($AA419+$K420-$O420-$P420)*IF(AND(F420="F",$D$3&lt;&gt;$G$3),((1+$AA$1)^(H420/MIN(G420,365))),((1+$AA$1)^(1/12)))-$U420))</f>
        <v>1920000</v>
      </c>
      <c r="AB420" s="2">
        <f ca="1">IF(MIN($AB$4:AB419)=0,0,MAX(0,($AB419+$K420-$O420-$P420)*IF(AND(F420="F",$D$3&lt;&gt;$G$3),((1+(J420))^(H420/MIN(G420,365))),((1+(J420))^(1/12)))-$U420))</f>
        <v>10462353.056389946</v>
      </c>
      <c r="AC420" s="5"/>
      <c r="AD420" s="5"/>
      <c r="AE420" s="5"/>
      <c r="AF420" s="282">
        <f t="shared" ca="1" si="242"/>
        <v>322996</v>
      </c>
      <c r="AG420" s="282">
        <f t="shared" ca="1" si="243"/>
        <v>1920000</v>
      </c>
      <c r="AH420" s="282">
        <f t="shared" ca="1" si="244"/>
        <v>10462353</v>
      </c>
      <c r="AI420" s="23" t="str">
        <f t="shared" ca="1" si="260"/>
        <v>35-10</v>
      </c>
      <c r="AJ420" s="282">
        <f ca="1">IF(E420&gt;111,,IF(AND(OP!$C$99=1,T420="F"),Z420,IF(AND(OP!$C$99=2,COUNTIF($T$4:T420,"F")=1),OP!$C$97+IF(F420="F",OP!$C$98,0),"")))</f>
        <v>54527</v>
      </c>
      <c r="AK420" s="282">
        <f ca="1">IF(E420&gt;111,,IF(AND(OP!$D$99=1,T420="F"),AA420,IF(AND(OP!$D$99=2,COUNTIF($T$4:T420,"F")=1),OP!$D$97+IF(F420="F",OP!$D$98,0),"")))</f>
        <v>74177</v>
      </c>
      <c r="AL420" s="282">
        <f ca="1">IF(E420&gt;111,,IF(AND(OP!$E$99=1,T420="F"),AB420,IF(AND(OP!$E$99=2,COUNTIF($T$4:T420,"F")=1),OP!$E$97+IF(F420="F",OP!$E$98,0),"")))</f>
        <v>99404</v>
      </c>
      <c r="AM420" s="1">
        <f t="shared" ca="1" si="234"/>
        <v>10</v>
      </c>
      <c r="AN420" s="1" t="e">
        <f ca="1">IF(OR(VLOOKUP($A420,MP,5,0)="月繳"),1,"")</f>
        <v>#N/A</v>
      </c>
      <c r="AO420" s="1">
        <f t="shared" ca="1" si="245"/>
        <v>0</v>
      </c>
      <c r="AP420" s="1" t="str">
        <f ca="1">IF(AND(A420&lt;=OP!$C$120,COUNTIF(PAY,C420)=1),1,"")</f>
        <v/>
      </c>
      <c r="AR420" s="301">
        <f ca="1">IF(繳費報酬率資料!$A$1=1,$AY420+$AZ420,$BF420+$BG420)</f>
        <v>0</v>
      </c>
      <c r="AS420" s="1">
        <f ca="1">IF(C420&lt;&gt;IF($C$3=1,12,$C$3-1),0,IF(繳費報酬率資料!$A$1&lt;&gt;1,VLOOKUP($A420,MP,8,0),IF(AND($A420&gt;=OP!$C$79,$A420&lt;=OP!$C$80),OP!$C$78,)))</f>
        <v>0</v>
      </c>
      <c r="AT420" s="298">
        <f t="shared" ca="1" si="246"/>
        <v>0</v>
      </c>
      <c r="AU420" s="298">
        <f ca="1">IF(AND(A420&lt;=OP!$C$120,COUNTIF(PAY,C420)=1),OP!$C$123,0)</f>
        <v>0</v>
      </c>
      <c r="AV420" s="298">
        <f ca="1">IF(AND(A420&gt;=OP!$C$132,A420&lt;=OP!$C$133,$C$3=C420),OP!$C$135,0)</f>
        <v>0</v>
      </c>
      <c r="AW420" s="180">
        <f t="shared" ca="1" si="247"/>
        <v>0.05</v>
      </c>
      <c r="AX420" s="180">
        <f t="shared" ca="1" si="248"/>
        <v>0.05</v>
      </c>
      <c r="AY420" s="286">
        <f t="shared" ca="1" si="249"/>
        <v>0</v>
      </c>
      <c r="AZ420" s="286">
        <f t="shared" ca="1" si="250"/>
        <v>0</v>
      </c>
      <c r="BA420" s="286">
        <f t="shared" ca="1" si="251"/>
        <v>0</v>
      </c>
      <c r="BB420" s="286">
        <f t="shared" ca="1" si="252"/>
        <v>0</v>
      </c>
      <c r="BC420" s="286">
        <f t="shared" ca="1" si="253"/>
        <v>0</v>
      </c>
      <c r="BD420" s="180">
        <f t="shared" ca="1" si="254"/>
        <v>0.05</v>
      </c>
      <c r="BE420" s="180">
        <f t="shared" ca="1" si="255"/>
        <v>0.05</v>
      </c>
      <c r="BF420" s="286">
        <f t="shared" ca="1" si="256"/>
        <v>0</v>
      </c>
      <c r="BG420" s="286">
        <f t="shared" ca="1" si="257"/>
        <v>0</v>
      </c>
    </row>
    <row r="421" spans="1:59">
      <c r="A421" s="1">
        <f t="shared" ca="1" si="236"/>
        <v>35</v>
      </c>
      <c r="B421" s="1">
        <f t="shared" ca="1" si="230"/>
        <v>141</v>
      </c>
      <c r="C421" s="1">
        <f t="shared" ca="1" si="231"/>
        <v>3</v>
      </c>
      <c r="D421" s="1">
        <f ca="1">MIN($D$3,VLOOKUP(C421,OP!$S$30:$T$41,2))</f>
        <v>2</v>
      </c>
      <c r="E421" s="1">
        <f t="shared" ca="1" si="232"/>
        <v>89</v>
      </c>
      <c r="F421" s="11" t="str">
        <f t="shared" ca="1" si="237"/>
        <v/>
      </c>
      <c r="G421" s="8">
        <f t="shared" ca="1" si="262"/>
        <v>366</v>
      </c>
      <c r="H421" s="8">
        <f t="shared" ca="1" si="239"/>
        <v>31</v>
      </c>
      <c r="I421" s="8" t="str">
        <f t="shared" ca="1" si="235"/>
        <v>353</v>
      </c>
      <c r="J421" s="13">
        <f>IF(繳費報酬率資料!$A$1=1,VALUE(OP!$C$121),VLOOKUP(A421,MP,2,0))</f>
        <v>0.05</v>
      </c>
      <c r="K421" s="14">
        <f ca="1">IF(SUM($K$4:K420,IF(繳費報酬率資料!$A$1=1,$AU421+$AV421,$BB421+$BC421))&gt;OP!$L$58,0,IF(繳費報酬率資料!$A$1=1,$AU421+$AV421,$BB421+$BC421))</f>
        <v>0</v>
      </c>
      <c r="L421" s="2"/>
      <c r="M421" s="2"/>
      <c r="N421" s="2"/>
      <c r="O421" s="261">
        <f t="shared" ca="1" si="240"/>
        <v>0</v>
      </c>
      <c r="P421" s="261">
        <f t="shared" ca="1" si="258"/>
        <v>0</v>
      </c>
      <c r="Q421" s="3">
        <f ca="1">IF(A421&gt;MAX(OP!$R$17:$R$26),0,VLOOKUP(A421,fees,3,FALSE))</f>
        <v>0</v>
      </c>
      <c r="R421" s="200" t="str">
        <f t="shared" ca="1" si="241"/>
        <v/>
      </c>
      <c r="S421" s="9" t="str">
        <f ca="1">IF(COUNTIF(($T$4:T420),"F")&gt;=1,"",IF(OR(C422&lt;&gt;$C$3,E421=""),"",A421))</f>
        <v/>
      </c>
      <c r="T421" s="20" t="str">
        <f t="shared" ca="1" si="233"/>
        <v/>
      </c>
      <c r="U421" s="2">
        <f ca="1">IF(IF(OP!$C$83=1,$Z420,IF(OP!$C$83=2,$AA420,IF(OP!$C$83=3,$AB420,)))+$K421-$O421-$P421-$AS421&lt;OP!$C$142,0,$AS421)</f>
        <v>0</v>
      </c>
      <c r="V421" s="9"/>
      <c r="W421" s="19">
        <f ca="1">MAX(SUM($K$4:K421),0)</f>
        <v>2000000</v>
      </c>
      <c r="X421" s="19"/>
      <c r="Y421" s="19">
        <f t="shared" ca="1" si="259"/>
        <v>1920000</v>
      </c>
      <c r="Z421" s="2">
        <f ca="1">IF(MIN($Z$4:Z420)=0,0,MAX(0,($Z420+$K421-$O421-$P421)*IF(AND(F421="F",$D$3&lt;&gt;$G$3),((1+(-J421))^(H421/MIN(G421,365))),((1+(-J421))^(1/12)))-$U421))</f>
        <v>321617.85140213021</v>
      </c>
      <c r="AA421" s="2">
        <f ca="1">IF(MIN($AA$4:AA420)=0,0,MAX(0,($AA420+$K421-$O421-$P421)*IF(AND(F421="F",$D$3&lt;&gt;$G$3),((1+$AA$1)^(H421/MIN(G421,365))),((1+$AA$1)^(1/12)))-$U421))</f>
        <v>1920000</v>
      </c>
      <c r="AB421" s="2">
        <f ca="1">IF(MIN($AB$4:AB420)=0,0,MAX(0,($AB420+$K421-$O421-$P421)*IF(AND(F421="F",$D$3&lt;&gt;$G$3),((1+(J421))^(H421/MIN(G421,365))),((1+(J421))^(1/12)))-$U421))</f>
        <v>10504977.977809912</v>
      </c>
      <c r="AC421" s="5"/>
      <c r="AD421" s="5"/>
      <c r="AE421" s="5"/>
      <c r="AF421" s="282">
        <f t="shared" ca="1" si="242"/>
        <v>321618</v>
      </c>
      <c r="AG421" s="282">
        <f t="shared" ca="1" si="243"/>
        <v>1920000</v>
      </c>
      <c r="AH421" s="282">
        <f t="shared" ca="1" si="244"/>
        <v>10504978</v>
      </c>
      <c r="AI421" s="23" t="str">
        <f t="shared" ca="1" si="260"/>
        <v>35-11</v>
      </c>
      <c r="AJ421" s="282">
        <f ca="1">IF(E421&gt;111,,IF(AND(OP!$C$99=1,T421="F"),Z421,IF(AND(OP!$C$99=2,COUNTIF($T$4:T421,"F")=1),OP!$C$97+IF(F421="F",OP!$C$98,0),"")))</f>
        <v>54527</v>
      </c>
      <c r="AK421" s="282">
        <f ca="1">IF(E421&gt;111,,IF(AND(OP!$D$99=1,T421="F"),AA421,IF(AND(OP!$D$99=2,COUNTIF($T$4:T421,"F")=1),OP!$D$97+IF(F421="F",OP!$D$98,0),"")))</f>
        <v>74177</v>
      </c>
      <c r="AL421" s="282">
        <f ca="1">IF(E421&gt;111,,IF(AND(OP!$E$99=1,T421="F"),AB421,IF(AND(OP!$E$99=2,COUNTIF($T$4:T421,"F")=1),OP!$E$97+IF(F421="F",OP!$E$98,0),"")))</f>
        <v>99404</v>
      </c>
      <c r="AM421" s="1">
        <f t="shared" ca="1" si="234"/>
        <v>11</v>
      </c>
      <c r="AN421" s="1" t="e">
        <f ca="1">IF(OR(VLOOKUP($A421,MP,5,0)="季繳",VLOOKUP($A421,MP,5,0)="月繳"),1,"")</f>
        <v>#N/A</v>
      </c>
      <c r="AO421" s="1">
        <f t="shared" ca="1" si="245"/>
        <v>0</v>
      </c>
      <c r="AP421" s="1" t="str">
        <f ca="1">IF(AND(A421&lt;=OP!$C$120,COUNTIF(PAY,C421)=1),1,"")</f>
        <v/>
      </c>
      <c r="AR421" s="301">
        <f ca="1">IF(繳費報酬率資料!$A$1=1,$AY421+$AZ421,$BF421+$BG421)</f>
        <v>0</v>
      </c>
      <c r="AS421" s="1">
        <f ca="1">IF(C421&lt;&gt;IF($C$3=1,12,$C$3-1),0,IF(繳費報酬率資料!$A$1&lt;&gt;1,VLOOKUP($A421,MP,8,0),IF(AND($A421&gt;=OP!$C$79,$A421&lt;=OP!$C$80),OP!$C$78,)))</f>
        <v>0</v>
      </c>
      <c r="AT421" s="298">
        <f t="shared" ca="1" si="246"/>
        <v>0</v>
      </c>
      <c r="AU421" s="298">
        <f ca="1">IF(AND(A421&lt;=OP!$C$120,COUNTIF(PAY,C421)=1),OP!$C$123,0)</f>
        <v>0</v>
      </c>
      <c r="AV421" s="298">
        <f ca="1">IF(AND(A421&gt;=OP!$C$132,A421&lt;=OP!$C$133,$C$3=C421),OP!$C$135,0)</f>
        <v>0</v>
      </c>
      <c r="AW421" s="180">
        <f t="shared" ca="1" si="247"/>
        <v>0.05</v>
      </c>
      <c r="AX421" s="180">
        <f t="shared" ca="1" si="248"/>
        <v>0.05</v>
      </c>
      <c r="AY421" s="286">
        <f t="shared" ca="1" si="249"/>
        <v>0</v>
      </c>
      <c r="AZ421" s="286">
        <f t="shared" ca="1" si="250"/>
        <v>0</v>
      </c>
      <c r="BA421" s="286">
        <f t="shared" ca="1" si="251"/>
        <v>0</v>
      </c>
      <c r="BB421" s="286">
        <f t="shared" ca="1" si="252"/>
        <v>0</v>
      </c>
      <c r="BC421" s="286">
        <f t="shared" ca="1" si="253"/>
        <v>0</v>
      </c>
      <c r="BD421" s="180">
        <f t="shared" ca="1" si="254"/>
        <v>0.05</v>
      </c>
      <c r="BE421" s="180">
        <f t="shared" ca="1" si="255"/>
        <v>0.05</v>
      </c>
      <c r="BF421" s="286">
        <f t="shared" ca="1" si="256"/>
        <v>0</v>
      </c>
      <c r="BG421" s="286">
        <f t="shared" ca="1" si="257"/>
        <v>0</v>
      </c>
    </row>
    <row r="422" spans="1:59">
      <c r="A422" s="1">
        <f t="shared" ca="1" si="236"/>
        <v>35</v>
      </c>
      <c r="B422" s="1">
        <f t="shared" ca="1" si="230"/>
        <v>141</v>
      </c>
      <c r="C422" s="1">
        <f t="shared" ca="1" si="231"/>
        <v>4</v>
      </c>
      <c r="D422" s="1">
        <f ca="1">MIN($D$3,VLOOKUP(C422,OP!$S$30:$T$41,2))</f>
        <v>2</v>
      </c>
      <c r="E422" s="1">
        <f t="shared" ca="1" si="232"/>
        <v>89</v>
      </c>
      <c r="F422" s="11" t="str">
        <f t="shared" ca="1" si="237"/>
        <v/>
      </c>
      <c r="G422" s="8">
        <f t="shared" ca="1" si="262"/>
        <v>366</v>
      </c>
      <c r="H422" s="8">
        <f t="shared" ca="1" si="239"/>
        <v>30</v>
      </c>
      <c r="I422" s="8" t="str">
        <f t="shared" ca="1" si="235"/>
        <v>354</v>
      </c>
      <c r="J422" s="13">
        <f>IF(繳費報酬率資料!$A$1=1,VALUE(OP!$C$121),VLOOKUP(A422,MP,2,0))</f>
        <v>0.05</v>
      </c>
      <c r="K422" s="14">
        <f ca="1">IF(SUM($K$4:K421,IF(繳費報酬率資料!$A$1=1,$AU422+$AV422,$BB422+$BC422))&gt;OP!$L$58,0,IF(繳費報酬率資料!$A$1=1,$AU422+$AV422,$BB422+$BC422))</f>
        <v>0</v>
      </c>
      <c r="L422" s="2"/>
      <c r="M422" s="2"/>
      <c r="N422" s="2"/>
      <c r="O422" s="261">
        <f t="shared" ca="1" si="240"/>
        <v>0</v>
      </c>
      <c r="P422" s="261">
        <f t="shared" ca="1" si="258"/>
        <v>0</v>
      </c>
      <c r="Q422" s="3">
        <f ca="1">IF(A422&gt;MAX(OP!$R$17:$R$26),0,VLOOKUP(A422,fees,3,FALSE))</f>
        <v>0</v>
      </c>
      <c r="R422" s="200" t="str">
        <f t="shared" ca="1" si="241"/>
        <v/>
      </c>
      <c r="S422" s="9" t="str">
        <f ca="1">IF(COUNTIF(($T$4:T421),"F")&gt;=1,"",IF(OR(C423&lt;&gt;$C$3,E422=""),"",A422))</f>
        <v/>
      </c>
      <c r="T422" s="20" t="str">
        <f t="shared" ca="1" si="233"/>
        <v/>
      </c>
      <c r="U422" s="2">
        <f ca="1">IF(IF(OP!$C$83=1,$Z421,IF(OP!$C$83=2,$AA421,IF(OP!$C$83=3,$AB421,)))+$K422-$O422-$P422-$AS422&lt;OP!$C$142,0,$AS422)</f>
        <v>0</v>
      </c>
      <c r="V422" s="9"/>
      <c r="W422" s="19">
        <f ca="1">MAX(SUM($K$4:K422),0)</f>
        <v>2000000</v>
      </c>
      <c r="X422" s="19"/>
      <c r="Y422" s="19">
        <f t="shared" ca="1" si="259"/>
        <v>1920000</v>
      </c>
      <c r="Z422" s="2">
        <f ca="1">IF(MIN($Z$4:Z421)=0,0,MAX(0,($Z421+$K422-$O422-$P422)*IF(AND(F422="F",$D$3&lt;&gt;$G$3),((1+(-J422))^(H422/MIN(G422,365))),((1+(-J422))^(1/12)))-$U422))</f>
        <v>320246.04874134599</v>
      </c>
      <c r="AA422" s="2">
        <f ca="1">IF(MIN($AA$4:AA421)=0,0,MAX(0,($AA421+$K422-$O422-$P422)*IF(AND(F422="F",$D$3&lt;&gt;$G$3),((1+$AA$1)^(H422/MIN(G422,365))),((1+$AA$1)^(1/12)))-$U422))</f>
        <v>1920000</v>
      </c>
      <c r="AB422" s="2">
        <f ca="1">IF(MIN($AB$4:AB421)=0,0,MAX(0,($AB421+$K422-$O422-$P422)*IF(AND(F422="F",$D$3&lt;&gt;$G$3),((1+(J422))^(H422/MIN(G422,365))),((1+(J422))^(1/12)))-$U422))</f>
        <v>10547776.55843601</v>
      </c>
      <c r="AC422" s="5"/>
      <c r="AD422" s="5"/>
      <c r="AE422" s="5"/>
      <c r="AF422" s="282">
        <f t="shared" ca="1" si="242"/>
        <v>320246</v>
      </c>
      <c r="AG422" s="282">
        <f t="shared" ca="1" si="243"/>
        <v>1920000</v>
      </c>
      <c r="AH422" s="282">
        <f t="shared" ca="1" si="244"/>
        <v>10547777</v>
      </c>
      <c r="AI422" s="23" t="str">
        <f t="shared" ca="1" si="260"/>
        <v>35-12</v>
      </c>
      <c r="AJ422" s="282">
        <f ca="1">IF(E422&gt;111,,IF(AND(OP!$C$99=1,T422="F"),Z422,IF(AND(OP!$C$99=2,COUNTIF($T$4:T422,"F")=1),OP!$C$97+IF(F422="F",OP!$C$98,0),"")))</f>
        <v>54527</v>
      </c>
      <c r="AK422" s="282">
        <f ca="1">IF(E422&gt;111,,IF(AND(OP!$D$99=1,T422="F"),AA422,IF(AND(OP!$D$99=2,COUNTIF($T$4:T422,"F")=1),OP!$D$97+IF(F422="F",OP!$D$98,0),"")))</f>
        <v>74177</v>
      </c>
      <c r="AL422" s="282">
        <f ca="1">IF(E422&gt;111,,IF(AND(OP!$E$99=1,T422="F"),AB422,IF(AND(OP!$E$99=2,COUNTIF($T$4:T422,"F")=1),OP!$E$97+IF(F422="F",OP!$E$98,0),"")))</f>
        <v>99404</v>
      </c>
      <c r="AM422" s="1">
        <f t="shared" ca="1" si="234"/>
        <v>12</v>
      </c>
      <c r="AN422" s="1" t="e">
        <f ca="1">IF(OR(VLOOKUP($A422,MP,5,0)="月繳"),1,"")</f>
        <v>#N/A</v>
      </c>
      <c r="AO422" s="1">
        <f t="shared" ca="1" si="245"/>
        <v>0</v>
      </c>
      <c r="AP422" s="1" t="str">
        <f ca="1">IF(AND(A422&lt;=OP!$C$120,COUNTIF(PAY,C422)=1),1,"")</f>
        <v/>
      </c>
      <c r="AR422" s="301">
        <f ca="1">IF(繳費報酬率資料!$A$1=1,$AY422+$AZ422,$BF422+$BG422)</f>
        <v>0</v>
      </c>
      <c r="AS422" s="1">
        <f ca="1">IF(C422&lt;&gt;IF($C$3=1,12,$C$3-1),0,IF(繳費報酬率資料!$A$1&lt;&gt;1,VLOOKUP($A422,MP,8,0),IF(AND($A422&gt;=OP!$C$79,$A422&lt;=OP!$C$80),OP!$C$78,)))</f>
        <v>0</v>
      </c>
      <c r="AT422" s="298">
        <f t="shared" ca="1" si="246"/>
        <v>0</v>
      </c>
      <c r="AU422" s="298">
        <f ca="1">IF(AND(A422&lt;=OP!$C$120,COUNTIF(PAY,C422)=1),OP!$C$123,0)</f>
        <v>0</v>
      </c>
      <c r="AV422" s="298">
        <f ca="1">IF(AND(A422&gt;=OP!$C$132,A422&lt;=OP!$C$133,$C$3=C422),OP!$C$135,0)</f>
        <v>0</v>
      </c>
      <c r="AW422" s="180">
        <f t="shared" ca="1" si="247"/>
        <v>0.05</v>
      </c>
      <c r="AX422" s="180">
        <f t="shared" ca="1" si="248"/>
        <v>0.05</v>
      </c>
      <c r="AY422" s="286">
        <f t="shared" ca="1" si="249"/>
        <v>0</v>
      </c>
      <c r="AZ422" s="286">
        <f t="shared" ca="1" si="250"/>
        <v>0</v>
      </c>
      <c r="BA422" s="286">
        <f t="shared" ca="1" si="251"/>
        <v>0</v>
      </c>
      <c r="BB422" s="286">
        <f t="shared" ca="1" si="252"/>
        <v>0</v>
      </c>
      <c r="BC422" s="286">
        <f t="shared" ca="1" si="253"/>
        <v>0</v>
      </c>
      <c r="BD422" s="180">
        <f t="shared" ca="1" si="254"/>
        <v>0.05</v>
      </c>
      <c r="BE422" s="180">
        <f t="shared" ca="1" si="255"/>
        <v>0.05</v>
      </c>
      <c r="BF422" s="286">
        <f t="shared" ca="1" si="256"/>
        <v>0</v>
      </c>
      <c r="BG422" s="286">
        <f t="shared" ca="1" si="257"/>
        <v>0</v>
      </c>
    </row>
    <row r="423" spans="1:59">
      <c r="A423" s="1">
        <f t="shared" ca="1" si="236"/>
        <v>35</v>
      </c>
      <c r="B423" s="1">
        <f t="shared" ca="1" si="230"/>
        <v>141</v>
      </c>
      <c r="C423" s="1">
        <f t="shared" ca="1" si="231"/>
        <v>5</v>
      </c>
      <c r="D423" s="1">
        <f ca="1">MIN($D$3,VLOOKUP(C423,OP!$S$30:$T$41,2))</f>
        <v>2</v>
      </c>
      <c r="E423" s="1">
        <f t="shared" ca="1" si="232"/>
        <v>89</v>
      </c>
      <c r="F423" s="11" t="str">
        <f t="shared" ca="1" si="237"/>
        <v/>
      </c>
      <c r="G423" s="8">
        <f t="shared" ca="1" si="262"/>
        <v>366</v>
      </c>
      <c r="H423" s="8">
        <f t="shared" ca="1" si="239"/>
        <v>31</v>
      </c>
      <c r="I423" s="8" t="str">
        <f t="shared" ca="1" si="235"/>
        <v>355</v>
      </c>
      <c r="J423" s="13">
        <f>IF(繳費報酬率資料!$A$1=1,VALUE(OP!$C$121),VLOOKUP(A423,MP,2,0))</f>
        <v>0.05</v>
      </c>
      <c r="K423" s="14">
        <f ca="1">IF(SUM($K$4:K422,IF(繳費報酬率資料!$A$1=1,$AU423+$AV423,$BB423+$BC423))&gt;OP!$L$58,0,IF(繳費報酬率資料!$A$1=1,$AU423+$AV423,$BB423+$BC423))</f>
        <v>0</v>
      </c>
      <c r="L423" s="2">
        <f ca="1">ROUND(IF(OP!$C$78&lt;(IF(OR($T423="F",$E423&gt;=111),0,Z422+$K423-$O423+IF($C$1=1,OP!$C$78,IF($C424=$C$3,SUM(AC412:AC423,0)))))*5%,0,(OP!$C$78-((IF(OR($T423="F",$E423&gt;=111),0,Z422+$K423-$O423+IF($C$1=1,AC423,IF($C424=$C$3,SUM(AC412:AC423,0)))))*5%))*$Q423),0)</f>
        <v>0</v>
      </c>
      <c r="M423" s="2">
        <f ca="1">ROUND(IF(OP!$C$78&lt;(IF(OR($T423="F",$E423&gt;=111),0,AA422+$K423-$O423+IF($C$1=1,AD423,IF($C424=$C$3,SUM(AD412:AD423,0)))))*5%,0,(OP!$C$78-((IF(OR($T423="F",$E423&gt;=111),0,AA422+$K423-$O423+IF($C$1=1,AD423,IF($C424=$C$3,SUM(AD412:AD423,0)))))*5%))*$Q423),0)</f>
        <v>0</v>
      </c>
      <c r="N423" s="2">
        <f ca="1">ROUND(IF(OP!$C$78&lt;(IF(OR($T423="F",$E423&gt;=111),0,AB422+$K423-$O423+IF($C$1=1,AE423,IF($C424=$C$3,SUM(AE412:AE423,0)))))*5%,0,(OP!$C$78-((IF(OR($T423="F",$E423&gt;=111),0,AB422+$K423-$O423+IF($C$1=1,AE423,IF($C424=$C$3,SUM(AE412:AE423,0)))))*5%))*$Q423),0)</f>
        <v>0</v>
      </c>
      <c r="O423" s="261">
        <f t="shared" ca="1" si="240"/>
        <v>0</v>
      </c>
      <c r="P423" s="261">
        <f t="shared" ca="1" si="258"/>
        <v>0</v>
      </c>
      <c r="Q423" s="3">
        <f ca="1">IF(A423&gt;MAX(OP!$R$17:$R$26),0,VLOOKUP(A423,fees,3,FALSE))</f>
        <v>0</v>
      </c>
      <c r="R423" s="200">
        <f t="shared" ca="1" si="241"/>
        <v>35</v>
      </c>
      <c r="S423" s="9" t="str">
        <f ca="1">IF(COUNTIF(($T$4:T422),"F")&gt;=1,"",IF(OR(C424&lt;&gt;$C$3,E423=""),"",A423))</f>
        <v/>
      </c>
      <c r="T423" s="20" t="str">
        <f t="shared" ca="1" si="233"/>
        <v/>
      </c>
      <c r="U423" s="2">
        <f ca="1">IF(IF(OP!$C$83=1,$Z422,IF(OP!$C$83=2,$AA422,IF(OP!$C$83=3,$AB422,)))+$K423-$O423-$P423-$AS423&lt;OP!$C$142,0,$AS423)</f>
        <v>0</v>
      </c>
      <c r="V423" s="19">
        <f ca="1">SUM(K412:K423)</f>
        <v>0</v>
      </c>
      <c r="W423" s="19">
        <f ca="1">MAX(SUM($K$4:K423),0)</f>
        <v>2000000</v>
      </c>
      <c r="X423" s="19">
        <f ca="1">SUM(O412:P423)</f>
        <v>0</v>
      </c>
      <c r="Y423" s="19">
        <f t="shared" ca="1" si="259"/>
        <v>1920000</v>
      </c>
      <c r="Z423" s="2">
        <f ca="1">IF(MIN($Z$4:Z422)=0,0,MAX(0,($Z422+$K423-$O423-$P423)*IF(AND(F423="F",$D$3&lt;&gt;$G$3),((1+(-J423))^(H423/MIN(G423,365))),((1+(-J423))^(1/12)))-$U423))</f>
        <v>318880.09725620993</v>
      </c>
      <c r="AA423" s="2">
        <f ca="1">IF(MIN($AA$4:AA422)=0,0,MAX(0,($AA422+$K423-$O423-$P423)*IF(AND(F423="F",$D$3&lt;&gt;$G$3),((1+$AA$1)^(H423/MIN(G423,365))),((1+$AA$1)^(1/12)))-$U423))</f>
        <v>1920000</v>
      </c>
      <c r="AB423" s="2">
        <f ca="1">IF(MIN($AB$4:AB422)=0,0,MAX(0,($AB422+$K423-$O423-$P423)*IF(AND(F423="F",$D$3&lt;&gt;$G$3),((1+(J423))^(H423/MIN(G423,365))),((1+(J423))^(1/12)))-$U423))</f>
        <v>10590749.505777342</v>
      </c>
      <c r="AC423" s="5"/>
      <c r="AD423" s="5"/>
      <c r="AE423" s="5"/>
      <c r="AF423" s="282">
        <f t="shared" ca="1" si="242"/>
        <v>318880</v>
      </c>
      <c r="AG423" s="282">
        <f t="shared" ca="1" si="243"/>
        <v>1920000</v>
      </c>
      <c r="AH423" s="282">
        <f t="shared" ca="1" si="244"/>
        <v>10590750</v>
      </c>
      <c r="AI423" s="23" t="str">
        <f t="shared" ca="1" si="260"/>
        <v>36-1</v>
      </c>
      <c r="AJ423" s="282">
        <f ca="1">IF(E423&gt;111,,IF(AND(OP!$C$99=1,T423="F"),Z423,IF(AND(OP!$C$99=2,COUNTIF($T$4:T423,"F")=1),OP!$C$97+IF(F423="F",OP!$C$98,0),"")))</f>
        <v>54527</v>
      </c>
      <c r="AK423" s="282">
        <f ca="1">IF(E423&gt;111,,IF(AND(OP!$D$99=1,T423="F"),AA423,IF(AND(OP!$D$99=2,COUNTIF($T$4:T423,"F")=1),OP!$D$97+IF(F423="F",OP!$D$98,0),"")))</f>
        <v>74177</v>
      </c>
      <c r="AL423" s="282">
        <f ca="1">IF(E423&gt;111,,IF(AND(OP!$E$99=1,T423="F"),AB423,IF(AND(OP!$E$99=2,COUNTIF($T$4:T423,"F")=1),OP!$E$97+IF(F423="F",OP!$E$98,0),"")))</f>
        <v>99404</v>
      </c>
      <c r="AM423" s="1">
        <f t="shared" ca="1" si="234"/>
        <v>1</v>
      </c>
      <c r="AN423" s="1" t="e">
        <f ca="1">IF(OR(VLOOKUP($A423,MP,5,0)="月繳"),1,"")</f>
        <v>#N/A</v>
      </c>
      <c r="AO423" s="1">
        <f t="shared" ca="1" si="245"/>
        <v>0</v>
      </c>
      <c r="AP423" s="1" t="str">
        <f ca="1">IF(AND(A423&lt;=OP!$C$120,COUNTIF(PAY,C423)=1),1,"")</f>
        <v/>
      </c>
      <c r="AR423" s="301">
        <f ca="1">IF(繳費報酬率資料!$A$1=1,$AY423+$AZ423,$BF423+$BG423)</f>
        <v>0</v>
      </c>
      <c r="AS423" s="1">
        <f ca="1">IF(C423&lt;&gt;IF($C$3=1,12,$C$3-1),0,IF(繳費報酬率資料!$A$1&lt;&gt;1,VLOOKUP($A423,MP,8,0),IF(AND($A423&gt;=OP!$C$79,$A423&lt;=OP!$C$80),OP!$C$78,)))</f>
        <v>0</v>
      </c>
      <c r="AT423" s="298">
        <f t="shared" ca="1" si="246"/>
        <v>0</v>
      </c>
      <c r="AU423" s="298">
        <f ca="1">IF(AND(A423&lt;=OP!$C$120,COUNTIF(PAY,C423)=1),OP!$C$123,0)</f>
        <v>0</v>
      </c>
      <c r="AV423" s="298">
        <f ca="1">IF(AND(A423&gt;=OP!$C$132,A423&lt;=OP!$C$133,$C$3=C423),OP!$C$135,0)</f>
        <v>0</v>
      </c>
      <c r="AW423" s="180">
        <f t="shared" ca="1" si="247"/>
        <v>0.05</v>
      </c>
      <c r="AX423" s="180">
        <f t="shared" ca="1" si="248"/>
        <v>0.05</v>
      </c>
      <c r="AY423" s="286">
        <f t="shared" ca="1" si="249"/>
        <v>0</v>
      </c>
      <c r="AZ423" s="286">
        <f t="shared" ca="1" si="250"/>
        <v>0</v>
      </c>
      <c r="BA423" s="286">
        <f t="shared" ca="1" si="251"/>
        <v>0</v>
      </c>
      <c r="BB423" s="286">
        <f t="shared" ca="1" si="252"/>
        <v>0</v>
      </c>
      <c r="BC423" s="286">
        <f t="shared" ca="1" si="253"/>
        <v>0</v>
      </c>
      <c r="BD423" s="180">
        <f t="shared" ca="1" si="254"/>
        <v>0.05</v>
      </c>
      <c r="BE423" s="180">
        <f t="shared" ca="1" si="255"/>
        <v>0.05</v>
      </c>
      <c r="BF423" s="286">
        <f t="shared" ca="1" si="256"/>
        <v>0</v>
      </c>
      <c r="BG423" s="286">
        <f t="shared" ca="1" si="257"/>
        <v>0</v>
      </c>
    </row>
    <row r="424" spans="1:59">
      <c r="A424" s="1">
        <f t="shared" ca="1" si="236"/>
        <v>36</v>
      </c>
      <c r="B424" s="1">
        <f t="shared" ca="1" si="230"/>
        <v>141</v>
      </c>
      <c r="C424" s="1">
        <f t="shared" ca="1" si="231"/>
        <v>6</v>
      </c>
      <c r="D424" s="1">
        <f ca="1">MIN($D$3,VLOOKUP(C424,OP!$S$30:$T$41,2))</f>
        <v>2</v>
      </c>
      <c r="E424" s="1">
        <f t="shared" ca="1" si="232"/>
        <v>90</v>
      </c>
      <c r="F424" s="11" t="str">
        <f t="shared" ca="1" si="237"/>
        <v/>
      </c>
      <c r="G424" s="6">
        <f ca="1">DATEDIF(DATE(B424+1911,C424,D424),DATE(B436+1911,C436,D436),"d")</f>
        <v>365</v>
      </c>
      <c r="H424" s="8">
        <f t="shared" ca="1" si="239"/>
        <v>30</v>
      </c>
      <c r="I424" s="8" t="str">
        <f t="shared" ca="1" si="235"/>
        <v>366</v>
      </c>
      <c r="J424" s="13">
        <f>IF(繳費報酬率資料!$A$1=1,VALUE(OP!$C$121),VLOOKUP(A424,MP,2,0))</f>
        <v>0.05</v>
      </c>
      <c r="K424" s="14">
        <f ca="1">IF(SUM($K$4:K423,IF(繳費報酬率資料!$A$1=1,$AU424+$AV424,$BB424+$BC424))&gt;OP!$L$58,0,IF(繳費報酬率資料!$A$1=1,$AU424+$AV424,$BB424+$BC424))</f>
        <v>0</v>
      </c>
      <c r="L424" s="2"/>
      <c r="M424" s="2"/>
      <c r="N424" s="2"/>
      <c r="O424" s="261">
        <f t="shared" ca="1" si="240"/>
        <v>0</v>
      </c>
      <c r="P424" s="261">
        <f t="shared" ca="1" si="258"/>
        <v>0</v>
      </c>
      <c r="Q424" s="3">
        <f ca="1">IF(A424&gt;MAX(OP!$R$17:$R$26),0,VLOOKUP(A424,fees,3,FALSE))</f>
        <v>0</v>
      </c>
      <c r="R424" s="200" t="str">
        <f t="shared" ca="1" si="241"/>
        <v/>
      </c>
      <c r="S424" s="9" t="str">
        <f ca="1">IF(COUNTIF(($T$4:T423),"F")&gt;=1,"",IF(OR(C425&lt;&gt;$C$3,E424=""),"",A424))</f>
        <v/>
      </c>
      <c r="T424" s="20" t="str">
        <f t="shared" ca="1" si="233"/>
        <v/>
      </c>
      <c r="U424" s="2">
        <f ca="1">IF(IF(OP!$C$83=1,$Z423,IF(OP!$C$83=2,$AA423,IF(OP!$C$83=3,$AB423,)))+$K424-$O424-$P424-$AS424&lt;OP!$C$142,0,$AS424)</f>
        <v>0</v>
      </c>
      <c r="V424" s="9"/>
      <c r="W424" s="19">
        <f ca="1">MAX(SUM($K$4:K424),0)</f>
        <v>2000000</v>
      </c>
      <c r="X424" s="19"/>
      <c r="Y424" s="19">
        <f t="shared" ca="1" si="259"/>
        <v>1920000</v>
      </c>
      <c r="Z424" s="2">
        <f ca="1">IF(MIN($Z$4:Z423)=0,0,MAX(0,($Z423+$K424-$O424-$P424)*IF(AND(F424="F",$D$3&lt;&gt;$G$3),((1+(-J424))^(H424/MIN(G424,365))),((1+(-J424))^(1/12)))-$U424))</f>
        <v>317519.97198959265</v>
      </c>
      <c r="AA424" s="2">
        <f ca="1">IF(MIN($AA$4:AA423)=0,0,MAX(0,($AA423+$K424-$O424-$P424)*IF(AND(F424="F",$D$3&lt;&gt;$G$3),((1+$AA$1)^(H424/MIN(G424,365))),((1+$AA$1)^(1/12)))-$U424))</f>
        <v>1920000</v>
      </c>
      <c r="AB424" s="2">
        <f ca="1">IF(MIN($AB$4:AB423)=0,0,MAX(0,($AB423+$K424-$O424-$P424)*IF(AND(F424="F",$D$3&lt;&gt;$G$3),((1+(J424))^(H424/MIN(G424,365))),((1+(J424))^(1/12)))-$U424))</f>
        <v>10633897.530225491</v>
      </c>
      <c r="AC424" s="21"/>
      <c r="AD424" s="21"/>
      <c r="AE424" s="21"/>
      <c r="AF424" s="282">
        <f t="shared" ca="1" si="242"/>
        <v>317520</v>
      </c>
      <c r="AG424" s="282">
        <f t="shared" ca="1" si="243"/>
        <v>1920000</v>
      </c>
      <c r="AH424" s="282">
        <f t="shared" ca="1" si="244"/>
        <v>10633898</v>
      </c>
      <c r="AI424" s="23" t="str">
        <f t="shared" ca="1" si="260"/>
        <v>36-2</v>
      </c>
      <c r="AJ424" s="281">
        <f ca="1">IF(E424&gt;111,,IF(AND(OP!$C$99=1,T424="F"),Z424,IF(AND(OP!$C$99=2,COUNTIF($T$4:T424,"F")=1),OP!$C$97+IF(F424="F",OP!$C$98,0),"")))</f>
        <v>54527</v>
      </c>
      <c r="AK424" s="281">
        <f ca="1">IF(E424&gt;111,,IF(AND(OP!$D$99=1,T424="F"),AA424,IF(AND(OP!$D$99=2,COUNTIF($T$4:T424,"F")=1),OP!$D$97+IF(F424="F",OP!$D$98,0),"")))</f>
        <v>74177</v>
      </c>
      <c r="AL424" s="281">
        <f ca="1">IF(E424&gt;111,,IF(AND(OP!$E$99=1,T424="F"),AB424,IF(AND(OP!$E$99=2,COUNTIF($T$4:T424,"F")=1),OP!$E$97+IF(F424="F",OP!$E$98,0),"")))</f>
        <v>99404</v>
      </c>
      <c r="AM424" s="1">
        <f ca="1">IF(AND(AK424&lt;&gt;"",AM423=""),1,IF(AND(AK424&lt;&gt;"",AM423&gt;0),IF(AM423=12,1,AM423+1),""))</f>
        <v>2</v>
      </c>
      <c r="AN424" s="1" t="e">
        <f ca="1">IF(OR(VLOOKUP($A424,MP,5,0)="年繳",VLOOKUP($A424,MP,5,0)="半年繳",VLOOKUP($A424,MP,5,0)="季繳",VLOOKUP($A424,MP,5,0)="月繳"),1,"")</f>
        <v>#N/A</v>
      </c>
      <c r="AO424" s="1">
        <f t="shared" ca="1" si="245"/>
        <v>0</v>
      </c>
      <c r="AP424" s="1" t="str">
        <f ca="1">IF(AND(A424&lt;=OP!$C$120,COUNTIF(PAY,C424)=1),1,"")</f>
        <v/>
      </c>
      <c r="AR424" s="301">
        <f ca="1">IF(繳費報酬率資料!$A$1=1,$AY424+$AZ424,$BF424+$BG424)</f>
        <v>0</v>
      </c>
      <c r="AS424" s="1">
        <f ca="1">IF(C424&lt;&gt;IF($C$3=1,12,$C$3-1),0,IF(繳費報酬率資料!$A$1&lt;&gt;1,VLOOKUP($A424,MP,8,0),IF(AND($A424&gt;=OP!$C$79,$A424&lt;=OP!$C$80),OP!$C$78,)))</f>
        <v>0</v>
      </c>
      <c r="AT424" s="298">
        <f t="shared" ca="1" si="246"/>
        <v>0</v>
      </c>
      <c r="AU424" s="298">
        <f ca="1">IF(AND(A424&lt;=OP!$C$120,COUNTIF(PAY,C424)=1),OP!$C$123,0)</f>
        <v>0</v>
      </c>
      <c r="AV424" s="298">
        <f ca="1">IF(AND(A424&gt;=OP!$C$132,A424&lt;=OP!$C$133,$C$3=C424),OP!$C$135,0)</f>
        <v>0</v>
      </c>
      <c r="AW424" s="180">
        <f t="shared" ca="1" si="247"/>
        <v>0.05</v>
      </c>
      <c r="AX424" s="180">
        <f t="shared" ca="1" si="248"/>
        <v>0.05</v>
      </c>
      <c r="AY424" s="286">
        <f t="shared" ca="1" si="249"/>
        <v>0</v>
      </c>
      <c r="AZ424" s="286">
        <f t="shared" ca="1" si="250"/>
        <v>0</v>
      </c>
      <c r="BA424" s="286">
        <f t="shared" ca="1" si="251"/>
        <v>0</v>
      </c>
      <c r="BB424" s="286">
        <f t="shared" ca="1" si="252"/>
        <v>0</v>
      </c>
      <c r="BC424" s="286">
        <f t="shared" ca="1" si="253"/>
        <v>0</v>
      </c>
      <c r="BD424" s="180">
        <f t="shared" ca="1" si="254"/>
        <v>0.05</v>
      </c>
      <c r="BE424" s="180">
        <f t="shared" ca="1" si="255"/>
        <v>0.05</v>
      </c>
      <c r="BF424" s="286">
        <f t="shared" ca="1" si="256"/>
        <v>0</v>
      </c>
      <c r="BG424" s="286">
        <f t="shared" ca="1" si="257"/>
        <v>0</v>
      </c>
    </row>
    <row r="425" spans="1:59">
      <c r="A425" s="1">
        <f t="shared" ca="1" si="236"/>
        <v>36</v>
      </c>
      <c r="B425" s="1">
        <f t="shared" ca="1" si="230"/>
        <v>141</v>
      </c>
      <c r="C425" s="1">
        <f t="shared" ca="1" si="231"/>
        <v>7</v>
      </c>
      <c r="D425" s="1">
        <f ca="1">MIN($D$3,VLOOKUP(C425,OP!$S$30:$T$41,2))</f>
        <v>2</v>
      </c>
      <c r="E425" s="1">
        <f t="shared" ca="1" si="232"/>
        <v>90</v>
      </c>
      <c r="F425" s="11" t="str">
        <f t="shared" ca="1" si="237"/>
        <v/>
      </c>
      <c r="G425" s="8">
        <f t="shared" ref="G425:G435" ca="1" si="263">G424</f>
        <v>365</v>
      </c>
      <c r="H425" s="8">
        <f t="shared" ca="1" si="239"/>
        <v>31</v>
      </c>
      <c r="I425" s="8" t="str">
        <f t="shared" ca="1" si="235"/>
        <v>367</v>
      </c>
      <c r="J425" s="13">
        <f>IF(繳費報酬率資料!$A$1=1,VALUE(OP!$C$121),VLOOKUP(A425,MP,2,0))</f>
        <v>0.05</v>
      </c>
      <c r="K425" s="14">
        <f ca="1">IF(SUM($K$4:K424,IF(繳費報酬率資料!$A$1=1,$AU425+$AV425,$BB425+$BC425))&gt;OP!$L$58,0,IF(繳費報酬率資料!$A$1=1,$AU425+$AV425,$BB425+$BC425))</f>
        <v>0</v>
      </c>
      <c r="L425" s="2"/>
      <c r="M425" s="2"/>
      <c r="N425" s="2"/>
      <c r="O425" s="261">
        <f t="shared" ca="1" si="240"/>
        <v>0</v>
      </c>
      <c r="P425" s="261">
        <f t="shared" ca="1" si="258"/>
        <v>0</v>
      </c>
      <c r="Q425" s="3">
        <f ca="1">IF(A425&gt;MAX(OP!$R$17:$R$26),0,VLOOKUP(A425,fees,3,FALSE))</f>
        <v>0</v>
      </c>
      <c r="R425" s="200" t="str">
        <f t="shared" ca="1" si="241"/>
        <v/>
      </c>
      <c r="S425" s="9" t="str">
        <f ca="1">IF(COUNTIF(($T$4:T424),"F")&gt;=1,"",IF(OR(C426&lt;&gt;$C$3,E425=""),"",A425))</f>
        <v/>
      </c>
      <c r="T425" s="20" t="str">
        <f t="shared" ca="1" si="233"/>
        <v/>
      </c>
      <c r="U425" s="2">
        <f ca="1">IF(IF(OP!$C$83=1,$Z424,IF(OP!$C$83=2,$AA424,IF(OP!$C$83=3,$AB424,)))+$K425-$O425-$P425-$AS425&lt;OP!$C$142,0,$AS425)</f>
        <v>0</v>
      </c>
      <c r="V425" s="9"/>
      <c r="W425" s="19">
        <f ca="1">MAX(SUM($K$4:K425),0)</f>
        <v>2000000</v>
      </c>
      <c r="X425" s="19"/>
      <c r="Y425" s="19">
        <f t="shared" ca="1" si="259"/>
        <v>1920000</v>
      </c>
      <c r="Z425" s="2">
        <f ca="1">IF(MIN($Z$4:Z424)=0,0,MAX(0,($Z424+$K425-$O425-$P425)*IF(AND(F425="F",$D$3&lt;&gt;$G$3),((1+(-J425))^(H425/MIN(G425,365))),((1+(-J425))^(1/12)))-$U425))</f>
        <v>316165.64809081494</v>
      </c>
      <c r="AA425" s="2">
        <f ca="1">IF(MIN($AA$4:AA424)=0,0,MAX(0,($AA424+$K425-$O425-$P425)*IF(AND(F425="F",$D$3&lt;&gt;$G$3),((1+$AA$1)^(H425/MIN(G425,365))),((1+$AA$1)^(1/12)))-$U425))</f>
        <v>1920000</v>
      </c>
      <c r="AB425" s="2">
        <f ca="1">IF(MIN($AB$4:AB424)=0,0,MAX(0,($AB424+$K425-$O425-$P425)*IF(AND(F425="F",$D$3&lt;&gt;$G$3),((1+(J425))^(H425/MIN(G425,365))),((1+(J425))^(1/12)))-$U425))</f>
        <v>10677221.345066262</v>
      </c>
      <c r="AC425" s="5"/>
      <c r="AD425" s="5"/>
      <c r="AE425" s="5"/>
      <c r="AF425" s="282">
        <f t="shared" ca="1" si="242"/>
        <v>316166</v>
      </c>
      <c r="AG425" s="282">
        <f t="shared" ca="1" si="243"/>
        <v>1920000</v>
      </c>
      <c r="AH425" s="282">
        <f t="shared" ca="1" si="244"/>
        <v>10677221</v>
      </c>
      <c r="AI425" s="23" t="str">
        <f t="shared" ca="1" si="260"/>
        <v>36-3</v>
      </c>
      <c r="AJ425" s="282">
        <f ca="1">IF(E425&gt;111,,IF(AND(OP!$C$99=1,T425="F"),Z425,IF(AND(OP!$C$99=2,COUNTIF($T$4:T425,"F")=1),OP!$C$97+IF(F425="F",OP!$C$98,0),"")))</f>
        <v>54527</v>
      </c>
      <c r="AK425" s="282">
        <f ca="1">IF(E425&gt;111,,IF(AND(OP!$D$99=1,T425="F"),AA425,IF(AND(OP!$D$99=2,COUNTIF($T$4:T425,"F")=1),OP!$D$97+IF(F425="F",OP!$D$98,0),"")))</f>
        <v>74177</v>
      </c>
      <c r="AL425" s="282">
        <f ca="1">IF(E425&gt;111,,IF(AND(OP!$E$99=1,T425="F"),AB425,IF(AND(OP!$E$99=2,COUNTIF($T$4:T425,"F")=1),OP!$E$97+IF(F425="F",OP!$E$98,0),"")))</f>
        <v>99404</v>
      </c>
      <c r="AM425" s="1">
        <f t="shared" ca="1" si="234"/>
        <v>3</v>
      </c>
      <c r="AN425" s="1" t="e">
        <f ca="1">IF(OR(VLOOKUP($A425,MP,5,0)="月繳"),1,"")</f>
        <v>#N/A</v>
      </c>
      <c r="AO425" s="1">
        <f t="shared" ca="1" si="245"/>
        <v>0</v>
      </c>
      <c r="AP425" s="1" t="str">
        <f ca="1">IF(AND(A425&lt;=OP!$C$120,COUNTIF(PAY,C425)=1),1,"")</f>
        <v/>
      </c>
      <c r="AR425" s="301">
        <f ca="1">IF(繳費報酬率資料!$A$1=1,$AY425+$AZ425,$BF425+$BG425)</f>
        <v>0</v>
      </c>
      <c r="AS425" s="1">
        <f ca="1">IF(C425&lt;&gt;IF($C$3=1,12,$C$3-1),0,IF(繳費報酬率資料!$A$1&lt;&gt;1,VLOOKUP($A425,MP,8,0),IF(AND($A425&gt;=OP!$C$79,$A425&lt;=OP!$C$80),OP!$C$78,)))</f>
        <v>0</v>
      </c>
      <c r="AT425" s="298">
        <f t="shared" ca="1" si="246"/>
        <v>0</v>
      </c>
      <c r="AU425" s="298">
        <f ca="1">IF(AND(A425&lt;=OP!$C$120,COUNTIF(PAY,C425)=1),OP!$C$123,0)</f>
        <v>0</v>
      </c>
      <c r="AV425" s="298">
        <f ca="1">IF(AND(A425&gt;=OP!$C$132,A425&lt;=OP!$C$133,$C$3=C425),OP!$C$135,0)</f>
        <v>0</v>
      </c>
      <c r="AW425" s="180">
        <f t="shared" ca="1" si="247"/>
        <v>0.05</v>
      </c>
      <c r="AX425" s="180">
        <f t="shared" ca="1" si="248"/>
        <v>0.05</v>
      </c>
      <c r="AY425" s="286">
        <f t="shared" ca="1" si="249"/>
        <v>0</v>
      </c>
      <c r="AZ425" s="286">
        <f t="shared" ca="1" si="250"/>
        <v>0</v>
      </c>
      <c r="BA425" s="286">
        <f t="shared" ca="1" si="251"/>
        <v>0</v>
      </c>
      <c r="BB425" s="286">
        <f t="shared" ca="1" si="252"/>
        <v>0</v>
      </c>
      <c r="BC425" s="286">
        <f t="shared" ca="1" si="253"/>
        <v>0</v>
      </c>
      <c r="BD425" s="180">
        <f t="shared" ca="1" si="254"/>
        <v>0.05</v>
      </c>
      <c r="BE425" s="180">
        <f t="shared" ca="1" si="255"/>
        <v>0.05</v>
      </c>
      <c r="BF425" s="286">
        <f t="shared" ca="1" si="256"/>
        <v>0</v>
      </c>
      <c r="BG425" s="286">
        <f t="shared" ca="1" si="257"/>
        <v>0</v>
      </c>
    </row>
    <row r="426" spans="1:59">
      <c r="A426" s="1">
        <f t="shared" ca="1" si="236"/>
        <v>36</v>
      </c>
      <c r="B426" s="1">
        <f t="shared" ca="1" si="230"/>
        <v>141</v>
      </c>
      <c r="C426" s="1">
        <f t="shared" ca="1" si="231"/>
        <v>8</v>
      </c>
      <c r="D426" s="1">
        <f ca="1">MIN($D$3,VLOOKUP(C426,OP!$S$30:$T$41,2))</f>
        <v>2</v>
      </c>
      <c r="E426" s="1">
        <f t="shared" ca="1" si="232"/>
        <v>90</v>
      </c>
      <c r="F426" s="11" t="str">
        <f t="shared" ca="1" si="237"/>
        <v/>
      </c>
      <c r="G426" s="8">
        <f t="shared" ca="1" si="263"/>
        <v>365</v>
      </c>
      <c r="H426" s="8">
        <f t="shared" ca="1" si="239"/>
        <v>31</v>
      </c>
      <c r="I426" s="8" t="str">
        <f t="shared" ca="1" si="235"/>
        <v>368</v>
      </c>
      <c r="J426" s="13">
        <f>IF(繳費報酬率資料!$A$1=1,VALUE(OP!$C$121),VLOOKUP(A426,MP,2,0))</f>
        <v>0.05</v>
      </c>
      <c r="K426" s="14">
        <f ca="1">IF(SUM($K$4:K425,IF(繳費報酬率資料!$A$1=1,$AU426+$AV426,$BB426+$BC426))&gt;OP!$L$58,0,IF(繳費報酬率資料!$A$1=1,$AU426+$AV426,$BB426+$BC426))</f>
        <v>0</v>
      </c>
      <c r="L426" s="2"/>
      <c r="M426" s="2"/>
      <c r="N426" s="2"/>
      <c r="O426" s="261">
        <f t="shared" ca="1" si="240"/>
        <v>0</v>
      </c>
      <c r="P426" s="261">
        <f t="shared" ca="1" si="258"/>
        <v>0</v>
      </c>
      <c r="Q426" s="3">
        <f ca="1">IF(A426&gt;MAX(OP!$R$17:$R$26),0,VLOOKUP(A426,fees,3,FALSE))</f>
        <v>0</v>
      </c>
      <c r="R426" s="200" t="str">
        <f t="shared" ca="1" si="241"/>
        <v/>
      </c>
      <c r="S426" s="9" t="str">
        <f ca="1">IF(COUNTIF(($T$4:T425),"F")&gt;=1,"",IF(OR(C427&lt;&gt;$C$3,E426=""),"",A426))</f>
        <v/>
      </c>
      <c r="T426" s="20" t="str">
        <f t="shared" ca="1" si="233"/>
        <v/>
      </c>
      <c r="U426" s="2">
        <f ca="1">IF(IF(OP!$C$83=1,$Z425,IF(OP!$C$83=2,$AA425,IF(OP!$C$83=3,$AB425,)))+$K426-$O426-$P426-$AS426&lt;OP!$C$142,0,$AS426)</f>
        <v>0</v>
      </c>
      <c r="V426" s="9"/>
      <c r="W426" s="19">
        <f ca="1">MAX(SUM($K$4:K426),0)</f>
        <v>2000000</v>
      </c>
      <c r="X426" s="19"/>
      <c r="Y426" s="19">
        <f t="shared" ca="1" si="259"/>
        <v>1920000</v>
      </c>
      <c r="Z426" s="2">
        <f ca="1">IF(MIN($Z$4:Z425)=0,0,MAX(0,($Z425+$K426-$O426-$P426)*IF(AND(F426="F",$D$3&lt;&gt;$G$3),((1+(-J426))^(H426/MIN(G426,365))),((1+(-J426))^(1/12)))-$U426))</f>
        <v>314817.10081519355</v>
      </c>
      <c r="AA426" s="2">
        <f ca="1">IF(MIN($AA$4:AA425)=0,0,MAX(0,($AA425+$K426-$O426-$P426)*IF(AND(F426="F",$D$3&lt;&gt;$G$3),((1+$AA$1)^(H426/MIN(G426,365))),((1+$AA$1)^(1/12)))-$U426))</f>
        <v>1920000</v>
      </c>
      <c r="AB426" s="2">
        <f ca="1">IF(MIN($AB$4:AB425)=0,0,MAX(0,($AB425+$K426-$O426-$P426)*IF(AND(F426="F",$D$3&lt;&gt;$G$3),((1+(J426))^(H426/MIN(G426,365))),((1+(J426))^(1/12)))-$U426))</f>
        <v>10720721.666491475</v>
      </c>
      <c r="AC426" s="5"/>
      <c r="AD426" s="5"/>
      <c r="AE426" s="5"/>
      <c r="AF426" s="282">
        <f t="shared" ca="1" si="242"/>
        <v>314817</v>
      </c>
      <c r="AG426" s="282">
        <f t="shared" ca="1" si="243"/>
        <v>1920000</v>
      </c>
      <c r="AH426" s="282">
        <f t="shared" ca="1" si="244"/>
        <v>10720722</v>
      </c>
      <c r="AI426" s="23" t="str">
        <f t="shared" ca="1" si="260"/>
        <v>36-4</v>
      </c>
      <c r="AJ426" s="282">
        <f ca="1">IF(E426&gt;111,,IF(AND(OP!$C$99=1,T426="F"),Z426,IF(AND(OP!$C$99=2,COUNTIF($T$4:T426,"F")=1),OP!$C$97+IF(F426="F",OP!$C$98,0),"")))</f>
        <v>54527</v>
      </c>
      <c r="AK426" s="282">
        <f ca="1">IF(E426&gt;111,,IF(AND(OP!$D$99=1,T426="F"),AA426,IF(AND(OP!$D$99=2,COUNTIF($T$4:T426,"F")=1),OP!$D$97+IF(F426="F",OP!$D$98,0),"")))</f>
        <v>74177</v>
      </c>
      <c r="AL426" s="282">
        <f ca="1">IF(E426&gt;111,,IF(AND(OP!$E$99=1,T426="F"),AB426,IF(AND(OP!$E$99=2,COUNTIF($T$4:T426,"F")=1),OP!$E$97+IF(F426="F",OP!$E$98,0),"")))</f>
        <v>99404</v>
      </c>
      <c r="AM426" s="1">
        <f t="shared" ca="1" si="234"/>
        <v>4</v>
      </c>
      <c r="AN426" s="1" t="e">
        <f ca="1">IF(OR(VLOOKUP($A426,MP,5,0)="月繳"),1,"")</f>
        <v>#N/A</v>
      </c>
      <c r="AO426" s="1">
        <f t="shared" ca="1" si="245"/>
        <v>0</v>
      </c>
      <c r="AP426" s="1" t="str">
        <f ca="1">IF(AND(A426&lt;=OP!$C$120,COUNTIF(PAY,C426)=1),1,"")</f>
        <v/>
      </c>
      <c r="AR426" s="301">
        <f ca="1">IF(繳費報酬率資料!$A$1=1,$AY426+$AZ426,$BF426+$BG426)</f>
        <v>0</v>
      </c>
      <c r="AS426" s="1">
        <f ca="1">IF(C426&lt;&gt;IF($C$3=1,12,$C$3-1),0,IF(繳費報酬率資料!$A$1&lt;&gt;1,VLOOKUP($A426,MP,8,0),IF(AND($A426&gt;=OP!$C$79,$A426&lt;=OP!$C$80),OP!$C$78,)))</f>
        <v>0</v>
      </c>
      <c r="AT426" s="298">
        <f t="shared" ca="1" si="246"/>
        <v>0</v>
      </c>
      <c r="AU426" s="298">
        <f ca="1">IF(AND(A426&lt;=OP!$C$120,COUNTIF(PAY,C426)=1),OP!$C$123,0)</f>
        <v>0</v>
      </c>
      <c r="AV426" s="298">
        <f ca="1">IF(AND(A426&gt;=OP!$C$132,A426&lt;=OP!$C$133,$C$3=C426),OP!$C$135,0)</f>
        <v>0</v>
      </c>
      <c r="AW426" s="180">
        <f t="shared" ca="1" si="247"/>
        <v>0.05</v>
      </c>
      <c r="AX426" s="180">
        <f t="shared" ca="1" si="248"/>
        <v>0.05</v>
      </c>
      <c r="AY426" s="286">
        <f t="shared" ca="1" si="249"/>
        <v>0</v>
      </c>
      <c r="AZ426" s="286">
        <f t="shared" ca="1" si="250"/>
        <v>0</v>
      </c>
      <c r="BA426" s="286">
        <f t="shared" ca="1" si="251"/>
        <v>0</v>
      </c>
      <c r="BB426" s="286">
        <f t="shared" ca="1" si="252"/>
        <v>0</v>
      </c>
      <c r="BC426" s="286">
        <f t="shared" ca="1" si="253"/>
        <v>0</v>
      </c>
      <c r="BD426" s="180">
        <f t="shared" ca="1" si="254"/>
        <v>0.05</v>
      </c>
      <c r="BE426" s="180">
        <f t="shared" ca="1" si="255"/>
        <v>0.05</v>
      </c>
      <c r="BF426" s="286">
        <f t="shared" ca="1" si="256"/>
        <v>0</v>
      </c>
      <c r="BG426" s="286">
        <f t="shared" ca="1" si="257"/>
        <v>0</v>
      </c>
    </row>
    <row r="427" spans="1:59">
      <c r="A427" s="1">
        <f t="shared" ca="1" si="236"/>
        <v>36</v>
      </c>
      <c r="B427" s="1">
        <f t="shared" ca="1" si="230"/>
        <v>141</v>
      </c>
      <c r="C427" s="1">
        <f t="shared" ca="1" si="231"/>
        <v>9</v>
      </c>
      <c r="D427" s="1">
        <f ca="1">MIN($D$3,VLOOKUP(C427,OP!$S$30:$T$41,2))</f>
        <v>2</v>
      </c>
      <c r="E427" s="1">
        <f t="shared" ca="1" si="232"/>
        <v>90</v>
      </c>
      <c r="F427" s="11" t="str">
        <f t="shared" ca="1" si="237"/>
        <v/>
      </c>
      <c r="G427" s="8">
        <f t="shared" ca="1" si="263"/>
        <v>365</v>
      </c>
      <c r="H427" s="8">
        <f t="shared" ca="1" si="239"/>
        <v>30</v>
      </c>
      <c r="I427" s="8" t="str">
        <f t="shared" ca="1" si="235"/>
        <v>369</v>
      </c>
      <c r="J427" s="13">
        <f>IF(繳費報酬率資料!$A$1=1,VALUE(OP!$C$121),VLOOKUP(A427,MP,2,0))</f>
        <v>0.05</v>
      </c>
      <c r="K427" s="14">
        <f ca="1">IF(SUM($K$4:K426,IF(繳費報酬率資料!$A$1=1,$AU427+$AV427,$BB427+$BC427))&gt;OP!$L$58,0,IF(繳費報酬率資料!$A$1=1,$AU427+$AV427,$BB427+$BC427))</f>
        <v>0</v>
      </c>
      <c r="L427" s="2"/>
      <c r="M427" s="2"/>
      <c r="N427" s="2"/>
      <c r="O427" s="261">
        <f t="shared" ca="1" si="240"/>
        <v>0</v>
      </c>
      <c r="P427" s="261">
        <f t="shared" ca="1" si="258"/>
        <v>0</v>
      </c>
      <c r="Q427" s="3">
        <f ca="1">IF(A427&gt;MAX(OP!$R$17:$R$26),0,VLOOKUP(A427,fees,3,FALSE))</f>
        <v>0</v>
      </c>
      <c r="R427" s="200" t="str">
        <f t="shared" ca="1" si="241"/>
        <v/>
      </c>
      <c r="S427" s="9" t="str">
        <f ca="1">IF(COUNTIF(($T$4:T426),"F")&gt;=1,"",IF(OR(C428&lt;&gt;$C$3,E427=""),"",A427))</f>
        <v/>
      </c>
      <c r="T427" s="20" t="str">
        <f t="shared" ca="1" si="233"/>
        <v/>
      </c>
      <c r="U427" s="2">
        <f ca="1">IF(IF(OP!$C$83=1,$Z426,IF(OP!$C$83=2,$AA426,IF(OP!$C$83=3,$AB426,)))+$K427-$O427-$P427-$AS427&lt;OP!$C$142,0,$AS427)</f>
        <v>0</v>
      </c>
      <c r="V427" s="9"/>
      <c r="W427" s="19">
        <f ca="1">MAX(SUM($K$4:K427),0)</f>
        <v>2000000</v>
      </c>
      <c r="X427" s="19"/>
      <c r="Y427" s="19">
        <f t="shared" ca="1" si="259"/>
        <v>1920000</v>
      </c>
      <c r="Z427" s="2">
        <f ca="1">IF(MIN($Z$4:Z426)=0,0,MAX(0,($Z426+$K427-$O427-$P427)*IF(AND(F427="F",$D$3&lt;&gt;$G$3),((1+(-J427))^(H427/MIN(G427,365))),((1+(-J427))^(1/12)))-$U427))</f>
        <v>313474.30552358931</v>
      </c>
      <c r="AA427" s="2">
        <f ca="1">IF(MIN($AA$4:AA426)=0,0,MAX(0,($AA426+$K427-$O427-$P427)*IF(AND(F427="F",$D$3&lt;&gt;$G$3),((1+$AA$1)^(H427/MIN(G427,365))),((1+$AA$1)^(1/12)))-$U427))</f>
        <v>1920000</v>
      </c>
      <c r="AB427" s="2">
        <f ca="1">IF(MIN($AB$4:AB426)=0,0,MAX(0,($AB426+$K427-$O427-$P427)*IF(AND(F427="F",$D$3&lt;&gt;$G$3),((1+(J427))^(H427/MIN(G427,365))),((1+(J427))^(1/12)))-$U427))</f>
        <v>10764399.213610802</v>
      </c>
      <c r="AC427" s="5"/>
      <c r="AD427" s="5"/>
      <c r="AE427" s="5"/>
      <c r="AF427" s="282">
        <f t="shared" ca="1" si="242"/>
        <v>313474</v>
      </c>
      <c r="AG427" s="282">
        <f t="shared" ca="1" si="243"/>
        <v>1920000</v>
      </c>
      <c r="AH427" s="282">
        <f t="shared" ca="1" si="244"/>
        <v>10764399</v>
      </c>
      <c r="AI427" s="23" t="str">
        <f t="shared" ca="1" si="260"/>
        <v>36-5</v>
      </c>
      <c r="AJ427" s="282">
        <f ca="1">IF(E427&gt;111,,IF(AND(OP!$C$99=1,T427="F"),Z427,IF(AND(OP!$C$99=2,COUNTIF($T$4:T427,"F")=1),OP!$C$97+IF(F427="F",OP!$C$98,0),"")))</f>
        <v>54527</v>
      </c>
      <c r="AK427" s="282">
        <f ca="1">IF(E427&gt;111,,IF(AND(OP!$D$99=1,T427="F"),AA427,IF(AND(OP!$D$99=2,COUNTIF($T$4:T427,"F")=1),OP!$D$97+IF(F427="F",OP!$D$98,0),"")))</f>
        <v>74177</v>
      </c>
      <c r="AL427" s="282">
        <f ca="1">IF(E427&gt;111,,IF(AND(OP!$E$99=1,T427="F"),AB427,IF(AND(OP!$E$99=2,COUNTIF($T$4:T427,"F")=1),OP!$E$97+IF(F427="F",OP!$E$98,0),"")))</f>
        <v>99404</v>
      </c>
      <c r="AM427" s="1">
        <f t="shared" ca="1" si="234"/>
        <v>5</v>
      </c>
      <c r="AN427" s="1" t="e">
        <f ca="1">IF(OR(VLOOKUP($A427,MP,5,0)="季繳",VLOOKUP($A427,MP,5,0)="月繳"),1,"")</f>
        <v>#N/A</v>
      </c>
      <c r="AO427" s="1">
        <f t="shared" ca="1" si="245"/>
        <v>0</v>
      </c>
      <c r="AP427" s="1" t="str">
        <f ca="1">IF(AND(A427&lt;=OP!$C$120,COUNTIF(PAY,C427)=1),1,"")</f>
        <v/>
      </c>
      <c r="AR427" s="301">
        <f ca="1">IF(繳費報酬率資料!$A$1=1,$AY427+$AZ427,$BF427+$BG427)</f>
        <v>0</v>
      </c>
      <c r="AS427" s="1">
        <f ca="1">IF(C427&lt;&gt;IF($C$3=1,12,$C$3-1),0,IF(繳費報酬率資料!$A$1&lt;&gt;1,VLOOKUP($A427,MP,8,0),IF(AND($A427&gt;=OP!$C$79,$A427&lt;=OP!$C$80),OP!$C$78,)))</f>
        <v>0</v>
      </c>
      <c r="AT427" s="298">
        <f t="shared" ca="1" si="246"/>
        <v>0</v>
      </c>
      <c r="AU427" s="298">
        <f ca="1">IF(AND(A427&lt;=OP!$C$120,COUNTIF(PAY,C427)=1),OP!$C$123,0)</f>
        <v>0</v>
      </c>
      <c r="AV427" s="298">
        <f ca="1">IF(AND(A427&gt;=OP!$C$132,A427&lt;=OP!$C$133,$C$3=C427),OP!$C$135,0)</f>
        <v>0</v>
      </c>
      <c r="AW427" s="180">
        <f t="shared" ca="1" si="247"/>
        <v>0.05</v>
      </c>
      <c r="AX427" s="180">
        <f t="shared" ca="1" si="248"/>
        <v>0.05</v>
      </c>
      <c r="AY427" s="286">
        <f t="shared" ca="1" si="249"/>
        <v>0</v>
      </c>
      <c r="AZ427" s="286">
        <f t="shared" ca="1" si="250"/>
        <v>0</v>
      </c>
      <c r="BA427" s="286">
        <f t="shared" ca="1" si="251"/>
        <v>0</v>
      </c>
      <c r="BB427" s="286">
        <f t="shared" ca="1" si="252"/>
        <v>0</v>
      </c>
      <c r="BC427" s="286">
        <f t="shared" ca="1" si="253"/>
        <v>0</v>
      </c>
      <c r="BD427" s="180">
        <f t="shared" ca="1" si="254"/>
        <v>0.05</v>
      </c>
      <c r="BE427" s="180">
        <f t="shared" ca="1" si="255"/>
        <v>0.05</v>
      </c>
      <c r="BF427" s="286">
        <f t="shared" ca="1" si="256"/>
        <v>0</v>
      </c>
      <c r="BG427" s="286">
        <f t="shared" ca="1" si="257"/>
        <v>0</v>
      </c>
    </row>
    <row r="428" spans="1:59">
      <c r="A428" s="1">
        <f t="shared" ca="1" si="236"/>
        <v>36</v>
      </c>
      <c r="B428" s="1">
        <f t="shared" ca="1" si="230"/>
        <v>141</v>
      </c>
      <c r="C428" s="1">
        <f t="shared" ca="1" si="231"/>
        <v>10</v>
      </c>
      <c r="D428" s="1">
        <f ca="1">MIN($D$3,VLOOKUP(C428,OP!$S$30:$T$41,2))</f>
        <v>2</v>
      </c>
      <c r="E428" s="1">
        <f t="shared" ca="1" si="232"/>
        <v>90</v>
      </c>
      <c r="F428" s="11" t="str">
        <f t="shared" ca="1" si="237"/>
        <v/>
      </c>
      <c r="G428" s="8">
        <f t="shared" ca="1" si="263"/>
        <v>365</v>
      </c>
      <c r="H428" s="8">
        <f t="shared" ca="1" si="239"/>
        <v>31</v>
      </c>
      <c r="I428" s="8" t="str">
        <f t="shared" ca="1" si="235"/>
        <v>3610</v>
      </c>
      <c r="J428" s="13">
        <f>IF(繳費報酬率資料!$A$1=1,VALUE(OP!$C$121),VLOOKUP(A428,MP,2,0))</f>
        <v>0.05</v>
      </c>
      <c r="K428" s="14">
        <f ca="1">IF(SUM($K$4:K427,IF(繳費報酬率資料!$A$1=1,$AU428+$AV428,$BB428+$BC428))&gt;OP!$L$58,0,IF(繳費報酬率資料!$A$1=1,$AU428+$AV428,$BB428+$BC428))</f>
        <v>0</v>
      </c>
      <c r="L428" s="2"/>
      <c r="M428" s="2"/>
      <c r="N428" s="2"/>
      <c r="O428" s="261">
        <f t="shared" ca="1" si="240"/>
        <v>0</v>
      </c>
      <c r="P428" s="261">
        <f t="shared" ca="1" si="258"/>
        <v>0</v>
      </c>
      <c r="Q428" s="3">
        <f ca="1">IF(A428&gt;MAX(OP!$R$17:$R$26),0,VLOOKUP(A428,fees,3,FALSE))</f>
        <v>0</v>
      </c>
      <c r="R428" s="200" t="str">
        <f t="shared" ca="1" si="241"/>
        <v/>
      </c>
      <c r="S428" s="9" t="str">
        <f ca="1">IF(COUNTIF(($T$4:T427),"F")&gt;=1,"",IF(OR(C429&lt;&gt;$C$3,E428=""),"",A428))</f>
        <v/>
      </c>
      <c r="T428" s="20" t="str">
        <f t="shared" ca="1" si="233"/>
        <v/>
      </c>
      <c r="U428" s="2">
        <f ca="1">IF(IF(OP!$C$83=1,$Z427,IF(OP!$C$83=2,$AA427,IF(OP!$C$83=3,$AB427,)))+$K428-$O428-$P428-$AS428&lt;OP!$C$142,0,$AS428)</f>
        <v>0</v>
      </c>
      <c r="V428" s="9"/>
      <c r="W428" s="19">
        <f ca="1">MAX(SUM($K$4:K428),0)</f>
        <v>2000000</v>
      </c>
      <c r="X428" s="19"/>
      <c r="Y428" s="19">
        <f t="shared" ca="1" si="259"/>
        <v>1920000</v>
      </c>
      <c r="Z428" s="2">
        <f ca="1">IF(MIN($Z$4:Z427)=0,0,MAX(0,($Z427+$K428-$O428-$P428)*IF(AND(F428="F",$D$3&lt;&gt;$G$3),((1+(-J428))^(H428/MIN(G428,365))),((1+(-J428))^(1/12)))-$U428))</f>
        <v>312137.23768195679</v>
      </c>
      <c r="AA428" s="2">
        <f ca="1">IF(MIN($AA$4:AA427)=0,0,MAX(0,($AA427+$K428-$O428-$P428)*IF(AND(F428="F",$D$3&lt;&gt;$G$3),((1+$AA$1)^(H428/MIN(G428,365))),((1+$AA$1)^(1/12)))-$U428))</f>
        <v>1920000</v>
      </c>
      <c r="AB428" s="2">
        <f ca="1">IF(MIN($AB$4:AB427)=0,0,MAX(0,($AB427+$K428-$O428-$P428)*IF(AND(F428="F",$D$3&lt;&gt;$G$3),((1+(J428))^(H428/MIN(G428,365))),((1+(J428))^(1/12)))-$U428))</f>
        <v>10808254.70846366</v>
      </c>
      <c r="AC428" s="5"/>
      <c r="AD428" s="5"/>
      <c r="AE428" s="5"/>
      <c r="AF428" s="282">
        <f t="shared" ca="1" si="242"/>
        <v>312137</v>
      </c>
      <c r="AG428" s="282">
        <f t="shared" ca="1" si="243"/>
        <v>1920000</v>
      </c>
      <c r="AH428" s="282">
        <f t="shared" ca="1" si="244"/>
        <v>10808255</v>
      </c>
      <c r="AI428" s="23" t="str">
        <f t="shared" ca="1" si="260"/>
        <v>36-6</v>
      </c>
      <c r="AJ428" s="282">
        <f ca="1">IF(E428&gt;111,,IF(AND(OP!$C$99=1,T428="F"),Z428,IF(AND(OP!$C$99=2,COUNTIF($T$4:T428,"F")=1),OP!$C$97+IF(F428="F",OP!$C$98,0),"")))</f>
        <v>54527</v>
      </c>
      <c r="AK428" s="282">
        <f ca="1">IF(E428&gt;111,,IF(AND(OP!$D$99=1,T428="F"),AA428,IF(AND(OP!$D$99=2,COUNTIF($T$4:T428,"F")=1),OP!$D$97+IF(F428="F",OP!$D$98,0),"")))</f>
        <v>74177</v>
      </c>
      <c r="AL428" s="282">
        <f ca="1">IF(E428&gt;111,,IF(AND(OP!$E$99=1,T428="F"),AB428,IF(AND(OP!$E$99=2,COUNTIF($T$4:T428,"F")=1),OP!$E$97+IF(F428="F",OP!$E$98,0),"")))</f>
        <v>99404</v>
      </c>
      <c r="AM428" s="1">
        <f t="shared" ca="1" si="234"/>
        <v>6</v>
      </c>
      <c r="AN428" s="1" t="e">
        <f ca="1">IF(OR(VLOOKUP($A428,MP,5,0)="月繳"),1,"")</f>
        <v>#N/A</v>
      </c>
      <c r="AO428" s="1">
        <f t="shared" ca="1" si="245"/>
        <v>0</v>
      </c>
      <c r="AP428" s="1" t="str">
        <f ca="1">IF(AND(A428&lt;=OP!$C$120,COUNTIF(PAY,C428)=1),1,"")</f>
        <v/>
      </c>
      <c r="AR428" s="301">
        <f ca="1">IF(繳費報酬率資料!$A$1=1,$AY428+$AZ428,$BF428+$BG428)</f>
        <v>0</v>
      </c>
      <c r="AS428" s="1">
        <f ca="1">IF(C428&lt;&gt;IF($C$3=1,12,$C$3-1),0,IF(繳費報酬率資料!$A$1&lt;&gt;1,VLOOKUP($A428,MP,8,0),IF(AND($A428&gt;=OP!$C$79,$A428&lt;=OP!$C$80),OP!$C$78,)))</f>
        <v>0</v>
      </c>
      <c r="AT428" s="298">
        <f t="shared" ca="1" si="246"/>
        <v>0</v>
      </c>
      <c r="AU428" s="298">
        <f ca="1">IF(AND(A428&lt;=OP!$C$120,COUNTIF(PAY,C428)=1),OP!$C$123,0)</f>
        <v>0</v>
      </c>
      <c r="AV428" s="298">
        <f ca="1">IF(AND(A428&gt;=OP!$C$132,A428&lt;=OP!$C$133,$C$3=C428),OP!$C$135,0)</f>
        <v>0</v>
      </c>
      <c r="AW428" s="180">
        <f t="shared" ca="1" si="247"/>
        <v>0.05</v>
      </c>
      <c r="AX428" s="180">
        <f t="shared" ca="1" si="248"/>
        <v>0.05</v>
      </c>
      <c r="AY428" s="286">
        <f t="shared" ca="1" si="249"/>
        <v>0</v>
      </c>
      <c r="AZ428" s="286">
        <f t="shared" ca="1" si="250"/>
        <v>0</v>
      </c>
      <c r="BA428" s="286">
        <f t="shared" ca="1" si="251"/>
        <v>0</v>
      </c>
      <c r="BB428" s="286">
        <f t="shared" ca="1" si="252"/>
        <v>0</v>
      </c>
      <c r="BC428" s="286">
        <f t="shared" ca="1" si="253"/>
        <v>0</v>
      </c>
      <c r="BD428" s="180">
        <f t="shared" ca="1" si="254"/>
        <v>0.05</v>
      </c>
      <c r="BE428" s="180">
        <f t="shared" ca="1" si="255"/>
        <v>0.05</v>
      </c>
      <c r="BF428" s="286">
        <f t="shared" ca="1" si="256"/>
        <v>0</v>
      </c>
      <c r="BG428" s="286">
        <f t="shared" ca="1" si="257"/>
        <v>0</v>
      </c>
    </row>
    <row r="429" spans="1:59">
      <c r="A429" s="1">
        <f t="shared" ca="1" si="236"/>
        <v>36</v>
      </c>
      <c r="B429" s="1">
        <f t="shared" ca="1" si="230"/>
        <v>141</v>
      </c>
      <c r="C429" s="1">
        <f t="shared" ca="1" si="231"/>
        <v>11</v>
      </c>
      <c r="D429" s="1">
        <f ca="1">MIN($D$3,VLOOKUP(C429,OP!$S$30:$T$41,2))</f>
        <v>2</v>
      </c>
      <c r="E429" s="1">
        <f t="shared" ca="1" si="232"/>
        <v>90</v>
      </c>
      <c r="F429" s="11" t="str">
        <f t="shared" ca="1" si="237"/>
        <v/>
      </c>
      <c r="G429" s="8">
        <f t="shared" ca="1" si="263"/>
        <v>365</v>
      </c>
      <c r="H429" s="8">
        <f t="shared" ca="1" si="239"/>
        <v>30</v>
      </c>
      <c r="I429" s="8" t="str">
        <f t="shared" ca="1" si="235"/>
        <v>3611</v>
      </c>
      <c r="J429" s="13">
        <f>IF(繳費報酬率資料!$A$1=1,VALUE(OP!$C$121),VLOOKUP(A429,MP,2,0))</f>
        <v>0.05</v>
      </c>
      <c r="K429" s="14">
        <f ca="1">IF(SUM($K$4:K428,IF(繳費報酬率資料!$A$1=1,$AU429+$AV429,$BB429+$BC429))&gt;OP!$L$58,0,IF(繳費報酬率資料!$A$1=1,$AU429+$AV429,$BB429+$BC429))</f>
        <v>0</v>
      </c>
      <c r="L429" s="2"/>
      <c r="M429" s="2"/>
      <c r="N429" s="2"/>
      <c r="O429" s="261">
        <f t="shared" ca="1" si="240"/>
        <v>0</v>
      </c>
      <c r="P429" s="261">
        <f t="shared" ca="1" si="258"/>
        <v>0</v>
      </c>
      <c r="Q429" s="3">
        <f ca="1">IF(A429&gt;MAX(OP!$R$17:$R$26),0,VLOOKUP(A429,fees,3,FALSE))</f>
        <v>0</v>
      </c>
      <c r="R429" s="200" t="str">
        <f t="shared" ca="1" si="241"/>
        <v/>
      </c>
      <c r="S429" s="9" t="str">
        <f ca="1">IF(COUNTIF(($T$4:T428),"F")&gt;=1,"",IF(OR(C430&lt;&gt;$C$3,E429=""),"",A429))</f>
        <v/>
      </c>
      <c r="T429" s="20" t="str">
        <f t="shared" ca="1" si="233"/>
        <v/>
      </c>
      <c r="U429" s="2">
        <f ca="1">IF(IF(OP!$C$83=1,$Z428,IF(OP!$C$83=2,$AA428,IF(OP!$C$83=3,$AB428,)))+$K429-$O429-$P429-$AS429&lt;OP!$C$142,0,$AS429)</f>
        <v>0</v>
      </c>
      <c r="V429" s="9"/>
      <c r="W429" s="19">
        <f ca="1">MAX(SUM($K$4:K429),0)</f>
        <v>2000000</v>
      </c>
      <c r="X429" s="19"/>
      <c r="Y429" s="19">
        <f t="shared" ca="1" si="259"/>
        <v>1920000</v>
      </c>
      <c r="Z429" s="2">
        <f ca="1">IF(MIN($Z$4:Z428)=0,0,MAX(0,($Z428+$K429-$O429-$P429)*IF(AND(F429="F",$D$3&lt;&gt;$G$3),((1+(-J429))^(H429/MIN(G429,365))),((1+(-J429))^(1/12)))-$U429))</f>
        <v>310805.87286089605</v>
      </c>
      <c r="AA429" s="2">
        <f ca="1">IF(MIN($AA$4:AA428)=0,0,MAX(0,($AA428+$K429-$O429-$P429)*IF(AND(F429="F",$D$3&lt;&gt;$G$3),((1+$AA$1)^(H429/MIN(G429,365))),((1+$AA$1)^(1/12)))-$U429))</f>
        <v>1920000</v>
      </c>
      <c r="AB429" s="2">
        <f ca="1">IF(MIN($AB$4:AB428)=0,0,MAX(0,($AB428+$K429-$O429-$P429)*IF(AND(F429="F",$D$3&lt;&gt;$G$3),((1+(J429))^(H429/MIN(G429,365))),((1+(J429))^(1/12)))-$U429))</f>
        <v>10852288.87603114</v>
      </c>
      <c r="AC429" s="5"/>
      <c r="AD429" s="5"/>
      <c r="AE429" s="5"/>
      <c r="AF429" s="282">
        <f t="shared" ca="1" si="242"/>
        <v>310806</v>
      </c>
      <c r="AG429" s="282">
        <f t="shared" ca="1" si="243"/>
        <v>1920000</v>
      </c>
      <c r="AH429" s="282">
        <f t="shared" ca="1" si="244"/>
        <v>10852289</v>
      </c>
      <c r="AI429" s="23" t="str">
        <f t="shared" ca="1" si="260"/>
        <v>36-7</v>
      </c>
      <c r="AJ429" s="282">
        <f ca="1">IF(E429&gt;111,,IF(AND(OP!$C$99=1,T429="F"),Z429,IF(AND(OP!$C$99=2,COUNTIF($T$4:T429,"F")=1),OP!$C$97+IF(F429="F",OP!$C$98,0),"")))</f>
        <v>54527</v>
      </c>
      <c r="AK429" s="282">
        <f ca="1">IF(E429&gt;111,,IF(AND(OP!$D$99=1,T429="F"),AA429,IF(AND(OP!$D$99=2,COUNTIF($T$4:T429,"F")=1),OP!$D$97+IF(F429="F",OP!$D$98,0),"")))</f>
        <v>74177</v>
      </c>
      <c r="AL429" s="282">
        <f ca="1">IF(E429&gt;111,,IF(AND(OP!$E$99=1,T429="F"),AB429,IF(AND(OP!$E$99=2,COUNTIF($T$4:T429,"F")=1),OP!$E$97+IF(F429="F",OP!$E$98,0),"")))</f>
        <v>99404</v>
      </c>
      <c r="AM429" s="1">
        <f t="shared" ca="1" si="234"/>
        <v>7</v>
      </c>
      <c r="AN429" s="1" t="e">
        <f ca="1">IF(OR(VLOOKUP($A429,MP,5,0)="月繳"),1,"")</f>
        <v>#N/A</v>
      </c>
      <c r="AO429" s="1">
        <f t="shared" ca="1" si="245"/>
        <v>0</v>
      </c>
      <c r="AP429" s="1" t="str">
        <f ca="1">IF(AND(A429&lt;=OP!$C$120,COUNTIF(PAY,C429)=1),1,"")</f>
        <v/>
      </c>
      <c r="AR429" s="301">
        <f ca="1">IF(繳費報酬率資料!$A$1=1,$AY429+$AZ429,$BF429+$BG429)</f>
        <v>0</v>
      </c>
      <c r="AS429" s="1">
        <f ca="1">IF(C429&lt;&gt;IF($C$3=1,12,$C$3-1),0,IF(繳費報酬率資料!$A$1&lt;&gt;1,VLOOKUP($A429,MP,8,0),IF(AND($A429&gt;=OP!$C$79,$A429&lt;=OP!$C$80),OP!$C$78,)))</f>
        <v>0</v>
      </c>
      <c r="AT429" s="298">
        <f t="shared" ca="1" si="246"/>
        <v>0</v>
      </c>
      <c r="AU429" s="298">
        <f ca="1">IF(AND(A429&lt;=OP!$C$120,COUNTIF(PAY,C429)=1),OP!$C$123,0)</f>
        <v>0</v>
      </c>
      <c r="AV429" s="298">
        <f ca="1">IF(AND(A429&gt;=OP!$C$132,A429&lt;=OP!$C$133,$C$3=C429),OP!$C$135,0)</f>
        <v>0</v>
      </c>
      <c r="AW429" s="180">
        <f t="shared" ca="1" si="247"/>
        <v>0.05</v>
      </c>
      <c r="AX429" s="180">
        <f t="shared" ca="1" si="248"/>
        <v>0.05</v>
      </c>
      <c r="AY429" s="286">
        <f t="shared" ca="1" si="249"/>
        <v>0</v>
      </c>
      <c r="AZ429" s="286">
        <f t="shared" ca="1" si="250"/>
        <v>0</v>
      </c>
      <c r="BA429" s="286">
        <f t="shared" ca="1" si="251"/>
        <v>0</v>
      </c>
      <c r="BB429" s="286">
        <f t="shared" ca="1" si="252"/>
        <v>0</v>
      </c>
      <c r="BC429" s="286">
        <f t="shared" ca="1" si="253"/>
        <v>0</v>
      </c>
      <c r="BD429" s="180">
        <f t="shared" ca="1" si="254"/>
        <v>0.05</v>
      </c>
      <c r="BE429" s="180">
        <f t="shared" ca="1" si="255"/>
        <v>0.05</v>
      </c>
      <c r="BF429" s="286">
        <f t="shared" ca="1" si="256"/>
        <v>0</v>
      </c>
      <c r="BG429" s="286">
        <f t="shared" ca="1" si="257"/>
        <v>0</v>
      </c>
    </row>
    <row r="430" spans="1:59">
      <c r="A430" s="1">
        <f t="shared" ca="1" si="236"/>
        <v>36</v>
      </c>
      <c r="B430" s="1">
        <f t="shared" ca="1" si="230"/>
        <v>141</v>
      </c>
      <c r="C430" s="1">
        <f t="shared" ca="1" si="231"/>
        <v>12</v>
      </c>
      <c r="D430" s="1">
        <f ca="1">MIN($D$3,VLOOKUP(C430,OP!$S$30:$T$41,2))</f>
        <v>2</v>
      </c>
      <c r="E430" s="1">
        <f t="shared" ca="1" si="232"/>
        <v>90</v>
      </c>
      <c r="F430" s="11" t="str">
        <f t="shared" ca="1" si="237"/>
        <v/>
      </c>
      <c r="G430" s="8">
        <f t="shared" ca="1" si="263"/>
        <v>365</v>
      </c>
      <c r="H430" s="8">
        <f t="shared" ca="1" si="239"/>
        <v>31</v>
      </c>
      <c r="I430" s="8" t="str">
        <f t="shared" ca="1" si="235"/>
        <v>3612</v>
      </c>
      <c r="J430" s="13">
        <f>IF(繳費報酬率資料!$A$1=1,VALUE(OP!$C$121),VLOOKUP(A430,MP,2,0))</f>
        <v>0.05</v>
      </c>
      <c r="K430" s="14">
        <f ca="1">IF(SUM($K$4:K429,IF(繳費報酬率資料!$A$1=1,$AU430+$AV430,$BB430+$BC430))&gt;OP!$L$58,0,IF(繳費報酬率資料!$A$1=1,$AU430+$AV430,$BB430+$BC430))</f>
        <v>0</v>
      </c>
      <c r="L430" s="2"/>
      <c r="M430" s="2"/>
      <c r="N430" s="2"/>
      <c r="O430" s="261">
        <f t="shared" ca="1" si="240"/>
        <v>0</v>
      </c>
      <c r="P430" s="261">
        <f t="shared" ca="1" si="258"/>
        <v>0</v>
      </c>
      <c r="Q430" s="3">
        <f ca="1">IF(A430&gt;MAX(OP!$R$17:$R$26),0,VLOOKUP(A430,fees,3,FALSE))</f>
        <v>0</v>
      </c>
      <c r="R430" s="200" t="str">
        <f t="shared" ca="1" si="241"/>
        <v/>
      </c>
      <c r="S430" s="9" t="str">
        <f ca="1">IF(COUNTIF(($T$4:T429),"F")&gt;=1,"",IF(OR(C431&lt;&gt;$C$3,E430=""),"",A430))</f>
        <v/>
      </c>
      <c r="T430" s="20" t="str">
        <f t="shared" ca="1" si="233"/>
        <v/>
      </c>
      <c r="U430" s="2">
        <f ca="1">IF(IF(OP!$C$83=1,$Z429,IF(OP!$C$83=2,$AA429,IF(OP!$C$83=3,$AB429,)))+$K430-$O430-$P430-$AS430&lt;OP!$C$142,0,$AS430)</f>
        <v>0</v>
      </c>
      <c r="V430" s="9"/>
      <c r="W430" s="19">
        <f ca="1">MAX(SUM($K$4:K430),0)</f>
        <v>2000000</v>
      </c>
      <c r="X430" s="19"/>
      <c r="Y430" s="19">
        <f t="shared" ca="1" si="259"/>
        <v>1920000</v>
      </c>
      <c r="Z430" s="2">
        <f ca="1">IF(MIN($Z$4:Z429)=0,0,MAX(0,($Z429+$K430-$O430-$P430)*IF(AND(F430="F",$D$3&lt;&gt;$G$3),((1+(-J430))^(H430/MIN(G430,365))),((1+(-J430))^(1/12)))-$U430))</f>
        <v>309480.18673520634</v>
      </c>
      <c r="AA430" s="2">
        <f ca="1">IF(MIN($AA$4:AA429)=0,0,MAX(0,($AA429+$K430-$O430-$P430)*IF(AND(F430="F",$D$3&lt;&gt;$G$3),((1+$AA$1)^(H430/MIN(G430,365))),((1+$AA$1)^(1/12)))-$U430))</f>
        <v>1920000</v>
      </c>
      <c r="AB430" s="2">
        <f ca="1">IF(MIN($AB$4:AB429)=0,0,MAX(0,($AB429+$K430-$O430-$P430)*IF(AND(F430="F",$D$3&lt;&gt;$G$3),((1+(J430))^(H430/MIN(G430,365))),((1+(J430))^(1/12)))-$U430))</f>
        <v>10896502.444248</v>
      </c>
      <c r="AC430" s="5"/>
      <c r="AD430" s="5"/>
      <c r="AE430" s="5"/>
      <c r="AF430" s="282">
        <f t="shared" ca="1" si="242"/>
        <v>309480</v>
      </c>
      <c r="AG430" s="282">
        <f t="shared" ca="1" si="243"/>
        <v>1920000</v>
      </c>
      <c r="AH430" s="282">
        <f t="shared" ca="1" si="244"/>
        <v>10896502</v>
      </c>
      <c r="AI430" s="23" t="str">
        <f t="shared" ca="1" si="260"/>
        <v>36-8</v>
      </c>
      <c r="AJ430" s="282">
        <f ca="1">IF(E430&gt;111,,IF(AND(OP!$C$99=1,T430="F"),Z430,IF(AND(OP!$C$99=2,COUNTIF($T$4:T430,"F")=1),OP!$C$97+IF(F430="F",OP!$C$98,0),"")))</f>
        <v>54527</v>
      </c>
      <c r="AK430" s="282">
        <f ca="1">IF(E430&gt;111,,IF(AND(OP!$D$99=1,T430="F"),AA430,IF(AND(OP!$D$99=2,COUNTIF($T$4:T430,"F")=1),OP!$D$97+IF(F430="F",OP!$D$98,0),"")))</f>
        <v>74177</v>
      </c>
      <c r="AL430" s="282">
        <f ca="1">IF(E430&gt;111,,IF(AND(OP!$E$99=1,T430="F"),AB430,IF(AND(OP!$E$99=2,COUNTIF($T$4:T430,"F")=1),OP!$E$97+IF(F430="F",OP!$E$98,0),"")))</f>
        <v>99404</v>
      </c>
      <c r="AM430" s="1">
        <f t="shared" ca="1" si="234"/>
        <v>8</v>
      </c>
      <c r="AN430" s="1" t="e">
        <f ca="1">IF(OR(VLOOKUP($A430,MP,5,0)="半年繳",VLOOKUP($A430,MP,5,0)="季繳",VLOOKUP($A430,MP,5,0)="月繳"),1,"")</f>
        <v>#N/A</v>
      </c>
      <c r="AO430" s="1">
        <f t="shared" ca="1" si="245"/>
        <v>0</v>
      </c>
      <c r="AP430" s="1" t="str">
        <f ca="1">IF(AND(A430&lt;=OP!$C$120,COUNTIF(PAY,C430)=1),1,"")</f>
        <v/>
      </c>
      <c r="AR430" s="301">
        <f ca="1">IF(繳費報酬率資料!$A$1=1,$AY430+$AZ430,$BF430+$BG430)</f>
        <v>0</v>
      </c>
      <c r="AS430" s="1">
        <f ca="1">IF(C430&lt;&gt;IF($C$3=1,12,$C$3-1),0,IF(繳費報酬率資料!$A$1&lt;&gt;1,VLOOKUP($A430,MP,8,0),IF(AND($A430&gt;=OP!$C$79,$A430&lt;=OP!$C$80),OP!$C$78,)))</f>
        <v>0</v>
      </c>
      <c r="AT430" s="298">
        <f t="shared" ca="1" si="246"/>
        <v>0</v>
      </c>
      <c r="AU430" s="298">
        <f ca="1">IF(AND(A430&lt;=OP!$C$120,COUNTIF(PAY,C430)=1),OP!$C$123,0)</f>
        <v>0</v>
      </c>
      <c r="AV430" s="298">
        <f ca="1">IF(AND(A430&gt;=OP!$C$132,A430&lt;=OP!$C$133,$C$3=C430),OP!$C$135,0)</f>
        <v>0</v>
      </c>
      <c r="AW430" s="180">
        <f t="shared" ca="1" si="247"/>
        <v>0.05</v>
      </c>
      <c r="AX430" s="180">
        <f t="shared" ca="1" si="248"/>
        <v>0.05</v>
      </c>
      <c r="AY430" s="286">
        <f t="shared" ca="1" si="249"/>
        <v>0</v>
      </c>
      <c r="AZ430" s="286">
        <f t="shared" ca="1" si="250"/>
        <v>0</v>
      </c>
      <c r="BA430" s="286">
        <f t="shared" ca="1" si="251"/>
        <v>0</v>
      </c>
      <c r="BB430" s="286">
        <f t="shared" ca="1" si="252"/>
        <v>0</v>
      </c>
      <c r="BC430" s="286">
        <f t="shared" ca="1" si="253"/>
        <v>0</v>
      </c>
      <c r="BD430" s="180">
        <f t="shared" ca="1" si="254"/>
        <v>0.05</v>
      </c>
      <c r="BE430" s="180">
        <f t="shared" ca="1" si="255"/>
        <v>0.05</v>
      </c>
      <c r="BF430" s="286">
        <f t="shared" ca="1" si="256"/>
        <v>0</v>
      </c>
      <c r="BG430" s="286">
        <f t="shared" ca="1" si="257"/>
        <v>0</v>
      </c>
    </row>
    <row r="431" spans="1:59">
      <c r="A431" s="1">
        <f t="shared" ca="1" si="236"/>
        <v>36</v>
      </c>
      <c r="B431" s="1">
        <f t="shared" ca="1" si="230"/>
        <v>142</v>
      </c>
      <c r="C431" s="1">
        <f t="shared" ca="1" si="231"/>
        <v>1</v>
      </c>
      <c r="D431" s="1">
        <f ca="1">MIN($D$3,VLOOKUP(C431,OP!$S$30:$T$41,2))</f>
        <v>2</v>
      </c>
      <c r="E431" s="1">
        <f t="shared" ca="1" si="232"/>
        <v>90</v>
      </c>
      <c r="F431" s="11" t="str">
        <f t="shared" ca="1" si="237"/>
        <v/>
      </c>
      <c r="G431" s="8">
        <f t="shared" ca="1" si="263"/>
        <v>365</v>
      </c>
      <c r="H431" s="8">
        <f t="shared" ca="1" si="239"/>
        <v>31</v>
      </c>
      <c r="I431" s="8" t="str">
        <f t="shared" ca="1" si="235"/>
        <v>361</v>
      </c>
      <c r="J431" s="13">
        <f>IF(繳費報酬率資料!$A$1=1,VALUE(OP!$C$121),VLOOKUP(A431,MP,2,0))</f>
        <v>0.05</v>
      </c>
      <c r="K431" s="14">
        <f ca="1">IF(SUM($K$4:K430,IF(繳費報酬率資料!$A$1=1,$AU431+$AV431,$BB431+$BC431))&gt;OP!$L$58,0,IF(繳費報酬率資料!$A$1=1,$AU431+$AV431,$BB431+$BC431))</f>
        <v>0</v>
      </c>
      <c r="L431" s="2"/>
      <c r="M431" s="2"/>
      <c r="N431" s="2"/>
      <c r="O431" s="261">
        <f t="shared" ca="1" si="240"/>
        <v>0</v>
      </c>
      <c r="P431" s="261">
        <f t="shared" ca="1" si="258"/>
        <v>0</v>
      </c>
      <c r="Q431" s="3">
        <f ca="1">IF(A431&gt;MAX(OP!$R$17:$R$26),0,VLOOKUP(A431,fees,3,FALSE))</f>
        <v>0</v>
      </c>
      <c r="R431" s="200" t="str">
        <f t="shared" ca="1" si="241"/>
        <v/>
      </c>
      <c r="S431" s="9" t="str">
        <f ca="1">IF(COUNTIF(($T$4:T430),"F")&gt;=1,"",IF(OR(C432&lt;&gt;$C$3,E431=""),"",A431))</f>
        <v/>
      </c>
      <c r="T431" s="20" t="str">
        <f t="shared" ca="1" si="233"/>
        <v/>
      </c>
      <c r="U431" s="2">
        <f ca="1">IF(IF(OP!$C$83=1,$Z430,IF(OP!$C$83=2,$AA430,IF(OP!$C$83=3,$AB430,)))+$K431-$O431-$P431-$AS431&lt;OP!$C$142,0,$AS431)</f>
        <v>0</v>
      </c>
      <c r="V431" s="9"/>
      <c r="W431" s="19">
        <f ca="1">MAX(SUM($K$4:K431),0)</f>
        <v>2000000</v>
      </c>
      <c r="X431" s="19"/>
      <c r="Y431" s="19">
        <f t="shared" ca="1" si="259"/>
        <v>1920000</v>
      </c>
      <c r="Z431" s="2">
        <f ca="1">IF(MIN($Z$4:Z430)=0,0,MAX(0,($Z430+$K431-$O431-$P431)*IF(AND(F431="F",$D$3&lt;&gt;$G$3),((1+(-J431))^(H431/MIN(G431,365))),((1+(-J431))^(1/12)))-$U431))</f>
        <v>308160.1550834417</v>
      </c>
      <c r="AA431" s="2">
        <f ca="1">IF(MIN($AA$4:AA430)=0,0,MAX(0,($AA430+$K431-$O431-$P431)*IF(AND(F431="F",$D$3&lt;&gt;$G$3),((1+$AA$1)^(H431/MIN(G431,365))),((1+$AA$1)^(1/12)))-$U431))</f>
        <v>1920000</v>
      </c>
      <c r="AB431" s="2">
        <f ca="1">IF(MIN($AB$4:AB430)=0,0,MAX(0,($AB430+$K431-$O431-$P431)*IF(AND(F431="F",$D$3&lt;&gt;$G$3),((1+(J431))^(H431/MIN(G431,365))),((1+(J431))^(1/12)))-$U431))</f>
        <v>10940896.144014694</v>
      </c>
      <c r="AC431" s="5"/>
      <c r="AD431" s="5"/>
      <c r="AE431" s="5"/>
      <c r="AF431" s="282">
        <f t="shared" ca="1" si="242"/>
        <v>308160</v>
      </c>
      <c r="AG431" s="282">
        <f t="shared" ca="1" si="243"/>
        <v>1920000</v>
      </c>
      <c r="AH431" s="282">
        <f t="shared" ca="1" si="244"/>
        <v>10940896</v>
      </c>
      <c r="AI431" s="23" t="str">
        <f t="shared" ca="1" si="260"/>
        <v>36-9</v>
      </c>
      <c r="AJ431" s="282">
        <f ca="1">IF(E431&gt;111,,IF(AND(OP!$C$99=1,T431="F"),Z431,IF(AND(OP!$C$99=2,COUNTIF($T$4:T431,"F")=1),OP!$C$97+IF(F431="F",OP!$C$98,0),"")))</f>
        <v>54527</v>
      </c>
      <c r="AK431" s="282">
        <f ca="1">IF(E431&gt;111,,IF(AND(OP!$D$99=1,T431="F"),AA431,IF(AND(OP!$D$99=2,COUNTIF($T$4:T431,"F")=1),OP!$D$97+IF(F431="F",OP!$D$98,0),"")))</f>
        <v>74177</v>
      </c>
      <c r="AL431" s="282">
        <f ca="1">IF(E431&gt;111,,IF(AND(OP!$E$99=1,T431="F"),AB431,IF(AND(OP!$E$99=2,COUNTIF($T$4:T431,"F")=1),OP!$E$97+IF(F431="F",OP!$E$98,0),"")))</f>
        <v>99404</v>
      </c>
      <c r="AM431" s="1">
        <f t="shared" ca="1" si="234"/>
        <v>9</v>
      </c>
      <c r="AN431" s="1" t="e">
        <f ca="1">IF(OR(VLOOKUP($A431,MP,5,0)="月繳"),1,"")</f>
        <v>#N/A</v>
      </c>
      <c r="AO431" s="1">
        <f t="shared" ca="1" si="245"/>
        <v>0</v>
      </c>
      <c r="AP431" s="1" t="str">
        <f ca="1">IF(AND(A431&lt;=OP!$C$120,COUNTIF(PAY,C431)=1),1,"")</f>
        <v/>
      </c>
      <c r="AR431" s="301">
        <f ca="1">IF(繳費報酬率資料!$A$1=1,$AY431+$AZ431,$BF431+$BG431)</f>
        <v>0</v>
      </c>
      <c r="AS431" s="1">
        <f ca="1">IF(C431&lt;&gt;IF($C$3=1,12,$C$3-1),0,IF(繳費報酬率資料!$A$1&lt;&gt;1,VLOOKUP($A431,MP,8,0),IF(AND($A431&gt;=OP!$C$79,$A431&lt;=OP!$C$80),OP!$C$78,)))</f>
        <v>0</v>
      </c>
      <c r="AT431" s="298">
        <f t="shared" ca="1" si="246"/>
        <v>0</v>
      </c>
      <c r="AU431" s="298">
        <f ca="1">IF(AND(A431&lt;=OP!$C$120,COUNTIF(PAY,C431)=1),OP!$C$123,0)</f>
        <v>0</v>
      </c>
      <c r="AV431" s="298">
        <f ca="1">IF(AND(A431&gt;=OP!$C$132,A431&lt;=OP!$C$133,$C$3=C431),OP!$C$135,0)</f>
        <v>0</v>
      </c>
      <c r="AW431" s="180">
        <f t="shared" ca="1" si="247"/>
        <v>0.05</v>
      </c>
      <c r="AX431" s="180">
        <f t="shared" ca="1" si="248"/>
        <v>0.05</v>
      </c>
      <c r="AY431" s="286">
        <f t="shared" ca="1" si="249"/>
        <v>0</v>
      </c>
      <c r="AZ431" s="286">
        <f t="shared" ca="1" si="250"/>
        <v>0</v>
      </c>
      <c r="BA431" s="286">
        <f t="shared" ca="1" si="251"/>
        <v>0</v>
      </c>
      <c r="BB431" s="286">
        <f t="shared" ca="1" si="252"/>
        <v>0</v>
      </c>
      <c r="BC431" s="286">
        <f t="shared" ca="1" si="253"/>
        <v>0</v>
      </c>
      <c r="BD431" s="180">
        <f t="shared" ca="1" si="254"/>
        <v>0.05</v>
      </c>
      <c r="BE431" s="180">
        <f t="shared" ca="1" si="255"/>
        <v>0.05</v>
      </c>
      <c r="BF431" s="286">
        <f t="shared" ca="1" si="256"/>
        <v>0</v>
      </c>
      <c r="BG431" s="286">
        <f t="shared" ca="1" si="257"/>
        <v>0</v>
      </c>
    </row>
    <row r="432" spans="1:59">
      <c r="A432" s="1">
        <f t="shared" ca="1" si="236"/>
        <v>36</v>
      </c>
      <c r="B432" s="1">
        <f t="shared" ca="1" si="230"/>
        <v>142</v>
      </c>
      <c r="C432" s="1">
        <f t="shared" ca="1" si="231"/>
        <v>2</v>
      </c>
      <c r="D432" s="1">
        <f ca="1">MIN($D$3,VLOOKUP(C432,OP!$S$30:$T$41,2))</f>
        <v>2</v>
      </c>
      <c r="E432" s="1">
        <f t="shared" ca="1" si="232"/>
        <v>90</v>
      </c>
      <c r="F432" s="11" t="str">
        <f t="shared" ca="1" si="237"/>
        <v/>
      </c>
      <c r="G432" s="8">
        <f t="shared" ca="1" si="263"/>
        <v>365</v>
      </c>
      <c r="H432" s="8">
        <f t="shared" ca="1" si="239"/>
        <v>28</v>
      </c>
      <c r="I432" s="8" t="str">
        <f t="shared" ca="1" si="235"/>
        <v>362</v>
      </c>
      <c r="J432" s="13">
        <f>IF(繳費報酬率資料!$A$1=1,VALUE(OP!$C$121),VLOOKUP(A432,MP,2,0))</f>
        <v>0.05</v>
      </c>
      <c r="K432" s="14">
        <f ca="1">IF(SUM($K$4:K431,IF(繳費報酬率資料!$A$1=1,$AU432+$AV432,$BB432+$BC432))&gt;OP!$L$58,0,IF(繳費報酬率資料!$A$1=1,$AU432+$AV432,$BB432+$BC432))</f>
        <v>0</v>
      </c>
      <c r="L432" s="2"/>
      <c r="M432" s="2"/>
      <c r="N432" s="2"/>
      <c r="O432" s="261">
        <f t="shared" ca="1" si="240"/>
        <v>0</v>
      </c>
      <c r="P432" s="261">
        <f t="shared" ca="1" si="258"/>
        <v>0</v>
      </c>
      <c r="Q432" s="3">
        <f ca="1">IF(A432&gt;MAX(OP!$R$17:$R$26),0,VLOOKUP(A432,fees,3,FALSE))</f>
        <v>0</v>
      </c>
      <c r="R432" s="200" t="str">
        <f t="shared" ca="1" si="241"/>
        <v/>
      </c>
      <c r="S432" s="9" t="str">
        <f ca="1">IF(COUNTIF(($T$4:T431),"F")&gt;=1,"",IF(OR(C433&lt;&gt;$C$3,E432=""),"",A432))</f>
        <v/>
      </c>
      <c r="T432" s="20" t="str">
        <f t="shared" ca="1" si="233"/>
        <v/>
      </c>
      <c r="U432" s="2">
        <f ca="1">IF(IF(OP!$C$83=1,$Z431,IF(OP!$C$83=2,$AA431,IF(OP!$C$83=3,$AB431,)))+$K432-$O432-$P432-$AS432&lt;OP!$C$142,0,$AS432)</f>
        <v>0</v>
      </c>
      <c r="V432" s="9"/>
      <c r="W432" s="19">
        <f ca="1">MAX(SUM($K$4:K432),0)</f>
        <v>2000000</v>
      </c>
      <c r="X432" s="19"/>
      <c r="Y432" s="19">
        <f t="shared" ca="1" si="259"/>
        <v>1920000</v>
      </c>
      <c r="Z432" s="2">
        <f ca="1">IF(MIN($Z$4:Z431)=0,0,MAX(0,($Z431+$K432-$O432-$P432)*IF(AND(F432="F",$D$3&lt;&gt;$G$3),((1+(-J432))^(H432/MIN(G432,365))),((1+(-J432))^(1/12)))-$U432))</f>
        <v>306845.7537874683</v>
      </c>
      <c r="AA432" s="2">
        <f ca="1">IF(MIN($AA$4:AA431)=0,0,MAX(0,($AA431+$K432-$O432-$P432)*IF(AND(F432="F",$D$3&lt;&gt;$G$3),((1+$AA$1)^(H432/MIN(G432,365))),((1+$AA$1)^(1/12)))-$U432))</f>
        <v>1920000</v>
      </c>
      <c r="AB432" s="2">
        <f ca="1">IF(MIN($AB$4:AB431)=0,0,MAX(0,($AB431+$K432-$O432-$P432)*IF(AND(F432="F",$D$3&lt;&gt;$G$3),((1+(J432))^(H432/MIN(G432,365))),((1+(J432))^(1/12)))-$U432))</f>
        <v>10985470.709209451</v>
      </c>
      <c r="AC432" s="5"/>
      <c r="AD432" s="5"/>
      <c r="AE432" s="5"/>
      <c r="AF432" s="282">
        <f t="shared" ca="1" si="242"/>
        <v>306846</v>
      </c>
      <c r="AG432" s="282">
        <f t="shared" ca="1" si="243"/>
        <v>1920000</v>
      </c>
      <c r="AH432" s="282">
        <f t="shared" ca="1" si="244"/>
        <v>10985471</v>
      </c>
      <c r="AI432" s="23" t="str">
        <f t="shared" ca="1" si="260"/>
        <v>36-10</v>
      </c>
      <c r="AJ432" s="282">
        <f ca="1">IF(E432&gt;111,,IF(AND(OP!$C$99=1,T432="F"),Z432,IF(AND(OP!$C$99=2,COUNTIF($T$4:T432,"F")=1),OP!$C$97+IF(F432="F",OP!$C$98,0),"")))</f>
        <v>54527</v>
      </c>
      <c r="AK432" s="282">
        <f ca="1">IF(E432&gt;111,,IF(AND(OP!$D$99=1,T432="F"),AA432,IF(AND(OP!$D$99=2,COUNTIF($T$4:T432,"F")=1),OP!$D$97+IF(F432="F",OP!$D$98,0),"")))</f>
        <v>74177</v>
      </c>
      <c r="AL432" s="282">
        <f ca="1">IF(E432&gt;111,,IF(AND(OP!$E$99=1,T432="F"),AB432,IF(AND(OP!$E$99=2,COUNTIF($T$4:T432,"F")=1),OP!$E$97+IF(F432="F",OP!$E$98,0),"")))</f>
        <v>99404</v>
      </c>
      <c r="AM432" s="1">
        <f t="shared" ca="1" si="234"/>
        <v>10</v>
      </c>
      <c r="AN432" s="1" t="e">
        <f ca="1">IF(OR(VLOOKUP($A432,MP,5,0)="月繳"),1,"")</f>
        <v>#N/A</v>
      </c>
      <c r="AO432" s="1">
        <f t="shared" ca="1" si="245"/>
        <v>0</v>
      </c>
      <c r="AP432" s="1" t="str">
        <f ca="1">IF(AND(A432&lt;=OP!$C$120,COUNTIF(PAY,C432)=1),1,"")</f>
        <v/>
      </c>
      <c r="AR432" s="301">
        <f ca="1">IF(繳費報酬率資料!$A$1=1,$AY432+$AZ432,$BF432+$BG432)</f>
        <v>0</v>
      </c>
      <c r="AS432" s="1">
        <f ca="1">IF(C432&lt;&gt;IF($C$3=1,12,$C$3-1),0,IF(繳費報酬率資料!$A$1&lt;&gt;1,VLOOKUP($A432,MP,8,0),IF(AND($A432&gt;=OP!$C$79,$A432&lt;=OP!$C$80),OP!$C$78,)))</f>
        <v>0</v>
      </c>
      <c r="AT432" s="298">
        <f t="shared" ca="1" si="246"/>
        <v>0</v>
      </c>
      <c r="AU432" s="298">
        <f ca="1">IF(AND(A432&lt;=OP!$C$120,COUNTIF(PAY,C432)=1),OP!$C$123,0)</f>
        <v>0</v>
      </c>
      <c r="AV432" s="298">
        <f ca="1">IF(AND(A432&gt;=OP!$C$132,A432&lt;=OP!$C$133,$C$3=C432),OP!$C$135,0)</f>
        <v>0</v>
      </c>
      <c r="AW432" s="180">
        <f t="shared" ca="1" si="247"/>
        <v>0.05</v>
      </c>
      <c r="AX432" s="180">
        <f t="shared" ca="1" si="248"/>
        <v>0.05</v>
      </c>
      <c r="AY432" s="286">
        <f t="shared" ca="1" si="249"/>
        <v>0</v>
      </c>
      <c r="AZ432" s="286">
        <f t="shared" ca="1" si="250"/>
        <v>0</v>
      </c>
      <c r="BA432" s="286">
        <f t="shared" ca="1" si="251"/>
        <v>0</v>
      </c>
      <c r="BB432" s="286">
        <f t="shared" ca="1" si="252"/>
        <v>0</v>
      </c>
      <c r="BC432" s="286">
        <f t="shared" ca="1" si="253"/>
        <v>0</v>
      </c>
      <c r="BD432" s="180">
        <f t="shared" ca="1" si="254"/>
        <v>0.05</v>
      </c>
      <c r="BE432" s="180">
        <f t="shared" ca="1" si="255"/>
        <v>0.05</v>
      </c>
      <c r="BF432" s="286">
        <f t="shared" ca="1" si="256"/>
        <v>0</v>
      </c>
      <c r="BG432" s="286">
        <f t="shared" ca="1" si="257"/>
        <v>0</v>
      </c>
    </row>
    <row r="433" spans="1:59">
      <c r="A433" s="1">
        <f t="shared" ca="1" si="236"/>
        <v>36</v>
      </c>
      <c r="B433" s="1">
        <f t="shared" ca="1" si="230"/>
        <v>142</v>
      </c>
      <c r="C433" s="1">
        <f t="shared" ca="1" si="231"/>
        <v>3</v>
      </c>
      <c r="D433" s="1">
        <f ca="1">MIN($D$3,VLOOKUP(C433,OP!$S$30:$T$41,2))</f>
        <v>2</v>
      </c>
      <c r="E433" s="1">
        <f t="shared" ca="1" si="232"/>
        <v>90</v>
      </c>
      <c r="F433" s="11" t="str">
        <f t="shared" ca="1" si="237"/>
        <v/>
      </c>
      <c r="G433" s="8">
        <f t="shared" ca="1" si="263"/>
        <v>365</v>
      </c>
      <c r="H433" s="8">
        <f t="shared" ca="1" si="239"/>
        <v>31</v>
      </c>
      <c r="I433" s="8" t="str">
        <f t="shared" ca="1" si="235"/>
        <v>363</v>
      </c>
      <c r="J433" s="13">
        <f>IF(繳費報酬率資料!$A$1=1,VALUE(OP!$C$121),VLOOKUP(A433,MP,2,0))</f>
        <v>0.05</v>
      </c>
      <c r="K433" s="14">
        <f ca="1">IF(SUM($K$4:K432,IF(繳費報酬率資料!$A$1=1,$AU433+$AV433,$BB433+$BC433))&gt;OP!$L$58,0,IF(繳費報酬率資料!$A$1=1,$AU433+$AV433,$BB433+$BC433))</f>
        <v>0</v>
      </c>
      <c r="L433" s="2"/>
      <c r="M433" s="2"/>
      <c r="N433" s="2"/>
      <c r="O433" s="261">
        <f t="shared" ca="1" si="240"/>
        <v>0</v>
      </c>
      <c r="P433" s="261">
        <f t="shared" ca="1" si="258"/>
        <v>0</v>
      </c>
      <c r="Q433" s="3">
        <f ca="1">IF(A433&gt;MAX(OP!$R$17:$R$26),0,VLOOKUP(A433,fees,3,FALSE))</f>
        <v>0</v>
      </c>
      <c r="R433" s="200" t="str">
        <f t="shared" ca="1" si="241"/>
        <v/>
      </c>
      <c r="S433" s="9" t="str">
        <f ca="1">IF(COUNTIF(($T$4:T432),"F")&gt;=1,"",IF(OR(C434&lt;&gt;$C$3,E433=""),"",A433))</f>
        <v/>
      </c>
      <c r="T433" s="20" t="str">
        <f t="shared" ca="1" si="233"/>
        <v/>
      </c>
      <c r="U433" s="2">
        <f ca="1">IF(IF(OP!$C$83=1,$Z432,IF(OP!$C$83=2,$AA432,IF(OP!$C$83=3,$AB432,)))+$K433-$O433-$P433-$AS433&lt;OP!$C$142,0,$AS433)</f>
        <v>0</v>
      </c>
      <c r="V433" s="9"/>
      <c r="W433" s="19">
        <f ca="1">MAX(SUM($K$4:K433),0)</f>
        <v>2000000</v>
      </c>
      <c r="X433" s="19"/>
      <c r="Y433" s="19">
        <f t="shared" ca="1" si="259"/>
        <v>1920000</v>
      </c>
      <c r="Z433" s="2">
        <f ca="1">IF(MIN($Z$4:Z432)=0,0,MAX(0,($Z432+$K433-$O433-$P433)*IF(AND(F433="F",$D$3&lt;&gt;$G$3),((1+(-J433))^(H433/MIN(G433,365))),((1+(-J433))^(1/12)))-$U433))</f>
        <v>305536.95883202384</v>
      </c>
      <c r="AA433" s="2">
        <f ca="1">IF(MIN($AA$4:AA432)=0,0,MAX(0,($AA432+$K433-$O433-$P433)*IF(AND(F433="F",$D$3&lt;&gt;$G$3),((1+$AA$1)^(H433/MIN(G433,365))),((1+$AA$1)^(1/12)))-$U433))</f>
        <v>1920000</v>
      </c>
      <c r="AB433" s="2">
        <f ca="1">IF(MIN($AB$4:AB432)=0,0,MAX(0,($AB432+$K433-$O433-$P433)*IF(AND(F433="F",$D$3&lt;&gt;$G$3),((1+(J433))^(H433/MIN(G433,365))),((1+(J433))^(1/12)))-$U433))</f>
        <v>11030226.876700414</v>
      </c>
      <c r="AC433" s="5"/>
      <c r="AD433" s="5"/>
      <c r="AE433" s="5"/>
      <c r="AF433" s="282">
        <f t="shared" ca="1" si="242"/>
        <v>305537</v>
      </c>
      <c r="AG433" s="282">
        <f t="shared" ca="1" si="243"/>
        <v>1920000</v>
      </c>
      <c r="AH433" s="282">
        <f t="shared" ca="1" si="244"/>
        <v>11030227</v>
      </c>
      <c r="AI433" s="23" t="str">
        <f t="shared" ca="1" si="260"/>
        <v>36-11</v>
      </c>
      <c r="AJ433" s="282">
        <f ca="1">IF(E433&gt;111,,IF(AND(OP!$C$99=1,T433="F"),Z433,IF(AND(OP!$C$99=2,COUNTIF($T$4:T433,"F")=1),OP!$C$97+IF(F433="F",OP!$C$98,0),"")))</f>
        <v>54527</v>
      </c>
      <c r="AK433" s="282">
        <f ca="1">IF(E433&gt;111,,IF(AND(OP!$D$99=1,T433="F"),AA433,IF(AND(OP!$D$99=2,COUNTIF($T$4:T433,"F")=1),OP!$D$97+IF(F433="F",OP!$D$98,0),"")))</f>
        <v>74177</v>
      </c>
      <c r="AL433" s="282">
        <f ca="1">IF(E433&gt;111,,IF(AND(OP!$E$99=1,T433="F"),AB433,IF(AND(OP!$E$99=2,COUNTIF($T$4:T433,"F")=1),OP!$E$97+IF(F433="F",OP!$E$98,0),"")))</f>
        <v>99404</v>
      </c>
      <c r="AM433" s="1">
        <f t="shared" ca="1" si="234"/>
        <v>11</v>
      </c>
      <c r="AN433" s="1" t="e">
        <f ca="1">IF(OR(VLOOKUP($A433,MP,5,0)="季繳",VLOOKUP($A433,MP,5,0)="月繳"),1,"")</f>
        <v>#N/A</v>
      </c>
      <c r="AO433" s="1">
        <f t="shared" ca="1" si="245"/>
        <v>0</v>
      </c>
      <c r="AP433" s="1" t="str">
        <f ca="1">IF(AND(A433&lt;=OP!$C$120,COUNTIF(PAY,C433)=1),1,"")</f>
        <v/>
      </c>
      <c r="AR433" s="301">
        <f ca="1">IF(繳費報酬率資料!$A$1=1,$AY433+$AZ433,$BF433+$BG433)</f>
        <v>0</v>
      </c>
      <c r="AS433" s="1">
        <f ca="1">IF(C433&lt;&gt;IF($C$3=1,12,$C$3-1),0,IF(繳費報酬率資料!$A$1&lt;&gt;1,VLOOKUP($A433,MP,8,0),IF(AND($A433&gt;=OP!$C$79,$A433&lt;=OP!$C$80),OP!$C$78,)))</f>
        <v>0</v>
      </c>
      <c r="AT433" s="298">
        <f t="shared" ca="1" si="246"/>
        <v>0</v>
      </c>
      <c r="AU433" s="298">
        <f ca="1">IF(AND(A433&lt;=OP!$C$120,COUNTIF(PAY,C433)=1),OP!$C$123,0)</f>
        <v>0</v>
      </c>
      <c r="AV433" s="298">
        <f ca="1">IF(AND(A433&gt;=OP!$C$132,A433&lt;=OP!$C$133,$C$3=C433),OP!$C$135,0)</f>
        <v>0</v>
      </c>
      <c r="AW433" s="180">
        <f t="shared" ca="1" si="247"/>
        <v>0.05</v>
      </c>
      <c r="AX433" s="180">
        <f t="shared" ca="1" si="248"/>
        <v>0.05</v>
      </c>
      <c r="AY433" s="286">
        <f t="shared" ca="1" si="249"/>
        <v>0</v>
      </c>
      <c r="AZ433" s="286">
        <f t="shared" ca="1" si="250"/>
        <v>0</v>
      </c>
      <c r="BA433" s="286">
        <f t="shared" ca="1" si="251"/>
        <v>0</v>
      </c>
      <c r="BB433" s="286">
        <f t="shared" ca="1" si="252"/>
        <v>0</v>
      </c>
      <c r="BC433" s="286">
        <f t="shared" ca="1" si="253"/>
        <v>0</v>
      </c>
      <c r="BD433" s="180">
        <f t="shared" ca="1" si="254"/>
        <v>0.05</v>
      </c>
      <c r="BE433" s="180">
        <f t="shared" ca="1" si="255"/>
        <v>0.05</v>
      </c>
      <c r="BF433" s="286">
        <f t="shared" ca="1" si="256"/>
        <v>0</v>
      </c>
      <c r="BG433" s="286">
        <f t="shared" ca="1" si="257"/>
        <v>0</v>
      </c>
    </row>
    <row r="434" spans="1:59">
      <c r="A434" s="1">
        <f t="shared" ca="1" si="236"/>
        <v>36</v>
      </c>
      <c r="B434" s="1">
        <f t="shared" ca="1" si="230"/>
        <v>142</v>
      </c>
      <c r="C434" s="1">
        <f t="shared" ca="1" si="231"/>
        <v>4</v>
      </c>
      <c r="D434" s="1">
        <f ca="1">MIN($D$3,VLOOKUP(C434,OP!$S$30:$T$41,2))</f>
        <v>2</v>
      </c>
      <c r="E434" s="1">
        <f t="shared" ca="1" si="232"/>
        <v>90</v>
      </c>
      <c r="F434" s="11" t="str">
        <f t="shared" ca="1" si="237"/>
        <v/>
      </c>
      <c r="G434" s="8">
        <f t="shared" ca="1" si="263"/>
        <v>365</v>
      </c>
      <c r="H434" s="8">
        <f t="shared" ca="1" si="239"/>
        <v>30</v>
      </c>
      <c r="I434" s="8" t="str">
        <f t="shared" ca="1" si="235"/>
        <v>364</v>
      </c>
      <c r="J434" s="13">
        <f>IF(繳費報酬率資料!$A$1=1,VALUE(OP!$C$121),VLOOKUP(A434,MP,2,0))</f>
        <v>0.05</v>
      </c>
      <c r="K434" s="14">
        <f ca="1">IF(SUM($K$4:K433,IF(繳費報酬率資料!$A$1=1,$AU434+$AV434,$BB434+$BC434))&gt;OP!$L$58,0,IF(繳費報酬率資料!$A$1=1,$AU434+$AV434,$BB434+$BC434))</f>
        <v>0</v>
      </c>
      <c r="L434" s="2"/>
      <c r="M434" s="2"/>
      <c r="N434" s="2"/>
      <c r="O434" s="261">
        <f t="shared" ca="1" si="240"/>
        <v>0</v>
      </c>
      <c r="P434" s="261">
        <f t="shared" ca="1" si="258"/>
        <v>0</v>
      </c>
      <c r="Q434" s="3">
        <f ca="1">IF(A434&gt;MAX(OP!$R$17:$R$26),0,VLOOKUP(A434,fees,3,FALSE))</f>
        <v>0</v>
      </c>
      <c r="R434" s="200" t="str">
        <f t="shared" ca="1" si="241"/>
        <v/>
      </c>
      <c r="S434" s="9" t="str">
        <f ca="1">IF(COUNTIF(($T$4:T433),"F")&gt;=1,"",IF(OR(C435&lt;&gt;$C$3,E434=""),"",A434))</f>
        <v/>
      </c>
      <c r="T434" s="20" t="str">
        <f t="shared" ca="1" si="233"/>
        <v/>
      </c>
      <c r="U434" s="2">
        <f ca="1">IF(IF(OP!$C$83=1,$Z433,IF(OP!$C$83=2,$AA433,IF(OP!$C$83=3,$AB433,)))+$K434-$O434-$P434-$AS434&lt;OP!$C$142,0,$AS434)</f>
        <v>0</v>
      </c>
      <c r="V434" s="9"/>
      <c r="W434" s="19">
        <f ca="1">MAX(SUM($K$4:K434),0)</f>
        <v>2000000</v>
      </c>
      <c r="X434" s="19"/>
      <c r="Y434" s="19">
        <f t="shared" ca="1" si="259"/>
        <v>1920000</v>
      </c>
      <c r="Z434" s="2">
        <f ca="1">IF(MIN($Z$4:Z433)=0,0,MAX(0,($Z433+$K434-$O434-$P434)*IF(AND(F434="F",$D$3&lt;&gt;$G$3),((1+(-J434))^(H434/MIN(G434,365))),((1+(-J434))^(1/12)))-$U434))</f>
        <v>304233.74630427884</v>
      </c>
      <c r="AA434" s="2">
        <f ca="1">IF(MIN($AA$4:AA433)=0,0,MAX(0,($AA433+$K434-$O434-$P434)*IF(AND(F434="F",$D$3&lt;&gt;$G$3),((1+$AA$1)^(H434/MIN(G434,365))),((1+$AA$1)^(1/12)))-$U434))</f>
        <v>1920000</v>
      </c>
      <c r="AB434" s="2">
        <f ca="1">IF(MIN($AB$4:AB433)=0,0,MAX(0,($AB433+$K434-$O434-$P434)*IF(AND(F434="F",$D$3&lt;&gt;$G$3),((1+(J434))^(H434/MIN(G434,365))),((1+(J434))^(1/12)))-$U434))</f>
        <v>11075165.386357816</v>
      </c>
      <c r="AC434" s="5"/>
      <c r="AD434" s="5"/>
      <c r="AE434" s="5"/>
      <c r="AF434" s="282">
        <f t="shared" ca="1" si="242"/>
        <v>304234</v>
      </c>
      <c r="AG434" s="282">
        <f t="shared" ca="1" si="243"/>
        <v>1920000</v>
      </c>
      <c r="AH434" s="282">
        <f t="shared" ca="1" si="244"/>
        <v>11075165</v>
      </c>
      <c r="AI434" s="23" t="str">
        <f t="shared" ca="1" si="260"/>
        <v>36-12</v>
      </c>
      <c r="AJ434" s="282">
        <f ca="1">IF(E434&gt;111,,IF(AND(OP!$C$99=1,T434="F"),Z434,IF(AND(OP!$C$99=2,COUNTIF($T$4:T434,"F")=1),OP!$C$97+IF(F434="F",OP!$C$98,0),"")))</f>
        <v>54527</v>
      </c>
      <c r="AK434" s="282">
        <f ca="1">IF(E434&gt;111,,IF(AND(OP!$D$99=1,T434="F"),AA434,IF(AND(OP!$D$99=2,COUNTIF($T$4:T434,"F")=1),OP!$D$97+IF(F434="F",OP!$D$98,0),"")))</f>
        <v>74177</v>
      </c>
      <c r="AL434" s="282">
        <f ca="1">IF(E434&gt;111,,IF(AND(OP!$E$99=1,T434="F"),AB434,IF(AND(OP!$E$99=2,COUNTIF($T$4:T434,"F")=1),OP!$E$97+IF(F434="F",OP!$E$98,0),"")))</f>
        <v>99404</v>
      </c>
      <c r="AM434" s="1">
        <f t="shared" ca="1" si="234"/>
        <v>12</v>
      </c>
      <c r="AN434" s="1" t="e">
        <f ca="1">IF(OR(VLOOKUP($A434,MP,5,0)="月繳"),1,"")</f>
        <v>#N/A</v>
      </c>
      <c r="AO434" s="1">
        <f t="shared" ca="1" si="245"/>
        <v>0</v>
      </c>
      <c r="AP434" s="1" t="str">
        <f ca="1">IF(AND(A434&lt;=OP!$C$120,COUNTIF(PAY,C434)=1),1,"")</f>
        <v/>
      </c>
      <c r="AR434" s="301">
        <f ca="1">IF(繳費報酬率資料!$A$1=1,$AY434+$AZ434,$BF434+$BG434)</f>
        <v>0</v>
      </c>
      <c r="AS434" s="1">
        <f ca="1">IF(C434&lt;&gt;IF($C$3=1,12,$C$3-1),0,IF(繳費報酬率資料!$A$1&lt;&gt;1,VLOOKUP($A434,MP,8,0),IF(AND($A434&gt;=OP!$C$79,$A434&lt;=OP!$C$80),OP!$C$78,)))</f>
        <v>0</v>
      </c>
      <c r="AT434" s="298">
        <f t="shared" ca="1" si="246"/>
        <v>0</v>
      </c>
      <c r="AU434" s="298">
        <f ca="1">IF(AND(A434&lt;=OP!$C$120,COUNTIF(PAY,C434)=1),OP!$C$123,0)</f>
        <v>0</v>
      </c>
      <c r="AV434" s="298">
        <f ca="1">IF(AND(A434&gt;=OP!$C$132,A434&lt;=OP!$C$133,$C$3=C434),OP!$C$135,0)</f>
        <v>0</v>
      </c>
      <c r="AW434" s="180">
        <f t="shared" ca="1" si="247"/>
        <v>0.05</v>
      </c>
      <c r="AX434" s="180">
        <f t="shared" ca="1" si="248"/>
        <v>0.05</v>
      </c>
      <c r="AY434" s="286">
        <f t="shared" ca="1" si="249"/>
        <v>0</v>
      </c>
      <c r="AZ434" s="286">
        <f t="shared" ca="1" si="250"/>
        <v>0</v>
      </c>
      <c r="BA434" s="286">
        <f t="shared" ca="1" si="251"/>
        <v>0</v>
      </c>
      <c r="BB434" s="286">
        <f t="shared" ca="1" si="252"/>
        <v>0</v>
      </c>
      <c r="BC434" s="286">
        <f t="shared" ca="1" si="253"/>
        <v>0</v>
      </c>
      <c r="BD434" s="180">
        <f t="shared" ca="1" si="254"/>
        <v>0.05</v>
      </c>
      <c r="BE434" s="180">
        <f t="shared" ca="1" si="255"/>
        <v>0.05</v>
      </c>
      <c r="BF434" s="286">
        <f t="shared" ca="1" si="256"/>
        <v>0</v>
      </c>
      <c r="BG434" s="286">
        <f t="shared" ca="1" si="257"/>
        <v>0</v>
      </c>
    </row>
    <row r="435" spans="1:59">
      <c r="A435" s="1">
        <f t="shared" ca="1" si="236"/>
        <v>36</v>
      </c>
      <c r="B435" s="1">
        <f t="shared" ca="1" si="230"/>
        <v>142</v>
      </c>
      <c r="C435" s="1">
        <f t="shared" ca="1" si="231"/>
        <v>5</v>
      </c>
      <c r="D435" s="1">
        <f ca="1">MIN($D$3,VLOOKUP(C435,OP!$S$30:$T$41,2))</f>
        <v>2</v>
      </c>
      <c r="E435" s="1">
        <f t="shared" ca="1" si="232"/>
        <v>90</v>
      </c>
      <c r="F435" s="11" t="str">
        <f t="shared" ca="1" si="237"/>
        <v/>
      </c>
      <c r="G435" s="8">
        <f t="shared" ca="1" si="263"/>
        <v>365</v>
      </c>
      <c r="H435" s="8">
        <f t="shared" ca="1" si="239"/>
        <v>31</v>
      </c>
      <c r="I435" s="8" t="str">
        <f t="shared" ca="1" si="235"/>
        <v>365</v>
      </c>
      <c r="J435" s="13">
        <f>IF(繳費報酬率資料!$A$1=1,VALUE(OP!$C$121),VLOOKUP(A435,MP,2,0))</f>
        <v>0.05</v>
      </c>
      <c r="K435" s="14">
        <f ca="1">IF(SUM($K$4:K434,IF(繳費報酬率資料!$A$1=1,$AU435+$AV435,$BB435+$BC435))&gt;OP!$L$58,0,IF(繳費報酬率資料!$A$1=1,$AU435+$AV435,$BB435+$BC435))</f>
        <v>0</v>
      </c>
      <c r="L435" s="2">
        <f ca="1">ROUND(IF(OP!$C$78&lt;(IF(OR($T435="F",$E435&gt;=111),0,Z434+$K435-$O435+IF($C$1=1,OP!$C$78,IF($C436=$C$3,SUM(AC424:AC435,0)))))*5%,0,(OP!$C$78-((IF(OR($T435="F",$E435&gt;=111),0,Z434+$K435-$O435+IF($C$1=1,AC435,IF($C436=$C$3,SUM(AC424:AC435,0)))))*5%))*$Q435),0)</f>
        <v>0</v>
      </c>
      <c r="M435" s="2">
        <f ca="1">ROUND(IF(OP!$C$78&lt;(IF(OR($T435="F",$E435&gt;=111),0,AA434+$K435-$O435+IF($C$1=1,AD435,IF($C436=$C$3,SUM(AD424:AD435,0)))))*5%,0,(OP!$C$78-((IF(OR($T435="F",$E435&gt;=111),0,AA434+$K435-$O435+IF($C$1=1,AD435,IF($C436=$C$3,SUM(AD424:AD435,0)))))*5%))*$Q435),0)</f>
        <v>0</v>
      </c>
      <c r="N435" s="2">
        <f ca="1">ROUND(IF(OP!$C$78&lt;(IF(OR($T435="F",$E435&gt;=111),0,AB434+$K435-$O435+IF($C$1=1,AE435,IF($C436=$C$3,SUM(AE424:AE435,0)))))*5%,0,(OP!$C$78-((IF(OR($T435="F",$E435&gt;=111),0,AB434+$K435-$O435+IF($C$1=1,AE435,IF($C436=$C$3,SUM(AE424:AE435,0)))))*5%))*$Q435),0)</f>
        <v>0</v>
      </c>
      <c r="O435" s="261">
        <f t="shared" ca="1" si="240"/>
        <v>0</v>
      </c>
      <c r="P435" s="261">
        <f t="shared" ca="1" si="258"/>
        <v>0</v>
      </c>
      <c r="Q435" s="3">
        <f ca="1">IF(A435&gt;MAX(OP!$R$17:$R$26),0,VLOOKUP(A435,fees,3,FALSE))</f>
        <v>0</v>
      </c>
      <c r="R435" s="200">
        <f t="shared" ca="1" si="241"/>
        <v>36</v>
      </c>
      <c r="S435" s="9" t="str">
        <f ca="1">IF(COUNTIF(($T$4:T434),"F")&gt;=1,"",IF(OR(C436&lt;&gt;$C$3,E435=""),"",A435))</f>
        <v/>
      </c>
      <c r="T435" s="20" t="str">
        <f t="shared" ca="1" si="233"/>
        <v/>
      </c>
      <c r="U435" s="2">
        <f ca="1">IF(IF(OP!$C$83=1,$Z434,IF(OP!$C$83=2,$AA434,IF(OP!$C$83=3,$AB434,)))+$K435-$O435-$P435-$AS435&lt;OP!$C$142,0,$AS435)</f>
        <v>0</v>
      </c>
      <c r="V435" s="19">
        <f ca="1">SUM(K424:K435)</f>
        <v>0</v>
      </c>
      <c r="W435" s="19">
        <f ca="1">MAX(SUM($K$4:K435),0)</f>
        <v>2000000</v>
      </c>
      <c r="X435" s="19">
        <f ca="1">SUM(O424:P435)</f>
        <v>0</v>
      </c>
      <c r="Y435" s="19">
        <f t="shared" ca="1" si="259"/>
        <v>1920000</v>
      </c>
      <c r="Z435" s="2">
        <f ca="1">IF(MIN($Z$4:Z434)=0,0,MAX(0,($Z434+$K435-$O435-$P435)*IF(AND(F435="F",$D$3&lt;&gt;$G$3),((1+(-J435))^(H435/MIN(G435,365))),((1+(-J435))^(1/12)))-$U435))</f>
        <v>302936.09239339957</v>
      </c>
      <c r="AA435" s="2">
        <f ca="1">IF(MIN($AA$4:AA434)=0,0,MAX(0,($AA434+$K435-$O435-$P435)*IF(AND(F435="F",$D$3&lt;&gt;$G$3),((1+$AA$1)^(H435/MIN(G435,365))),((1+$AA$1)^(1/12)))-$U435))</f>
        <v>1920000</v>
      </c>
      <c r="AB435" s="2">
        <f ca="1">IF(MIN($AB$4:AB434)=0,0,MAX(0,($AB434+$K435-$O435-$P435)*IF(AND(F435="F",$D$3&lt;&gt;$G$3),((1+(J435))^(H435/MIN(G435,365))),((1+(J435))^(1/12)))-$U435))</f>
        <v>11120286.981066216</v>
      </c>
      <c r="AC435" s="5"/>
      <c r="AD435" s="5"/>
      <c r="AE435" s="5"/>
      <c r="AF435" s="282">
        <f t="shared" ca="1" si="242"/>
        <v>302936</v>
      </c>
      <c r="AG435" s="282">
        <f t="shared" ca="1" si="243"/>
        <v>1920000</v>
      </c>
      <c r="AH435" s="282">
        <f t="shared" ca="1" si="244"/>
        <v>11120287</v>
      </c>
      <c r="AI435" s="23" t="str">
        <f t="shared" ca="1" si="260"/>
        <v>37-1</v>
      </c>
      <c r="AJ435" s="282">
        <f ca="1">IF(E435&gt;111,,IF(AND(OP!$C$99=1,T435="F"),Z435,IF(AND(OP!$C$99=2,COUNTIF($T$4:T435,"F")=1),OP!$C$97+IF(F435="F",OP!$C$98,0),"")))</f>
        <v>54527</v>
      </c>
      <c r="AK435" s="282">
        <f ca="1">IF(E435&gt;111,,IF(AND(OP!$D$99=1,T435="F"),AA435,IF(AND(OP!$D$99=2,COUNTIF($T$4:T435,"F")=1),OP!$D$97+IF(F435="F",OP!$D$98,0),"")))</f>
        <v>74177</v>
      </c>
      <c r="AL435" s="282">
        <f ca="1">IF(E435&gt;111,,IF(AND(OP!$E$99=1,T435="F"),AB435,IF(AND(OP!$E$99=2,COUNTIF($T$4:T435,"F")=1),OP!$E$97+IF(F435="F",OP!$E$98,0),"")))</f>
        <v>99404</v>
      </c>
      <c r="AM435" s="1">
        <f t="shared" ca="1" si="234"/>
        <v>1</v>
      </c>
      <c r="AN435" s="1" t="e">
        <f ca="1">IF(OR(VLOOKUP($A435,MP,5,0)="月繳"),1,"")</f>
        <v>#N/A</v>
      </c>
      <c r="AO435" s="1">
        <f t="shared" ca="1" si="245"/>
        <v>0</v>
      </c>
      <c r="AP435" s="1" t="str">
        <f ca="1">IF(AND(A435&lt;=OP!$C$120,COUNTIF(PAY,C435)=1),1,"")</f>
        <v/>
      </c>
      <c r="AR435" s="301">
        <f ca="1">IF(繳費報酬率資料!$A$1=1,$AY435+$AZ435,$BF435+$BG435)</f>
        <v>0</v>
      </c>
      <c r="AS435" s="1">
        <f ca="1">IF(C435&lt;&gt;IF($C$3=1,12,$C$3-1),0,IF(繳費報酬率資料!$A$1&lt;&gt;1,VLOOKUP($A435,MP,8,0),IF(AND($A435&gt;=OP!$C$79,$A435&lt;=OP!$C$80),OP!$C$78,)))</f>
        <v>0</v>
      </c>
      <c r="AT435" s="298">
        <f t="shared" ca="1" si="246"/>
        <v>0</v>
      </c>
      <c r="AU435" s="298">
        <f ca="1">IF(AND(A435&lt;=OP!$C$120,COUNTIF(PAY,C435)=1),OP!$C$123,0)</f>
        <v>0</v>
      </c>
      <c r="AV435" s="298">
        <f ca="1">IF(AND(A435&gt;=OP!$C$132,A435&lt;=OP!$C$133,$C$3=C435),OP!$C$135,0)</f>
        <v>0</v>
      </c>
      <c r="AW435" s="180">
        <f t="shared" ca="1" si="247"/>
        <v>0.05</v>
      </c>
      <c r="AX435" s="180">
        <f t="shared" ca="1" si="248"/>
        <v>0.05</v>
      </c>
      <c r="AY435" s="286">
        <f t="shared" ca="1" si="249"/>
        <v>0</v>
      </c>
      <c r="AZ435" s="286">
        <f t="shared" ca="1" si="250"/>
        <v>0</v>
      </c>
      <c r="BA435" s="286">
        <f t="shared" ca="1" si="251"/>
        <v>0</v>
      </c>
      <c r="BB435" s="286">
        <f t="shared" ca="1" si="252"/>
        <v>0</v>
      </c>
      <c r="BC435" s="286">
        <f t="shared" ca="1" si="253"/>
        <v>0</v>
      </c>
      <c r="BD435" s="180">
        <f t="shared" ca="1" si="254"/>
        <v>0.05</v>
      </c>
      <c r="BE435" s="180">
        <f t="shared" ca="1" si="255"/>
        <v>0.05</v>
      </c>
      <c r="BF435" s="286">
        <f t="shared" ca="1" si="256"/>
        <v>0</v>
      </c>
      <c r="BG435" s="286">
        <f t="shared" ca="1" si="257"/>
        <v>0</v>
      </c>
    </row>
    <row r="436" spans="1:59">
      <c r="A436" s="1">
        <f t="shared" ca="1" si="236"/>
        <v>37</v>
      </c>
      <c r="B436" s="1">
        <f t="shared" ca="1" si="230"/>
        <v>142</v>
      </c>
      <c r="C436" s="1">
        <f t="shared" ca="1" si="231"/>
        <v>6</v>
      </c>
      <c r="D436" s="1">
        <f ca="1">MIN($D$3,VLOOKUP(C436,OP!$S$30:$T$41,2))</f>
        <v>2</v>
      </c>
      <c r="E436" s="1">
        <f t="shared" ca="1" si="232"/>
        <v>91</v>
      </c>
      <c r="F436" s="11" t="str">
        <f t="shared" ca="1" si="237"/>
        <v/>
      </c>
      <c r="G436" s="6">
        <f ca="1">DATEDIF(DATE(B436+1911,C436,D436),DATE(B448+1911,C448,D448),"d")</f>
        <v>365</v>
      </c>
      <c r="H436" s="8">
        <f t="shared" ca="1" si="239"/>
        <v>30</v>
      </c>
      <c r="I436" s="8" t="str">
        <f t="shared" ca="1" si="235"/>
        <v>376</v>
      </c>
      <c r="J436" s="13">
        <f>IF(繳費報酬率資料!$A$1=1,VALUE(OP!$C$121),VLOOKUP(A436,MP,2,0))</f>
        <v>0.05</v>
      </c>
      <c r="K436" s="14">
        <f ca="1">IF(SUM($K$4:K435,IF(繳費報酬率資料!$A$1=1,$AU436+$AV436,$BB436+$BC436))&gt;OP!$L$58,0,IF(繳費報酬率資料!$A$1=1,$AU436+$AV436,$BB436+$BC436))</f>
        <v>0</v>
      </c>
      <c r="L436" s="2"/>
      <c r="M436" s="2"/>
      <c r="N436" s="2"/>
      <c r="O436" s="261">
        <f t="shared" ca="1" si="240"/>
        <v>0</v>
      </c>
      <c r="P436" s="261">
        <f t="shared" ca="1" si="258"/>
        <v>0</v>
      </c>
      <c r="Q436" s="3">
        <f ca="1">IF(A436&gt;MAX(OP!$R$17:$R$26),0,VLOOKUP(A436,fees,3,FALSE))</f>
        <v>0</v>
      </c>
      <c r="R436" s="200" t="str">
        <f t="shared" ca="1" si="241"/>
        <v/>
      </c>
      <c r="S436" s="9" t="str">
        <f ca="1">IF(COUNTIF(($T$4:T435),"F")&gt;=1,"",IF(OR(C437&lt;&gt;$C$3,E436=""),"",A436))</f>
        <v/>
      </c>
      <c r="T436" s="20" t="str">
        <f t="shared" ca="1" si="233"/>
        <v/>
      </c>
      <c r="U436" s="2">
        <f ca="1">IF(IF(OP!$C$83=1,$Z435,IF(OP!$C$83=2,$AA435,IF(OP!$C$83=3,$AB435,)))+$K436-$O436-$P436-$AS436&lt;OP!$C$142,0,$AS436)</f>
        <v>0</v>
      </c>
      <c r="V436" s="9"/>
      <c r="W436" s="19">
        <f ca="1">MAX(SUM($K$4:K436),0)</f>
        <v>2000000</v>
      </c>
      <c r="X436" s="19"/>
      <c r="Y436" s="19">
        <f t="shared" ca="1" si="259"/>
        <v>1920000</v>
      </c>
      <c r="Z436" s="2">
        <f ca="1">IF(MIN($Z$4:Z435)=0,0,MAX(0,($Z435+$K436-$O436-$P436)*IF(AND(F436="F",$D$3&lt;&gt;$G$3),((1+(-J436))^(H436/MIN(G436,365))),((1+(-J436))^(1/12)))-$U436))</f>
        <v>301643.97339011315</v>
      </c>
      <c r="AA436" s="2">
        <f ca="1">IF(MIN($AA$4:AA435)=0,0,MAX(0,($AA435+$K436-$O436-$P436)*IF(AND(F436="F",$D$3&lt;&gt;$G$3),((1+$AA$1)^(H436/MIN(G436,365))),((1+$AA$1)^(1/12)))-$U436))</f>
        <v>1920000</v>
      </c>
      <c r="AB436" s="2">
        <f ca="1">IF(MIN($AB$4:AB435)=0,0,MAX(0,($AB435+$K436-$O436-$P436)*IF(AND(F436="F",$D$3&lt;&gt;$G$3),((1+(J436))^(H436/MIN(G436,365))),((1+(J436))^(1/12)))-$U436))</f>
        <v>11165592.406736773</v>
      </c>
      <c r="AC436" s="21"/>
      <c r="AD436" s="21"/>
      <c r="AE436" s="21"/>
      <c r="AF436" s="282">
        <f t="shared" ca="1" si="242"/>
        <v>301644</v>
      </c>
      <c r="AG436" s="282">
        <f t="shared" ca="1" si="243"/>
        <v>1920000</v>
      </c>
      <c r="AH436" s="282">
        <f t="shared" ca="1" si="244"/>
        <v>11165592</v>
      </c>
      <c r="AI436" s="23" t="str">
        <f t="shared" ca="1" si="260"/>
        <v>37-2</v>
      </c>
      <c r="AJ436" s="281">
        <f ca="1">IF(E436&gt;111,,IF(AND(OP!$C$99=1,T436="F"),Z436,IF(AND(OP!$C$99=2,COUNTIF($T$4:T436,"F")=1),OP!$C$97+IF(F436="F",OP!$C$98,0),"")))</f>
        <v>54527</v>
      </c>
      <c r="AK436" s="281">
        <f ca="1">IF(E436&gt;111,,IF(AND(OP!$D$99=1,T436="F"),AA436,IF(AND(OP!$D$99=2,COUNTIF($T$4:T436,"F")=1),OP!$D$97+IF(F436="F",OP!$D$98,0),"")))</f>
        <v>74177</v>
      </c>
      <c r="AL436" s="281">
        <f ca="1">IF(E436&gt;111,,IF(AND(OP!$E$99=1,T436="F"),AB436,IF(AND(OP!$E$99=2,COUNTIF($T$4:T436,"F")=1),OP!$E$97+IF(F436="F",OP!$E$98,0),"")))</f>
        <v>99404</v>
      </c>
      <c r="AM436" s="1">
        <f t="shared" ca="1" si="234"/>
        <v>2</v>
      </c>
      <c r="AN436" s="1" t="e">
        <f ca="1">IF(OR(VLOOKUP($A436,MP,5,0)="年繳",VLOOKUP($A436,MP,5,0)="半年繳",VLOOKUP($A436,MP,5,0)="季繳",VLOOKUP($A436,MP,5,0)="月繳"),1,"")</f>
        <v>#N/A</v>
      </c>
      <c r="AO436" s="1">
        <f t="shared" ca="1" si="245"/>
        <v>0</v>
      </c>
      <c r="AP436" s="1" t="str">
        <f ca="1">IF(AND(A436&lt;=OP!$C$120,COUNTIF(PAY,C436)=1),1,"")</f>
        <v/>
      </c>
      <c r="AR436" s="301">
        <f ca="1">IF(繳費報酬率資料!$A$1=1,$AY436+$AZ436,$BF436+$BG436)</f>
        <v>0</v>
      </c>
      <c r="AS436" s="1">
        <f ca="1">IF(C436&lt;&gt;IF($C$3=1,12,$C$3-1),0,IF(繳費報酬率資料!$A$1&lt;&gt;1,VLOOKUP($A436,MP,8,0),IF(AND($A436&gt;=OP!$C$79,$A436&lt;=OP!$C$80),OP!$C$78,)))</f>
        <v>0</v>
      </c>
      <c r="AT436" s="298">
        <f t="shared" ca="1" si="246"/>
        <v>0</v>
      </c>
      <c r="AU436" s="298">
        <f ca="1">IF(AND(A436&lt;=OP!$C$120,COUNTIF(PAY,C436)=1),OP!$C$123,0)</f>
        <v>0</v>
      </c>
      <c r="AV436" s="298">
        <f ca="1">IF(AND(A436&gt;=OP!$C$132,A436&lt;=OP!$C$133,$C$3=C436),OP!$C$135,0)</f>
        <v>0</v>
      </c>
      <c r="AW436" s="180">
        <f t="shared" ca="1" si="247"/>
        <v>0.05</v>
      </c>
      <c r="AX436" s="180">
        <f t="shared" ca="1" si="248"/>
        <v>0.05</v>
      </c>
      <c r="AY436" s="286">
        <f t="shared" ca="1" si="249"/>
        <v>0</v>
      </c>
      <c r="AZ436" s="286">
        <f t="shared" ca="1" si="250"/>
        <v>0</v>
      </c>
      <c r="BA436" s="286">
        <f t="shared" ca="1" si="251"/>
        <v>0</v>
      </c>
      <c r="BB436" s="286">
        <f t="shared" ca="1" si="252"/>
        <v>0</v>
      </c>
      <c r="BC436" s="286">
        <f t="shared" ca="1" si="253"/>
        <v>0</v>
      </c>
      <c r="BD436" s="180">
        <f t="shared" ca="1" si="254"/>
        <v>0.05</v>
      </c>
      <c r="BE436" s="180">
        <f t="shared" ca="1" si="255"/>
        <v>0.05</v>
      </c>
      <c r="BF436" s="286">
        <f t="shared" ca="1" si="256"/>
        <v>0</v>
      </c>
      <c r="BG436" s="286">
        <f t="shared" ca="1" si="257"/>
        <v>0</v>
      </c>
    </row>
    <row r="437" spans="1:59">
      <c r="A437" s="1">
        <f t="shared" ca="1" si="236"/>
        <v>37</v>
      </c>
      <c r="B437" s="1">
        <f t="shared" ca="1" si="230"/>
        <v>142</v>
      </c>
      <c r="C437" s="1">
        <f t="shared" ca="1" si="231"/>
        <v>7</v>
      </c>
      <c r="D437" s="1">
        <f ca="1">MIN($D$3,VLOOKUP(C437,OP!$S$30:$T$41,2))</f>
        <v>2</v>
      </c>
      <c r="E437" s="1">
        <f t="shared" ca="1" si="232"/>
        <v>91</v>
      </c>
      <c r="F437" s="11" t="str">
        <f t="shared" ca="1" si="237"/>
        <v/>
      </c>
      <c r="G437" s="8">
        <f t="shared" ref="G437:G447" ca="1" si="264">G436</f>
        <v>365</v>
      </c>
      <c r="H437" s="8">
        <f t="shared" ca="1" si="239"/>
        <v>31</v>
      </c>
      <c r="I437" s="8" t="str">
        <f t="shared" ca="1" si="235"/>
        <v>377</v>
      </c>
      <c r="J437" s="13">
        <f>IF(繳費報酬率資料!$A$1=1,VALUE(OP!$C$121),VLOOKUP(A437,MP,2,0))</f>
        <v>0.05</v>
      </c>
      <c r="K437" s="14">
        <f ca="1">IF(SUM($K$4:K436,IF(繳費報酬率資料!$A$1=1,$AU437+$AV437,$BB437+$BC437))&gt;OP!$L$58,0,IF(繳費報酬率資料!$A$1=1,$AU437+$AV437,$BB437+$BC437))</f>
        <v>0</v>
      </c>
      <c r="L437" s="2"/>
      <c r="M437" s="2"/>
      <c r="N437" s="2"/>
      <c r="O437" s="261">
        <f t="shared" ca="1" si="240"/>
        <v>0</v>
      </c>
      <c r="P437" s="261">
        <f t="shared" ca="1" si="258"/>
        <v>0</v>
      </c>
      <c r="Q437" s="3">
        <f ca="1">IF(A437&gt;MAX(OP!$R$17:$R$26),0,VLOOKUP(A437,fees,3,FALSE))</f>
        <v>0</v>
      </c>
      <c r="R437" s="200" t="str">
        <f t="shared" ca="1" si="241"/>
        <v/>
      </c>
      <c r="S437" s="9" t="str">
        <f ca="1">IF(COUNTIF(($T$4:T436),"F")&gt;=1,"",IF(OR(C438&lt;&gt;$C$3,E437=""),"",A437))</f>
        <v/>
      </c>
      <c r="T437" s="20" t="str">
        <f t="shared" ca="1" si="233"/>
        <v/>
      </c>
      <c r="U437" s="2">
        <f ca="1">IF(IF(OP!$C$83=1,$Z436,IF(OP!$C$83=2,$AA436,IF(OP!$C$83=3,$AB436,)))+$K437-$O437-$P437-$AS437&lt;OP!$C$142,0,$AS437)</f>
        <v>0</v>
      </c>
      <c r="V437" s="9"/>
      <c r="W437" s="19">
        <f ca="1">MAX(SUM($K$4:K437),0)</f>
        <v>2000000</v>
      </c>
      <c r="X437" s="19"/>
      <c r="Y437" s="19">
        <f t="shared" ca="1" si="259"/>
        <v>1920000</v>
      </c>
      <c r="Z437" s="2">
        <f ca="1">IF(MIN($Z$4:Z436)=0,0,MAX(0,($Z436+$K437-$O437-$P437)*IF(AND(F437="F",$D$3&lt;&gt;$G$3),((1+(-J437))^(H437/MIN(G437,365))),((1+(-J437))^(1/12)))-$U437))</f>
        <v>300357.36568627431</v>
      </c>
      <c r="AA437" s="2">
        <f ca="1">IF(MIN($AA$4:AA436)=0,0,MAX(0,($AA436+$K437-$O437-$P437)*IF(AND(F437="F",$D$3&lt;&gt;$G$3),((1+$AA$1)^(H437/MIN(G437,365))),((1+$AA$1)^(1/12)))-$U437))</f>
        <v>1920000</v>
      </c>
      <c r="AB437" s="2">
        <f ca="1">IF(MIN($AB$4:AB436)=0,0,MAX(0,($AB436+$K437-$O437-$P437)*IF(AND(F437="F",$D$3&lt;&gt;$G$3),((1+(J437))^(H437/MIN(G437,365))),((1+(J437))^(1/12)))-$U437))</f>
        <v>11211082.412319582</v>
      </c>
      <c r="AC437" s="5"/>
      <c r="AD437" s="5"/>
      <c r="AE437" s="5"/>
      <c r="AF437" s="282">
        <f t="shared" ca="1" si="242"/>
        <v>300357</v>
      </c>
      <c r="AG437" s="282">
        <f t="shared" ca="1" si="243"/>
        <v>1920000</v>
      </c>
      <c r="AH437" s="282">
        <f t="shared" ca="1" si="244"/>
        <v>11211082</v>
      </c>
      <c r="AI437" s="23" t="str">
        <f t="shared" ca="1" si="260"/>
        <v>37-3</v>
      </c>
      <c r="AJ437" s="282">
        <f ca="1">IF(E437&gt;111,,IF(AND(OP!$C$99=1,T437="F"),Z437,IF(AND(OP!$C$99=2,COUNTIF($T$4:T437,"F")=1),OP!$C$97+IF(F437="F",OP!$C$98,0),"")))</f>
        <v>54527</v>
      </c>
      <c r="AK437" s="282">
        <f ca="1">IF(E437&gt;111,,IF(AND(OP!$D$99=1,T437="F"),AA437,IF(AND(OP!$D$99=2,COUNTIF($T$4:T437,"F")=1),OP!$D$97+IF(F437="F",OP!$D$98,0),"")))</f>
        <v>74177</v>
      </c>
      <c r="AL437" s="282">
        <f ca="1">IF(E437&gt;111,,IF(AND(OP!$E$99=1,T437="F"),AB437,IF(AND(OP!$E$99=2,COUNTIF($T$4:T437,"F")=1),OP!$E$97+IF(F437="F",OP!$E$98,0),"")))</f>
        <v>99404</v>
      </c>
      <c r="AM437" s="1">
        <f t="shared" ca="1" si="234"/>
        <v>3</v>
      </c>
      <c r="AN437" s="1" t="e">
        <f ca="1">IF(OR(VLOOKUP($A437,MP,5,0)="月繳"),1,"")</f>
        <v>#N/A</v>
      </c>
      <c r="AO437" s="1">
        <f t="shared" ca="1" si="245"/>
        <v>0</v>
      </c>
      <c r="AP437" s="1" t="str">
        <f ca="1">IF(AND(A437&lt;=OP!$C$120,COUNTIF(PAY,C437)=1),1,"")</f>
        <v/>
      </c>
      <c r="AR437" s="301">
        <f ca="1">IF(繳費報酬率資料!$A$1=1,$AY437+$AZ437,$BF437+$BG437)</f>
        <v>0</v>
      </c>
      <c r="AS437" s="1">
        <f ca="1">IF(C437&lt;&gt;IF($C$3=1,12,$C$3-1),0,IF(繳費報酬率資料!$A$1&lt;&gt;1,VLOOKUP($A437,MP,8,0),IF(AND($A437&gt;=OP!$C$79,$A437&lt;=OP!$C$80),OP!$C$78,)))</f>
        <v>0</v>
      </c>
      <c r="AT437" s="298">
        <f t="shared" ca="1" si="246"/>
        <v>0</v>
      </c>
      <c r="AU437" s="298">
        <f ca="1">IF(AND(A437&lt;=OP!$C$120,COUNTIF(PAY,C437)=1),OP!$C$123,0)</f>
        <v>0</v>
      </c>
      <c r="AV437" s="298">
        <f ca="1">IF(AND(A437&gt;=OP!$C$132,A437&lt;=OP!$C$133,$C$3=C437),OP!$C$135,0)</f>
        <v>0</v>
      </c>
      <c r="AW437" s="180">
        <f t="shared" ca="1" si="247"/>
        <v>0.05</v>
      </c>
      <c r="AX437" s="180">
        <f t="shared" ca="1" si="248"/>
        <v>0.05</v>
      </c>
      <c r="AY437" s="286">
        <f t="shared" ca="1" si="249"/>
        <v>0</v>
      </c>
      <c r="AZ437" s="286">
        <f t="shared" ca="1" si="250"/>
        <v>0</v>
      </c>
      <c r="BA437" s="286">
        <f t="shared" ca="1" si="251"/>
        <v>0</v>
      </c>
      <c r="BB437" s="286">
        <f t="shared" ca="1" si="252"/>
        <v>0</v>
      </c>
      <c r="BC437" s="286">
        <f t="shared" ca="1" si="253"/>
        <v>0</v>
      </c>
      <c r="BD437" s="180">
        <f t="shared" ca="1" si="254"/>
        <v>0.05</v>
      </c>
      <c r="BE437" s="180">
        <f t="shared" ca="1" si="255"/>
        <v>0.05</v>
      </c>
      <c r="BF437" s="286">
        <f t="shared" ca="1" si="256"/>
        <v>0</v>
      </c>
      <c r="BG437" s="286">
        <f t="shared" ca="1" si="257"/>
        <v>0</v>
      </c>
    </row>
    <row r="438" spans="1:59">
      <c r="A438" s="1">
        <f t="shared" ca="1" si="236"/>
        <v>37</v>
      </c>
      <c r="B438" s="1">
        <f t="shared" ca="1" si="230"/>
        <v>142</v>
      </c>
      <c r="C438" s="1">
        <f t="shared" ca="1" si="231"/>
        <v>8</v>
      </c>
      <c r="D438" s="1">
        <f ca="1">MIN($D$3,VLOOKUP(C438,OP!$S$30:$T$41,2))</f>
        <v>2</v>
      </c>
      <c r="E438" s="1">
        <f t="shared" ca="1" si="232"/>
        <v>91</v>
      </c>
      <c r="F438" s="11" t="str">
        <f t="shared" ca="1" si="237"/>
        <v/>
      </c>
      <c r="G438" s="8">
        <f t="shared" ca="1" si="264"/>
        <v>365</v>
      </c>
      <c r="H438" s="8">
        <f t="shared" ca="1" si="239"/>
        <v>31</v>
      </c>
      <c r="I438" s="8" t="str">
        <f t="shared" ca="1" si="235"/>
        <v>378</v>
      </c>
      <c r="J438" s="13">
        <f>IF(繳費報酬率資料!$A$1=1,VALUE(OP!$C$121),VLOOKUP(A438,MP,2,0))</f>
        <v>0.05</v>
      </c>
      <c r="K438" s="14">
        <f ca="1">IF(SUM($K$4:K437,IF(繳費報酬率資料!$A$1=1,$AU438+$AV438,$BB438+$BC438))&gt;OP!$L$58,0,IF(繳費報酬率資料!$A$1=1,$AU438+$AV438,$BB438+$BC438))</f>
        <v>0</v>
      </c>
      <c r="L438" s="2"/>
      <c r="M438" s="2"/>
      <c r="N438" s="2"/>
      <c r="O438" s="261">
        <f t="shared" ca="1" si="240"/>
        <v>0</v>
      </c>
      <c r="P438" s="261">
        <f t="shared" ca="1" si="258"/>
        <v>0</v>
      </c>
      <c r="Q438" s="3">
        <f ca="1">IF(A438&gt;MAX(OP!$R$17:$R$26),0,VLOOKUP(A438,fees,3,FALSE))</f>
        <v>0</v>
      </c>
      <c r="R438" s="200" t="str">
        <f t="shared" ca="1" si="241"/>
        <v/>
      </c>
      <c r="S438" s="9" t="str">
        <f ca="1">IF(COUNTIF(($T$4:T437),"F")&gt;=1,"",IF(OR(C439&lt;&gt;$C$3,E438=""),"",A438))</f>
        <v/>
      </c>
      <c r="T438" s="20" t="str">
        <f t="shared" ca="1" si="233"/>
        <v/>
      </c>
      <c r="U438" s="2">
        <f ca="1">IF(IF(OP!$C$83=1,$Z437,IF(OP!$C$83=2,$AA437,IF(OP!$C$83=3,$AB437,)))+$K438-$O438-$P438-$AS438&lt;OP!$C$142,0,$AS438)</f>
        <v>0</v>
      </c>
      <c r="V438" s="9"/>
      <c r="W438" s="19">
        <f ca="1">MAX(SUM($K$4:K438),0)</f>
        <v>2000000</v>
      </c>
      <c r="X438" s="19"/>
      <c r="Y438" s="19">
        <f t="shared" ca="1" si="259"/>
        <v>1920000</v>
      </c>
      <c r="Z438" s="2">
        <f ca="1">IF(MIN($Z$4:Z437)=0,0,MAX(0,($Z437+$K438-$O438-$P438)*IF(AND(F438="F",$D$3&lt;&gt;$G$3),((1+(-J438))^(H438/MIN(G438,365))),((1+(-J438))^(1/12)))-$U438))</f>
        <v>299076.24577443401</v>
      </c>
      <c r="AA438" s="2">
        <f ca="1">IF(MIN($AA$4:AA437)=0,0,MAX(0,($AA437+$K438-$O438-$P438)*IF(AND(F438="F",$D$3&lt;&gt;$G$3),((1+$AA$1)^(H438/MIN(G438,365))),((1+$AA$1)^(1/12)))-$U438))</f>
        <v>1920000</v>
      </c>
      <c r="AB438" s="2">
        <f ca="1">IF(MIN($AB$4:AB437)=0,0,MAX(0,($AB437+$K438-$O438-$P438)*IF(AND(F438="F",$D$3&lt;&gt;$G$3),((1+(J438))^(H438/MIN(G438,365))),((1+(J438))^(1/12)))-$U438))</f>
        <v>11256757.749816054</v>
      </c>
      <c r="AC438" s="5"/>
      <c r="AD438" s="5"/>
      <c r="AE438" s="5"/>
      <c r="AF438" s="282">
        <f t="shared" ca="1" si="242"/>
        <v>299076</v>
      </c>
      <c r="AG438" s="282">
        <f t="shared" ca="1" si="243"/>
        <v>1920000</v>
      </c>
      <c r="AH438" s="282">
        <f t="shared" ca="1" si="244"/>
        <v>11256758</v>
      </c>
      <c r="AI438" s="23" t="str">
        <f t="shared" ca="1" si="260"/>
        <v>37-4</v>
      </c>
      <c r="AJ438" s="282">
        <f ca="1">IF(E438&gt;111,,IF(AND(OP!$C$99=1,T438="F"),Z438,IF(AND(OP!$C$99=2,COUNTIF($T$4:T438,"F")=1),OP!$C$97+IF(F438="F",OP!$C$98,0),"")))</f>
        <v>54527</v>
      </c>
      <c r="AK438" s="282">
        <f ca="1">IF(E438&gt;111,,IF(AND(OP!$D$99=1,T438="F"),AA438,IF(AND(OP!$D$99=2,COUNTIF($T$4:T438,"F")=1),OP!$D$97+IF(F438="F",OP!$D$98,0),"")))</f>
        <v>74177</v>
      </c>
      <c r="AL438" s="282">
        <f ca="1">IF(E438&gt;111,,IF(AND(OP!$E$99=1,T438="F"),AB438,IF(AND(OP!$E$99=2,COUNTIF($T$4:T438,"F")=1),OP!$E$97+IF(F438="F",OP!$E$98,0),"")))</f>
        <v>99404</v>
      </c>
      <c r="AM438" s="1">
        <f t="shared" ca="1" si="234"/>
        <v>4</v>
      </c>
      <c r="AN438" s="1" t="e">
        <f ca="1">IF(OR(VLOOKUP($A438,MP,5,0)="月繳"),1,"")</f>
        <v>#N/A</v>
      </c>
      <c r="AO438" s="1">
        <f t="shared" ca="1" si="245"/>
        <v>0</v>
      </c>
      <c r="AP438" s="1" t="str">
        <f ca="1">IF(AND(A438&lt;=OP!$C$120,COUNTIF(PAY,C438)=1),1,"")</f>
        <v/>
      </c>
      <c r="AR438" s="301">
        <f ca="1">IF(繳費報酬率資料!$A$1=1,$AY438+$AZ438,$BF438+$BG438)</f>
        <v>0</v>
      </c>
      <c r="AS438" s="1">
        <f ca="1">IF(C438&lt;&gt;IF($C$3=1,12,$C$3-1),0,IF(繳費報酬率資料!$A$1&lt;&gt;1,VLOOKUP($A438,MP,8,0),IF(AND($A438&gt;=OP!$C$79,$A438&lt;=OP!$C$80),OP!$C$78,)))</f>
        <v>0</v>
      </c>
      <c r="AT438" s="298">
        <f t="shared" ca="1" si="246"/>
        <v>0</v>
      </c>
      <c r="AU438" s="298">
        <f ca="1">IF(AND(A438&lt;=OP!$C$120,COUNTIF(PAY,C438)=1),OP!$C$123,0)</f>
        <v>0</v>
      </c>
      <c r="AV438" s="298">
        <f ca="1">IF(AND(A438&gt;=OP!$C$132,A438&lt;=OP!$C$133,$C$3=C438),OP!$C$135,0)</f>
        <v>0</v>
      </c>
      <c r="AW438" s="180">
        <f t="shared" ca="1" si="247"/>
        <v>0.05</v>
      </c>
      <c r="AX438" s="180">
        <f t="shared" ca="1" si="248"/>
        <v>0.05</v>
      </c>
      <c r="AY438" s="286">
        <f t="shared" ca="1" si="249"/>
        <v>0</v>
      </c>
      <c r="AZ438" s="286">
        <f t="shared" ca="1" si="250"/>
        <v>0</v>
      </c>
      <c r="BA438" s="286">
        <f t="shared" ca="1" si="251"/>
        <v>0</v>
      </c>
      <c r="BB438" s="286">
        <f t="shared" ca="1" si="252"/>
        <v>0</v>
      </c>
      <c r="BC438" s="286">
        <f t="shared" ca="1" si="253"/>
        <v>0</v>
      </c>
      <c r="BD438" s="180">
        <f t="shared" ca="1" si="254"/>
        <v>0.05</v>
      </c>
      <c r="BE438" s="180">
        <f t="shared" ca="1" si="255"/>
        <v>0.05</v>
      </c>
      <c r="BF438" s="286">
        <f t="shared" ca="1" si="256"/>
        <v>0</v>
      </c>
      <c r="BG438" s="286">
        <f t="shared" ca="1" si="257"/>
        <v>0</v>
      </c>
    </row>
    <row r="439" spans="1:59">
      <c r="A439" s="1">
        <f t="shared" ca="1" si="236"/>
        <v>37</v>
      </c>
      <c r="B439" s="1">
        <f t="shared" ca="1" si="230"/>
        <v>142</v>
      </c>
      <c r="C439" s="1">
        <f t="shared" ca="1" si="231"/>
        <v>9</v>
      </c>
      <c r="D439" s="1">
        <f ca="1">MIN($D$3,VLOOKUP(C439,OP!$S$30:$T$41,2))</f>
        <v>2</v>
      </c>
      <c r="E439" s="1">
        <f t="shared" ca="1" si="232"/>
        <v>91</v>
      </c>
      <c r="F439" s="11" t="str">
        <f t="shared" ca="1" si="237"/>
        <v/>
      </c>
      <c r="G439" s="8">
        <f t="shared" ca="1" si="264"/>
        <v>365</v>
      </c>
      <c r="H439" s="8">
        <f t="shared" ca="1" si="239"/>
        <v>30</v>
      </c>
      <c r="I439" s="8" t="str">
        <f t="shared" ca="1" si="235"/>
        <v>379</v>
      </c>
      <c r="J439" s="13">
        <f>IF(繳費報酬率資料!$A$1=1,VALUE(OP!$C$121),VLOOKUP(A439,MP,2,0))</f>
        <v>0.05</v>
      </c>
      <c r="K439" s="14">
        <f ca="1">IF(SUM($K$4:K438,IF(繳費報酬率資料!$A$1=1,$AU439+$AV439,$BB439+$BC439))&gt;OP!$L$58,0,IF(繳費報酬率資料!$A$1=1,$AU439+$AV439,$BB439+$BC439))</f>
        <v>0</v>
      </c>
      <c r="L439" s="2"/>
      <c r="M439" s="2"/>
      <c r="N439" s="2"/>
      <c r="O439" s="261">
        <f t="shared" ca="1" si="240"/>
        <v>0</v>
      </c>
      <c r="P439" s="261">
        <f t="shared" ca="1" si="258"/>
        <v>0</v>
      </c>
      <c r="Q439" s="3">
        <f ca="1">IF(A439&gt;MAX(OP!$R$17:$R$26),0,VLOOKUP(A439,fees,3,FALSE))</f>
        <v>0</v>
      </c>
      <c r="R439" s="200" t="str">
        <f t="shared" ca="1" si="241"/>
        <v/>
      </c>
      <c r="S439" s="9" t="str">
        <f ca="1">IF(COUNTIF(($T$4:T438),"F")&gt;=1,"",IF(OR(C440&lt;&gt;$C$3,E439=""),"",A439))</f>
        <v/>
      </c>
      <c r="T439" s="20" t="str">
        <f t="shared" ca="1" si="233"/>
        <v/>
      </c>
      <c r="U439" s="2">
        <f ca="1">IF(IF(OP!$C$83=1,$Z438,IF(OP!$C$83=2,$AA438,IF(OP!$C$83=3,$AB438,)))+$K439-$O439-$P439-$AS439&lt;OP!$C$142,0,$AS439)</f>
        <v>0</v>
      </c>
      <c r="V439" s="9"/>
      <c r="W439" s="19">
        <f ca="1">MAX(SUM($K$4:K439),0)</f>
        <v>2000000</v>
      </c>
      <c r="X439" s="19"/>
      <c r="Y439" s="19">
        <f t="shared" ca="1" si="259"/>
        <v>1920000</v>
      </c>
      <c r="Z439" s="2">
        <f ca="1">IF(MIN($Z$4:Z438)=0,0,MAX(0,($Z438+$K439-$O439-$P439)*IF(AND(F439="F",$D$3&lt;&gt;$G$3),((1+(-J439))^(H439/MIN(G439,365))),((1+(-J439))^(1/12)))-$U439))</f>
        <v>297800.59024740994</v>
      </c>
      <c r="AA439" s="2">
        <f ca="1">IF(MIN($AA$4:AA438)=0,0,MAX(0,($AA438+$K439-$O439-$P439)*IF(AND(F439="F",$D$3&lt;&gt;$G$3),((1+$AA$1)^(H439/MIN(G439,365))),((1+$AA$1)^(1/12)))-$U439))</f>
        <v>1920000</v>
      </c>
      <c r="AB439" s="2">
        <f ca="1">IF(MIN($AB$4:AB438)=0,0,MAX(0,($AB438+$K439-$O439-$P439)*IF(AND(F439="F",$D$3&lt;&gt;$G$3),((1+(J439))^(H439/MIN(G439,365))),((1+(J439))^(1/12)))-$U439))</f>
        <v>11302619.174291348</v>
      </c>
      <c r="AC439" s="5"/>
      <c r="AD439" s="5"/>
      <c r="AE439" s="5"/>
      <c r="AF439" s="282">
        <f t="shared" ca="1" si="242"/>
        <v>297801</v>
      </c>
      <c r="AG439" s="282">
        <f t="shared" ca="1" si="243"/>
        <v>1920000</v>
      </c>
      <c r="AH439" s="282">
        <f t="shared" ca="1" si="244"/>
        <v>11302619</v>
      </c>
      <c r="AI439" s="23" t="str">
        <f t="shared" ca="1" si="260"/>
        <v>37-5</v>
      </c>
      <c r="AJ439" s="282">
        <f ca="1">IF(E439&gt;111,,IF(AND(OP!$C$99=1,T439="F"),Z439,IF(AND(OP!$C$99=2,COUNTIF($T$4:T439,"F")=1),OP!$C$97+IF(F439="F",OP!$C$98,0),"")))</f>
        <v>54527</v>
      </c>
      <c r="AK439" s="282">
        <f ca="1">IF(E439&gt;111,,IF(AND(OP!$D$99=1,T439="F"),AA439,IF(AND(OP!$D$99=2,COUNTIF($T$4:T439,"F")=1),OP!$D$97+IF(F439="F",OP!$D$98,0),"")))</f>
        <v>74177</v>
      </c>
      <c r="AL439" s="282">
        <f ca="1">IF(E439&gt;111,,IF(AND(OP!$E$99=1,T439="F"),AB439,IF(AND(OP!$E$99=2,COUNTIF($T$4:T439,"F")=1),OP!$E$97+IF(F439="F",OP!$E$98,0),"")))</f>
        <v>99404</v>
      </c>
      <c r="AM439" s="1">
        <f t="shared" ca="1" si="234"/>
        <v>5</v>
      </c>
      <c r="AN439" s="1" t="e">
        <f ca="1">IF(OR(VLOOKUP($A439,MP,5,0)="季繳",VLOOKUP($A439,MP,5,0)="月繳"),1,"")</f>
        <v>#N/A</v>
      </c>
      <c r="AO439" s="1">
        <f t="shared" ca="1" si="245"/>
        <v>0</v>
      </c>
      <c r="AP439" s="1" t="str">
        <f ca="1">IF(AND(A439&lt;=OP!$C$120,COUNTIF(PAY,C439)=1),1,"")</f>
        <v/>
      </c>
      <c r="AR439" s="301">
        <f ca="1">IF(繳費報酬率資料!$A$1=1,$AY439+$AZ439,$BF439+$BG439)</f>
        <v>0</v>
      </c>
      <c r="AS439" s="1">
        <f ca="1">IF(C439&lt;&gt;IF($C$3=1,12,$C$3-1),0,IF(繳費報酬率資料!$A$1&lt;&gt;1,VLOOKUP($A439,MP,8,0),IF(AND($A439&gt;=OP!$C$79,$A439&lt;=OP!$C$80),OP!$C$78,)))</f>
        <v>0</v>
      </c>
      <c r="AT439" s="298">
        <f t="shared" ca="1" si="246"/>
        <v>0</v>
      </c>
      <c r="AU439" s="298">
        <f ca="1">IF(AND(A439&lt;=OP!$C$120,COUNTIF(PAY,C439)=1),OP!$C$123,0)</f>
        <v>0</v>
      </c>
      <c r="AV439" s="298">
        <f ca="1">IF(AND(A439&gt;=OP!$C$132,A439&lt;=OP!$C$133,$C$3=C439),OP!$C$135,0)</f>
        <v>0</v>
      </c>
      <c r="AW439" s="180">
        <f t="shared" ca="1" si="247"/>
        <v>0.05</v>
      </c>
      <c r="AX439" s="180">
        <f t="shared" ca="1" si="248"/>
        <v>0.05</v>
      </c>
      <c r="AY439" s="286">
        <f t="shared" ca="1" si="249"/>
        <v>0</v>
      </c>
      <c r="AZ439" s="286">
        <f t="shared" ca="1" si="250"/>
        <v>0</v>
      </c>
      <c r="BA439" s="286">
        <f t="shared" ca="1" si="251"/>
        <v>0</v>
      </c>
      <c r="BB439" s="286">
        <f t="shared" ca="1" si="252"/>
        <v>0</v>
      </c>
      <c r="BC439" s="286">
        <f t="shared" ca="1" si="253"/>
        <v>0</v>
      </c>
      <c r="BD439" s="180">
        <f t="shared" ca="1" si="254"/>
        <v>0.05</v>
      </c>
      <c r="BE439" s="180">
        <f t="shared" ca="1" si="255"/>
        <v>0.05</v>
      </c>
      <c r="BF439" s="286">
        <f t="shared" ca="1" si="256"/>
        <v>0</v>
      </c>
      <c r="BG439" s="286">
        <f t="shared" ca="1" si="257"/>
        <v>0</v>
      </c>
    </row>
    <row r="440" spans="1:59">
      <c r="A440" s="1">
        <f t="shared" ca="1" si="236"/>
        <v>37</v>
      </c>
      <c r="B440" s="1">
        <f t="shared" ca="1" si="230"/>
        <v>142</v>
      </c>
      <c r="C440" s="1">
        <f t="shared" ca="1" si="231"/>
        <v>10</v>
      </c>
      <c r="D440" s="1">
        <f ca="1">MIN($D$3,VLOOKUP(C440,OP!$S$30:$T$41,2))</f>
        <v>2</v>
      </c>
      <c r="E440" s="1">
        <f t="shared" ca="1" si="232"/>
        <v>91</v>
      </c>
      <c r="F440" s="11" t="str">
        <f t="shared" ca="1" si="237"/>
        <v/>
      </c>
      <c r="G440" s="8">
        <f t="shared" ca="1" si="264"/>
        <v>365</v>
      </c>
      <c r="H440" s="8">
        <f t="shared" ca="1" si="239"/>
        <v>31</v>
      </c>
      <c r="I440" s="8" t="str">
        <f t="shared" ca="1" si="235"/>
        <v>3710</v>
      </c>
      <c r="J440" s="13">
        <f>IF(繳費報酬率資料!$A$1=1,VALUE(OP!$C$121),VLOOKUP(A440,MP,2,0))</f>
        <v>0.05</v>
      </c>
      <c r="K440" s="14">
        <f ca="1">IF(SUM($K$4:K439,IF(繳費報酬率資料!$A$1=1,$AU440+$AV440,$BB440+$BC440))&gt;OP!$L$58,0,IF(繳費報酬率資料!$A$1=1,$AU440+$AV440,$BB440+$BC440))</f>
        <v>0</v>
      </c>
      <c r="L440" s="2"/>
      <c r="M440" s="2"/>
      <c r="N440" s="2"/>
      <c r="O440" s="261">
        <f t="shared" ca="1" si="240"/>
        <v>0</v>
      </c>
      <c r="P440" s="261">
        <f t="shared" ca="1" si="258"/>
        <v>0</v>
      </c>
      <c r="Q440" s="3">
        <f ca="1">IF(A440&gt;MAX(OP!$R$17:$R$26),0,VLOOKUP(A440,fees,3,FALSE))</f>
        <v>0</v>
      </c>
      <c r="R440" s="200" t="str">
        <f t="shared" ca="1" si="241"/>
        <v/>
      </c>
      <c r="S440" s="9" t="str">
        <f ca="1">IF(COUNTIF(($T$4:T439),"F")&gt;=1,"",IF(OR(C441&lt;&gt;$C$3,E440=""),"",A440))</f>
        <v/>
      </c>
      <c r="T440" s="20" t="str">
        <f t="shared" ca="1" si="233"/>
        <v/>
      </c>
      <c r="U440" s="2">
        <f ca="1">IF(IF(OP!$C$83=1,$Z439,IF(OP!$C$83=2,$AA439,IF(OP!$C$83=3,$AB439,)))+$K440-$O440-$P440-$AS440&lt;OP!$C$142,0,$AS440)</f>
        <v>0</v>
      </c>
      <c r="V440" s="9"/>
      <c r="W440" s="19">
        <f ca="1">MAX(SUM($K$4:K440),0)</f>
        <v>2000000</v>
      </c>
      <c r="X440" s="19"/>
      <c r="Y440" s="19">
        <f t="shared" ca="1" si="259"/>
        <v>1920000</v>
      </c>
      <c r="Z440" s="2">
        <f ca="1">IF(MIN($Z$4:Z439)=0,0,MAX(0,($Z439+$K440-$O440-$P440)*IF(AND(F440="F",$D$3&lt;&gt;$G$3),((1+(-J440))^(H440/MIN(G440,365))),((1+(-J440))^(1/12)))-$U440))</f>
        <v>296530.37579785904</v>
      </c>
      <c r="AA440" s="2">
        <f ca="1">IF(MIN($AA$4:AA439)=0,0,MAX(0,($AA439+$K440-$O440-$P440)*IF(AND(F440="F",$D$3&lt;&gt;$G$3),((1+$AA$1)^(H440/MIN(G440,365))),((1+$AA$1)^(1/12)))-$U440))</f>
        <v>1920000</v>
      </c>
      <c r="AB440" s="2">
        <f ca="1">IF(MIN($AB$4:AB439)=0,0,MAX(0,($AB439+$K440-$O440-$P440)*IF(AND(F440="F",$D$3&lt;&gt;$G$3),((1+(J440))^(H440/MIN(G440,365))),((1+(J440))^(1/12)))-$U440))</f>
        <v>11348667.443886848</v>
      </c>
      <c r="AC440" s="5"/>
      <c r="AD440" s="5"/>
      <c r="AE440" s="5"/>
      <c r="AF440" s="282">
        <f t="shared" ca="1" si="242"/>
        <v>296530</v>
      </c>
      <c r="AG440" s="282">
        <f t="shared" ca="1" si="243"/>
        <v>1920000</v>
      </c>
      <c r="AH440" s="282">
        <f t="shared" ca="1" si="244"/>
        <v>11348667</v>
      </c>
      <c r="AI440" s="23" t="str">
        <f t="shared" ca="1" si="260"/>
        <v>37-6</v>
      </c>
      <c r="AJ440" s="282">
        <f ca="1">IF(E440&gt;111,,IF(AND(OP!$C$99=1,T440="F"),Z440,IF(AND(OP!$C$99=2,COUNTIF($T$4:T440,"F")=1),OP!$C$97+IF(F440="F",OP!$C$98,0),"")))</f>
        <v>54527</v>
      </c>
      <c r="AK440" s="282">
        <f ca="1">IF(E440&gt;111,,IF(AND(OP!$D$99=1,T440="F"),AA440,IF(AND(OP!$D$99=2,COUNTIF($T$4:T440,"F")=1),OP!$D$97+IF(F440="F",OP!$D$98,0),"")))</f>
        <v>74177</v>
      </c>
      <c r="AL440" s="282">
        <f ca="1">IF(E440&gt;111,,IF(AND(OP!$E$99=1,T440="F"),AB440,IF(AND(OP!$E$99=2,COUNTIF($T$4:T440,"F")=1),OP!$E$97+IF(F440="F",OP!$E$98,0),"")))</f>
        <v>99404</v>
      </c>
      <c r="AM440" s="1">
        <f t="shared" ca="1" si="234"/>
        <v>6</v>
      </c>
      <c r="AN440" s="1" t="e">
        <f ca="1">IF(OR(VLOOKUP($A440,MP,5,0)="月繳"),1,"")</f>
        <v>#N/A</v>
      </c>
      <c r="AO440" s="1">
        <f t="shared" ca="1" si="245"/>
        <v>0</v>
      </c>
      <c r="AP440" s="1" t="str">
        <f ca="1">IF(AND(A440&lt;=OP!$C$120,COUNTIF(PAY,C440)=1),1,"")</f>
        <v/>
      </c>
      <c r="AR440" s="301">
        <f ca="1">IF(繳費報酬率資料!$A$1=1,$AY440+$AZ440,$BF440+$BG440)</f>
        <v>0</v>
      </c>
      <c r="AS440" s="1">
        <f ca="1">IF(C440&lt;&gt;IF($C$3=1,12,$C$3-1),0,IF(繳費報酬率資料!$A$1&lt;&gt;1,VLOOKUP($A440,MP,8,0),IF(AND($A440&gt;=OP!$C$79,$A440&lt;=OP!$C$80),OP!$C$78,)))</f>
        <v>0</v>
      </c>
      <c r="AT440" s="298">
        <f t="shared" ca="1" si="246"/>
        <v>0</v>
      </c>
      <c r="AU440" s="298">
        <f ca="1">IF(AND(A440&lt;=OP!$C$120,COUNTIF(PAY,C440)=1),OP!$C$123,0)</f>
        <v>0</v>
      </c>
      <c r="AV440" s="298">
        <f ca="1">IF(AND(A440&gt;=OP!$C$132,A440&lt;=OP!$C$133,$C$3=C440),OP!$C$135,0)</f>
        <v>0</v>
      </c>
      <c r="AW440" s="180">
        <f t="shared" ca="1" si="247"/>
        <v>0.05</v>
      </c>
      <c r="AX440" s="180">
        <f t="shared" ca="1" si="248"/>
        <v>0.05</v>
      </c>
      <c r="AY440" s="286">
        <f t="shared" ca="1" si="249"/>
        <v>0</v>
      </c>
      <c r="AZ440" s="286">
        <f t="shared" ca="1" si="250"/>
        <v>0</v>
      </c>
      <c r="BA440" s="286">
        <f t="shared" ca="1" si="251"/>
        <v>0</v>
      </c>
      <c r="BB440" s="286">
        <f t="shared" ca="1" si="252"/>
        <v>0</v>
      </c>
      <c r="BC440" s="286">
        <f t="shared" ca="1" si="253"/>
        <v>0</v>
      </c>
      <c r="BD440" s="180">
        <f t="shared" ca="1" si="254"/>
        <v>0.05</v>
      </c>
      <c r="BE440" s="180">
        <f t="shared" ca="1" si="255"/>
        <v>0.05</v>
      </c>
      <c r="BF440" s="286">
        <f t="shared" ca="1" si="256"/>
        <v>0</v>
      </c>
      <c r="BG440" s="286">
        <f t="shared" ca="1" si="257"/>
        <v>0</v>
      </c>
    </row>
    <row r="441" spans="1:59">
      <c r="A441" s="1">
        <f t="shared" ca="1" si="236"/>
        <v>37</v>
      </c>
      <c r="B441" s="1">
        <f t="shared" ca="1" si="230"/>
        <v>142</v>
      </c>
      <c r="C441" s="1">
        <f t="shared" ca="1" si="231"/>
        <v>11</v>
      </c>
      <c r="D441" s="1">
        <f ca="1">MIN($D$3,VLOOKUP(C441,OP!$S$30:$T$41,2))</f>
        <v>2</v>
      </c>
      <c r="E441" s="1">
        <f t="shared" ca="1" si="232"/>
        <v>91</v>
      </c>
      <c r="F441" s="11" t="str">
        <f t="shared" ca="1" si="237"/>
        <v/>
      </c>
      <c r="G441" s="8">
        <f t="shared" ca="1" si="264"/>
        <v>365</v>
      </c>
      <c r="H441" s="8">
        <f t="shared" ca="1" si="239"/>
        <v>30</v>
      </c>
      <c r="I441" s="8" t="str">
        <f t="shared" ca="1" si="235"/>
        <v>3711</v>
      </c>
      <c r="J441" s="13">
        <f>IF(繳費報酬率資料!$A$1=1,VALUE(OP!$C$121),VLOOKUP(A441,MP,2,0))</f>
        <v>0.05</v>
      </c>
      <c r="K441" s="14">
        <f ca="1">IF(SUM($K$4:K440,IF(繳費報酬率資料!$A$1=1,$AU441+$AV441,$BB441+$BC441))&gt;OP!$L$58,0,IF(繳費報酬率資料!$A$1=1,$AU441+$AV441,$BB441+$BC441))</f>
        <v>0</v>
      </c>
      <c r="L441" s="2"/>
      <c r="M441" s="2"/>
      <c r="N441" s="2"/>
      <c r="O441" s="261">
        <f t="shared" ca="1" si="240"/>
        <v>0</v>
      </c>
      <c r="P441" s="261">
        <f t="shared" ca="1" si="258"/>
        <v>0</v>
      </c>
      <c r="Q441" s="3">
        <f ca="1">IF(A441&gt;MAX(OP!$R$17:$R$26),0,VLOOKUP(A441,fees,3,FALSE))</f>
        <v>0</v>
      </c>
      <c r="R441" s="200" t="str">
        <f t="shared" ca="1" si="241"/>
        <v/>
      </c>
      <c r="S441" s="9" t="str">
        <f ca="1">IF(COUNTIF(($T$4:T440),"F")&gt;=1,"",IF(OR(C442&lt;&gt;$C$3,E441=""),"",A441))</f>
        <v/>
      </c>
      <c r="T441" s="20" t="str">
        <f t="shared" ca="1" si="233"/>
        <v/>
      </c>
      <c r="U441" s="2">
        <f ca="1">IF(IF(OP!$C$83=1,$Z440,IF(OP!$C$83=2,$AA440,IF(OP!$C$83=3,$AB440,)))+$K441-$O441-$P441-$AS441&lt;OP!$C$142,0,$AS441)</f>
        <v>0</v>
      </c>
      <c r="V441" s="9"/>
      <c r="W441" s="19">
        <f ca="1">MAX(SUM($K$4:K441),0)</f>
        <v>2000000</v>
      </c>
      <c r="X441" s="19"/>
      <c r="Y441" s="19">
        <f t="shared" ca="1" si="259"/>
        <v>1920000</v>
      </c>
      <c r="Z441" s="2">
        <f ca="1">IF(MIN($Z$4:Z440)=0,0,MAX(0,($Z440+$K441-$O441-$P441)*IF(AND(F441="F",$D$3&lt;&gt;$G$3),((1+(-J441))^(H441/MIN(G441,365))),((1+(-J441))^(1/12)))-$U441))</f>
        <v>295265.57921785134</v>
      </c>
      <c r="AA441" s="2">
        <f ca="1">IF(MIN($AA$4:AA440)=0,0,MAX(0,($AA440+$K441-$O441-$P441)*IF(AND(F441="F",$D$3&lt;&gt;$G$3),((1+$AA$1)^(H441/MIN(G441,365))),((1+$AA$1)^(1/12)))-$U441))</f>
        <v>1920000</v>
      </c>
      <c r="AB441" s="2">
        <f ca="1">IF(MIN($AB$4:AB440)=0,0,MAX(0,($AB440+$K441-$O441-$P441)*IF(AND(F441="F",$D$3&lt;&gt;$G$3),((1+(J441))^(H441/MIN(G441,365))),((1+(J441))^(1/12)))-$U441))</f>
        <v>11394903.319832703</v>
      </c>
      <c r="AC441" s="5"/>
      <c r="AD441" s="5"/>
      <c r="AE441" s="5"/>
      <c r="AF441" s="282">
        <f t="shared" ca="1" si="242"/>
        <v>295266</v>
      </c>
      <c r="AG441" s="282">
        <f t="shared" ca="1" si="243"/>
        <v>1920000</v>
      </c>
      <c r="AH441" s="282">
        <f t="shared" ca="1" si="244"/>
        <v>11394903</v>
      </c>
      <c r="AI441" s="23" t="str">
        <f t="shared" ca="1" si="260"/>
        <v>37-7</v>
      </c>
      <c r="AJ441" s="282">
        <f ca="1">IF(E441&gt;111,,IF(AND(OP!$C$99=1,T441="F"),Z441,IF(AND(OP!$C$99=2,COUNTIF($T$4:T441,"F")=1),OP!$C$97+IF(F441="F",OP!$C$98,0),"")))</f>
        <v>54527</v>
      </c>
      <c r="AK441" s="282">
        <f ca="1">IF(E441&gt;111,,IF(AND(OP!$D$99=1,T441="F"),AA441,IF(AND(OP!$D$99=2,COUNTIF($T$4:T441,"F")=1),OP!$D$97+IF(F441="F",OP!$D$98,0),"")))</f>
        <v>74177</v>
      </c>
      <c r="AL441" s="282">
        <f ca="1">IF(E441&gt;111,,IF(AND(OP!$E$99=1,T441="F"),AB441,IF(AND(OP!$E$99=2,COUNTIF($T$4:T441,"F")=1),OP!$E$97+IF(F441="F",OP!$E$98,0),"")))</f>
        <v>99404</v>
      </c>
      <c r="AM441" s="1">
        <f t="shared" ca="1" si="234"/>
        <v>7</v>
      </c>
      <c r="AN441" s="1" t="e">
        <f ca="1">IF(OR(VLOOKUP($A441,MP,5,0)="月繳"),1,"")</f>
        <v>#N/A</v>
      </c>
      <c r="AO441" s="1">
        <f t="shared" ca="1" si="245"/>
        <v>0</v>
      </c>
      <c r="AP441" s="1" t="str">
        <f ca="1">IF(AND(A441&lt;=OP!$C$120,COUNTIF(PAY,C441)=1),1,"")</f>
        <v/>
      </c>
      <c r="AR441" s="301">
        <f ca="1">IF(繳費報酬率資料!$A$1=1,$AY441+$AZ441,$BF441+$BG441)</f>
        <v>0</v>
      </c>
      <c r="AS441" s="1">
        <f ca="1">IF(C441&lt;&gt;IF($C$3=1,12,$C$3-1),0,IF(繳費報酬率資料!$A$1&lt;&gt;1,VLOOKUP($A441,MP,8,0),IF(AND($A441&gt;=OP!$C$79,$A441&lt;=OP!$C$80),OP!$C$78,)))</f>
        <v>0</v>
      </c>
      <c r="AT441" s="298">
        <f t="shared" ca="1" si="246"/>
        <v>0</v>
      </c>
      <c r="AU441" s="298">
        <f ca="1">IF(AND(A441&lt;=OP!$C$120,COUNTIF(PAY,C441)=1),OP!$C$123,0)</f>
        <v>0</v>
      </c>
      <c r="AV441" s="298">
        <f ca="1">IF(AND(A441&gt;=OP!$C$132,A441&lt;=OP!$C$133,$C$3=C441),OP!$C$135,0)</f>
        <v>0</v>
      </c>
      <c r="AW441" s="180">
        <f t="shared" ca="1" si="247"/>
        <v>0.05</v>
      </c>
      <c r="AX441" s="180">
        <f t="shared" ca="1" si="248"/>
        <v>0.05</v>
      </c>
      <c r="AY441" s="286">
        <f t="shared" ca="1" si="249"/>
        <v>0</v>
      </c>
      <c r="AZ441" s="286">
        <f t="shared" ca="1" si="250"/>
        <v>0</v>
      </c>
      <c r="BA441" s="286">
        <f t="shared" ca="1" si="251"/>
        <v>0</v>
      </c>
      <c r="BB441" s="286">
        <f t="shared" ca="1" si="252"/>
        <v>0</v>
      </c>
      <c r="BC441" s="286">
        <f t="shared" ca="1" si="253"/>
        <v>0</v>
      </c>
      <c r="BD441" s="180">
        <f t="shared" ca="1" si="254"/>
        <v>0.05</v>
      </c>
      <c r="BE441" s="180">
        <f t="shared" ca="1" si="255"/>
        <v>0.05</v>
      </c>
      <c r="BF441" s="286">
        <f t="shared" ca="1" si="256"/>
        <v>0</v>
      </c>
      <c r="BG441" s="286">
        <f t="shared" ca="1" si="257"/>
        <v>0</v>
      </c>
    </row>
    <row r="442" spans="1:59">
      <c r="A442" s="1">
        <f t="shared" ca="1" si="236"/>
        <v>37</v>
      </c>
      <c r="B442" s="1">
        <f t="shared" ca="1" si="230"/>
        <v>142</v>
      </c>
      <c r="C442" s="1">
        <f t="shared" ca="1" si="231"/>
        <v>12</v>
      </c>
      <c r="D442" s="1">
        <f ca="1">MIN($D$3,VLOOKUP(C442,OP!$S$30:$T$41,2))</f>
        <v>2</v>
      </c>
      <c r="E442" s="1">
        <f t="shared" ca="1" si="232"/>
        <v>91</v>
      </c>
      <c r="F442" s="11" t="str">
        <f t="shared" ca="1" si="237"/>
        <v/>
      </c>
      <c r="G442" s="8">
        <f t="shared" ca="1" si="264"/>
        <v>365</v>
      </c>
      <c r="H442" s="8">
        <f t="shared" ca="1" si="239"/>
        <v>31</v>
      </c>
      <c r="I442" s="8" t="str">
        <f t="shared" ca="1" si="235"/>
        <v>3712</v>
      </c>
      <c r="J442" s="13">
        <f>IF(繳費報酬率資料!$A$1=1,VALUE(OP!$C$121),VLOOKUP(A442,MP,2,0))</f>
        <v>0.05</v>
      </c>
      <c r="K442" s="14">
        <f ca="1">IF(SUM($K$4:K441,IF(繳費報酬率資料!$A$1=1,$AU442+$AV442,$BB442+$BC442))&gt;OP!$L$58,0,IF(繳費報酬率資料!$A$1=1,$AU442+$AV442,$BB442+$BC442))</f>
        <v>0</v>
      </c>
      <c r="L442" s="2"/>
      <c r="M442" s="2"/>
      <c r="N442" s="2"/>
      <c r="O442" s="261">
        <f t="shared" ca="1" si="240"/>
        <v>0</v>
      </c>
      <c r="P442" s="261">
        <f t="shared" ca="1" si="258"/>
        <v>0</v>
      </c>
      <c r="Q442" s="3">
        <f ca="1">IF(A442&gt;MAX(OP!$R$17:$R$26),0,VLOOKUP(A442,fees,3,FALSE))</f>
        <v>0</v>
      </c>
      <c r="R442" s="200" t="str">
        <f t="shared" ca="1" si="241"/>
        <v/>
      </c>
      <c r="S442" s="9" t="str">
        <f ca="1">IF(COUNTIF(($T$4:T441),"F")&gt;=1,"",IF(OR(C443&lt;&gt;$C$3,E442=""),"",A442))</f>
        <v/>
      </c>
      <c r="T442" s="20" t="str">
        <f t="shared" ca="1" si="233"/>
        <v/>
      </c>
      <c r="U442" s="2">
        <f ca="1">IF(IF(OP!$C$83=1,$Z441,IF(OP!$C$83=2,$AA441,IF(OP!$C$83=3,$AB441,)))+$K442-$O442-$P442-$AS442&lt;OP!$C$142,0,$AS442)</f>
        <v>0</v>
      </c>
      <c r="V442" s="9"/>
      <c r="W442" s="19">
        <f ca="1">MAX(SUM($K$4:K442),0)</f>
        <v>2000000</v>
      </c>
      <c r="X442" s="19"/>
      <c r="Y442" s="19">
        <f t="shared" ca="1" si="259"/>
        <v>1920000</v>
      </c>
      <c r="Z442" s="2">
        <f ca="1">IF(MIN($Z$4:Z441)=0,0,MAX(0,($Z441+$K442-$O442-$P442)*IF(AND(F442="F",$D$3&lt;&gt;$G$3),((1+(-J442))^(H442/MIN(G442,365))),((1+(-J442))^(1/12)))-$U442))</f>
        <v>294006.17739844613</v>
      </c>
      <c r="AA442" s="2">
        <f ca="1">IF(MIN($AA$4:AA441)=0,0,MAX(0,($AA441+$K442-$O442-$P442)*IF(AND(F442="F",$D$3&lt;&gt;$G$3),((1+$AA$1)^(H442/MIN(G442,365))),((1+$AA$1)^(1/12)))-$U442))</f>
        <v>1920000</v>
      </c>
      <c r="AB442" s="2">
        <f ca="1">IF(MIN($AB$4:AB441)=0,0,MAX(0,($AB441+$K442-$O442-$P442)*IF(AND(F442="F",$D$3&lt;&gt;$G$3),((1+(J442))^(H442/MIN(G442,365))),((1+(J442))^(1/12)))-$U442))</f>
        <v>11441327.566460406</v>
      </c>
      <c r="AC442" s="5"/>
      <c r="AD442" s="5"/>
      <c r="AE442" s="5"/>
      <c r="AF442" s="282">
        <f t="shared" ca="1" si="242"/>
        <v>294006</v>
      </c>
      <c r="AG442" s="282">
        <f t="shared" ca="1" si="243"/>
        <v>1920000</v>
      </c>
      <c r="AH442" s="282">
        <f t="shared" ca="1" si="244"/>
        <v>11441328</v>
      </c>
      <c r="AI442" s="23" t="str">
        <f t="shared" ca="1" si="260"/>
        <v>37-8</v>
      </c>
      <c r="AJ442" s="282">
        <f ca="1">IF(E442&gt;111,,IF(AND(OP!$C$99=1,T442="F"),Z442,IF(AND(OP!$C$99=2,COUNTIF($T$4:T442,"F")=1),OP!$C$97+IF(F442="F",OP!$C$98,0),"")))</f>
        <v>54527</v>
      </c>
      <c r="AK442" s="282">
        <f ca="1">IF(E442&gt;111,,IF(AND(OP!$D$99=1,T442="F"),AA442,IF(AND(OP!$D$99=2,COUNTIF($T$4:T442,"F")=1),OP!$D$97+IF(F442="F",OP!$D$98,0),"")))</f>
        <v>74177</v>
      </c>
      <c r="AL442" s="282">
        <f ca="1">IF(E442&gt;111,,IF(AND(OP!$E$99=1,T442="F"),AB442,IF(AND(OP!$E$99=2,COUNTIF($T$4:T442,"F")=1),OP!$E$97+IF(F442="F",OP!$E$98,0),"")))</f>
        <v>99404</v>
      </c>
      <c r="AM442" s="1">
        <f t="shared" ca="1" si="234"/>
        <v>8</v>
      </c>
      <c r="AN442" s="1" t="e">
        <f ca="1">IF(OR(VLOOKUP($A442,MP,5,0)="半年繳",VLOOKUP($A442,MP,5,0)="季繳",VLOOKUP($A442,MP,5,0)="月繳"),1,"")</f>
        <v>#N/A</v>
      </c>
      <c r="AO442" s="1">
        <f t="shared" ca="1" si="245"/>
        <v>0</v>
      </c>
      <c r="AP442" s="1" t="str">
        <f ca="1">IF(AND(A442&lt;=OP!$C$120,COUNTIF(PAY,C442)=1),1,"")</f>
        <v/>
      </c>
      <c r="AR442" s="301">
        <f ca="1">IF(繳費報酬率資料!$A$1=1,$AY442+$AZ442,$BF442+$BG442)</f>
        <v>0</v>
      </c>
      <c r="AS442" s="1">
        <f ca="1">IF(C442&lt;&gt;IF($C$3=1,12,$C$3-1),0,IF(繳費報酬率資料!$A$1&lt;&gt;1,VLOOKUP($A442,MP,8,0),IF(AND($A442&gt;=OP!$C$79,$A442&lt;=OP!$C$80),OP!$C$78,)))</f>
        <v>0</v>
      </c>
      <c r="AT442" s="298">
        <f t="shared" ca="1" si="246"/>
        <v>0</v>
      </c>
      <c r="AU442" s="298">
        <f ca="1">IF(AND(A442&lt;=OP!$C$120,COUNTIF(PAY,C442)=1),OP!$C$123,0)</f>
        <v>0</v>
      </c>
      <c r="AV442" s="298">
        <f ca="1">IF(AND(A442&gt;=OP!$C$132,A442&lt;=OP!$C$133,$C$3=C442),OP!$C$135,0)</f>
        <v>0</v>
      </c>
      <c r="AW442" s="180">
        <f t="shared" ca="1" si="247"/>
        <v>0.05</v>
      </c>
      <c r="AX442" s="180">
        <f t="shared" ca="1" si="248"/>
        <v>0.05</v>
      </c>
      <c r="AY442" s="286">
        <f t="shared" ca="1" si="249"/>
        <v>0</v>
      </c>
      <c r="AZ442" s="286">
        <f t="shared" ca="1" si="250"/>
        <v>0</v>
      </c>
      <c r="BA442" s="286">
        <f t="shared" ca="1" si="251"/>
        <v>0</v>
      </c>
      <c r="BB442" s="286">
        <f t="shared" ca="1" si="252"/>
        <v>0</v>
      </c>
      <c r="BC442" s="286">
        <f t="shared" ca="1" si="253"/>
        <v>0</v>
      </c>
      <c r="BD442" s="180">
        <f t="shared" ca="1" si="254"/>
        <v>0.05</v>
      </c>
      <c r="BE442" s="180">
        <f t="shared" ca="1" si="255"/>
        <v>0.05</v>
      </c>
      <c r="BF442" s="286">
        <f t="shared" ca="1" si="256"/>
        <v>0</v>
      </c>
      <c r="BG442" s="286">
        <f t="shared" ca="1" si="257"/>
        <v>0</v>
      </c>
    </row>
    <row r="443" spans="1:59">
      <c r="A443" s="1">
        <f t="shared" ca="1" si="236"/>
        <v>37</v>
      </c>
      <c r="B443" s="1">
        <f t="shared" ca="1" si="230"/>
        <v>143</v>
      </c>
      <c r="C443" s="1">
        <f t="shared" ca="1" si="231"/>
        <v>1</v>
      </c>
      <c r="D443" s="1">
        <f ca="1">MIN($D$3,VLOOKUP(C443,OP!$S$30:$T$41,2))</f>
        <v>2</v>
      </c>
      <c r="E443" s="1">
        <f t="shared" ca="1" si="232"/>
        <v>91</v>
      </c>
      <c r="F443" s="11" t="str">
        <f t="shared" ca="1" si="237"/>
        <v/>
      </c>
      <c r="G443" s="8">
        <f t="shared" ca="1" si="264"/>
        <v>365</v>
      </c>
      <c r="H443" s="8">
        <f t="shared" ca="1" si="239"/>
        <v>31</v>
      </c>
      <c r="I443" s="8" t="str">
        <f t="shared" ca="1" si="235"/>
        <v>371</v>
      </c>
      <c r="J443" s="13">
        <f>IF(繳費報酬率資料!$A$1=1,VALUE(OP!$C$121),VLOOKUP(A443,MP,2,0))</f>
        <v>0.05</v>
      </c>
      <c r="K443" s="14">
        <f ca="1">IF(SUM($K$4:K442,IF(繳費報酬率資料!$A$1=1,$AU443+$AV443,$BB443+$BC443))&gt;OP!$L$58,0,IF(繳費報酬率資料!$A$1=1,$AU443+$AV443,$BB443+$BC443))</f>
        <v>0</v>
      </c>
      <c r="L443" s="2"/>
      <c r="M443" s="2"/>
      <c r="N443" s="2"/>
      <c r="O443" s="261">
        <f t="shared" ca="1" si="240"/>
        <v>0</v>
      </c>
      <c r="P443" s="261">
        <f t="shared" ca="1" si="258"/>
        <v>0</v>
      </c>
      <c r="Q443" s="3">
        <f ca="1">IF(A443&gt;MAX(OP!$R$17:$R$26),0,VLOOKUP(A443,fees,3,FALSE))</f>
        <v>0</v>
      </c>
      <c r="R443" s="200" t="str">
        <f t="shared" ca="1" si="241"/>
        <v/>
      </c>
      <c r="S443" s="9" t="str">
        <f ca="1">IF(COUNTIF(($T$4:T442),"F")&gt;=1,"",IF(OR(C444&lt;&gt;$C$3,E443=""),"",A443))</f>
        <v/>
      </c>
      <c r="T443" s="20" t="str">
        <f t="shared" ca="1" si="233"/>
        <v/>
      </c>
      <c r="U443" s="2">
        <f ca="1">IF(IF(OP!$C$83=1,$Z442,IF(OP!$C$83=2,$AA442,IF(OP!$C$83=3,$AB442,)))+$K443-$O443-$P443-$AS443&lt;OP!$C$142,0,$AS443)</f>
        <v>0</v>
      </c>
      <c r="V443" s="9"/>
      <c r="W443" s="19">
        <f ca="1">MAX(SUM($K$4:K443),0)</f>
        <v>2000000</v>
      </c>
      <c r="X443" s="19"/>
      <c r="Y443" s="19">
        <f t="shared" ca="1" si="259"/>
        <v>1920000</v>
      </c>
      <c r="Z443" s="2">
        <f ca="1">IF(MIN($Z$4:Z442)=0,0,MAX(0,($Z442+$K443-$O443-$P443)*IF(AND(F443="F",$D$3&lt;&gt;$G$3),((1+(-J443))^(H443/MIN(G443,365))),((1+(-J443))^(1/12)))-$U443))</f>
        <v>292752.14732926973</v>
      </c>
      <c r="AA443" s="2">
        <f ca="1">IF(MIN($AA$4:AA442)=0,0,MAX(0,($AA442+$K443-$O443-$P443)*IF(AND(F443="F",$D$3&lt;&gt;$G$3),((1+$AA$1)^(H443/MIN(G443,365))),((1+$AA$1)^(1/12)))-$U443))</f>
        <v>1920000</v>
      </c>
      <c r="AB443" s="2">
        <f ca="1">IF(MIN($AB$4:AB442)=0,0,MAX(0,($AB442+$K443-$O443-$P443)*IF(AND(F443="F",$D$3&lt;&gt;$G$3),((1+(J443))^(H443/MIN(G443,365))),((1+(J443))^(1/12)))-$U443))</f>
        <v>11487940.951215435</v>
      </c>
      <c r="AC443" s="5"/>
      <c r="AD443" s="5"/>
      <c r="AE443" s="5"/>
      <c r="AF443" s="282">
        <f t="shared" ca="1" si="242"/>
        <v>292752</v>
      </c>
      <c r="AG443" s="282">
        <f t="shared" ca="1" si="243"/>
        <v>1920000</v>
      </c>
      <c r="AH443" s="282">
        <f t="shared" ca="1" si="244"/>
        <v>11487941</v>
      </c>
      <c r="AI443" s="23" t="str">
        <f t="shared" ca="1" si="260"/>
        <v>37-9</v>
      </c>
      <c r="AJ443" s="282">
        <f ca="1">IF(E443&gt;111,,IF(AND(OP!$C$99=1,T443="F"),Z443,IF(AND(OP!$C$99=2,COUNTIF($T$4:T443,"F")=1),OP!$C$97+IF(F443="F",OP!$C$98,0),"")))</f>
        <v>54527</v>
      </c>
      <c r="AK443" s="282">
        <f ca="1">IF(E443&gt;111,,IF(AND(OP!$D$99=1,T443="F"),AA443,IF(AND(OP!$D$99=2,COUNTIF($T$4:T443,"F")=1),OP!$D$97+IF(F443="F",OP!$D$98,0),"")))</f>
        <v>74177</v>
      </c>
      <c r="AL443" s="282">
        <f ca="1">IF(E443&gt;111,,IF(AND(OP!$E$99=1,T443="F"),AB443,IF(AND(OP!$E$99=2,COUNTIF($T$4:T443,"F")=1),OP!$E$97+IF(F443="F",OP!$E$98,0),"")))</f>
        <v>99404</v>
      </c>
      <c r="AM443" s="1">
        <f t="shared" ca="1" si="234"/>
        <v>9</v>
      </c>
      <c r="AN443" s="1" t="e">
        <f ca="1">IF(OR(VLOOKUP($A443,MP,5,0)="月繳"),1,"")</f>
        <v>#N/A</v>
      </c>
      <c r="AO443" s="1">
        <f t="shared" ca="1" si="245"/>
        <v>0</v>
      </c>
      <c r="AP443" s="1" t="str">
        <f ca="1">IF(AND(A443&lt;=OP!$C$120,COUNTIF(PAY,C443)=1),1,"")</f>
        <v/>
      </c>
      <c r="AR443" s="301">
        <f ca="1">IF(繳費報酬率資料!$A$1=1,$AY443+$AZ443,$BF443+$BG443)</f>
        <v>0</v>
      </c>
      <c r="AS443" s="1">
        <f ca="1">IF(C443&lt;&gt;IF($C$3=1,12,$C$3-1),0,IF(繳費報酬率資料!$A$1&lt;&gt;1,VLOOKUP($A443,MP,8,0),IF(AND($A443&gt;=OP!$C$79,$A443&lt;=OP!$C$80),OP!$C$78,)))</f>
        <v>0</v>
      </c>
      <c r="AT443" s="298">
        <f t="shared" ca="1" si="246"/>
        <v>0</v>
      </c>
      <c r="AU443" s="298">
        <f ca="1">IF(AND(A443&lt;=OP!$C$120,COUNTIF(PAY,C443)=1),OP!$C$123,0)</f>
        <v>0</v>
      </c>
      <c r="AV443" s="298">
        <f ca="1">IF(AND(A443&gt;=OP!$C$132,A443&lt;=OP!$C$133,$C$3=C443),OP!$C$135,0)</f>
        <v>0</v>
      </c>
      <c r="AW443" s="180">
        <f t="shared" ca="1" si="247"/>
        <v>0.05</v>
      </c>
      <c r="AX443" s="180">
        <f t="shared" ca="1" si="248"/>
        <v>0.05</v>
      </c>
      <c r="AY443" s="286">
        <f t="shared" ca="1" si="249"/>
        <v>0</v>
      </c>
      <c r="AZ443" s="286">
        <f t="shared" ca="1" si="250"/>
        <v>0</v>
      </c>
      <c r="BA443" s="286">
        <f t="shared" ca="1" si="251"/>
        <v>0</v>
      </c>
      <c r="BB443" s="286">
        <f t="shared" ca="1" si="252"/>
        <v>0</v>
      </c>
      <c r="BC443" s="286">
        <f t="shared" ca="1" si="253"/>
        <v>0</v>
      </c>
      <c r="BD443" s="180">
        <f t="shared" ca="1" si="254"/>
        <v>0.05</v>
      </c>
      <c r="BE443" s="180">
        <f t="shared" ca="1" si="255"/>
        <v>0.05</v>
      </c>
      <c r="BF443" s="286">
        <f t="shared" ca="1" si="256"/>
        <v>0</v>
      </c>
      <c r="BG443" s="286">
        <f t="shared" ca="1" si="257"/>
        <v>0</v>
      </c>
    </row>
    <row r="444" spans="1:59">
      <c r="A444" s="1">
        <f t="shared" ca="1" si="236"/>
        <v>37</v>
      </c>
      <c r="B444" s="1">
        <f t="shared" ref="B444:B507" ca="1" si="265">IF(C444=1,B443+1,B443)</f>
        <v>143</v>
      </c>
      <c r="C444" s="1">
        <f t="shared" ref="C444:C507" ca="1" si="266">IF(C443=12,1,C443+1)</f>
        <v>2</v>
      </c>
      <c r="D444" s="1">
        <f ca="1">MIN($D$3,VLOOKUP(C444,OP!$S$30:$T$41,2))</f>
        <v>2</v>
      </c>
      <c r="E444" s="1">
        <f t="shared" ref="E444:E507" ca="1" si="267">IF($K$1+A444-1&gt;$D$1,"",$K$1+A444-1)</f>
        <v>91</v>
      </c>
      <c r="F444" s="11" t="str">
        <f t="shared" ca="1" si="237"/>
        <v/>
      </c>
      <c r="G444" s="8">
        <f t="shared" ca="1" si="264"/>
        <v>365</v>
      </c>
      <c r="H444" s="8">
        <f t="shared" ca="1" si="239"/>
        <v>28</v>
      </c>
      <c r="I444" s="8" t="str">
        <f t="shared" ca="1" si="235"/>
        <v>372</v>
      </c>
      <c r="J444" s="13">
        <f>IF(繳費報酬率資料!$A$1=1,VALUE(OP!$C$121),VLOOKUP(A444,MP,2,0))</f>
        <v>0.05</v>
      </c>
      <c r="K444" s="14">
        <f ca="1">IF(SUM($K$4:K443,IF(繳費報酬率資料!$A$1=1,$AU444+$AV444,$BB444+$BC444))&gt;OP!$L$58,0,IF(繳費報酬率資料!$A$1=1,$AU444+$AV444,$BB444+$BC444))</f>
        <v>0</v>
      </c>
      <c r="L444" s="2"/>
      <c r="M444" s="2"/>
      <c r="N444" s="2"/>
      <c r="O444" s="261">
        <f t="shared" ca="1" si="240"/>
        <v>0</v>
      </c>
      <c r="P444" s="261">
        <f t="shared" ca="1" si="258"/>
        <v>0</v>
      </c>
      <c r="Q444" s="3">
        <f ca="1">IF(A444&gt;MAX(OP!$R$17:$R$26),0,VLOOKUP(A444,fees,3,FALSE))</f>
        <v>0</v>
      </c>
      <c r="R444" s="200" t="str">
        <f t="shared" ca="1" si="241"/>
        <v/>
      </c>
      <c r="S444" s="9" t="str">
        <f ca="1">IF(COUNTIF(($T$4:T443),"F")&gt;=1,"",IF(OR(C445&lt;&gt;$C$3,E444=""),"",A444))</f>
        <v/>
      </c>
      <c r="T444" s="20" t="str">
        <f t="shared" ref="T444:T507" ca="1" si="268">IF(F444&lt;&gt;"","F","")</f>
        <v/>
      </c>
      <c r="U444" s="2">
        <f ca="1">IF(IF(OP!$C$83=1,$Z443,IF(OP!$C$83=2,$AA443,IF(OP!$C$83=3,$AB443,)))+$K444-$O444-$P444-$AS444&lt;OP!$C$142,0,$AS444)</f>
        <v>0</v>
      </c>
      <c r="V444" s="9"/>
      <c r="W444" s="19">
        <f ca="1">MAX(SUM($K$4:K444),0)</f>
        <v>2000000</v>
      </c>
      <c r="X444" s="19"/>
      <c r="Y444" s="19">
        <f t="shared" ca="1" si="259"/>
        <v>1920000</v>
      </c>
      <c r="Z444" s="2">
        <f ca="1">IF(MIN($Z$4:Z443)=0,0,MAX(0,($Z443+$K444-$O444-$P444)*IF(AND(F444="F",$D$3&lt;&gt;$G$3),((1+(-J444))^(H444/MIN(G444,365))),((1+(-J444))^(1/12)))-$U444))</f>
        <v>291503.466098095</v>
      </c>
      <c r="AA444" s="2">
        <f ca="1">IF(MIN($AA$4:AA443)=0,0,MAX(0,($AA443+$K444-$O444-$P444)*IF(AND(F444="F",$D$3&lt;&gt;$G$3),((1+$AA$1)^(H444/MIN(G444,365))),((1+$AA$1)^(1/12)))-$U444))</f>
        <v>1920000</v>
      </c>
      <c r="AB444" s="2">
        <f ca="1">IF(MIN($AB$4:AB443)=0,0,MAX(0,($AB443+$K444-$O444-$P444)*IF(AND(F444="F",$D$3&lt;&gt;$G$3),((1+(J444))^(H444/MIN(G444,365))),((1+(J444))^(1/12)))-$U444))</f>
        <v>11534744.244669929</v>
      </c>
      <c r="AC444" s="5"/>
      <c r="AD444" s="5"/>
      <c r="AE444" s="5"/>
      <c r="AF444" s="282">
        <f t="shared" ca="1" si="242"/>
        <v>291503</v>
      </c>
      <c r="AG444" s="282">
        <f t="shared" ca="1" si="243"/>
        <v>1920000</v>
      </c>
      <c r="AH444" s="282">
        <f t="shared" ca="1" si="244"/>
        <v>11534744</v>
      </c>
      <c r="AI444" s="23" t="str">
        <f t="shared" ca="1" si="260"/>
        <v>37-10</v>
      </c>
      <c r="AJ444" s="282">
        <f ca="1">IF(E444&gt;111,,IF(AND(OP!$C$99=1,T444="F"),Z444,IF(AND(OP!$C$99=2,COUNTIF($T$4:T444,"F")=1),OP!$C$97+IF(F444="F",OP!$C$98,0),"")))</f>
        <v>54527</v>
      </c>
      <c r="AK444" s="282">
        <f ca="1">IF(E444&gt;111,,IF(AND(OP!$D$99=1,T444="F"),AA444,IF(AND(OP!$D$99=2,COUNTIF($T$4:T444,"F")=1),OP!$D$97+IF(F444="F",OP!$D$98,0),"")))</f>
        <v>74177</v>
      </c>
      <c r="AL444" s="282">
        <f ca="1">IF(E444&gt;111,,IF(AND(OP!$E$99=1,T444="F"),AB444,IF(AND(OP!$E$99=2,COUNTIF($T$4:T444,"F")=1),OP!$E$97+IF(F444="F",OP!$E$98,0),"")))</f>
        <v>99404</v>
      </c>
      <c r="AM444" s="1">
        <f t="shared" ref="AM444:AM507" ca="1" si="269">IF(AND(AK444&lt;&gt;"",AM443=""),1,IF(AND(AK444&lt;&gt;"",AM443&gt;0),IF(AM443=12,1,AM443+1),""))</f>
        <v>10</v>
      </c>
      <c r="AN444" s="1" t="e">
        <f ca="1">IF(OR(VLOOKUP($A444,MP,5,0)="月繳"),1,"")</f>
        <v>#N/A</v>
      </c>
      <c r="AO444" s="1">
        <f t="shared" ca="1" si="245"/>
        <v>0</v>
      </c>
      <c r="AP444" s="1" t="str">
        <f ca="1">IF(AND(A444&lt;=OP!$C$120,COUNTIF(PAY,C444)=1),1,"")</f>
        <v/>
      </c>
      <c r="AR444" s="301">
        <f ca="1">IF(繳費報酬率資料!$A$1=1,$AY444+$AZ444,$BF444+$BG444)</f>
        <v>0</v>
      </c>
      <c r="AS444" s="1">
        <f ca="1">IF(C444&lt;&gt;IF($C$3=1,12,$C$3-1),0,IF(繳費報酬率資料!$A$1&lt;&gt;1,VLOOKUP($A444,MP,8,0),IF(AND($A444&gt;=OP!$C$79,$A444&lt;=OP!$C$80),OP!$C$78,)))</f>
        <v>0</v>
      </c>
      <c r="AT444" s="298">
        <f t="shared" ca="1" si="246"/>
        <v>0</v>
      </c>
      <c r="AU444" s="298">
        <f ca="1">IF(AND(A444&lt;=OP!$C$120,COUNTIF(PAY,C444)=1),OP!$C$123,0)</f>
        <v>0</v>
      </c>
      <c r="AV444" s="298">
        <f ca="1">IF(AND(A444&gt;=OP!$C$132,A444&lt;=OP!$C$133,$C$3=C444),OP!$C$135,0)</f>
        <v>0</v>
      </c>
      <c r="AW444" s="180">
        <f t="shared" ca="1" si="247"/>
        <v>0.05</v>
      </c>
      <c r="AX444" s="180">
        <f t="shared" ca="1" si="248"/>
        <v>0.05</v>
      </c>
      <c r="AY444" s="286">
        <f t="shared" ca="1" si="249"/>
        <v>0</v>
      </c>
      <c r="AZ444" s="286">
        <f t="shared" ca="1" si="250"/>
        <v>0</v>
      </c>
      <c r="BA444" s="286">
        <f t="shared" ca="1" si="251"/>
        <v>0</v>
      </c>
      <c r="BB444" s="286">
        <f t="shared" ca="1" si="252"/>
        <v>0</v>
      </c>
      <c r="BC444" s="286">
        <f t="shared" ca="1" si="253"/>
        <v>0</v>
      </c>
      <c r="BD444" s="180">
        <f t="shared" ca="1" si="254"/>
        <v>0.05</v>
      </c>
      <c r="BE444" s="180">
        <f t="shared" ca="1" si="255"/>
        <v>0.05</v>
      </c>
      <c r="BF444" s="286">
        <f t="shared" ca="1" si="256"/>
        <v>0</v>
      </c>
      <c r="BG444" s="286">
        <f t="shared" ca="1" si="257"/>
        <v>0</v>
      </c>
    </row>
    <row r="445" spans="1:59">
      <c r="A445" s="1">
        <f t="shared" ca="1" si="236"/>
        <v>37</v>
      </c>
      <c r="B445" s="1">
        <f t="shared" ca="1" si="265"/>
        <v>143</v>
      </c>
      <c r="C445" s="1">
        <f t="shared" ca="1" si="266"/>
        <v>3</v>
      </c>
      <c r="D445" s="1">
        <f ca="1">MIN($D$3,VLOOKUP(C445,OP!$S$30:$T$41,2))</f>
        <v>2</v>
      </c>
      <c r="E445" s="1">
        <f t="shared" ca="1" si="267"/>
        <v>91</v>
      </c>
      <c r="F445" s="11" t="str">
        <f t="shared" ca="1" si="237"/>
        <v/>
      </c>
      <c r="G445" s="8">
        <f t="shared" ca="1" si="264"/>
        <v>365</v>
      </c>
      <c r="H445" s="8">
        <f t="shared" ca="1" si="239"/>
        <v>31</v>
      </c>
      <c r="I445" s="8" t="str">
        <f t="shared" ca="1" si="235"/>
        <v>373</v>
      </c>
      <c r="J445" s="13">
        <f>IF(繳費報酬率資料!$A$1=1,VALUE(OP!$C$121),VLOOKUP(A445,MP,2,0))</f>
        <v>0.05</v>
      </c>
      <c r="K445" s="14">
        <f ca="1">IF(SUM($K$4:K444,IF(繳費報酬率資料!$A$1=1,$AU445+$AV445,$BB445+$BC445))&gt;OP!$L$58,0,IF(繳費報酬率資料!$A$1=1,$AU445+$AV445,$BB445+$BC445))</f>
        <v>0</v>
      </c>
      <c r="L445" s="2"/>
      <c r="M445" s="2"/>
      <c r="N445" s="2"/>
      <c r="O445" s="261">
        <f t="shared" ca="1" si="240"/>
        <v>0</v>
      </c>
      <c r="P445" s="261">
        <f t="shared" ca="1" si="258"/>
        <v>0</v>
      </c>
      <c r="Q445" s="3">
        <f ca="1">IF(A445&gt;MAX(OP!$R$17:$R$26),0,VLOOKUP(A445,fees,3,FALSE))</f>
        <v>0</v>
      </c>
      <c r="R445" s="200" t="str">
        <f t="shared" ca="1" si="241"/>
        <v/>
      </c>
      <c r="S445" s="9" t="str">
        <f ca="1">IF(COUNTIF(($T$4:T444),"F")&gt;=1,"",IF(OR(C446&lt;&gt;$C$3,E445=""),"",A445))</f>
        <v/>
      </c>
      <c r="T445" s="20" t="str">
        <f t="shared" ca="1" si="268"/>
        <v/>
      </c>
      <c r="U445" s="2">
        <f ca="1">IF(IF(OP!$C$83=1,$Z444,IF(OP!$C$83=2,$AA444,IF(OP!$C$83=3,$AB444,)))+$K445-$O445-$P445-$AS445&lt;OP!$C$142,0,$AS445)</f>
        <v>0</v>
      </c>
      <c r="V445" s="9"/>
      <c r="W445" s="19">
        <f ca="1">MAX(SUM($K$4:K445),0)</f>
        <v>2000000</v>
      </c>
      <c r="X445" s="19"/>
      <c r="Y445" s="19">
        <f t="shared" ca="1" si="259"/>
        <v>1920000</v>
      </c>
      <c r="Z445" s="2">
        <f ca="1">IF(MIN($Z$4:Z444)=0,0,MAX(0,($Z444+$K445-$O445-$P445)*IF(AND(F445="F",$D$3&lt;&gt;$G$3),((1+(-J445))^(H445/MIN(G445,365))),((1+(-J445))^(1/12)))-$U445))</f>
        <v>290260.11089042277</v>
      </c>
      <c r="AA445" s="2">
        <f ca="1">IF(MIN($AA$4:AA444)=0,0,MAX(0,($AA444+$K445-$O445-$P445)*IF(AND(F445="F",$D$3&lt;&gt;$G$3),((1+$AA$1)^(H445/MIN(G445,365))),((1+$AA$1)^(1/12)))-$U445))</f>
        <v>1920000</v>
      </c>
      <c r="AB445" s="2">
        <f ca="1">IF(MIN($AB$4:AB444)=0,0,MAX(0,($AB444+$K445-$O445-$P445)*IF(AND(F445="F",$D$3&lt;&gt;$G$3),((1+(J445))^(H445/MIN(G445,365))),((1+(J445))^(1/12)))-$U445))</f>
        <v>11581738.22053544</v>
      </c>
      <c r="AC445" s="5"/>
      <c r="AD445" s="5"/>
      <c r="AE445" s="5"/>
      <c r="AF445" s="282">
        <f t="shared" ca="1" si="242"/>
        <v>290260</v>
      </c>
      <c r="AG445" s="282">
        <f t="shared" ca="1" si="243"/>
        <v>1920000</v>
      </c>
      <c r="AH445" s="282">
        <f t="shared" ca="1" si="244"/>
        <v>11581738</v>
      </c>
      <c r="AI445" s="23" t="str">
        <f t="shared" ca="1" si="260"/>
        <v>37-11</v>
      </c>
      <c r="AJ445" s="282">
        <f ca="1">IF(E445&gt;111,,IF(AND(OP!$C$99=1,T445="F"),Z445,IF(AND(OP!$C$99=2,COUNTIF($T$4:T445,"F")=1),OP!$C$97+IF(F445="F",OP!$C$98,0),"")))</f>
        <v>54527</v>
      </c>
      <c r="AK445" s="282">
        <f ca="1">IF(E445&gt;111,,IF(AND(OP!$D$99=1,T445="F"),AA445,IF(AND(OP!$D$99=2,COUNTIF($T$4:T445,"F")=1),OP!$D$97+IF(F445="F",OP!$D$98,0),"")))</f>
        <v>74177</v>
      </c>
      <c r="AL445" s="282">
        <f ca="1">IF(E445&gt;111,,IF(AND(OP!$E$99=1,T445="F"),AB445,IF(AND(OP!$E$99=2,COUNTIF($T$4:T445,"F")=1),OP!$E$97+IF(F445="F",OP!$E$98,0),"")))</f>
        <v>99404</v>
      </c>
      <c r="AM445" s="1">
        <f t="shared" ca="1" si="269"/>
        <v>11</v>
      </c>
      <c r="AN445" s="1" t="e">
        <f ca="1">IF(OR(VLOOKUP($A445,MP,5,0)="季繳",VLOOKUP($A445,MP,5,0)="月繳"),1,"")</f>
        <v>#N/A</v>
      </c>
      <c r="AO445" s="1">
        <f t="shared" ca="1" si="245"/>
        <v>0</v>
      </c>
      <c r="AP445" s="1" t="str">
        <f ca="1">IF(AND(A445&lt;=OP!$C$120,COUNTIF(PAY,C445)=1),1,"")</f>
        <v/>
      </c>
      <c r="AR445" s="301">
        <f ca="1">IF(繳費報酬率資料!$A$1=1,$AY445+$AZ445,$BF445+$BG445)</f>
        <v>0</v>
      </c>
      <c r="AS445" s="1">
        <f ca="1">IF(C445&lt;&gt;IF($C$3=1,12,$C$3-1),0,IF(繳費報酬率資料!$A$1&lt;&gt;1,VLOOKUP($A445,MP,8,0),IF(AND($A445&gt;=OP!$C$79,$A445&lt;=OP!$C$80),OP!$C$78,)))</f>
        <v>0</v>
      </c>
      <c r="AT445" s="298">
        <f t="shared" ca="1" si="246"/>
        <v>0</v>
      </c>
      <c r="AU445" s="298">
        <f ca="1">IF(AND(A445&lt;=OP!$C$120,COUNTIF(PAY,C445)=1),OP!$C$123,0)</f>
        <v>0</v>
      </c>
      <c r="AV445" s="298">
        <f ca="1">IF(AND(A445&gt;=OP!$C$132,A445&lt;=OP!$C$133,$C$3=C445),OP!$C$135,0)</f>
        <v>0</v>
      </c>
      <c r="AW445" s="180">
        <f t="shared" ca="1" si="247"/>
        <v>0.05</v>
      </c>
      <c r="AX445" s="180">
        <f t="shared" ca="1" si="248"/>
        <v>0.05</v>
      </c>
      <c r="AY445" s="286">
        <f t="shared" ca="1" si="249"/>
        <v>0</v>
      </c>
      <c r="AZ445" s="286">
        <f t="shared" ca="1" si="250"/>
        <v>0</v>
      </c>
      <c r="BA445" s="286">
        <f t="shared" ca="1" si="251"/>
        <v>0</v>
      </c>
      <c r="BB445" s="286">
        <f t="shared" ca="1" si="252"/>
        <v>0</v>
      </c>
      <c r="BC445" s="286">
        <f t="shared" ca="1" si="253"/>
        <v>0</v>
      </c>
      <c r="BD445" s="180">
        <f t="shared" ca="1" si="254"/>
        <v>0.05</v>
      </c>
      <c r="BE445" s="180">
        <f t="shared" ca="1" si="255"/>
        <v>0.05</v>
      </c>
      <c r="BF445" s="286">
        <f t="shared" ca="1" si="256"/>
        <v>0</v>
      </c>
      <c r="BG445" s="286">
        <f t="shared" ca="1" si="257"/>
        <v>0</v>
      </c>
    </row>
    <row r="446" spans="1:59">
      <c r="A446" s="1">
        <f t="shared" ca="1" si="236"/>
        <v>37</v>
      </c>
      <c r="B446" s="1">
        <f t="shared" ca="1" si="265"/>
        <v>143</v>
      </c>
      <c r="C446" s="1">
        <f t="shared" ca="1" si="266"/>
        <v>4</v>
      </c>
      <c r="D446" s="1">
        <f ca="1">MIN($D$3,VLOOKUP(C446,OP!$S$30:$T$41,2))</f>
        <v>2</v>
      </c>
      <c r="E446" s="1">
        <f t="shared" ca="1" si="267"/>
        <v>91</v>
      </c>
      <c r="F446" s="11" t="str">
        <f t="shared" ca="1" si="237"/>
        <v/>
      </c>
      <c r="G446" s="8">
        <f t="shared" ca="1" si="264"/>
        <v>365</v>
      </c>
      <c r="H446" s="8">
        <f t="shared" ca="1" si="239"/>
        <v>30</v>
      </c>
      <c r="I446" s="8" t="str">
        <f t="shared" ca="1" si="235"/>
        <v>374</v>
      </c>
      <c r="J446" s="13">
        <f>IF(繳費報酬率資料!$A$1=1,VALUE(OP!$C$121),VLOOKUP(A446,MP,2,0))</f>
        <v>0.05</v>
      </c>
      <c r="K446" s="14">
        <f ca="1">IF(SUM($K$4:K445,IF(繳費報酬率資料!$A$1=1,$AU446+$AV446,$BB446+$BC446))&gt;OP!$L$58,0,IF(繳費報酬率資料!$A$1=1,$AU446+$AV446,$BB446+$BC446))</f>
        <v>0</v>
      </c>
      <c r="L446" s="2"/>
      <c r="M446" s="2"/>
      <c r="N446" s="2"/>
      <c r="O446" s="261">
        <f t="shared" ca="1" si="240"/>
        <v>0</v>
      </c>
      <c r="P446" s="261">
        <f t="shared" ca="1" si="258"/>
        <v>0</v>
      </c>
      <c r="Q446" s="3">
        <f ca="1">IF(A446&gt;MAX(OP!$R$17:$R$26),0,VLOOKUP(A446,fees,3,FALSE))</f>
        <v>0</v>
      </c>
      <c r="R446" s="200" t="str">
        <f t="shared" ca="1" si="241"/>
        <v/>
      </c>
      <c r="S446" s="9" t="str">
        <f ca="1">IF(COUNTIF(($T$4:T445),"F")&gt;=1,"",IF(OR(C447&lt;&gt;$C$3,E446=""),"",A446))</f>
        <v/>
      </c>
      <c r="T446" s="20" t="str">
        <f t="shared" ca="1" si="268"/>
        <v/>
      </c>
      <c r="U446" s="2">
        <f ca="1">IF(IF(OP!$C$83=1,$Z445,IF(OP!$C$83=2,$AA445,IF(OP!$C$83=3,$AB445,)))+$K446-$O446-$P446-$AS446&lt;OP!$C$142,0,$AS446)</f>
        <v>0</v>
      </c>
      <c r="V446" s="9"/>
      <c r="W446" s="19">
        <f ca="1">MAX(SUM($K$4:K446),0)</f>
        <v>2000000</v>
      </c>
      <c r="X446" s="19"/>
      <c r="Y446" s="19">
        <f t="shared" ca="1" si="259"/>
        <v>1920000</v>
      </c>
      <c r="Z446" s="2">
        <f ca="1">IF(MIN($Z$4:Z445)=0,0,MAX(0,($Z445+$K446-$O446-$P446)*IF(AND(F446="F",$D$3&lt;&gt;$G$3),((1+(-J446))^(H446/MIN(G446,365))),((1+(-J446))^(1/12)))-$U446))</f>
        <v>289022.058989065</v>
      </c>
      <c r="AA446" s="2">
        <f ca="1">IF(MIN($AA$4:AA445)=0,0,MAX(0,($AA445+$K446-$O446-$P446)*IF(AND(F446="F",$D$3&lt;&gt;$G$3),((1+$AA$1)^(H446/MIN(G446,365))),((1+$AA$1)^(1/12)))-$U446))</f>
        <v>1920000</v>
      </c>
      <c r="AB446" s="2">
        <f ca="1">IF(MIN($AB$4:AB445)=0,0,MAX(0,($AB445+$K446-$O446-$P446)*IF(AND(F446="F",$D$3&lt;&gt;$G$3),((1+(J446))^(H446/MIN(G446,365))),((1+(J446))^(1/12)))-$U446))</f>
        <v>11628923.655675713</v>
      </c>
      <c r="AC446" s="5"/>
      <c r="AD446" s="5"/>
      <c r="AE446" s="5"/>
      <c r="AF446" s="282">
        <f t="shared" ca="1" si="242"/>
        <v>289022</v>
      </c>
      <c r="AG446" s="282">
        <f t="shared" ca="1" si="243"/>
        <v>1920000</v>
      </c>
      <c r="AH446" s="282">
        <f t="shared" ca="1" si="244"/>
        <v>11628924</v>
      </c>
      <c r="AI446" s="23" t="str">
        <f t="shared" ca="1" si="260"/>
        <v>37-12</v>
      </c>
      <c r="AJ446" s="282">
        <f ca="1">IF(E446&gt;111,,IF(AND(OP!$C$99=1,T446="F"),Z446,IF(AND(OP!$C$99=2,COUNTIF($T$4:T446,"F")=1),OP!$C$97+IF(F446="F",OP!$C$98,0),"")))</f>
        <v>54527</v>
      </c>
      <c r="AK446" s="282">
        <f ca="1">IF(E446&gt;111,,IF(AND(OP!$D$99=1,T446="F"),AA446,IF(AND(OP!$D$99=2,COUNTIF($T$4:T446,"F")=1),OP!$D$97+IF(F446="F",OP!$D$98,0),"")))</f>
        <v>74177</v>
      </c>
      <c r="AL446" s="282">
        <f ca="1">IF(E446&gt;111,,IF(AND(OP!$E$99=1,T446="F"),AB446,IF(AND(OP!$E$99=2,COUNTIF($T$4:T446,"F")=1),OP!$E$97+IF(F446="F",OP!$E$98,0),"")))</f>
        <v>99404</v>
      </c>
      <c r="AM446" s="1">
        <f t="shared" ca="1" si="269"/>
        <v>12</v>
      </c>
      <c r="AN446" s="1" t="e">
        <f ca="1">IF(OR(VLOOKUP($A446,MP,5,0)="月繳"),1,"")</f>
        <v>#N/A</v>
      </c>
      <c r="AO446" s="1">
        <f t="shared" ca="1" si="245"/>
        <v>0</v>
      </c>
      <c r="AP446" s="1" t="str">
        <f ca="1">IF(AND(A446&lt;=OP!$C$120,COUNTIF(PAY,C446)=1),1,"")</f>
        <v/>
      </c>
      <c r="AR446" s="301">
        <f ca="1">IF(繳費報酬率資料!$A$1=1,$AY446+$AZ446,$BF446+$BG446)</f>
        <v>0</v>
      </c>
      <c r="AS446" s="1">
        <f ca="1">IF(C446&lt;&gt;IF($C$3=1,12,$C$3-1),0,IF(繳費報酬率資料!$A$1&lt;&gt;1,VLOOKUP($A446,MP,8,0),IF(AND($A446&gt;=OP!$C$79,$A446&lt;=OP!$C$80),OP!$C$78,)))</f>
        <v>0</v>
      </c>
      <c r="AT446" s="298">
        <f t="shared" ca="1" si="246"/>
        <v>0</v>
      </c>
      <c r="AU446" s="298">
        <f ca="1">IF(AND(A446&lt;=OP!$C$120,COUNTIF(PAY,C446)=1),OP!$C$123,0)</f>
        <v>0</v>
      </c>
      <c r="AV446" s="298">
        <f ca="1">IF(AND(A446&gt;=OP!$C$132,A446&lt;=OP!$C$133,$C$3=C446),OP!$C$135,0)</f>
        <v>0</v>
      </c>
      <c r="AW446" s="180">
        <f t="shared" ca="1" si="247"/>
        <v>0.05</v>
      </c>
      <c r="AX446" s="180">
        <f t="shared" ca="1" si="248"/>
        <v>0.05</v>
      </c>
      <c r="AY446" s="286">
        <f t="shared" ca="1" si="249"/>
        <v>0</v>
      </c>
      <c r="AZ446" s="286">
        <f t="shared" ca="1" si="250"/>
        <v>0</v>
      </c>
      <c r="BA446" s="286">
        <f t="shared" ca="1" si="251"/>
        <v>0</v>
      </c>
      <c r="BB446" s="286">
        <f t="shared" ca="1" si="252"/>
        <v>0</v>
      </c>
      <c r="BC446" s="286">
        <f t="shared" ca="1" si="253"/>
        <v>0</v>
      </c>
      <c r="BD446" s="180">
        <f t="shared" ca="1" si="254"/>
        <v>0.05</v>
      </c>
      <c r="BE446" s="180">
        <f t="shared" ca="1" si="255"/>
        <v>0.05</v>
      </c>
      <c r="BF446" s="286">
        <f t="shared" ca="1" si="256"/>
        <v>0</v>
      </c>
      <c r="BG446" s="286">
        <f t="shared" ca="1" si="257"/>
        <v>0</v>
      </c>
    </row>
    <row r="447" spans="1:59">
      <c r="A447" s="1">
        <f t="shared" ca="1" si="236"/>
        <v>37</v>
      </c>
      <c r="B447" s="1">
        <f t="shared" ca="1" si="265"/>
        <v>143</v>
      </c>
      <c r="C447" s="1">
        <f t="shared" ca="1" si="266"/>
        <v>5</v>
      </c>
      <c r="D447" s="1">
        <f ca="1">MIN($D$3,VLOOKUP(C447,OP!$S$30:$T$41,2))</f>
        <v>2</v>
      </c>
      <c r="E447" s="1">
        <f t="shared" ca="1" si="267"/>
        <v>91</v>
      </c>
      <c r="F447" s="11" t="str">
        <f t="shared" ca="1" si="237"/>
        <v/>
      </c>
      <c r="G447" s="8">
        <f t="shared" ca="1" si="264"/>
        <v>365</v>
      </c>
      <c r="H447" s="8">
        <f t="shared" ca="1" si="239"/>
        <v>31</v>
      </c>
      <c r="I447" s="8" t="str">
        <f t="shared" ca="1" si="235"/>
        <v>375</v>
      </c>
      <c r="J447" s="13">
        <f>IF(繳費報酬率資料!$A$1=1,VALUE(OP!$C$121),VLOOKUP(A447,MP,2,0))</f>
        <v>0.05</v>
      </c>
      <c r="K447" s="14">
        <f ca="1">IF(SUM($K$4:K446,IF(繳費報酬率資料!$A$1=1,$AU447+$AV447,$BB447+$BC447))&gt;OP!$L$58,0,IF(繳費報酬率資料!$A$1=1,$AU447+$AV447,$BB447+$BC447))</f>
        <v>0</v>
      </c>
      <c r="L447" s="2">
        <f ca="1">ROUND(IF(OP!$C$78&lt;(IF(OR($T447="F",$E447&gt;=111),0,Z446+$K447-$O447+IF($C$1=1,OP!$C$78,IF($C448=$C$3,SUM(AC436:AC447,0)))))*5%,0,(OP!$C$78-((IF(OR($T447="F",$E447&gt;=111),0,Z446+$K447-$O447+IF($C$1=1,AC447,IF($C448=$C$3,SUM(AC436:AC447,0)))))*5%))*$Q447),0)</f>
        <v>0</v>
      </c>
      <c r="M447" s="2">
        <f ca="1">ROUND(IF(OP!$C$78&lt;(IF(OR($T447="F",$E447&gt;=111),0,AA446+$K447-$O447+IF($C$1=1,AD447,IF($C448=$C$3,SUM(AD436:AD447,0)))))*5%,0,(OP!$C$78-((IF(OR($T447="F",$E447&gt;=111),0,AA446+$K447-$O447+IF($C$1=1,AD447,IF($C448=$C$3,SUM(AD436:AD447,0)))))*5%))*$Q447),0)</f>
        <v>0</v>
      </c>
      <c r="N447" s="2">
        <f ca="1">ROUND(IF(OP!$C$78&lt;(IF(OR($T447="F",$E447&gt;=111),0,AB446+$K447-$O447+IF($C$1=1,AE447,IF($C448=$C$3,SUM(AE436:AE447,0)))))*5%,0,(OP!$C$78-((IF(OR($T447="F",$E447&gt;=111),0,AB446+$K447-$O447+IF($C$1=1,AE447,IF($C448=$C$3,SUM(AE436:AE447,0)))))*5%))*$Q447),0)</f>
        <v>0</v>
      </c>
      <c r="O447" s="261">
        <f t="shared" ca="1" si="240"/>
        <v>0</v>
      </c>
      <c r="P447" s="261">
        <f t="shared" ca="1" si="258"/>
        <v>0</v>
      </c>
      <c r="Q447" s="3">
        <f ca="1">IF(A447&gt;MAX(OP!$R$17:$R$26),0,VLOOKUP(A447,fees,3,FALSE))</f>
        <v>0</v>
      </c>
      <c r="R447" s="200">
        <f t="shared" ca="1" si="241"/>
        <v>37</v>
      </c>
      <c r="S447" s="9" t="str">
        <f ca="1">IF(COUNTIF(($T$4:T446),"F")&gt;=1,"",IF(OR(C448&lt;&gt;$C$3,E447=""),"",A447))</f>
        <v/>
      </c>
      <c r="T447" s="20" t="str">
        <f t="shared" ca="1" si="268"/>
        <v/>
      </c>
      <c r="U447" s="2">
        <f ca="1">IF(IF(OP!$C$83=1,$Z446,IF(OP!$C$83=2,$AA446,IF(OP!$C$83=3,$AB446,)))+$K447-$O447-$P447-$AS447&lt;OP!$C$142,0,$AS447)</f>
        <v>0</v>
      </c>
      <c r="V447" s="19">
        <f ca="1">SUM(K436:K447)</f>
        <v>0</v>
      </c>
      <c r="W447" s="19">
        <f ca="1">MAX(SUM($K$4:K447),0)</f>
        <v>2000000</v>
      </c>
      <c r="X447" s="19">
        <f ca="1">SUM(O436:P447)</f>
        <v>0</v>
      </c>
      <c r="Y447" s="19">
        <f t="shared" ca="1" si="259"/>
        <v>1920000</v>
      </c>
      <c r="Z447" s="2">
        <f ca="1">IF(MIN($Z$4:Z446)=0,0,MAX(0,($Z446+$K447-$O447-$P447)*IF(AND(F447="F",$D$3&lt;&gt;$G$3),((1+(-J447))^(H447/MIN(G447,365))),((1+(-J447))^(1/12)))-$U447))</f>
        <v>287789.28777372971</v>
      </c>
      <c r="AA447" s="2">
        <f ca="1">IF(MIN($AA$4:AA446)=0,0,MAX(0,($AA446+$K447-$O447-$P447)*IF(AND(F447="F",$D$3&lt;&gt;$G$3),((1+$AA$1)^(H447/MIN(G447,365))),((1+$AA$1)^(1/12)))-$U447))</f>
        <v>1920000</v>
      </c>
      <c r="AB447" s="2">
        <f ca="1">IF(MIN($AB$4:AB446)=0,0,MAX(0,($AB446+$K447-$O447-$P447)*IF(AND(F447="F",$D$3&lt;&gt;$G$3),((1+(J447))^(H447/MIN(G447,365))),((1+(J447))^(1/12)))-$U447))</f>
        <v>11676301.330119532</v>
      </c>
      <c r="AC447" s="5"/>
      <c r="AD447" s="5"/>
      <c r="AE447" s="5"/>
      <c r="AF447" s="282">
        <f t="shared" ca="1" si="242"/>
        <v>287789</v>
      </c>
      <c r="AG447" s="282">
        <f t="shared" ca="1" si="243"/>
        <v>1920000</v>
      </c>
      <c r="AH447" s="282">
        <f t="shared" ca="1" si="244"/>
        <v>11676301</v>
      </c>
      <c r="AI447" s="23" t="str">
        <f t="shared" ca="1" si="260"/>
        <v>38-1</v>
      </c>
      <c r="AJ447" s="282">
        <f ca="1">IF(E447&gt;111,,IF(AND(OP!$C$99=1,T447="F"),Z447,IF(AND(OP!$C$99=2,COUNTIF($T$4:T447,"F")=1),OP!$C$97+IF(F447="F",OP!$C$98,0),"")))</f>
        <v>54527</v>
      </c>
      <c r="AK447" s="282">
        <f ca="1">IF(E447&gt;111,,IF(AND(OP!$D$99=1,T447="F"),AA447,IF(AND(OP!$D$99=2,COUNTIF($T$4:T447,"F")=1),OP!$D$97+IF(F447="F",OP!$D$98,0),"")))</f>
        <v>74177</v>
      </c>
      <c r="AL447" s="282">
        <f ca="1">IF(E447&gt;111,,IF(AND(OP!$E$99=1,T447="F"),AB447,IF(AND(OP!$E$99=2,COUNTIF($T$4:T447,"F")=1),OP!$E$97+IF(F447="F",OP!$E$98,0),"")))</f>
        <v>99404</v>
      </c>
      <c r="AM447" s="1">
        <f t="shared" ca="1" si="269"/>
        <v>1</v>
      </c>
      <c r="AN447" s="1" t="e">
        <f ca="1">IF(OR(VLOOKUP($A447,MP,5,0)="月繳"),1,"")</f>
        <v>#N/A</v>
      </c>
      <c r="AO447" s="1">
        <f t="shared" ca="1" si="245"/>
        <v>0</v>
      </c>
      <c r="AP447" s="1" t="str">
        <f ca="1">IF(AND(A447&lt;=OP!$C$120,COUNTIF(PAY,C447)=1),1,"")</f>
        <v/>
      </c>
      <c r="AR447" s="301">
        <f ca="1">IF(繳費報酬率資料!$A$1=1,$AY447+$AZ447,$BF447+$BG447)</f>
        <v>0</v>
      </c>
      <c r="AS447" s="1">
        <f ca="1">IF(C447&lt;&gt;IF($C$3=1,12,$C$3-1),0,IF(繳費報酬率資料!$A$1&lt;&gt;1,VLOOKUP($A447,MP,8,0),IF(AND($A447&gt;=OP!$C$79,$A447&lt;=OP!$C$80),OP!$C$78,)))</f>
        <v>0</v>
      </c>
      <c r="AT447" s="298">
        <f t="shared" ca="1" si="246"/>
        <v>0</v>
      </c>
      <c r="AU447" s="298">
        <f ca="1">IF(AND(A447&lt;=OP!$C$120,COUNTIF(PAY,C447)=1),OP!$C$123,0)</f>
        <v>0</v>
      </c>
      <c r="AV447" s="298">
        <f ca="1">IF(AND(A447&gt;=OP!$C$132,A447&lt;=OP!$C$133,$C$3=C447),OP!$C$135,0)</f>
        <v>0</v>
      </c>
      <c r="AW447" s="180">
        <f t="shared" ca="1" si="247"/>
        <v>0.05</v>
      </c>
      <c r="AX447" s="180">
        <f t="shared" ca="1" si="248"/>
        <v>0.05</v>
      </c>
      <c r="AY447" s="286">
        <f t="shared" ca="1" si="249"/>
        <v>0</v>
      </c>
      <c r="AZ447" s="286">
        <f t="shared" ca="1" si="250"/>
        <v>0</v>
      </c>
      <c r="BA447" s="286">
        <f t="shared" ca="1" si="251"/>
        <v>0</v>
      </c>
      <c r="BB447" s="286">
        <f t="shared" ca="1" si="252"/>
        <v>0</v>
      </c>
      <c r="BC447" s="286">
        <f t="shared" ca="1" si="253"/>
        <v>0</v>
      </c>
      <c r="BD447" s="180">
        <f t="shared" ca="1" si="254"/>
        <v>0.05</v>
      </c>
      <c r="BE447" s="180">
        <f t="shared" ca="1" si="255"/>
        <v>0.05</v>
      </c>
      <c r="BF447" s="286">
        <f t="shared" ca="1" si="256"/>
        <v>0</v>
      </c>
      <c r="BG447" s="286">
        <f t="shared" ca="1" si="257"/>
        <v>0</v>
      </c>
    </row>
    <row r="448" spans="1:59">
      <c r="A448" s="1">
        <f t="shared" ca="1" si="236"/>
        <v>38</v>
      </c>
      <c r="B448" s="1">
        <f t="shared" ca="1" si="265"/>
        <v>143</v>
      </c>
      <c r="C448" s="1">
        <f t="shared" ca="1" si="266"/>
        <v>6</v>
      </c>
      <c r="D448" s="1">
        <f ca="1">MIN($D$3,VLOOKUP(C448,OP!$S$30:$T$41,2))</f>
        <v>2</v>
      </c>
      <c r="E448" s="1">
        <f t="shared" ca="1" si="267"/>
        <v>92</v>
      </c>
      <c r="F448" s="11" t="str">
        <f t="shared" ca="1" si="237"/>
        <v/>
      </c>
      <c r="G448" s="6">
        <f ca="1">DATEDIF(DATE(B448+1911,C448,D448),DATE(B460+1911,C460,D460),"d")</f>
        <v>365</v>
      </c>
      <c r="H448" s="8">
        <f t="shared" ca="1" si="239"/>
        <v>30</v>
      </c>
      <c r="I448" s="8" t="str">
        <f t="shared" ca="1" si="235"/>
        <v>386</v>
      </c>
      <c r="J448" s="13">
        <f>IF(繳費報酬率資料!$A$1=1,VALUE(OP!$C$121),VLOOKUP(A448,MP,2,0))</f>
        <v>0.05</v>
      </c>
      <c r="K448" s="14">
        <f ca="1">IF(SUM($K$4:K447,IF(繳費報酬率資料!$A$1=1,$AU448+$AV448,$BB448+$BC448))&gt;OP!$L$58,0,IF(繳費報酬率資料!$A$1=1,$AU448+$AV448,$BB448+$BC448))</f>
        <v>0</v>
      </c>
      <c r="L448" s="2"/>
      <c r="M448" s="2"/>
      <c r="N448" s="2"/>
      <c r="O448" s="261">
        <f t="shared" ca="1" si="240"/>
        <v>0</v>
      </c>
      <c r="P448" s="261">
        <f t="shared" ca="1" si="258"/>
        <v>0</v>
      </c>
      <c r="Q448" s="3">
        <f ca="1">IF(A448&gt;MAX(OP!$R$17:$R$26),0,VLOOKUP(A448,fees,3,FALSE))</f>
        <v>0</v>
      </c>
      <c r="R448" s="200" t="str">
        <f t="shared" ca="1" si="241"/>
        <v/>
      </c>
      <c r="S448" s="9" t="str">
        <f ca="1">IF(COUNTIF(($T$4:T447),"F")&gt;=1,"",IF(OR(C449&lt;&gt;$C$3,E448=""),"",A448))</f>
        <v/>
      </c>
      <c r="T448" s="20" t="str">
        <f t="shared" ca="1" si="268"/>
        <v/>
      </c>
      <c r="U448" s="2">
        <f ca="1">IF(IF(OP!$C$83=1,$Z447,IF(OP!$C$83=2,$AA447,IF(OP!$C$83=3,$AB447,)))+$K448-$O448-$P448-$AS448&lt;OP!$C$142,0,$AS448)</f>
        <v>0</v>
      </c>
      <c r="V448" s="9"/>
      <c r="W448" s="19">
        <f ca="1">MAX(SUM($K$4:K448),0)</f>
        <v>2000000</v>
      </c>
      <c r="X448" s="19"/>
      <c r="Y448" s="19">
        <f t="shared" ca="1" si="259"/>
        <v>1920000</v>
      </c>
      <c r="Z448" s="2">
        <f ca="1">IF(MIN($Z$4:Z447)=0,0,MAX(0,($Z447+$K448-$O448-$P448)*IF(AND(F448="F",$D$3&lt;&gt;$G$3),((1+(-J448))^(H448/MIN(G448,365))),((1+(-J448))^(1/12)))-$U448))</f>
        <v>286561.77472060762</v>
      </c>
      <c r="AA448" s="2">
        <f ca="1">IF(MIN($AA$4:AA447)=0,0,MAX(0,($AA447+$K448-$O448-$P448)*IF(AND(F448="F",$D$3&lt;&gt;$G$3),((1+$AA$1)^(H448/MIN(G448,365))),((1+$AA$1)^(1/12)))-$U448))</f>
        <v>1920000</v>
      </c>
      <c r="AB448" s="2">
        <f ca="1">IF(MIN($AB$4:AB447)=0,0,MAX(0,($AB447+$K448-$O448-$P448)*IF(AND(F448="F",$D$3&lt;&gt;$G$3),((1+(J448))^(H448/MIN(G448,365))),((1+(J448))^(1/12)))-$U448))</f>
        <v>11723872.027073616</v>
      </c>
      <c r="AC448" s="21"/>
      <c r="AD448" s="21"/>
      <c r="AE448" s="21"/>
      <c r="AF448" s="282">
        <f t="shared" ca="1" si="242"/>
        <v>286562</v>
      </c>
      <c r="AG448" s="282">
        <f t="shared" ca="1" si="243"/>
        <v>1920000</v>
      </c>
      <c r="AH448" s="282">
        <f t="shared" ca="1" si="244"/>
        <v>11723872</v>
      </c>
      <c r="AI448" s="23" t="str">
        <f t="shared" ca="1" si="260"/>
        <v>38-2</v>
      </c>
      <c r="AJ448" s="281">
        <f ca="1">IF(E448&gt;111,,IF(AND(OP!$C$99=1,T448="F"),Z448,IF(AND(OP!$C$99=2,COUNTIF($T$4:T448,"F")=1),OP!$C$97+IF(F448="F",OP!$C$98,0),"")))</f>
        <v>54527</v>
      </c>
      <c r="AK448" s="281">
        <f ca="1">IF(E448&gt;111,,IF(AND(OP!$D$99=1,T448="F"),AA448,IF(AND(OP!$D$99=2,COUNTIF($T$4:T448,"F")=1),OP!$D$97+IF(F448="F",OP!$D$98,0),"")))</f>
        <v>74177</v>
      </c>
      <c r="AL448" s="281">
        <f ca="1">IF(E448&gt;111,,IF(AND(OP!$E$99=1,T448="F"),AB448,IF(AND(OP!$E$99=2,COUNTIF($T$4:T448,"F")=1),OP!$E$97+IF(F448="F",OP!$E$98,0),"")))</f>
        <v>99404</v>
      </c>
      <c r="AM448" s="1">
        <f t="shared" ca="1" si="269"/>
        <v>2</v>
      </c>
      <c r="AN448" s="1" t="e">
        <f ca="1">IF(OR(VLOOKUP($A448,MP,5,0)="年繳",VLOOKUP($A448,MP,5,0)="半年繳",VLOOKUP($A448,MP,5,0)="季繳",VLOOKUP($A448,MP,5,0)="月繳"),1,"")</f>
        <v>#N/A</v>
      </c>
      <c r="AO448" s="1">
        <f t="shared" ca="1" si="245"/>
        <v>0</v>
      </c>
      <c r="AP448" s="1" t="str">
        <f ca="1">IF(AND(A448&lt;=OP!$C$120,COUNTIF(PAY,C448)=1),1,"")</f>
        <v/>
      </c>
      <c r="AR448" s="301">
        <f ca="1">IF(繳費報酬率資料!$A$1=1,$AY448+$AZ448,$BF448+$BG448)</f>
        <v>0</v>
      </c>
      <c r="AS448" s="1">
        <f ca="1">IF(C448&lt;&gt;IF($C$3=1,12,$C$3-1),0,IF(繳費報酬率資料!$A$1&lt;&gt;1,VLOOKUP($A448,MP,8,0),IF(AND($A448&gt;=OP!$C$79,$A448&lt;=OP!$C$80),OP!$C$78,)))</f>
        <v>0</v>
      </c>
      <c r="AT448" s="298">
        <f t="shared" ca="1" si="246"/>
        <v>0</v>
      </c>
      <c r="AU448" s="298">
        <f ca="1">IF(AND(A448&lt;=OP!$C$120,COUNTIF(PAY,C448)=1),OP!$C$123,0)</f>
        <v>0</v>
      </c>
      <c r="AV448" s="298">
        <f ca="1">IF(AND(A448&gt;=OP!$C$132,A448&lt;=OP!$C$133,$C$3=C448),OP!$C$135,0)</f>
        <v>0</v>
      </c>
      <c r="AW448" s="180">
        <f t="shared" ca="1" si="247"/>
        <v>0.05</v>
      </c>
      <c r="AX448" s="180">
        <f t="shared" ca="1" si="248"/>
        <v>0.05</v>
      </c>
      <c r="AY448" s="286">
        <f t="shared" ca="1" si="249"/>
        <v>0</v>
      </c>
      <c r="AZ448" s="286">
        <f t="shared" ca="1" si="250"/>
        <v>0</v>
      </c>
      <c r="BA448" s="286">
        <f t="shared" ca="1" si="251"/>
        <v>0</v>
      </c>
      <c r="BB448" s="286">
        <f t="shared" ca="1" si="252"/>
        <v>0</v>
      </c>
      <c r="BC448" s="286">
        <f t="shared" ca="1" si="253"/>
        <v>0</v>
      </c>
      <c r="BD448" s="180">
        <f t="shared" ca="1" si="254"/>
        <v>0.05</v>
      </c>
      <c r="BE448" s="180">
        <f t="shared" ca="1" si="255"/>
        <v>0.05</v>
      </c>
      <c r="BF448" s="286">
        <f t="shared" ca="1" si="256"/>
        <v>0</v>
      </c>
      <c r="BG448" s="286">
        <f t="shared" ca="1" si="257"/>
        <v>0</v>
      </c>
    </row>
    <row r="449" spans="1:59">
      <c r="A449" s="1">
        <f t="shared" ca="1" si="236"/>
        <v>38</v>
      </c>
      <c r="B449" s="1">
        <f t="shared" ca="1" si="265"/>
        <v>143</v>
      </c>
      <c r="C449" s="1">
        <f t="shared" ca="1" si="266"/>
        <v>7</v>
      </c>
      <c r="D449" s="1">
        <f ca="1">MIN($D$3,VLOOKUP(C449,OP!$S$30:$T$41,2))</f>
        <v>2</v>
      </c>
      <c r="E449" s="1">
        <f t="shared" ca="1" si="267"/>
        <v>92</v>
      </c>
      <c r="F449" s="11" t="str">
        <f t="shared" ca="1" si="237"/>
        <v/>
      </c>
      <c r="G449" s="8">
        <f t="shared" ref="G449:G459" ca="1" si="270">G448</f>
        <v>365</v>
      </c>
      <c r="H449" s="8">
        <f t="shared" ca="1" si="239"/>
        <v>31</v>
      </c>
      <c r="I449" s="8" t="str">
        <f t="shared" ca="1" si="235"/>
        <v>387</v>
      </c>
      <c r="J449" s="13">
        <f>IF(繳費報酬率資料!$A$1=1,VALUE(OP!$C$121),VLOOKUP(A449,MP,2,0))</f>
        <v>0.05</v>
      </c>
      <c r="K449" s="14">
        <f ca="1">IF(SUM($K$4:K448,IF(繳費報酬率資料!$A$1=1,$AU449+$AV449,$BB449+$BC449))&gt;OP!$L$58,0,IF(繳費報酬率資料!$A$1=1,$AU449+$AV449,$BB449+$BC449))</f>
        <v>0</v>
      </c>
      <c r="L449" s="2"/>
      <c r="M449" s="2"/>
      <c r="N449" s="2"/>
      <c r="O449" s="261">
        <f t="shared" ca="1" si="240"/>
        <v>0</v>
      </c>
      <c r="P449" s="261">
        <f t="shared" ca="1" si="258"/>
        <v>0</v>
      </c>
      <c r="Q449" s="3">
        <f ca="1">IF(A449&gt;MAX(OP!$R$17:$R$26),0,VLOOKUP(A449,fees,3,FALSE))</f>
        <v>0</v>
      </c>
      <c r="R449" s="200" t="str">
        <f t="shared" ca="1" si="241"/>
        <v/>
      </c>
      <c r="S449" s="9" t="str">
        <f ca="1">IF(COUNTIF(($T$4:T448),"F")&gt;=1,"",IF(OR(C450&lt;&gt;$C$3,E449=""),"",A449))</f>
        <v/>
      </c>
      <c r="T449" s="20" t="str">
        <f t="shared" ca="1" si="268"/>
        <v/>
      </c>
      <c r="U449" s="2">
        <f ca="1">IF(IF(OP!$C$83=1,$Z448,IF(OP!$C$83=2,$AA448,IF(OP!$C$83=3,$AB448,)))+$K449-$O449-$P449-$AS449&lt;OP!$C$142,0,$AS449)</f>
        <v>0</v>
      </c>
      <c r="V449" s="9"/>
      <c r="W449" s="19">
        <f ca="1">MAX(SUM($K$4:K449),0)</f>
        <v>2000000</v>
      </c>
      <c r="X449" s="19"/>
      <c r="Y449" s="19">
        <f t="shared" ca="1" si="259"/>
        <v>1920000</v>
      </c>
      <c r="Z449" s="2">
        <f ca="1">IF(MIN($Z$4:Z448)=0,0,MAX(0,($Z448+$K449-$O449-$P449)*IF(AND(F449="F",$D$3&lt;&gt;$G$3),((1+(-J449))^(H449/MIN(G449,365))),((1+(-J449))^(1/12)))-$U449))</f>
        <v>285339.49740196072</v>
      </c>
      <c r="AA449" s="2">
        <f ca="1">IF(MIN($AA$4:AA448)=0,0,MAX(0,($AA448+$K449-$O449-$P449)*IF(AND(F449="F",$D$3&lt;&gt;$G$3),((1+$AA$1)^(H449/MIN(G449,365))),((1+$AA$1)^(1/12)))-$U449))</f>
        <v>1920000</v>
      </c>
      <c r="AB449" s="2">
        <f ca="1">IF(MIN($AB$4:AB448)=0,0,MAX(0,($AB448+$K449-$O449-$P449)*IF(AND(F449="F",$D$3&lt;&gt;$G$3),((1+(J449))^(H449/MIN(G449,365))),((1+(J449))^(1/12)))-$U449))</f>
        <v>11771636.532935567</v>
      </c>
      <c r="AC449" s="5"/>
      <c r="AD449" s="5"/>
      <c r="AE449" s="5"/>
      <c r="AF449" s="282">
        <f t="shared" ca="1" si="242"/>
        <v>285339</v>
      </c>
      <c r="AG449" s="282">
        <f t="shared" ca="1" si="243"/>
        <v>1920000</v>
      </c>
      <c r="AH449" s="282">
        <f t="shared" ca="1" si="244"/>
        <v>11771637</v>
      </c>
      <c r="AI449" s="23" t="str">
        <f t="shared" ca="1" si="260"/>
        <v>38-3</v>
      </c>
      <c r="AJ449" s="282">
        <f ca="1">IF(E449&gt;111,,IF(AND(OP!$C$99=1,T449="F"),Z449,IF(AND(OP!$C$99=2,COUNTIF($T$4:T449,"F")=1),OP!$C$97+IF(F449="F",OP!$C$98,0),"")))</f>
        <v>54527</v>
      </c>
      <c r="AK449" s="282">
        <f ca="1">IF(E449&gt;111,,IF(AND(OP!$D$99=1,T449="F"),AA449,IF(AND(OP!$D$99=2,COUNTIF($T$4:T449,"F")=1),OP!$D$97+IF(F449="F",OP!$D$98,0),"")))</f>
        <v>74177</v>
      </c>
      <c r="AL449" s="282">
        <f ca="1">IF(E449&gt;111,,IF(AND(OP!$E$99=1,T449="F"),AB449,IF(AND(OP!$E$99=2,COUNTIF($T$4:T449,"F")=1),OP!$E$97+IF(F449="F",OP!$E$98,0),"")))</f>
        <v>99404</v>
      </c>
      <c r="AM449" s="1">
        <f t="shared" ca="1" si="269"/>
        <v>3</v>
      </c>
      <c r="AN449" s="1" t="e">
        <f ca="1">IF(OR(VLOOKUP($A449,MP,5,0)="月繳"),1,"")</f>
        <v>#N/A</v>
      </c>
      <c r="AO449" s="1">
        <f t="shared" ca="1" si="245"/>
        <v>0</v>
      </c>
      <c r="AP449" s="1" t="str">
        <f ca="1">IF(AND(A449&lt;=OP!$C$120,COUNTIF(PAY,C449)=1),1,"")</f>
        <v/>
      </c>
      <c r="AR449" s="301">
        <f ca="1">IF(繳費報酬率資料!$A$1=1,$AY449+$AZ449,$BF449+$BG449)</f>
        <v>0</v>
      </c>
      <c r="AS449" s="1">
        <f ca="1">IF(C449&lt;&gt;IF($C$3=1,12,$C$3-1),0,IF(繳費報酬率資料!$A$1&lt;&gt;1,VLOOKUP($A449,MP,8,0),IF(AND($A449&gt;=OP!$C$79,$A449&lt;=OP!$C$80),OP!$C$78,)))</f>
        <v>0</v>
      </c>
      <c r="AT449" s="298">
        <f t="shared" ca="1" si="246"/>
        <v>0</v>
      </c>
      <c r="AU449" s="298">
        <f ca="1">IF(AND(A449&lt;=OP!$C$120,COUNTIF(PAY,C449)=1),OP!$C$123,0)</f>
        <v>0</v>
      </c>
      <c r="AV449" s="298">
        <f ca="1">IF(AND(A449&gt;=OP!$C$132,A449&lt;=OP!$C$133,$C$3=C449),OP!$C$135,0)</f>
        <v>0</v>
      </c>
      <c r="AW449" s="180">
        <f t="shared" ca="1" si="247"/>
        <v>0.05</v>
      </c>
      <c r="AX449" s="180">
        <f t="shared" ca="1" si="248"/>
        <v>0.05</v>
      </c>
      <c r="AY449" s="286">
        <f t="shared" ca="1" si="249"/>
        <v>0</v>
      </c>
      <c r="AZ449" s="286">
        <f t="shared" ca="1" si="250"/>
        <v>0</v>
      </c>
      <c r="BA449" s="286">
        <f t="shared" ca="1" si="251"/>
        <v>0</v>
      </c>
      <c r="BB449" s="286">
        <f t="shared" ca="1" si="252"/>
        <v>0</v>
      </c>
      <c r="BC449" s="286">
        <f t="shared" ca="1" si="253"/>
        <v>0</v>
      </c>
      <c r="BD449" s="180">
        <f t="shared" ca="1" si="254"/>
        <v>0.05</v>
      </c>
      <c r="BE449" s="180">
        <f t="shared" ca="1" si="255"/>
        <v>0.05</v>
      </c>
      <c r="BF449" s="286">
        <f t="shared" ca="1" si="256"/>
        <v>0</v>
      </c>
      <c r="BG449" s="286">
        <f t="shared" ca="1" si="257"/>
        <v>0</v>
      </c>
    </row>
    <row r="450" spans="1:59">
      <c r="A450" s="1">
        <f t="shared" ca="1" si="236"/>
        <v>38</v>
      </c>
      <c r="B450" s="1">
        <f t="shared" ca="1" si="265"/>
        <v>143</v>
      </c>
      <c r="C450" s="1">
        <f t="shared" ca="1" si="266"/>
        <v>8</v>
      </c>
      <c r="D450" s="1">
        <f ca="1">MIN($D$3,VLOOKUP(C450,OP!$S$30:$T$41,2))</f>
        <v>2</v>
      </c>
      <c r="E450" s="1">
        <f t="shared" ca="1" si="267"/>
        <v>92</v>
      </c>
      <c r="F450" s="11" t="str">
        <f t="shared" ca="1" si="237"/>
        <v/>
      </c>
      <c r="G450" s="8">
        <f t="shared" ca="1" si="270"/>
        <v>365</v>
      </c>
      <c r="H450" s="8">
        <f t="shared" ca="1" si="239"/>
        <v>31</v>
      </c>
      <c r="I450" s="8" t="str">
        <f t="shared" ca="1" si="235"/>
        <v>388</v>
      </c>
      <c r="J450" s="13">
        <f>IF(繳費報酬率資料!$A$1=1,VALUE(OP!$C$121),VLOOKUP(A450,MP,2,0))</f>
        <v>0.05</v>
      </c>
      <c r="K450" s="14">
        <f ca="1">IF(SUM($K$4:K449,IF(繳費報酬率資料!$A$1=1,$AU450+$AV450,$BB450+$BC450))&gt;OP!$L$58,0,IF(繳費報酬率資料!$A$1=1,$AU450+$AV450,$BB450+$BC450))</f>
        <v>0</v>
      </c>
      <c r="L450" s="2"/>
      <c r="M450" s="2"/>
      <c r="N450" s="2"/>
      <c r="O450" s="261">
        <f t="shared" ca="1" si="240"/>
        <v>0</v>
      </c>
      <c r="P450" s="261">
        <f t="shared" ca="1" si="258"/>
        <v>0</v>
      </c>
      <c r="Q450" s="3">
        <f ca="1">IF(A450&gt;MAX(OP!$R$17:$R$26),0,VLOOKUP(A450,fees,3,FALSE))</f>
        <v>0</v>
      </c>
      <c r="R450" s="200" t="str">
        <f t="shared" ca="1" si="241"/>
        <v/>
      </c>
      <c r="S450" s="9" t="str">
        <f ca="1">IF(COUNTIF(($T$4:T449),"F")&gt;=1,"",IF(OR(C451&lt;&gt;$C$3,E450=""),"",A450))</f>
        <v/>
      </c>
      <c r="T450" s="20" t="str">
        <f t="shared" ca="1" si="268"/>
        <v/>
      </c>
      <c r="U450" s="2">
        <f ca="1">IF(IF(OP!$C$83=1,$Z449,IF(OP!$C$83=2,$AA449,IF(OP!$C$83=3,$AB449,)))+$K450-$O450-$P450-$AS450&lt;OP!$C$142,0,$AS450)</f>
        <v>0</v>
      </c>
      <c r="V450" s="9"/>
      <c r="W450" s="19">
        <f ca="1">MAX(SUM($K$4:K450),0)</f>
        <v>2000000</v>
      </c>
      <c r="X450" s="19"/>
      <c r="Y450" s="19">
        <f t="shared" ca="1" si="259"/>
        <v>1920000</v>
      </c>
      <c r="Z450" s="2">
        <f ca="1">IF(MIN($Z$4:Z449)=0,0,MAX(0,($Z449+$K450-$O450-$P450)*IF(AND(F450="F",$D$3&lt;&gt;$G$3),((1+(-J450))^(H450/MIN(G450,365))),((1+(-J450))^(1/12)))-$U450))</f>
        <v>284122.43348571239</v>
      </c>
      <c r="AA450" s="2">
        <f ca="1">IF(MIN($AA$4:AA449)=0,0,MAX(0,($AA449+$K450-$O450-$P450)*IF(AND(F450="F",$D$3&lt;&gt;$G$3),((1+$AA$1)^(H450/MIN(G450,365))),((1+$AA$1)^(1/12)))-$U450))</f>
        <v>1920000</v>
      </c>
      <c r="AB450" s="2">
        <f ca="1">IF(MIN($AB$4:AB449)=0,0,MAX(0,($AB449+$K450-$O450-$P450)*IF(AND(F450="F",$D$3&lt;&gt;$G$3),((1+(J450))^(H450/MIN(G450,365))),((1+(J450))^(1/12)))-$U450))</f>
        <v>11819595.637306863</v>
      </c>
      <c r="AC450" s="5"/>
      <c r="AD450" s="5"/>
      <c r="AE450" s="5"/>
      <c r="AF450" s="282">
        <f t="shared" ca="1" si="242"/>
        <v>284122</v>
      </c>
      <c r="AG450" s="282">
        <f t="shared" ca="1" si="243"/>
        <v>1920000</v>
      </c>
      <c r="AH450" s="282">
        <f t="shared" ca="1" si="244"/>
        <v>11819596</v>
      </c>
      <c r="AI450" s="23" t="str">
        <f t="shared" ca="1" si="260"/>
        <v>38-4</v>
      </c>
      <c r="AJ450" s="282">
        <f ca="1">IF(E450&gt;111,,IF(AND(OP!$C$99=1,T450="F"),Z450,IF(AND(OP!$C$99=2,COUNTIF($T$4:T450,"F")=1),OP!$C$97+IF(F450="F",OP!$C$98,0),"")))</f>
        <v>54527</v>
      </c>
      <c r="AK450" s="282">
        <f ca="1">IF(E450&gt;111,,IF(AND(OP!$D$99=1,T450="F"),AA450,IF(AND(OP!$D$99=2,COUNTIF($T$4:T450,"F")=1),OP!$D$97+IF(F450="F",OP!$D$98,0),"")))</f>
        <v>74177</v>
      </c>
      <c r="AL450" s="282">
        <f ca="1">IF(E450&gt;111,,IF(AND(OP!$E$99=1,T450="F"),AB450,IF(AND(OP!$E$99=2,COUNTIF($T$4:T450,"F")=1),OP!$E$97+IF(F450="F",OP!$E$98,0),"")))</f>
        <v>99404</v>
      </c>
      <c r="AM450" s="1">
        <f t="shared" ca="1" si="269"/>
        <v>4</v>
      </c>
      <c r="AN450" s="1" t="e">
        <f ca="1">IF(OR(VLOOKUP($A450,MP,5,0)="月繳"),1,"")</f>
        <v>#N/A</v>
      </c>
      <c r="AO450" s="1">
        <f t="shared" ca="1" si="245"/>
        <v>0</v>
      </c>
      <c r="AP450" s="1" t="str">
        <f ca="1">IF(AND(A450&lt;=OP!$C$120,COUNTIF(PAY,C450)=1),1,"")</f>
        <v/>
      </c>
      <c r="AR450" s="301">
        <f ca="1">IF(繳費報酬率資料!$A$1=1,$AY450+$AZ450,$BF450+$BG450)</f>
        <v>0</v>
      </c>
      <c r="AS450" s="1">
        <f ca="1">IF(C450&lt;&gt;IF($C$3=1,12,$C$3-1),0,IF(繳費報酬率資料!$A$1&lt;&gt;1,VLOOKUP($A450,MP,8,0),IF(AND($A450&gt;=OP!$C$79,$A450&lt;=OP!$C$80),OP!$C$78,)))</f>
        <v>0</v>
      </c>
      <c r="AT450" s="298">
        <f t="shared" ca="1" si="246"/>
        <v>0</v>
      </c>
      <c r="AU450" s="298">
        <f ca="1">IF(AND(A450&lt;=OP!$C$120,COUNTIF(PAY,C450)=1),OP!$C$123,0)</f>
        <v>0</v>
      </c>
      <c r="AV450" s="298">
        <f ca="1">IF(AND(A450&gt;=OP!$C$132,A450&lt;=OP!$C$133,$C$3=C450),OP!$C$135,0)</f>
        <v>0</v>
      </c>
      <c r="AW450" s="180">
        <f t="shared" ca="1" si="247"/>
        <v>0.05</v>
      </c>
      <c r="AX450" s="180">
        <f t="shared" ca="1" si="248"/>
        <v>0.05</v>
      </c>
      <c r="AY450" s="286">
        <f t="shared" ca="1" si="249"/>
        <v>0</v>
      </c>
      <c r="AZ450" s="286">
        <f t="shared" ca="1" si="250"/>
        <v>0</v>
      </c>
      <c r="BA450" s="286">
        <f t="shared" ca="1" si="251"/>
        <v>0</v>
      </c>
      <c r="BB450" s="286">
        <f t="shared" ca="1" si="252"/>
        <v>0</v>
      </c>
      <c r="BC450" s="286">
        <f t="shared" ca="1" si="253"/>
        <v>0</v>
      </c>
      <c r="BD450" s="180">
        <f t="shared" ca="1" si="254"/>
        <v>0.05</v>
      </c>
      <c r="BE450" s="180">
        <f t="shared" ca="1" si="255"/>
        <v>0.05</v>
      </c>
      <c r="BF450" s="286">
        <f t="shared" ca="1" si="256"/>
        <v>0</v>
      </c>
      <c r="BG450" s="286">
        <f t="shared" ca="1" si="257"/>
        <v>0</v>
      </c>
    </row>
    <row r="451" spans="1:59">
      <c r="A451" s="1">
        <f t="shared" ca="1" si="236"/>
        <v>38</v>
      </c>
      <c r="B451" s="1">
        <f t="shared" ca="1" si="265"/>
        <v>143</v>
      </c>
      <c r="C451" s="1">
        <f t="shared" ca="1" si="266"/>
        <v>9</v>
      </c>
      <c r="D451" s="1">
        <f ca="1">MIN($D$3,VLOOKUP(C451,OP!$S$30:$T$41,2))</f>
        <v>2</v>
      </c>
      <c r="E451" s="1">
        <f t="shared" ca="1" si="267"/>
        <v>92</v>
      </c>
      <c r="F451" s="11" t="str">
        <f t="shared" ca="1" si="237"/>
        <v/>
      </c>
      <c r="G451" s="8">
        <f t="shared" ca="1" si="270"/>
        <v>365</v>
      </c>
      <c r="H451" s="8">
        <f t="shared" ca="1" si="239"/>
        <v>30</v>
      </c>
      <c r="I451" s="8" t="str">
        <f t="shared" ca="1" si="235"/>
        <v>389</v>
      </c>
      <c r="J451" s="13">
        <f>IF(繳費報酬率資料!$A$1=1,VALUE(OP!$C$121),VLOOKUP(A451,MP,2,0))</f>
        <v>0.05</v>
      </c>
      <c r="K451" s="14">
        <f ca="1">IF(SUM($K$4:K450,IF(繳費報酬率資料!$A$1=1,$AU451+$AV451,$BB451+$BC451))&gt;OP!$L$58,0,IF(繳費報酬率資料!$A$1=1,$AU451+$AV451,$BB451+$BC451))</f>
        <v>0</v>
      </c>
      <c r="L451" s="2"/>
      <c r="M451" s="2"/>
      <c r="N451" s="2"/>
      <c r="O451" s="261">
        <f t="shared" ca="1" si="240"/>
        <v>0</v>
      </c>
      <c r="P451" s="261">
        <f t="shared" ca="1" si="258"/>
        <v>0</v>
      </c>
      <c r="Q451" s="3">
        <f ca="1">IF(A451&gt;MAX(OP!$R$17:$R$26),0,VLOOKUP(A451,fees,3,FALSE))</f>
        <v>0</v>
      </c>
      <c r="R451" s="200" t="str">
        <f t="shared" ca="1" si="241"/>
        <v/>
      </c>
      <c r="S451" s="9" t="str">
        <f ca="1">IF(COUNTIF(($T$4:T450),"F")&gt;=1,"",IF(OR(C452&lt;&gt;$C$3,E451=""),"",A451))</f>
        <v/>
      </c>
      <c r="T451" s="20" t="str">
        <f t="shared" ca="1" si="268"/>
        <v/>
      </c>
      <c r="U451" s="2">
        <f ca="1">IF(IF(OP!$C$83=1,$Z450,IF(OP!$C$83=2,$AA450,IF(OP!$C$83=3,$AB450,)))+$K451-$O451-$P451-$AS451&lt;OP!$C$142,0,$AS451)</f>
        <v>0</v>
      </c>
      <c r="V451" s="9"/>
      <c r="W451" s="19">
        <f ca="1">MAX(SUM($K$4:K451),0)</f>
        <v>2000000</v>
      </c>
      <c r="X451" s="19"/>
      <c r="Y451" s="19">
        <f t="shared" ca="1" si="259"/>
        <v>1920000</v>
      </c>
      <c r="Z451" s="2">
        <f ca="1">IF(MIN($Z$4:Z450)=0,0,MAX(0,($Z450+$K451-$O451-$P451)*IF(AND(F451="F",$D$3&lt;&gt;$G$3),((1+(-J451))^(H451/MIN(G451,365))),((1+(-J451))^(1/12)))-$U451))</f>
        <v>282910.56073503953</v>
      </c>
      <c r="AA451" s="2">
        <f ca="1">IF(MIN($AA$4:AA450)=0,0,MAX(0,($AA450+$K451-$O451-$P451)*IF(AND(F451="F",$D$3&lt;&gt;$G$3),((1+$AA$1)^(H451/MIN(G451,365))),((1+$AA$1)^(1/12)))-$U451))</f>
        <v>1920000</v>
      </c>
      <c r="AB451" s="2">
        <f ca="1">IF(MIN($AB$4:AB450)=0,0,MAX(0,($AB450+$K451-$O451-$P451)*IF(AND(F451="F",$D$3&lt;&gt;$G$3),((1+(J451))^(H451/MIN(G451,365))),((1+(J451))^(1/12)))-$U451))</f>
        <v>11867750.133005921</v>
      </c>
      <c r="AC451" s="5"/>
      <c r="AD451" s="5"/>
      <c r="AE451" s="5"/>
      <c r="AF451" s="282">
        <f t="shared" ca="1" si="242"/>
        <v>282911</v>
      </c>
      <c r="AG451" s="282">
        <f t="shared" ca="1" si="243"/>
        <v>1920000</v>
      </c>
      <c r="AH451" s="282">
        <f t="shared" ca="1" si="244"/>
        <v>11867750</v>
      </c>
      <c r="AI451" s="23" t="str">
        <f t="shared" ca="1" si="260"/>
        <v>38-5</v>
      </c>
      <c r="AJ451" s="282">
        <f ca="1">IF(E451&gt;111,,IF(AND(OP!$C$99=1,T451="F"),Z451,IF(AND(OP!$C$99=2,COUNTIF($T$4:T451,"F")=1),OP!$C$97+IF(F451="F",OP!$C$98,0),"")))</f>
        <v>54527</v>
      </c>
      <c r="AK451" s="282">
        <f ca="1">IF(E451&gt;111,,IF(AND(OP!$D$99=1,T451="F"),AA451,IF(AND(OP!$D$99=2,COUNTIF($T$4:T451,"F")=1),OP!$D$97+IF(F451="F",OP!$D$98,0),"")))</f>
        <v>74177</v>
      </c>
      <c r="AL451" s="282">
        <f ca="1">IF(E451&gt;111,,IF(AND(OP!$E$99=1,T451="F"),AB451,IF(AND(OP!$E$99=2,COUNTIF($T$4:T451,"F")=1),OP!$E$97+IF(F451="F",OP!$E$98,0),"")))</f>
        <v>99404</v>
      </c>
      <c r="AM451" s="1">
        <f t="shared" ca="1" si="269"/>
        <v>5</v>
      </c>
      <c r="AN451" s="1" t="e">
        <f ca="1">IF(OR(VLOOKUP($A451,MP,5,0)="季繳",VLOOKUP($A451,MP,5,0)="月繳"),1,"")</f>
        <v>#N/A</v>
      </c>
      <c r="AO451" s="1">
        <f t="shared" ca="1" si="245"/>
        <v>0</v>
      </c>
      <c r="AP451" s="1" t="str">
        <f ca="1">IF(AND(A451&lt;=OP!$C$120,COUNTIF(PAY,C451)=1),1,"")</f>
        <v/>
      </c>
      <c r="AR451" s="301">
        <f ca="1">IF(繳費報酬率資料!$A$1=1,$AY451+$AZ451,$BF451+$BG451)</f>
        <v>0</v>
      </c>
      <c r="AS451" s="1">
        <f ca="1">IF(C451&lt;&gt;IF($C$3=1,12,$C$3-1),0,IF(繳費報酬率資料!$A$1&lt;&gt;1,VLOOKUP($A451,MP,8,0),IF(AND($A451&gt;=OP!$C$79,$A451&lt;=OP!$C$80),OP!$C$78,)))</f>
        <v>0</v>
      </c>
      <c r="AT451" s="298">
        <f t="shared" ca="1" si="246"/>
        <v>0</v>
      </c>
      <c r="AU451" s="298">
        <f ca="1">IF(AND(A451&lt;=OP!$C$120,COUNTIF(PAY,C451)=1),OP!$C$123,0)</f>
        <v>0</v>
      </c>
      <c r="AV451" s="298">
        <f ca="1">IF(AND(A451&gt;=OP!$C$132,A451&lt;=OP!$C$133,$C$3=C451),OP!$C$135,0)</f>
        <v>0</v>
      </c>
      <c r="AW451" s="180">
        <f t="shared" ca="1" si="247"/>
        <v>0.05</v>
      </c>
      <c r="AX451" s="180">
        <f t="shared" ca="1" si="248"/>
        <v>0.05</v>
      </c>
      <c r="AY451" s="286">
        <f t="shared" ca="1" si="249"/>
        <v>0</v>
      </c>
      <c r="AZ451" s="286">
        <f t="shared" ca="1" si="250"/>
        <v>0</v>
      </c>
      <c r="BA451" s="286">
        <f t="shared" ca="1" si="251"/>
        <v>0</v>
      </c>
      <c r="BB451" s="286">
        <f t="shared" ca="1" si="252"/>
        <v>0</v>
      </c>
      <c r="BC451" s="286">
        <f t="shared" ca="1" si="253"/>
        <v>0</v>
      </c>
      <c r="BD451" s="180">
        <f t="shared" ca="1" si="254"/>
        <v>0.05</v>
      </c>
      <c r="BE451" s="180">
        <f t="shared" ca="1" si="255"/>
        <v>0.05</v>
      </c>
      <c r="BF451" s="286">
        <f t="shared" ca="1" si="256"/>
        <v>0</v>
      </c>
      <c r="BG451" s="286">
        <f t="shared" ca="1" si="257"/>
        <v>0</v>
      </c>
    </row>
    <row r="452" spans="1:59">
      <c r="A452" s="1">
        <f t="shared" ca="1" si="236"/>
        <v>38</v>
      </c>
      <c r="B452" s="1">
        <f t="shared" ca="1" si="265"/>
        <v>143</v>
      </c>
      <c r="C452" s="1">
        <f t="shared" ca="1" si="266"/>
        <v>10</v>
      </c>
      <c r="D452" s="1">
        <f ca="1">MIN($D$3,VLOOKUP(C452,OP!$S$30:$T$41,2))</f>
        <v>2</v>
      </c>
      <c r="E452" s="1">
        <f t="shared" ca="1" si="267"/>
        <v>92</v>
      </c>
      <c r="F452" s="11" t="str">
        <f t="shared" ca="1" si="237"/>
        <v/>
      </c>
      <c r="G452" s="8">
        <f t="shared" ca="1" si="270"/>
        <v>365</v>
      </c>
      <c r="H452" s="8">
        <f t="shared" ca="1" si="239"/>
        <v>31</v>
      </c>
      <c r="I452" s="8" t="str">
        <f t="shared" ref="I452:I515" ca="1" si="271">A452&amp;C452</f>
        <v>3810</v>
      </c>
      <c r="J452" s="13">
        <f>IF(繳費報酬率資料!$A$1=1,VALUE(OP!$C$121),VLOOKUP(A452,MP,2,0))</f>
        <v>0.05</v>
      </c>
      <c r="K452" s="14">
        <f ca="1">IF(SUM($K$4:K451,IF(繳費報酬率資料!$A$1=1,$AU452+$AV452,$BB452+$BC452))&gt;OP!$L$58,0,IF(繳費報酬率資料!$A$1=1,$AU452+$AV452,$BB452+$BC452))</f>
        <v>0</v>
      </c>
      <c r="L452" s="2"/>
      <c r="M452" s="2"/>
      <c r="N452" s="2"/>
      <c r="O452" s="261">
        <f t="shared" ca="1" si="240"/>
        <v>0</v>
      </c>
      <c r="P452" s="261">
        <f t="shared" ca="1" si="258"/>
        <v>0</v>
      </c>
      <c r="Q452" s="3">
        <f ca="1">IF(A452&gt;MAX(OP!$R$17:$R$26),0,VLOOKUP(A452,fees,3,FALSE))</f>
        <v>0</v>
      </c>
      <c r="R452" s="200" t="str">
        <f t="shared" ca="1" si="241"/>
        <v/>
      </c>
      <c r="S452" s="9" t="str">
        <f ca="1">IF(COUNTIF(($T$4:T451),"F")&gt;=1,"",IF(OR(C453&lt;&gt;$C$3,E452=""),"",A452))</f>
        <v/>
      </c>
      <c r="T452" s="20" t="str">
        <f t="shared" ca="1" si="268"/>
        <v/>
      </c>
      <c r="U452" s="2">
        <f ca="1">IF(IF(OP!$C$83=1,$Z451,IF(OP!$C$83=2,$AA451,IF(OP!$C$83=3,$AB451,)))+$K452-$O452-$P452-$AS452&lt;OP!$C$142,0,$AS452)</f>
        <v>0</v>
      </c>
      <c r="V452" s="9"/>
      <c r="W452" s="19">
        <f ca="1">MAX(SUM($K$4:K452),0)</f>
        <v>2000000</v>
      </c>
      <c r="X452" s="19"/>
      <c r="Y452" s="19">
        <f t="shared" ca="1" si="259"/>
        <v>1920000</v>
      </c>
      <c r="Z452" s="2">
        <f ca="1">IF(MIN($Z$4:Z451)=0,0,MAX(0,($Z451+$K452-$O452-$P452)*IF(AND(F452="F",$D$3&lt;&gt;$G$3),((1+(-J452))^(H452/MIN(G452,365))),((1+(-J452))^(1/12)))-$U452))</f>
        <v>281703.85700796614</v>
      </c>
      <c r="AA452" s="2">
        <f ca="1">IF(MIN($AA$4:AA451)=0,0,MAX(0,($AA451+$K452-$O452-$P452)*IF(AND(F452="F",$D$3&lt;&gt;$G$3),((1+$AA$1)^(H452/MIN(G452,365))),((1+$AA$1)^(1/12)))-$U452))</f>
        <v>1920000</v>
      </c>
      <c r="AB452" s="2">
        <f ca="1">IF(MIN($AB$4:AB451)=0,0,MAX(0,($AB451+$K452-$O452-$P452)*IF(AND(F452="F",$D$3&lt;&gt;$G$3),((1+(J452))^(H452/MIN(G452,365))),((1+(J452))^(1/12)))-$U452))</f>
        <v>11916100.816081196</v>
      </c>
      <c r="AC452" s="5"/>
      <c r="AD452" s="5"/>
      <c r="AE452" s="5"/>
      <c r="AF452" s="282">
        <f t="shared" ca="1" si="242"/>
        <v>281704</v>
      </c>
      <c r="AG452" s="282">
        <f t="shared" ca="1" si="243"/>
        <v>1920000</v>
      </c>
      <c r="AH452" s="282">
        <f t="shared" ca="1" si="244"/>
        <v>11916101</v>
      </c>
      <c r="AI452" s="23" t="str">
        <f t="shared" ca="1" si="260"/>
        <v>38-6</v>
      </c>
      <c r="AJ452" s="282">
        <f ca="1">IF(E452&gt;111,,IF(AND(OP!$C$99=1,T452="F"),Z452,IF(AND(OP!$C$99=2,COUNTIF($T$4:T452,"F")=1),OP!$C$97+IF(F452="F",OP!$C$98,0),"")))</f>
        <v>54527</v>
      </c>
      <c r="AK452" s="282">
        <f ca="1">IF(E452&gt;111,,IF(AND(OP!$D$99=1,T452="F"),AA452,IF(AND(OP!$D$99=2,COUNTIF($T$4:T452,"F")=1),OP!$D$97+IF(F452="F",OP!$D$98,0),"")))</f>
        <v>74177</v>
      </c>
      <c r="AL452" s="282">
        <f ca="1">IF(E452&gt;111,,IF(AND(OP!$E$99=1,T452="F"),AB452,IF(AND(OP!$E$99=2,COUNTIF($T$4:T452,"F")=1),OP!$E$97+IF(F452="F",OP!$E$98,0),"")))</f>
        <v>99404</v>
      </c>
      <c r="AM452" s="1">
        <f t="shared" ca="1" si="269"/>
        <v>6</v>
      </c>
      <c r="AN452" s="1" t="e">
        <f ca="1">IF(OR(VLOOKUP($A452,MP,5,0)="月繳"),1,"")</f>
        <v>#N/A</v>
      </c>
      <c r="AO452" s="1">
        <f t="shared" ca="1" si="245"/>
        <v>0</v>
      </c>
      <c r="AP452" s="1" t="str">
        <f ca="1">IF(AND(A452&lt;=OP!$C$120,COUNTIF(PAY,C452)=1),1,"")</f>
        <v/>
      </c>
      <c r="AR452" s="301">
        <f ca="1">IF(繳費報酬率資料!$A$1=1,$AY452+$AZ452,$BF452+$BG452)</f>
        <v>0</v>
      </c>
      <c r="AS452" s="1">
        <f ca="1">IF(C452&lt;&gt;IF($C$3=1,12,$C$3-1),0,IF(繳費報酬率資料!$A$1&lt;&gt;1,VLOOKUP($A452,MP,8,0),IF(AND($A452&gt;=OP!$C$79,$A452&lt;=OP!$C$80),OP!$C$78,)))</f>
        <v>0</v>
      </c>
      <c r="AT452" s="298">
        <f t="shared" ca="1" si="246"/>
        <v>0</v>
      </c>
      <c r="AU452" s="298">
        <f ca="1">IF(AND(A452&lt;=OP!$C$120,COUNTIF(PAY,C452)=1),OP!$C$123,0)</f>
        <v>0</v>
      </c>
      <c r="AV452" s="298">
        <f ca="1">IF(AND(A452&gt;=OP!$C$132,A452&lt;=OP!$C$133,$C$3=C452),OP!$C$135,0)</f>
        <v>0</v>
      </c>
      <c r="AW452" s="180">
        <f t="shared" ca="1" si="247"/>
        <v>0.05</v>
      </c>
      <c r="AX452" s="180">
        <f t="shared" ca="1" si="248"/>
        <v>0.05</v>
      </c>
      <c r="AY452" s="286">
        <f t="shared" ca="1" si="249"/>
        <v>0</v>
      </c>
      <c r="AZ452" s="286">
        <f t="shared" ca="1" si="250"/>
        <v>0</v>
      </c>
      <c r="BA452" s="286">
        <f t="shared" ca="1" si="251"/>
        <v>0</v>
      </c>
      <c r="BB452" s="286">
        <f t="shared" ca="1" si="252"/>
        <v>0</v>
      </c>
      <c r="BC452" s="286">
        <f t="shared" ca="1" si="253"/>
        <v>0</v>
      </c>
      <c r="BD452" s="180">
        <f t="shared" ca="1" si="254"/>
        <v>0.05</v>
      </c>
      <c r="BE452" s="180">
        <f t="shared" ca="1" si="255"/>
        <v>0.05</v>
      </c>
      <c r="BF452" s="286">
        <f t="shared" ca="1" si="256"/>
        <v>0</v>
      </c>
      <c r="BG452" s="286">
        <f t="shared" ca="1" si="257"/>
        <v>0</v>
      </c>
    </row>
    <row r="453" spans="1:59">
      <c r="A453" s="1">
        <f t="shared" ref="A453:A516" ca="1" si="272">IF(C453=$C$4,A452+1,A452)</f>
        <v>38</v>
      </c>
      <c r="B453" s="1">
        <f t="shared" ca="1" si="265"/>
        <v>143</v>
      </c>
      <c r="C453" s="1">
        <f t="shared" ca="1" si="266"/>
        <v>11</v>
      </c>
      <c r="D453" s="1">
        <f ca="1">MIN($D$3,VLOOKUP(C453,OP!$S$30:$T$41,2))</f>
        <v>2</v>
      </c>
      <c r="E453" s="1">
        <f t="shared" ca="1" si="267"/>
        <v>92</v>
      </c>
      <c r="F453" s="11" t="str">
        <f t="shared" ref="F453:F516" ca="1" si="273">IF(AND(DATE($E$3+1911,$F$3,$G$3)&gt;DATE(B453+1911,C453,D453),DATE($E$3+1911,$F$3,$G$3)&lt;=DATE(B454+1911,C454,D454)),"F","")</f>
        <v/>
      </c>
      <c r="G453" s="8">
        <f t="shared" ca="1" si="270"/>
        <v>365</v>
      </c>
      <c r="H453" s="8">
        <f t="shared" ref="H453:H516" ca="1" si="274">DATEDIF(DATE(B453+1911,C453,D453),IF(F453="F",DATE($E$3+1911,$F$3,$G$3),DATE(B454+1911,C454,D454)),"d")</f>
        <v>30</v>
      </c>
      <c r="I453" s="8" t="str">
        <f t="shared" ca="1" si="271"/>
        <v>3811</v>
      </c>
      <c r="J453" s="13">
        <f>IF(繳費報酬率資料!$A$1=1,VALUE(OP!$C$121),VLOOKUP(A453,MP,2,0))</f>
        <v>0.05</v>
      </c>
      <c r="K453" s="14">
        <f ca="1">IF(SUM($K$4:K452,IF(繳費報酬率資料!$A$1=1,$AU453+$AV453,$BB453+$BC453))&gt;OP!$L$58,0,IF(繳費報酬率資料!$A$1=1,$AU453+$AV453,$BB453+$BC453))</f>
        <v>0</v>
      </c>
      <c r="L453" s="2"/>
      <c r="M453" s="2"/>
      <c r="N453" s="2"/>
      <c r="O453" s="261">
        <f t="shared" ref="O453:O516" ca="1" si="275">IF(K453=0,0,$AR453)</f>
        <v>0</v>
      </c>
      <c r="P453" s="261">
        <f t="shared" ca="1" si="258"/>
        <v>0</v>
      </c>
      <c r="Q453" s="3">
        <f ca="1">IF(A453&gt;MAX(OP!$R$17:$R$26),0,VLOOKUP(A453,fees,3,FALSE))</f>
        <v>0</v>
      </c>
      <c r="R453" s="200" t="str">
        <f t="shared" ref="R453:R516" ca="1" si="276">IF(OR(C454&lt;&gt;$C$3,E453=""),"",A453)</f>
        <v/>
      </c>
      <c r="S453" s="9" t="str">
        <f ca="1">IF(COUNTIF(($T$4:T452),"F")&gt;=1,"",IF(OR(C454&lt;&gt;$C$3,E453=""),"",A453))</f>
        <v/>
      </c>
      <c r="T453" s="20" t="str">
        <f t="shared" ca="1" si="268"/>
        <v/>
      </c>
      <c r="U453" s="2">
        <f ca="1">IF(IF(OP!$C$83=1,$Z452,IF(OP!$C$83=2,$AA452,IF(OP!$C$83=3,$AB452,)))+$K453-$O453-$P453-$AS453&lt;OP!$C$142,0,$AS453)</f>
        <v>0</v>
      </c>
      <c r="V453" s="9"/>
      <c r="W453" s="19">
        <f ca="1">MAX(SUM($K$4:K453),0)</f>
        <v>2000000</v>
      </c>
      <c r="X453" s="19"/>
      <c r="Y453" s="19">
        <f t="shared" ca="1" si="259"/>
        <v>1920000</v>
      </c>
      <c r="Z453" s="2">
        <f ca="1">IF(MIN($Z$4:Z452)=0,0,MAX(0,($Z452+$K453-$O453-$P453)*IF(AND(F453="F",$D$3&lt;&gt;$G$3),((1+(-J453))^(H453/MIN(G453,365))),((1+(-J453))^(1/12)))-$U453))</f>
        <v>280502.30025695881</v>
      </c>
      <c r="AA453" s="2">
        <f ca="1">IF(MIN($AA$4:AA452)=0,0,MAX(0,($AA452+$K453-$O453-$P453)*IF(AND(F453="F",$D$3&lt;&gt;$G$3),((1+$AA$1)^(H453/MIN(G453,365))),((1+$AA$1)^(1/12)))-$U453))</f>
        <v>1920000</v>
      </c>
      <c r="AB453" s="2">
        <f ca="1">IF(MIN($AB$4:AB452)=0,0,MAX(0,($AB452+$K453-$O453-$P453)*IF(AND(F453="F",$D$3&lt;&gt;$G$3),((1+(J453))^(H453/MIN(G453,365))),((1+(J453))^(1/12)))-$U453))</f>
        <v>11964648.485824345</v>
      </c>
      <c r="AC453" s="5"/>
      <c r="AD453" s="5"/>
      <c r="AE453" s="5"/>
      <c r="AF453" s="282">
        <f t="shared" ref="AF453:AF516" ca="1" si="277">ROUND(Z453*(1-$Q453),$AF$1)</f>
        <v>280502</v>
      </c>
      <c r="AG453" s="282">
        <f t="shared" ref="AG453:AG516" ca="1" si="278">ROUND(AA453*(1-$Q453),$AF$1)</f>
        <v>1920000</v>
      </c>
      <c r="AH453" s="282">
        <f t="shared" ref="AH453:AH516" ca="1" si="279">ROUND(AB453*(1-$Q453),$AF$1)</f>
        <v>11964648</v>
      </c>
      <c r="AI453" s="23" t="str">
        <f t="shared" ca="1" si="260"/>
        <v>38-7</v>
      </c>
      <c r="AJ453" s="282">
        <f ca="1">IF(E453&gt;111,,IF(AND(OP!$C$99=1,T453="F"),Z453,IF(AND(OP!$C$99=2,COUNTIF($T$4:T453,"F")=1),OP!$C$97+IF(F453="F",OP!$C$98,0),"")))</f>
        <v>54527</v>
      </c>
      <c r="AK453" s="282">
        <f ca="1">IF(E453&gt;111,,IF(AND(OP!$D$99=1,T453="F"),AA453,IF(AND(OP!$D$99=2,COUNTIF($T$4:T453,"F")=1),OP!$D$97+IF(F453="F",OP!$D$98,0),"")))</f>
        <v>74177</v>
      </c>
      <c r="AL453" s="282">
        <f ca="1">IF(E453&gt;111,,IF(AND(OP!$E$99=1,T453="F"),AB453,IF(AND(OP!$E$99=2,COUNTIF($T$4:T453,"F")=1),OP!$E$97+IF(F453="F",OP!$E$98,0),"")))</f>
        <v>99404</v>
      </c>
      <c r="AM453" s="1">
        <f t="shared" ca="1" si="269"/>
        <v>7</v>
      </c>
      <c r="AN453" s="1" t="e">
        <f ca="1">IF(OR(VLOOKUP($A453,MP,5,0)="月繳"),1,"")</f>
        <v>#N/A</v>
      </c>
      <c r="AO453" s="1">
        <f t="shared" ref="AO453:AO516" ca="1" si="280">IF(ISNA(VLOOKUP(A453,MP,2,0)),,IF(C453=$C$3,ROUND(VLOOKUP(A453,MP,4,0),0),0)+IF(AN453=1,ROUND(VLOOKUP(A453,MP,6,0),0),0))</f>
        <v>0</v>
      </c>
      <c r="AP453" s="1" t="str">
        <f ca="1">IF(AND(A453&lt;=OP!$C$120,COUNTIF(PAY,C453)=1),1,"")</f>
        <v/>
      </c>
      <c r="AR453" s="301">
        <f ca="1">IF(繳費報酬率資料!$A$1=1,$AY453+$AZ453,$BF453+$BG453)</f>
        <v>0</v>
      </c>
      <c r="AS453" s="1">
        <f ca="1">IF(C453&lt;&gt;IF($C$3=1,12,$C$3-1),0,IF(繳費報酬率資料!$A$1&lt;&gt;1,VLOOKUP($A453,MP,8,0),IF(AND($A453&gt;=OP!$C$79,$A453&lt;=OP!$C$80),OP!$C$78,)))</f>
        <v>0</v>
      </c>
      <c r="AT453" s="298">
        <f t="shared" ref="AT453:AT516" ca="1" si="281">AU453+AV453</f>
        <v>0</v>
      </c>
      <c r="AU453" s="298">
        <f ca="1">IF(AND(A453&lt;=OP!$C$120,COUNTIF(PAY,C453)=1),OP!$C$123,0)</f>
        <v>0</v>
      </c>
      <c r="AV453" s="298">
        <f ca="1">IF(AND(A453&gt;=OP!$C$132,A453&lt;=OP!$C$133,$C$3=C453),OP!$C$135,0)</f>
        <v>0</v>
      </c>
      <c r="AW453" s="180">
        <f t="shared" ref="AW453:AW516" ca="1" si="282">HLOOKUP(IF($AU453&lt;$AY$1,1,IF(AND($AU453&gt;=$AY$1,$AU453&lt;$AZ$1),2,IF(AND($AU453&gt;=$AZ$1,$AU453&lt;$BA$1),3,IF(AND($AU453&gt;=$BA$1),4,1)))),PR,2,0)</f>
        <v>0.05</v>
      </c>
      <c r="AX453" s="180">
        <f t="shared" ref="AX453:AX516" ca="1" si="283">HLOOKUP(IF($AV453&lt;$AY$1,1,IF(AND($AV453&gt;=$AY$1,$AV453&lt;$AZ$1),2,IF(AND($AV453&gt;=$AZ$1,$AV453&lt;$BA$1),3,IF(AND($AV453&gt;=$BA$1),4,1)))),PR,2,0)</f>
        <v>0.05</v>
      </c>
      <c r="AY453" s="286">
        <f t="shared" ref="AY453:AY516" ca="1" si="284">ROUND(AU453*AW453,0)</f>
        <v>0</v>
      </c>
      <c r="AZ453" s="286">
        <f t="shared" ref="AZ453:AZ516" ca="1" si="285">ROUND(AV453*AX453,0)</f>
        <v>0</v>
      </c>
      <c r="BA453" s="286">
        <f t="shared" ref="BA453:BA516" ca="1" si="286">BB453+BC453</f>
        <v>0</v>
      </c>
      <c r="BB453" s="286">
        <f t="shared" ref="BB453:BB516" ca="1" si="287">IF(ISNA(VLOOKUP(A453,MP,2,0)),,IF(C453=$C$3,ROUND(VLOOKUP(A453,MP,6,0),0),0))</f>
        <v>0</v>
      </c>
      <c r="BC453" s="286">
        <f t="shared" ref="BC453:BC516" ca="1" si="288">IF(ISNA(VLOOKUP(A453,MP,4,0)),,IF(AND(C453=$C$3,AN453=1),ROUND(VLOOKUP(A453,MP,4,0),0),0))</f>
        <v>0</v>
      </c>
      <c r="BD453" s="180">
        <f t="shared" ref="BD453:BD516" ca="1" si="289">HLOOKUP(IF($BB453&lt;$AY$1,1,IF(AND($BB453&gt;=$AY$1,$BB453&lt;$AZ$1),2,IF(AND($BB453&gt;=$AZ$1,$BB453&lt;$BA$1),3,IF(AND($BB453&gt;=$BA$1),4,1)))),PR,2,0)</f>
        <v>0.05</v>
      </c>
      <c r="BE453" s="180">
        <f t="shared" ref="BE453:BE516" ca="1" si="290">HLOOKUP(IF($BC453&lt;$AY$1,1,IF(AND($BC453&gt;=$AY$1,$BC453&lt;$AZ$1),2,IF(AND($BC453&gt;=$AZ$1,$BC453&lt;$BA$1),3,IF(AND($BC453&gt;=$BA$1),4,1)))),PR,2,0)</f>
        <v>0.05</v>
      </c>
      <c r="BF453" s="286">
        <f t="shared" ref="BF453:BF516" ca="1" si="291">ROUND(BB453*BD453,0)</f>
        <v>0</v>
      </c>
      <c r="BG453" s="286">
        <f t="shared" ref="BG453:BG516" ca="1" si="292">ROUND(BC453*BE453,0)</f>
        <v>0</v>
      </c>
    </row>
    <row r="454" spans="1:59">
      <c r="A454" s="1">
        <f t="shared" ca="1" si="272"/>
        <v>38</v>
      </c>
      <c r="B454" s="1">
        <f t="shared" ca="1" si="265"/>
        <v>143</v>
      </c>
      <c r="C454" s="1">
        <f t="shared" ca="1" si="266"/>
        <v>12</v>
      </c>
      <c r="D454" s="1">
        <f ca="1">MIN($D$3,VLOOKUP(C454,OP!$S$30:$T$41,2))</f>
        <v>2</v>
      </c>
      <c r="E454" s="1">
        <f t="shared" ca="1" si="267"/>
        <v>92</v>
      </c>
      <c r="F454" s="11" t="str">
        <f t="shared" ca="1" si="273"/>
        <v/>
      </c>
      <c r="G454" s="8">
        <f t="shared" ca="1" si="270"/>
        <v>365</v>
      </c>
      <c r="H454" s="8">
        <f t="shared" ca="1" si="274"/>
        <v>31</v>
      </c>
      <c r="I454" s="8" t="str">
        <f t="shared" ca="1" si="271"/>
        <v>3812</v>
      </c>
      <c r="J454" s="13">
        <f>IF(繳費報酬率資料!$A$1=1,VALUE(OP!$C$121),VLOOKUP(A454,MP,2,0))</f>
        <v>0.05</v>
      </c>
      <c r="K454" s="14">
        <f ca="1">IF(SUM($K$4:K453,IF(繳費報酬率資料!$A$1=1,$AU454+$AV454,$BB454+$BC454))&gt;OP!$L$58,0,IF(繳費報酬率資料!$A$1=1,$AU454+$AV454,$BB454+$BC454))</f>
        <v>0</v>
      </c>
      <c r="L454" s="2"/>
      <c r="M454" s="2"/>
      <c r="N454" s="2"/>
      <c r="O454" s="261">
        <f t="shared" ca="1" si="275"/>
        <v>0</v>
      </c>
      <c r="P454" s="261">
        <f t="shared" ref="P454:P517" ca="1" si="293">IF(MAX(Z453:AB453)=0,0,P453)</f>
        <v>0</v>
      </c>
      <c r="Q454" s="3">
        <f ca="1">IF(A454&gt;MAX(OP!$R$17:$R$26),0,VLOOKUP(A454,fees,3,FALSE))</f>
        <v>0</v>
      </c>
      <c r="R454" s="200" t="str">
        <f t="shared" ca="1" si="276"/>
        <v/>
      </c>
      <c r="S454" s="9" t="str">
        <f ca="1">IF(COUNTIF(($T$4:T453),"F")&gt;=1,"",IF(OR(C455&lt;&gt;$C$3,E454=""),"",A454))</f>
        <v/>
      </c>
      <c r="T454" s="20" t="str">
        <f t="shared" ca="1" si="268"/>
        <v/>
      </c>
      <c r="U454" s="2">
        <f ca="1">IF(IF(OP!$C$83=1,$Z453,IF(OP!$C$83=2,$AA453,IF(OP!$C$83=3,$AB453,)))+$K454-$O454-$P454-$AS454&lt;OP!$C$142,0,$AS454)</f>
        <v>0</v>
      </c>
      <c r="V454" s="9"/>
      <c r="W454" s="19">
        <f ca="1">MAX(SUM($K$4:K454),0)</f>
        <v>2000000</v>
      </c>
      <c r="X454" s="19"/>
      <c r="Y454" s="19">
        <f t="shared" ref="Y454:Y517" ca="1" si="294">Y453+K454-O454</f>
        <v>1920000</v>
      </c>
      <c r="Z454" s="2">
        <f ca="1">IF(MIN($Z$4:Z453)=0,0,MAX(0,($Z453+$K454-$O454-$P454)*IF(AND(F454="F",$D$3&lt;&gt;$G$3),((1+(-J454))^(H454/MIN(G454,365))),((1+(-J454))^(1/12)))-$U454))</f>
        <v>279305.86852852383</v>
      </c>
      <c r="AA454" s="2">
        <f ca="1">IF(MIN($AA$4:AA453)=0,0,MAX(0,($AA453+$K454-$O454-$P454)*IF(AND(F454="F",$D$3&lt;&gt;$G$3),((1+$AA$1)^(H454/MIN(G454,365))),((1+$AA$1)^(1/12)))-$U454))</f>
        <v>1920000</v>
      </c>
      <c r="AB454" s="2">
        <f ca="1">IF(MIN($AB$4:AB453)=0,0,MAX(0,($AB453+$K454-$O454-$P454)*IF(AND(F454="F",$D$3&lt;&gt;$G$3),((1+(J454))^(H454/MIN(G454,365))),((1+(J454))^(1/12)))-$U454))</f>
        <v>12013393.944783434</v>
      </c>
      <c r="AC454" s="5"/>
      <c r="AD454" s="5"/>
      <c r="AE454" s="5"/>
      <c r="AF454" s="282">
        <f t="shared" ca="1" si="277"/>
        <v>279306</v>
      </c>
      <c r="AG454" s="282">
        <f t="shared" ca="1" si="278"/>
        <v>1920000</v>
      </c>
      <c r="AH454" s="282">
        <f t="shared" ca="1" si="279"/>
        <v>12013394</v>
      </c>
      <c r="AI454" s="23" t="str">
        <f t="shared" ca="1" si="260"/>
        <v>38-8</v>
      </c>
      <c r="AJ454" s="282">
        <f ca="1">IF(E454&gt;111,,IF(AND(OP!$C$99=1,T454="F"),Z454,IF(AND(OP!$C$99=2,COUNTIF($T$4:T454,"F")=1),OP!$C$97+IF(F454="F",OP!$C$98,0),"")))</f>
        <v>54527</v>
      </c>
      <c r="AK454" s="282">
        <f ca="1">IF(E454&gt;111,,IF(AND(OP!$D$99=1,T454="F"),AA454,IF(AND(OP!$D$99=2,COUNTIF($T$4:T454,"F")=1),OP!$D$97+IF(F454="F",OP!$D$98,0),"")))</f>
        <v>74177</v>
      </c>
      <c r="AL454" s="282">
        <f ca="1">IF(E454&gt;111,,IF(AND(OP!$E$99=1,T454="F"),AB454,IF(AND(OP!$E$99=2,COUNTIF($T$4:T454,"F")=1),OP!$E$97+IF(F454="F",OP!$E$98,0),"")))</f>
        <v>99404</v>
      </c>
      <c r="AM454" s="1">
        <f t="shared" ca="1" si="269"/>
        <v>8</v>
      </c>
      <c r="AN454" s="1" t="e">
        <f ca="1">IF(OR(VLOOKUP($A454,MP,5,0)="半年繳",VLOOKUP($A454,MP,5,0)="季繳",VLOOKUP($A454,MP,5,0)="月繳"),1,"")</f>
        <v>#N/A</v>
      </c>
      <c r="AO454" s="1">
        <f t="shared" ca="1" si="280"/>
        <v>0</v>
      </c>
      <c r="AP454" s="1" t="str">
        <f ca="1">IF(AND(A454&lt;=OP!$C$120,COUNTIF(PAY,C454)=1),1,"")</f>
        <v/>
      </c>
      <c r="AR454" s="301">
        <f ca="1">IF(繳費報酬率資料!$A$1=1,$AY454+$AZ454,$BF454+$BG454)</f>
        <v>0</v>
      </c>
      <c r="AS454" s="1">
        <f ca="1">IF(C454&lt;&gt;IF($C$3=1,12,$C$3-1),0,IF(繳費報酬率資料!$A$1&lt;&gt;1,VLOOKUP($A454,MP,8,0),IF(AND($A454&gt;=OP!$C$79,$A454&lt;=OP!$C$80),OP!$C$78,)))</f>
        <v>0</v>
      </c>
      <c r="AT454" s="298">
        <f t="shared" ca="1" si="281"/>
        <v>0</v>
      </c>
      <c r="AU454" s="298">
        <f ca="1">IF(AND(A454&lt;=OP!$C$120,COUNTIF(PAY,C454)=1),OP!$C$123,0)</f>
        <v>0</v>
      </c>
      <c r="AV454" s="298">
        <f ca="1">IF(AND(A454&gt;=OP!$C$132,A454&lt;=OP!$C$133,$C$3=C454),OP!$C$135,0)</f>
        <v>0</v>
      </c>
      <c r="AW454" s="180">
        <f t="shared" ca="1" si="282"/>
        <v>0.05</v>
      </c>
      <c r="AX454" s="180">
        <f t="shared" ca="1" si="283"/>
        <v>0.05</v>
      </c>
      <c r="AY454" s="286">
        <f t="shared" ca="1" si="284"/>
        <v>0</v>
      </c>
      <c r="AZ454" s="286">
        <f t="shared" ca="1" si="285"/>
        <v>0</v>
      </c>
      <c r="BA454" s="286">
        <f t="shared" ca="1" si="286"/>
        <v>0</v>
      </c>
      <c r="BB454" s="286">
        <f t="shared" ca="1" si="287"/>
        <v>0</v>
      </c>
      <c r="BC454" s="286">
        <f t="shared" ca="1" si="288"/>
        <v>0</v>
      </c>
      <c r="BD454" s="180">
        <f t="shared" ca="1" si="289"/>
        <v>0.05</v>
      </c>
      <c r="BE454" s="180">
        <f t="shared" ca="1" si="290"/>
        <v>0.05</v>
      </c>
      <c r="BF454" s="286">
        <f t="shared" ca="1" si="291"/>
        <v>0</v>
      </c>
      <c r="BG454" s="286">
        <f t="shared" ca="1" si="292"/>
        <v>0</v>
      </c>
    </row>
    <row r="455" spans="1:59">
      <c r="A455" s="1">
        <f t="shared" ca="1" si="272"/>
        <v>38</v>
      </c>
      <c r="B455" s="1">
        <f t="shared" ca="1" si="265"/>
        <v>144</v>
      </c>
      <c r="C455" s="1">
        <f t="shared" ca="1" si="266"/>
        <v>1</v>
      </c>
      <c r="D455" s="1">
        <f ca="1">MIN($D$3,VLOOKUP(C455,OP!$S$30:$T$41,2))</f>
        <v>2</v>
      </c>
      <c r="E455" s="1">
        <f t="shared" ca="1" si="267"/>
        <v>92</v>
      </c>
      <c r="F455" s="11" t="str">
        <f t="shared" ca="1" si="273"/>
        <v/>
      </c>
      <c r="G455" s="8">
        <f t="shared" ca="1" si="270"/>
        <v>365</v>
      </c>
      <c r="H455" s="8">
        <f t="shared" ca="1" si="274"/>
        <v>31</v>
      </c>
      <c r="I455" s="8" t="str">
        <f t="shared" ca="1" si="271"/>
        <v>381</v>
      </c>
      <c r="J455" s="13">
        <f>IF(繳費報酬率資料!$A$1=1,VALUE(OP!$C$121),VLOOKUP(A455,MP,2,0))</f>
        <v>0.05</v>
      </c>
      <c r="K455" s="14">
        <f ca="1">IF(SUM($K$4:K454,IF(繳費報酬率資料!$A$1=1,$AU455+$AV455,$BB455+$BC455))&gt;OP!$L$58,0,IF(繳費報酬率資料!$A$1=1,$AU455+$AV455,$BB455+$BC455))</f>
        <v>0</v>
      </c>
      <c r="L455" s="2"/>
      <c r="M455" s="2"/>
      <c r="N455" s="2"/>
      <c r="O455" s="261">
        <f t="shared" ca="1" si="275"/>
        <v>0</v>
      </c>
      <c r="P455" s="261">
        <f t="shared" ca="1" si="293"/>
        <v>0</v>
      </c>
      <c r="Q455" s="3">
        <f ca="1">IF(A455&gt;MAX(OP!$R$17:$R$26),0,VLOOKUP(A455,fees,3,FALSE))</f>
        <v>0</v>
      </c>
      <c r="R455" s="200" t="str">
        <f t="shared" ca="1" si="276"/>
        <v/>
      </c>
      <c r="S455" s="9" t="str">
        <f ca="1">IF(COUNTIF(($T$4:T454),"F")&gt;=1,"",IF(OR(C456&lt;&gt;$C$3,E455=""),"",A455))</f>
        <v/>
      </c>
      <c r="T455" s="20" t="str">
        <f t="shared" ca="1" si="268"/>
        <v/>
      </c>
      <c r="U455" s="2">
        <f ca="1">IF(IF(OP!$C$83=1,$Z454,IF(OP!$C$83=2,$AA454,IF(OP!$C$83=3,$AB454,)))+$K455-$O455-$P455-$AS455&lt;OP!$C$142,0,$AS455)</f>
        <v>0</v>
      </c>
      <c r="V455" s="9"/>
      <c r="W455" s="19">
        <f ca="1">MAX(SUM($K$4:K455),0)</f>
        <v>2000000</v>
      </c>
      <c r="X455" s="19"/>
      <c r="Y455" s="19">
        <f t="shared" ca="1" si="294"/>
        <v>1920000</v>
      </c>
      <c r="Z455" s="2">
        <f ca="1">IF(MIN($Z$4:Z454)=0,0,MAX(0,($Z454+$K455-$O455-$P455)*IF(AND(F455="F",$D$3&lt;&gt;$G$3),((1+(-J455))^(H455/MIN(G455,365))),((1+(-J455))^(1/12)))-$U455))</f>
        <v>278114.53996280622</v>
      </c>
      <c r="AA455" s="2">
        <f ca="1">IF(MIN($AA$4:AA454)=0,0,MAX(0,($AA454+$K455-$O455-$P455)*IF(AND(F455="F",$D$3&lt;&gt;$G$3),((1+$AA$1)^(H455/MIN(G455,365))),((1+$AA$1)^(1/12)))-$U455))</f>
        <v>1920000</v>
      </c>
      <c r="AB455" s="2">
        <f ca="1">IF(MIN($AB$4:AB454)=0,0,MAX(0,($AB454+$K455-$O455-$P455)*IF(AND(F455="F",$D$3&lt;&gt;$G$3),((1+(J455))^(H455/MIN(G455,365))),((1+(J455))^(1/12)))-$U455))</f>
        <v>12062337.998776214</v>
      </c>
      <c r="AC455" s="5"/>
      <c r="AD455" s="5"/>
      <c r="AE455" s="5"/>
      <c r="AF455" s="282">
        <f t="shared" ca="1" si="277"/>
        <v>278115</v>
      </c>
      <c r="AG455" s="282">
        <f t="shared" ca="1" si="278"/>
        <v>1920000</v>
      </c>
      <c r="AH455" s="282">
        <f t="shared" ca="1" si="279"/>
        <v>12062338</v>
      </c>
      <c r="AI455" s="23" t="str">
        <f t="shared" ca="1" si="260"/>
        <v>38-9</v>
      </c>
      <c r="AJ455" s="282">
        <f ca="1">IF(E455&gt;111,,IF(AND(OP!$C$99=1,T455="F"),Z455,IF(AND(OP!$C$99=2,COUNTIF($T$4:T455,"F")=1),OP!$C$97+IF(F455="F",OP!$C$98,0),"")))</f>
        <v>54527</v>
      </c>
      <c r="AK455" s="282">
        <f ca="1">IF(E455&gt;111,,IF(AND(OP!$D$99=1,T455="F"),AA455,IF(AND(OP!$D$99=2,COUNTIF($T$4:T455,"F")=1),OP!$D$97+IF(F455="F",OP!$D$98,0),"")))</f>
        <v>74177</v>
      </c>
      <c r="AL455" s="282">
        <f ca="1">IF(E455&gt;111,,IF(AND(OP!$E$99=1,T455="F"),AB455,IF(AND(OP!$E$99=2,COUNTIF($T$4:T455,"F")=1),OP!$E$97+IF(F455="F",OP!$E$98,0),"")))</f>
        <v>99404</v>
      </c>
      <c r="AM455" s="1">
        <f t="shared" ca="1" si="269"/>
        <v>9</v>
      </c>
      <c r="AN455" s="1" t="e">
        <f ca="1">IF(OR(VLOOKUP($A455,MP,5,0)="月繳"),1,"")</f>
        <v>#N/A</v>
      </c>
      <c r="AO455" s="1">
        <f t="shared" ca="1" si="280"/>
        <v>0</v>
      </c>
      <c r="AP455" s="1" t="str">
        <f ca="1">IF(AND(A455&lt;=OP!$C$120,COUNTIF(PAY,C455)=1),1,"")</f>
        <v/>
      </c>
      <c r="AR455" s="301">
        <f ca="1">IF(繳費報酬率資料!$A$1=1,$AY455+$AZ455,$BF455+$BG455)</f>
        <v>0</v>
      </c>
      <c r="AS455" s="1">
        <f ca="1">IF(C455&lt;&gt;IF($C$3=1,12,$C$3-1),0,IF(繳費報酬率資料!$A$1&lt;&gt;1,VLOOKUP($A455,MP,8,0),IF(AND($A455&gt;=OP!$C$79,$A455&lt;=OP!$C$80),OP!$C$78,)))</f>
        <v>0</v>
      </c>
      <c r="AT455" s="298">
        <f t="shared" ca="1" si="281"/>
        <v>0</v>
      </c>
      <c r="AU455" s="298">
        <f ca="1">IF(AND(A455&lt;=OP!$C$120,COUNTIF(PAY,C455)=1),OP!$C$123,0)</f>
        <v>0</v>
      </c>
      <c r="AV455" s="298">
        <f ca="1">IF(AND(A455&gt;=OP!$C$132,A455&lt;=OP!$C$133,$C$3=C455),OP!$C$135,0)</f>
        <v>0</v>
      </c>
      <c r="AW455" s="180">
        <f t="shared" ca="1" si="282"/>
        <v>0.05</v>
      </c>
      <c r="AX455" s="180">
        <f t="shared" ca="1" si="283"/>
        <v>0.05</v>
      </c>
      <c r="AY455" s="286">
        <f t="shared" ca="1" si="284"/>
        <v>0</v>
      </c>
      <c r="AZ455" s="286">
        <f t="shared" ca="1" si="285"/>
        <v>0</v>
      </c>
      <c r="BA455" s="286">
        <f t="shared" ca="1" si="286"/>
        <v>0</v>
      </c>
      <c r="BB455" s="286">
        <f t="shared" ca="1" si="287"/>
        <v>0</v>
      </c>
      <c r="BC455" s="286">
        <f t="shared" ca="1" si="288"/>
        <v>0</v>
      </c>
      <c r="BD455" s="180">
        <f t="shared" ca="1" si="289"/>
        <v>0.05</v>
      </c>
      <c r="BE455" s="180">
        <f t="shared" ca="1" si="290"/>
        <v>0.05</v>
      </c>
      <c r="BF455" s="286">
        <f t="shared" ca="1" si="291"/>
        <v>0</v>
      </c>
      <c r="BG455" s="286">
        <f t="shared" ca="1" si="292"/>
        <v>0</v>
      </c>
    </row>
    <row r="456" spans="1:59">
      <c r="A456" s="1">
        <f t="shared" ca="1" si="272"/>
        <v>38</v>
      </c>
      <c r="B456" s="1">
        <f t="shared" ca="1" si="265"/>
        <v>144</v>
      </c>
      <c r="C456" s="1">
        <f t="shared" ca="1" si="266"/>
        <v>2</v>
      </c>
      <c r="D456" s="1">
        <f ca="1">MIN($D$3,VLOOKUP(C456,OP!$S$30:$T$41,2))</f>
        <v>2</v>
      </c>
      <c r="E456" s="1">
        <f t="shared" ca="1" si="267"/>
        <v>92</v>
      </c>
      <c r="F456" s="11" t="str">
        <f t="shared" ca="1" si="273"/>
        <v/>
      </c>
      <c r="G456" s="8">
        <f t="shared" ca="1" si="270"/>
        <v>365</v>
      </c>
      <c r="H456" s="8">
        <f t="shared" ca="1" si="274"/>
        <v>28</v>
      </c>
      <c r="I456" s="8" t="str">
        <f t="shared" ca="1" si="271"/>
        <v>382</v>
      </c>
      <c r="J456" s="13">
        <f>IF(繳費報酬率資料!$A$1=1,VALUE(OP!$C$121),VLOOKUP(A456,MP,2,0))</f>
        <v>0.05</v>
      </c>
      <c r="K456" s="14">
        <f ca="1">IF(SUM($K$4:K455,IF(繳費報酬率資料!$A$1=1,$AU456+$AV456,$BB456+$BC456))&gt;OP!$L$58,0,IF(繳費報酬率資料!$A$1=1,$AU456+$AV456,$BB456+$BC456))</f>
        <v>0</v>
      </c>
      <c r="L456" s="2"/>
      <c r="M456" s="2"/>
      <c r="N456" s="2"/>
      <c r="O456" s="261">
        <f t="shared" ca="1" si="275"/>
        <v>0</v>
      </c>
      <c r="P456" s="261">
        <f t="shared" ca="1" si="293"/>
        <v>0</v>
      </c>
      <c r="Q456" s="3">
        <f ca="1">IF(A456&gt;MAX(OP!$R$17:$R$26),0,VLOOKUP(A456,fees,3,FALSE))</f>
        <v>0</v>
      </c>
      <c r="R456" s="200" t="str">
        <f t="shared" ca="1" si="276"/>
        <v/>
      </c>
      <c r="S456" s="9" t="str">
        <f ca="1">IF(COUNTIF(($T$4:T455),"F")&gt;=1,"",IF(OR(C457&lt;&gt;$C$3,E456=""),"",A456))</f>
        <v/>
      </c>
      <c r="T456" s="20" t="str">
        <f t="shared" ca="1" si="268"/>
        <v/>
      </c>
      <c r="U456" s="2">
        <f ca="1">IF(IF(OP!$C$83=1,$Z455,IF(OP!$C$83=2,$AA455,IF(OP!$C$83=3,$AB455,)))+$K456-$O456-$P456-$AS456&lt;OP!$C$142,0,$AS456)</f>
        <v>0</v>
      </c>
      <c r="V456" s="9"/>
      <c r="W456" s="19">
        <f ca="1">MAX(SUM($K$4:K456),0)</f>
        <v>2000000</v>
      </c>
      <c r="X456" s="19"/>
      <c r="Y456" s="19">
        <f t="shared" ca="1" si="294"/>
        <v>1920000</v>
      </c>
      <c r="Z456" s="2">
        <f ca="1">IF(MIN($Z$4:Z455)=0,0,MAX(0,($Z455+$K456-$O456-$P456)*IF(AND(F456="F",$D$3&lt;&gt;$G$3),((1+(-J456))^(H456/MIN(G456,365))),((1+(-J456))^(1/12)))-$U456))</f>
        <v>276928.29279319022</v>
      </c>
      <c r="AA456" s="2">
        <f ca="1">IF(MIN($AA$4:AA455)=0,0,MAX(0,($AA455+$K456-$O456-$P456)*IF(AND(F456="F",$D$3&lt;&gt;$G$3),((1+$AA$1)^(H456/MIN(G456,365))),((1+$AA$1)^(1/12)))-$U456))</f>
        <v>1920000</v>
      </c>
      <c r="AB456" s="2">
        <f ca="1">IF(MIN($AB$4:AB455)=0,0,MAX(0,($AB455+$K456-$O456-$P456)*IF(AND(F456="F",$D$3&lt;&gt;$G$3),((1+(J456))^(H456/MIN(G456,365))),((1+(J456))^(1/12)))-$U456))</f>
        <v>12111481.456903433</v>
      </c>
      <c r="AC456" s="5"/>
      <c r="AD456" s="5"/>
      <c r="AE456" s="5"/>
      <c r="AF456" s="282">
        <f t="shared" ca="1" si="277"/>
        <v>276928</v>
      </c>
      <c r="AG456" s="282">
        <f t="shared" ca="1" si="278"/>
        <v>1920000</v>
      </c>
      <c r="AH456" s="282">
        <f t="shared" ca="1" si="279"/>
        <v>12111481</v>
      </c>
      <c r="AI456" s="23" t="str">
        <f t="shared" ca="1" si="260"/>
        <v>38-10</v>
      </c>
      <c r="AJ456" s="282">
        <f ca="1">IF(E456&gt;111,,IF(AND(OP!$C$99=1,T456="F"),Z456,IF(AND(OP!$C$99=2,COUNTIF($T$4:T456,"F")=1),OP!$C$97+IF(F456="F",OP!$C$98,0),"")))</f>
        <v>54527</v>
      </c>
      <c r="AK456" s="282">
        <f ca="1">IF(E456&gt;111,,IF(AND(OP!$D$99=1,T456="F"),AA456,IF(AND(OP!$D$99=2,COUNTIF($T$4:T456,"F")=1),OP!$D$97+IF(F456="F",OP!$D$98,0),"")))</f>
        <v>74177</v>
      </c>
      <c r="AL456" s="282">
        <f ca="1">IF(E456&gt;111,,IF(AND(OP!$E$99=1,T456="F"),AB456,IF(AND(OP!$E$99=2,COUNTIF($T$4:T456,"F")=1),OP!$E$97+IF(F456="F",OP!$E$98,0),"")))</f>
        <v>99404</v>
      </c>
      <c r="AM456" s="1">
        <f t="shared" ca="1" si="269"/>
        <v>10</v>
      </c>
      <c r="AN456" s="1" t="e">
        <f ca="1">IF(OR(VLOOKUP($A456,MP,5,0)="月繳"),1,"")</f>
        <v>#N/A</v>
      </c>
      <c r="AO456" s="1">
        <f t="shared" ca="1" si="280"/>
        <v>0</v>
      </c>
      <c r="AP456" s="1" t="str">
        <f ca="1">IF(AND(A456&lt;=OP!$C$120,COUNTIF(PAY,C456)=1),1,"")</f>
        <v/>
      </c>
      <c r="AR456" s="301">
        <f ca="1">IF(繳費報酬率資料!$A$1=1,$AY456+$AZ456,$BF456+$BG456)</f>
        <v>0</v>
      </c>
      <c r="AS456" s="1">
        <f ca="1">IF(C456&lt;&gt;IF($C$3=1,12,$C$3-1),0,IF(繳費報酬率資料!$A$1&lt;&gt;1,VLOOKUP($A456,MP,8,0),IF(AND($A456&gt;=OP!$C$79,$A456&lt;=OP!$C$80),OP!$C$78,)))</f>
        <v>0</v>
      </c>
      <c r="AT456" s="298">
        <f t="shared" ca="1" si="281"/>
        <v>0</v>
      </c>
      <c r="AU456" s="298">
        <f ca="1">IF(AND(A456&lt;=OP!$C$120,COUNTIF(PAY,C456)=1),OP!$C$123,0)</f>
        <v>0</v>
      </c>
      <c r="AV456" s="298">
        <f ca="1">IF(AND(A456&gt;=OP!$C$132,A456&lt;=OP!$C$133,$C$3=C456),OP!$C$135,0)</f>
        <v>0</v>
      </c>
      <c r="AW456" s="180">
        <f t="shared" ca="1" si="282"/>
        <v>0.05</v>
      </c>
      <c r="AX456" s="180">
        <f t="shared" ca="1" si="283"/>
        <v>0.05</v>
      </c>
      <c r="AY456" s="286">
        <f t="shared" ca="1" si="284"/>
        <v>0</v>
      </c>
      <c r="AZ456" s="286">
        <f t="shared" ca="1" si="285"/>
        <v>0</v>
      </c>
      <c r="BA456" s="286">
        <f t="shared" ca="1" si="286"/>
        <v>0</v>
      </c>
      <c r="BB456" s="286">
        <f t="shared" ca="1" si="287"/>
        <v>0</v>
      </c>
      <c r="BC456" s="286">
        <f t="shared" ca="1" si="288"/>
        <v>0</v>
      </c>
      <c r="BD456" s="180">
        <f t="shared" ca="1" si="289"/>
        <v>0.05</v>
      </c>
      <c r="BE456" s="180">
        <f t="shared" ca="1" si="290"/>
        <v>0.05</v>
      </c>
      <c r="BF456" s="286">
        <f t="shared" ca="1" si="291"/>
        <v>0</v>
      </c>
      <c r="BG456" s="286">
        <f t="shared" ca="1" si="292"/>
        <v>0</v>
      </c>
    </row>
    <row r="457" spans="1:59">
      <c r="A457" s="1">
        <f t="shared" ca="1" si="272"/>
        <v>38</v>
      </c>
      <c r="B457" s="1">
        <f t="shared" ca="1" si="265"/>
        <v>144</v>
      </c>
      <c r="C457" s="1">
        <f t="shared" ca="1" si="266"/>
        <v>3</v>
      </c>
      <c r="D457" s="1">
        <f ca="1">MIN($D$3,VLOOKUP(C457,OP!$S$30:$T$41,2))</f>
        <v>2</v>
      </c>
      <c r="E457" s="1">
        <f t="shared" ca="1" si="267"/>
        <v>92</v>
      </c>
      <c r="F457" s="11" t="str">
        <f t="shared" ca="1" si="273"/>
        <v/>
      </c>
      <c r="G457" s="8">
        <f t="shared" ca="1" si="270"/>
        <v>365</v>
      </c>
      <c r="H457" s="8">
        <f t="shared" ca="1" si="274"/>
        <v>31</v>
      </c>
      <c r="I457" s="8" t="str">
        <f t="shared" ca="1" si="271"/>
        <v>383</v>
      </c>
      <c r="J457" s="13">
        <f>IF(繳費報酬率資料!$A$1=1,VALUE(OP!$C$121),VLOOKUP(A457,MP,2,0))</f>
        <v>0.05</v>
      </c>
      <c r="K457" s="14">
        <f ca="1">IF(SUM($K$4:K456,IF(繳費報酬率資料!$A$1=1,$AU457+$AV457,$BB457+$BC457))&gt;OP!$L$58,0,IF(繳費報酬率資料!$A$1=1,$AU457+$AV457,$BB457+$BC457))</f>
        <v>0</v>
      </c>
      <c r="L457" s="2"/>
      <c r="M457" s="2"/>
      <c r="N457" s="2"/>
      <c r="O457" s="261">
        <f t="shared" ca="1" si="275"/>
        <v>0</v>
      </c>
      <c r="P457" s="261">
        <f t="shared" ca="1" si="293"/>
        <v>0</v>
      </c>
      <c r="Q457" s="3">
        <f ca="1">IF(A457&gt;MAX(OP!$R$17:$R$26),0,VLOOKUP(A457,fees,3,FALSE))</f>
        <v>0</v>
      </c>
      <c r="R457" s="200" t="str">
        <f t="shared" ca="1" si="276"/>
        <v/>
      </c>
      <c r="S457" s="9" t="str">
        <f ca="1">IF(COUNTIF(($T$4:T456),"F")&gt;=1,"",IF(OR(C458&lt;&gt;$C$3,E457=""),"",A457))</f>
        <v/>
      </c>
      <c r="T457" s="20" t="str">
        <f t="shared" ca="1" si="268"/>
        <v/>
      </c>
      <c r="U457" s="2">
        <f ca="1">IF(IF(OP!$C$83=1,$Z456,IF(OP!$C$83=2,$AA456,IF(OP!$C$83=3,$AB456,)))+$K457-$O457-$P457-$AS457&lt;OP!$C$142,0,$AS457)</f>
        <v>0</v>
      </c>
      <c r="V457" s="9"/>
      <c r="W457" s="19">
        <f ca="1">MAX(SUM($K$4:K457),0)</f>
        <v>2000000</v>
      </c>
      <c r="X457" s="19"/>
      <c r="Y457" s="19">
        <f t="shared" ca="1" si="294"/>
        <v>1920000</v>
      </c>
      <c r="Z457" s="2">
        <f ca="1">IF(MIN($Z$4:Z456)=0,0,MAX(0,($Z456+$K457-$O457-$P457)*IF(AND(F457="F",$D$3&lt;&gt;$G$3),((1+(-J457))^(H457/MIN(G457,365))),((1+(-J457))^(1/12)))-$U457))</f>
        <v>275747.10534590163</v>
      </c>
      <c r="AA457" s="2">
        <f ca="1">IF(MIN($AA$4:AA456)=0,0,MAX(0,($AA456+$K457-$O457-$P457)*IF(AND(F457="F",$D$3&lt;&gt;$G$3),((1+$AA$1)^(H457/MIN(G457,365))),((1+$AA$1)^(1/12)))-$U457))</f>
        <v>1920000</v>
      </c>
      <c r="AB457" s="2">
        <f ca="1">IF(MIN($AB$4:AB456)=0,0,MAX(0,($AB456+$K457-$O457-$P457)*IF(AND(F457="F",$D$3&lt;&gt;$G$3),((1+(J457))^(H457/MIN(G457,365))),((1+(J457))^(1/12)))-$U457))</f>
        <v>12160825.13156222</v>
      </c>
      <c r="AC457" s="5"/>
      <c r="AD457" s="5"/>
      <c r="AE457" s="5"/>
      <c r="AF457" s="282">
        <f t="shared" ca="1" si="277"/>
        <v>275747</v>
      </c>
      <c r="AG457" s="282">
        <f t="shared" ca="1" si="278"/>
        <v>1920000</v>
      </c>
      <c r="AH457" s="282">
        <f t="shared" ca="1" si="279"/>
        <v>12160825</v>
      </c>
      <c r="AI457" s="23" t="str">
        <f t="shared" ca="1" si="260"/>
        <v>38-11</v>
      </c>
      <c r="AJ457" s="282">
        <f ca="1">IF(E457&gt;111,,IF(AND(OP!$C$99=1,T457="F"),Z457,IF(AND(OP!$C$99=2,COUNTIF($T$4:T457,"F")=1),OP!$C$97+IF(F457="F",OP!$C$98,0),"")))</f>
        <v>54527</v>
      </c>
      <c r="AK457" s="282">
        <f ca="1">IF(E457&gt;111,,IF(AND(OP!$D$99=1,T457="F"),AA457,IF(AND(OP!$D$99=2,COUNTIF($T$4:T457,"F")=1),OP!$D$97+IF(F457="F",OP!$D$98,0),"")))</f>
        <v>74177</v>
      </c>
      <c r="AL457" s="282">
        <f ca="1">IF(E457&gt;111,,IF(AND(OP!$E$99=1,T457="F"),AB457,IF(AND(OP!$E$99=2,COUNTIF($T$4:T457,"F")=1),OP!$E$97+IF(F457="F",OP!$E$98,0),"")))</f>
        <v>99404</v>
      </c>
      <c r="AM457" s="1">
        <f t="shared" ca="1" si="269"/>
        <v>11</v>
      </c>
      <c r="AN457" s="1" t="e">
        <f ca="1">IF(OR(VLOOKUP($A457,MP,5,0)="季繳",VLOOKUP($A457,MP,5,0)="月繳"),1,"")</f>
        <v>#N/A</v>
      </c>
      <c r="AO457" s="1">
        <f t="shared" ca="1" si="280"/>
        <v>0</v>
      </c>
      <c r="AP457" s="1" t="str">
        <f ca="1">IF(AND(A457&lt;=OP!$C$120,COUNTIF(PAY,C457)=1),1,"")</f>
        <v/>
      </c>
      <c r="AR457" s="301">
        <f ca="1">IF(繳費報酬率資料!$A$1=1,$AY457+$AZ457,$BF457+$BG457)</f>
        <v>0</v>
      </c>
      <c r="AS457" s="1">
        <f ca="1">IF(C457&lt;&gt;IF($C$3=1,12,$C$3-1),0,IF(繳費報酬率資料!$A$1&lt;&gt;1,VLOOKUP($A457,MP,8,0),IF(AND($A457&gt;=OP!$C$79,$A457&lt;=OP!$C$80),OP!$C$78,)))</f>
        <v>0</v>
      </c>
      <c r="AT457" s="298">
        <f t="shared" ca="1" si="281"/>
        <v>0</v>
      </c>
      <c r="AU457" s="298">
        <f ca="1">IF(AND(A457&lt;=OP!$C$120,COUNTIF(PAY,C457)=1),OP!$C$123,0)</f>
        <v>0</v>
      </c>
      <c r="AV457" s="298">
        <f ca="1">IF(AND(A457&gt;=OP!$C$132,A457&lt;=OP!$C$133,$C$3=C457),OP!$C$135,0)</f>
        <v>0</v>
      </c>
      <c r="AW457" s="180">
        <f t="shared" ca="1" si="282"/>
        <v>0.05</v>
      </c>
      <c r="AX457" s="180">
        <f t="shared" ca="1" si="283"/>
        <v>0.05</v>
      </c>
      <c r="AY457" s="286">
        <f t="shared" ca="1" si="284"/>
        <v>0</v>
      </c>
      <c r="AZ457" s="286">
        <f t="shared" ca="1" si="285"/>
        <v>0</v>
      </c>
      <c r="BA457" s="286">
        <f t="shared" ca="1" si="286"/>
        <v>0</v>
      </c>
      <c r="BB457" s="286">
        <f t="shared" ca="1" si="287"/>
        <v>0</v>
      </c>
      <c r="BC457" s="286">
        <f t="shared" ca="1" si="288"/>
        <v>0</v>
      </c>
      <c r="BD457" s="180">
        <f t="shared" ca="1" si="289"/>
        <v>0.05</v>
      </c>
      <c r="BE457" s="180">
        <f t="shared" ca="1" si="290"/>
        <v>0.05</v>
      </c>
      <c r="BF457" s="286">
        <f t="shared" ca="1" si="291"/>
        <v>0</v>
      </c>
      <c r="BG457" s="286">
        <f t="shared" ca="1" si="292"/>
        <v>0</v>
      </c>
    </row>
    <row r="458" spans="1:59">
      <c r="A458" s="1">
        <f t="shared" ca="1" si="272"/>
        <v>38</v>
      </c>
      <c r="B458" s="1">
        <f t="shared" ca="1" si="265"/>
        <v>144</v>
      </c>
      <c r="C458" s="1">
        <f t="shared" ca="1" si="266"/>
        <v>4</v>
      </c>
      <c r="D458" s="1">
        <f ca="1">MIN($D$3,VLOOKUP(C458,OP!$S$30:$T$41,2))</f>
        <v>2</v>
      </c>
      <c r="E458" s="1">
        <f t="shared" ca="1" si="267"/>
        <v>92</v>
      </c>
      <c r="F458" s="11" t="str">
        <f t="shared" ca="1" si="273"/>
        <v/>
      </c>
      <c r="G458" s="8">
        <f t="shared" ca="1" si="270"/>
        <v>365</v>
      </c>
      <c r="H458" s="8">
        <f t="shared" ca="1" si="274"/>
        <v>30</v>
      </c>
      <c r="I458" s="8" t="str">
        <f t="shared" ca="1" si="271"/>
        <v>384</v>
      </c>
      <c r="J458" s="13">
        <f>IF(繳費報酬率資料!$A$1=1,VALUE(OP!$C$121),VLOOKUP(A458,MP,2,0))</f>
        <v>0.05</v>
      </c>
      <c r="K458" s="14">
        <f ca="1">IF(SUM($K$4:K457,IF(繳費報酬率資料!$A$1=1,$AU458+$AV458,$BB458+$BC458))&gt;OP!$L$58,0,IF(繳費報酬率資料!$A$1=1,$AU458+$AV458,$BB458+$BC458))</f>
        <v>0</v>
      </c>
      <c r="L458" s="2"/>
      <c r="M458" s="2"/>
      <c r="N458" s="2"/>
      <c r="O458" s="261">
        <f t="shared" ca="1" si="275"/>
        <v>0</v>
      </c>
      <c r="P458" s="261">
        <f t="shared" ca="1" si="293"/>
        <v>0</v>
      </c>
      <c r="Q458" s="3">
        <f ca="1">IF(A458&gt;MAX(OP!$R$17:$R$26),0,VLOOKUP(A458,fees,3,FALSE))</f>
        <v>0</v>
      </c>
      <c r="R458" s="200" t="str">
        <f t="shared" ca="1" si="276"/>
        <v/>
      </c>
      <c r="S458" s="9" t="str">
        <f ca="1">IF(COUNTIF(($T$4:T457),"F")&gt;=1,"",IF(OR(C459&lt;&gt;$C$3,E458=""),"",A458))</f>
        <v/>
      </c>
      <c r="T458" s="20" t="str">
        <f t="shared" ca="1" si="268"/>
        <v/>
      </c>
      <c r="U458" s="2">
        <f ca="1">IF(IF(OP!$C$83=1,$Z457,IF(OP!$C$83=2,$AA457,IF(OP!$C$83=3,$AB457,)))+$K458-$O458-$P458-$AS458&lt;OP!$C$142,0,$AS458)</f>
        <v>0</v>
      </c>
      <c r="V458" s="9"/>
      <c r="W458" s="19">
        <f ca="1">MAX(SUM($K$4:K458),0)</f>
        <v>2000000</v>
      </c>
      <c r="X458" s="19"/>
      <c r="Y458" s="19">
        <f t="shared" ca="1" si="294"/>
        <v>1920000</v>
      </c>
      <c r="Z458" s="2">
        <f ca="1">IF(MIN($Z$4:Z457)=0,0,MAX(0,($Z457+$K458-$O458-$P458)*IF(AND(F458="F",$D$3&lt;&gt;$G$3),((1+(-J458))^(H458/MIN(G458,365))),((1+(-J458))^(1/12)))-$U458))</f>
        <v>274570.95603961177</v>
      </c>
      <c r="AA458" s="2">
        <f ca="1">IF(MIN($AA$4:AA457)=0,0,MAX(0,($AA457+$K458-$O458-$P458)*IF(AND(F458="F",$D$3&lt;&gt;$G$3),((1+$AA$1)^(H458/MIN(G458,365))),((1+$AA$1)^(1/12)))-$U458))</f>
        <v>1920000</v>
      </c>
      <c r="AB458" s="2">
        <f ca="1">IF(MIN($AB$4:AB457)=0,0,MAX(0,($AB457+$K458-$O458-$P458)*IF(AND(F458="F",$D$3&lt;&gt;$G$3),((1+(J458))^(H458/MIN(G458,365))),((1+(J458))^(1/12)))-$U458))</f>
        <v>12210369.838459507</v>
      </c>
      <c r="AC458" s="5"/>
      <c r="AD458" s="5"/>
      <c r="AE458" s="5"/>
      <c r="AF458" s="282">
        <f t="shared" ca="1" si="277"/>
        <v>274571</v>
      </c>
      <c r="AG458" s="282">
        <f t="shared" ca="1" si="278"/>
        <v>1920000</v>
      </c>
      <c r="AH458" s="282">
        <f t="shared" ca="1" si="279"/>
        <v>12210370</v>
      </c>
      <c r="AI458" s="23" t="str">
        <f t="shared" ca="1" si="260"/>
        <v>38-12</v>
      </c>
      <c r="AJ458" s="282">
        <f ca="1">IF(E458&gt;111,,IF(AND(OP!$C$99=1,T458="F"),Z458,IF(AND(OP!$C$99=2,COUNTIF($T$4:T458,"F")=1),OP!$C$97+IF(F458="F",OP!$C$98,0),"")))</f>
        <v>54527</v>
      </c>
      <c r="AK458" s="282">
        <f ca="1">IF(E458&gt;111,,IF(AND(OP!$D$99=1,T458="F"),AA458,IF(AND(OP!$D$99=2,COUNTIF($T$4:T458,"F")=1),OP!$D$97+IF(F458="F",OP!$D$98,0),"")))</f>
        <v>74177</v>
      </c>
      <c r="AL458" s="282">
        <f ca="1">IF(E458&gt;111,,IF(AND(OP!$E$99=1,T458="F"),AB458,IF(AND(OP!$E$99=2,COUNTIF($T$4:T458,"F")=1),OP!$E$97+IF(F458="F",OP!$E$98,0),"")))</f>
        <v>99404</v>
      </c>
      <c r="AM458" s="1">
        <f t="shared" ca="1" si="269"/>
        <v>12</v>
      </c>
      <c r="AN458" s="1" t="e">
        <f ca="1">IF(OR(VLOOKUP($A458,MP,5,0)="月繳"),1,"")</f>
        <v>#N/A</v>
      </c>
      <c r="AO458" s="1">
        <f t="shared" ca="1" si="280"/>
        <v>0</v>
      </c>
      <c r="AP458" s="1" t="str">
        <f ca="1">IF(AND(A458&lt;=OP!$C$120,COUNTIF(PAY,C458)=1),1,"")</f>
        <v/>
      </c>
      <c r="AR458" s="301">
        <f ca="1">IF(繳費報酬率資料!$A$1=1,$AY458+$AZ458,$BF458+$BG458)</f>
        <v>0</v>
      </c>
      <c r="AS458" s="1">
        <f ca="1">IF(C458&lt;&gt;IF($C$3=1,12,$C$3-1),0,IF(繳費報酬率資料!$A$1&lt;&gt;1,VLOOKUP($A458,MP,8,0),IF(AND($A458&gt;=OP!$C$79,$A458&lt;=OP!$C$80),OP!$C$78,)))</f>
        <v>0</v>
      </c>
      <c r="AT458" s="298">
        <f t="shared" ca="1" si="281"/>
        <v>0</v>
      </c>
      <c r="AU458" s="298">
        <f ca="1">IF(AND(A458&lt;=OP!$C$120,COUNTIF(PAY,C458)=1),OP!$C$123,0)</f>
        <v>0</v>
      </c>
      <c r="AV458" s="298">
        <f ca="1">IF(AND(A458&gt;=OP!$C$132,A458&lt;=OP!$C$133,$C$3=C458),OP!$C$135,0)</f>
        <v>0</v>
      </c>
      <c r="AW458" s="180">
        <f t="shared" ca="1" si="282"/>
        <v>0.05</v>
      </c>
      <c r="AX458" s="180">
        <f t="shared" ca="1" si="283"/>
        <v>0.05</v>
      </c>
      <c r="AY458" s="286">
        <f t="shared" ca="1" si="284"/>
        <v>0</v>
      </c>
      <c r="AZ458" s="286">
        <f t="shared" ca="1" si="285"/>
        <v>0</v>
      </c>
      <c r="BA458" s="286">
        <f t="shared" ca="1" si="286"/>
        <v>0</v>
      </c>
      <c r="BB458" s="286">
        <f t="shared" ca="1" si="287"/>
        <v>0</v>
      </c>
      <c r="BC458" s="286">
        <f t="shared" ca="1" si="288"/>
        <v>0</v>
      </c>
      <c r="BD458" s="180">
        <f t="shared" ca="1" si="289"/>
        <v>0.05</v>
      </c>
      <c r="BE458" s="180">
        <f t="shared" ca="1" si="290"/>
        <v>0.05</v>
      </c>
      <c r="BF458" s="286">
        <f t="shared" ca="1" si="291"/>
        <v>0</v>
      </c>
      <c r="BG458" s="286">
        <f t="shared" ca="1" si="292"/>
        <v>0</v>
      </c>
    </row>
    <row r="459" spans="1:59">
      <c r="A459" s="1">
        <f t="shared" ca="1" si="272"/>
        <v>38</v>
      </c>
      <c r="B459" s="1">
        <f t="shared" ca="1" si="265"/>
        <v>144</v>
      </c>
      <c r="C459" s="1">
        <f t="shared" ca="1" si="266"/>
        <v>5</v>
      </c>
      <c r="D459" s="1">
        <f ca="1">MIN($D$3,VLOOKUP(C459,OP!$S$30:$T$41,2))</f>
        <v>2</v>
      </c>
      <c r="E459" s="1">
        <f t="shared" ca="1" si="267"/>
        <v>92</v>
      </c>
      <c r="F459" s="11" t="str">
        <f t="shared" ca="1" si="273"/>
        <v/>
      </c>
      <c r="G459" s="8">
        <f t="shared" ca="1" si="270"/>
        <v>365</v>
      </c>
      <c r="H459" s="8">
        <f t="shared" ca="1" si="274"/>
        <v>31</v>
      </c>
      <c r="I459" s="8" t="str">
        <f t="shared" ca="1" si="271"/>
        <v>385</v>
      </c>
      <c r="J459" s="13">
        <f>IF(繳費報酬率資料!$A$1=1,VALUE(OP!$C$121),VLOOKUP(A459,MP,2,0))</f>
        <v>0.05</v>
      </c>
      <c r="K459" s="14">
        <f ca="1">IF(SUM($K$4:K458,IF(繳費報酬率資料!$A$1=1,$AU459+$AV459,$BB459+$BC459))&gt;OP!$L$58,0,IF(繳費報酬率資料!$A$1=1,$AU459+$AV459,$BB459+$BC459))</f>
        <v>0</v>
      </c>
      <c r="L459" s="2">
        <f ca="1">ROUND(IF(OP!$C$78&lt;(IF(OR($T459="F",$E459&gt;=111),0,Z458+$K459-$O459+IF($C$1=1,OP!$C$78,IF($C460=$C$3,SUM(AC448:AC459,0)))))*5%,0,(OP!$C$78-((IF(OR($T459="F",$E459&gt;=111),0,Z458+$K459-$O459+IF($C$1=1,AC459,IF($C460=$C$3,SUM(AC448:AC459,0)))))*5%))*$Q459),0)</f>
        <v>0</v>
      </c>
      <c r="M459" s="2">
        <f ca="1">ROUND(IF(OP!$C$78&lt;(IF(OR($T459="F",$E459&gt;=111),0,AA458+$K459-$O459+IF($C$1=1,AD459,IF($C460=$C$3,SUM(AD448:AD459,0)))))*5%,0,(OP!$C$78-((IF(OR($T459="F",$E459&gt;=111),0,AA458+$K459-$O459+IF($C$1=1,AD459,IF($C460=$C$3,SUM(AD448:AD459,0)))))*5%))*$Q459),0)</f>
        <v>0</v>
      </c>
      <c r="N459" s="2">
        <f ca="1">ROUND(IF(OP!$C$78&lt;(IF(OR($T459="F",$E459&gt;=111),0,AB458+$K459-$O459+IF($C$1=1,AE459,IF($C460=$C$3,SUM(AE448:AE459,0)))))*5%,0,(OP!$C$78-((IF(OR($T459="F",$E459&gt;=111),0,AB458+$K459-$O459+IF($C$1=1,AE459,IF($C460=$C$3,SUM(AE448:AE459,0)))))*5%))*$Q459),0)</f>
        <v>0</v>
      </c>
      <c r="O459" s="261">
        <f t="shared" ca="1" si="275"/>
        <v>0</v>
      </c>
      <c r="P459" s="261">
        <f t="shared" ca="1" si="293"/>
        <v>0</v>
      </c>
      <c r="Q459" s="3">
        <f ca="1">IF(A459&gt;MAX(OP!$R$17:$R$26),0,VLOOKUP(A459,fees,3,FALSE))</f>
        <v>0</v>
      </c>
      <c r="R459" s="200">
        <f t="shared" ca="1" si="276"/>
        <v>38</v>
      </c>
      <c r="S459" s="9" t="str">
        <f ca="1">IF(COUNTIF(($T$4:T458),"F")&gt;=1,"",IF(OR(C460&lt;&gt;$C$3,E459=""),"",A459))</f>
        <v/>
      </c>
      <c r="T459" s="20" t="str">
        <f t="shared" ca="1" si="268"/>
        <v/>
      </c>
      <c r="U459" s="2">
        <f ca="1">IF(IF(OP!$C$83=1,$Z458,IF(OP!$C$83=2,$AA458,IF(OP!$C$83=3,$AB458,)))+$K459-$O459-$P459-$AS459&lt;OP!$C$142,0,$AS459)</f>
        <v>0</v>
      </c>
      <c r="V459" s="19">
        <f ca="1">SUM(K448:K459)</f>
        <v>0</v>
      </c>
      <c r="W459" s="19">
        <f ca="1">MAX(SUM($K$4:K459),0)</f>
        <v>2000000</v>
      </c>
      <c r="X459" s="19">
        <f ca="1">SUM(O448:P459)</f>
        <v>0</v>
      </c>
      <c r="Y459" s="19">
        <f t="shared" ca="1" si="294"/>
        <v>1920000</v>
      </c>
      <c r="Z459" s="2">
        <f ca="1">IF(MIN($Z$4:Z458)=0,0,MAX(0,($Z458+$K459-$O459-$P459)*IF(AND(F459="F",$D$3&lt;&gt;$G$3),((1+(-J459))^(H459/MIN(G459,365))),((1+(-J459))^(1/12)))-$U459))</f>
        <v>273399.82338504324</v>
      </c>
      <c r="AA459" s="2">
        <f ca="1">IF(MIN($AA$4:AA458)=0,0,MAX(0,($AA458+$K459-$O459-$P459)*IF(AND(F459="F",$D$3&lt;&gt;$G$3),((1+$AA$1)^(H459/MIN(G459,365))),((1+$AA$1)^(1/12)))-$U459))</f>
        <v>1920000</v>
      </c>
      <c r="AB459" s="2">
        <f ca="1">IF(MIN($AB$4:AB458)=0,0,MAX(0,($AB458+$K459-$O459-$P459)*IF(AND(F459="F",$D$3&lt;&gt;$G$3),((1+(J459))^(H459/MIN(G459,365))),((1+(J459))^(1/12)))-$U459))</f>
        <v>12260116.396625517</v>
      </c>
      <c r="AC459" s="5"/>
      <c r="AD459" s="5"/>
      <c r="AE459" s="5"/>
      <c r="AF459" s="282">
        <f t="shared" ca="1" si="277"/>
        <v>273400</v>
      </c>
      <c r="AG459" s="282">
        <f t="shared" ca="1" si="278"/>
        <v>1920000</v>
      </c>
      <c r="AH459" s="282">
        <f t="shared" ca="1" si="279"/>
        <v>12260116</v>
      </c>
      <c r="AI459" s="23" t="str">
        <f t="shared" ca="1" si="260"/>
        <v>39-1</v>
      </c>
      <c r="AJ459" s="282">
        <f ca="1">IF(E459&gt;111,,IF(AND(OP!$C$99=1,T459="F"),Z459,IF(AND(OP!$C$99=2,COUNTIF($T$4:T459,"F")=1),OP!$C$97+IF(F459="F",OP!$C$98,0),"")))</f>
        <v>54527</v>
      </c>
      <c r="AK459" s="282">
        <f ca="1">IF(E459&gt;111,,IF(AND(OP!$D$99=1,T459="F"),AA459,IF(AND(OP!$D$99=2,COUNTIF($T$4:T459,"F")=1),OP!$D$97+IF(F459="F",OP!$D$98,0),"")))</f>
        <v>74177</v>
      </c>
      <c r="AL459" s="282">
        <f ca="1">IF(E459&gt;111,,IF(AND(OP!$E$99=1,T459="F"),AB459,IF(AND(OP!$E$99=2,COUNTIF($T$4:T459,"F")=1),OP!$E$97+IF(F459="F",OP!$E$98,0),"")))</f>
        <v>99404</v>
      </c>
      <c r="AM459" s="1">
        <f t="shared" ca="1" si="269"/>
        <v>1</v>
      </c>
      <c r="AN459" s="1" t="e">
        <f ca="1">IF(OR(VLOOKUP($A459,MP,5,0)="月繳"),1,"")</f>
        <v>#N/A</v>
      </c>
      <c r="AO459" s="1">
        <f t="shared" ca="1" si="280"/>
        <v>0</v>
      </c>
      <c r="AP459" s="1" t="str">
        <f ca="1">IF(AND(A459&lt;=OP!$C$120,COUNTIF(PAY,C459)=1),1,"")</f>
        <v/>
      </c>
      <c r="AR459" s="301">
        <f ca="1">IF(繳費報酬率資料!$A$1=1,$AY459+$AZ459,$BF459+$BG459)</f>
        <v>0</v>
      </c>
      <c r="AS459" s="1">
        <f ca="1">IF(C459&lt;&gt;IF($C$3=1,12,$C$3-1),0,IF(繳費報酬率資料!$A$1&lt;&gt;1,VLOOKUP($A459,MP,8,0),IF(AND($A459&gt;=OP!$C$79,$A459&lt;=OP!$C$80),OP!$C$78,)))</f>
        <v>0</v>
      </c>
      <c r="AT459" s="298">
        <f t="shared" ca="1" si="281"/>
        <v>0</v>
      </c>
      <c r="AU459" s="298">
        <f ca="1">IF(AND(A459&lt;=OP!$C$120,COUNTIF(PAY,C459)=1),OP!$C$123,0)</f>
        <v>0</v>
      </c>
      <c r="AV459" s="298">
        <f ca="1">IF(AND(A459&gt;=OP!$C$132,A459&lt;=OP!$C$133,$C$3=C459),OP!$C$135,0)</f>
        <v>0</v>
      </c>
      <c r="AW459" s="180">
        <f t="shared" ca="1" si="282"/>
        <v>0.05</v>
      </c>
      <c r="AX459" s="180">
        <f t="shared" ca="1" si="283"/>
        <v>0.05</v>
      </c>
      <c r="AY459" s="286">
        <f t="shared" ca="1" si="284"/>
        <v>0</v>
      </c>
      <c r="AZ459" s="286">
        <f t="shared" ca="1" si="285"/>
        <v>0</v>
      </c>
      <c r="BA459" s="286">
        <f t="shared" ca="1" si="286"/>
        <v>0</v>
      </c>
      <c r="BB459" s="286">
        <f t="shared" ca="1" si="287"/>
        <v>0</v>
      </c>
      <c r="BC459" s="286">
        <f t="shared" ca="1" si="288"/>
        <v>0</v>
      </c>
      <c r="BD459" s="180">
        <f t="shared" ca="1" si="289"/>
        <v>0.05</v>
      </c>
      <c r="BE459" s="180">
        <f t="shared" ca="1" si="290"/>
        <v>0.05</v>
      </c>
      <c r="BF459" s="286">
        <f t="shared" ca="1" si="291"/>
        <v>0</v>
      </c>
      <c r="BG459" s="286">
        <f t="shared" ca="1" si="292"/>
        <v>0</v>
      </c>
    </row>
    <row r="460" spans="1:59">
      <c r="A460" s="1">
        <f t="shared" ca="1" si="272"/>
        <v>39</v>
      </c>
      <c r="B460" s="1">
        <f t="shared" ca="1" si="265"/>
        <v>144</v>
      </c>
      <c r="C460" s="1">
        <f t="shared" ca="1" si="266"/>
        <v>6</v>
      </c>
      <c r="D460" s="1">
        <f ca="1">MIN($D$3,VLOOKUP(C460,OP!$S$30:$T$41,2))</f>
        <v>2</v>
      </c>
      <c r="E460" s="1">
        <f t="shared" ca="1" si="267"/>
        <v>93</v>
      </c>
      <c r="F460" s="11" t="str">
        <f t="shared" ca="1" si="273"/>
        <v/>
      </c>
      <c r="G460" s="6">
        <f ca="1">DATEDIF(DATE(B460+1911,C460,D460),DATE(B472+1911,C472,D472),"d")</f>
        <v>366</v>
      </c>
      <c r="H460" s="8">
        <f t="shared" ca="1" si="274"/>
        <v>30</v>
      </c>
      <c r="I460" s="8" t="str">
        <f t="shared" ca="1" si="271"/>
        <v>396</v>
      </c>
      <c r="J460" s="13">
        <f>IF(繳費報酬率資料!$A$1=1,VALUE(OP!$C$121),VLOOKUP(A460,MP,2,0))</f>
        <v>0.05</v>
      </c>
      <c r="K460" s="14">
        <f ca="1">IF(SUM($K$4:K459,IF(繳費報酬率資料!$A$1=1,$AU460+$AV460,$BB460+$BC460))&gt;OP!$L$58,0,IF(繳費報酬率資料!$A$1=1,$AU460+$AV460,$BB460+$BC460))</f>
        <v>0</v>
      </c>
      <c r="L460" s="2"/>
      <c r="M460" s="2"/>
      <c r="N460" s="2"/>
      <c r="O460" s="261">
        <f t="shared" ca="1" si="275"/>
        <v>0</v>
      </c>
      <c r="P460" s="261">
        <f t="shared" ca="1" si="293"/>
        <v>0</v>
      </c>
      <c r="Q460" s="3">
        <f ca="1">IF(A460&gt;MAX(OP!$R$17:$R$26),0,VLOOKUP(A460,fees,3,FALSE))</f>
        <v>0</v>
      </c>
      <c r="R460" s="200" t="str">
        <f t="shared" ca="1" si="276"/>
        <v/>
      </c>
      <c r="S460" s="9" t="str">
        <f ca="1">IF(COUNTIF(($T$4:T459),"F")&gt;=1,"",IF(OR(C461&lt;&gt;$C$3,E460=""),"",A460))</f>
        <v/>
      </c>
      <c r="T460" s="20" t="str">
        <f t="shared" ca="1" si="268"/>
        <v/>
      </c>
      <c r="U460" s="2">
        <f ca="1">IF(IF(OP!$C$83=1,$Z459,IF(OP!$C$83=2,$AA459,IF(OP!$C$83=3,$AB459,)))+$K460-$O460-$P460-$AS460&lt;OP!$C$142,0,$AS460)</f>
        <v>0</v>
      </c>
      <c r="V460" s="9"/>
      <c r="W460" s="19">
        <f ca="1">MAX(SUM($K$4:K460),0)</f>
        <v>2000000</v>
      </c>
      <c r="X460" s="19"/>
      <c r="Y460" s="19">
        <f t="shared" ca="1" si="294"/>
        <v>1920000</v>
      </c>
      <c r="Z460" s="2">
        <f ca="1">IF(MIN($Z$4:Z459)=0,0,MAX(0,($Z459+$K460-$O460-$P460)*IF(AND(F460="F",$D$3&lt;&gt;$G$3),((1+(-J460))^(H460/MIN(G460,365))),((1+(-J460))^(1/12)))-$U460))</f>
        <v>272233.68598457723</v>
      </c>
      <c r="AA460" s="2">
        <f ca="1">IF(MIN($AA$4:AA459)=0,0,MAX(0,($AA459+$K460-$O460-$P460)*IF(AND(F460="F",$D$3&lt;&gt;$G$3),((1+$AA$1)^(H460/MIN(G460,365))),((1+$AA$1)^(1/12)))-$U460))</f>
        <v>1920000</v>
      </c>
      <c r="AB460" s="2">
        <f ca="1">IF(MIN($AB$4:AB459)=0,0,MAX(0,($AB459+$K460-$O460-$P460)*IF(AND(F460="F",$D$3&lt;&gt;$G$3),((1+(J460))^(H460/MIN(G460,365))),((1+(J460))^(1/12)))-$U460))</f>
        <v>12310065.628427306</v>
      </c>
      <c r="AC460" s="21"/>
      <c r="AD460" s="21"/>
      <c r="AE460" s="21"/>
      <c r="AF460" s="282">
        <f t="shared" ca="1" si="277"/>
        <v>272234</v>
      </c>
      <c r="AG460" s="282">
        <f t="shared" ca="1" si="278"/>
        <v>1920000</v>
      </c>
      <c r="AH460" s="282">
        <f t="shared" ca="1" si="279"/>
        <v>12310066</v>
      </c>
      <c r="AI460" s="23" t="str">
        <f t="shared" ref="AI460:AI523" ca="1" si="295">IF($G$3=D461,A461,A460)&amp;"-"&amp;AM460</f>
        <v>39-2</v>
      </c>
      <c r="AJ460" s="281">
        <f ca="1">IF(E460&gt;111,,IF(AND(OP!$C$99=1,T460="F"),Z460,IF(AND(OP!$C$99=2,COUNTIF($T$4:T460,"F")=1),OP!$C$97+IF(F460="F",OP!$C$98,0),"")))</f>
        <v>54527</v>
      </c>
      <c r="AK460" s="281">
        <f ca="1">IF(E460&gt;111,,IF(AND(OP!$D$99=1,T460="F"),AA460,IF(AND(OP!$D$99=2,COUNTIF($T$4:T460,"F")=1),OP!$D$97+IF(F460="F",OP!$D$98,0),"")))</f>
        <v>74177</v>
      </c>
      <c r="AL460" s="281">
        <f ca="1">IF(E460&gt;111,,IF(AND(OP!$E$99=1,T460="F"),AB460,IF(AND(OP!$E$99=2,COUNTIF($T$4:T460,"F")=1),OP!$E$97+IF(F460="F",OP!$E$98,0),"")))</f>
        <v>99404</v>
      </c>
      <c r="AM460" s="1">
        <f t="shared" ca="1" si="269"/>
        <v>2</v>
      </c>
      <c r="AN460" s="1" t="e">
        <f ca="1">IF(OR(VLOOKUP($A460,MP,5,0)="年繳",VLOOKUP($A460,MP,5,0)="半年繳",VLOOKUP($A460,MP,5,0)="季繳",VLOOKUP($A460,MP,5,0)="月繳"),1,"")</f>
        <v>#N/A</v>
      </c>
      <c r="AO460" s="1">
        <f t="shared" ca="1" si="280"/>
        <v>0</v>
      </c>
      <c r="AP460" s="1" t="str">
        <f ca="1">IF(AND(A460&lt;=OP!$C$120,COUNTIF(PAY,C460)=1),1,"")</f>
        <v/>
      </c>
      <c r="AR460" s="301">
        <f ca="1">IF(繳費報酬率資料!$A$1=1,$AY460+$AZ460,$BF460+$BG460)</f>
        <v>0</v>
      </c>
      <c r="AS460" s="1">
        <f ca="1">IF(C460&lt;&gt;IF($C$3=1,12,$C$3-1),0,IF(繳費報酬率資料!$A$1&lt;&gt;1,VLOOKUP($A460,MP,8,0),IF(AND($A460&gt;=OP!$C$79,$A460&lt;=OP!$C$80),OP!$C$78,)))</f>
        <v>0</v>
      </c>
      <c r="AT460" s="298">
        <f t="shared" ca="1" si="281"/>
        <v>0</v>
      </c>
      <c r="AU460" s="298">
        <f ca="1">IF(AND(A460&lt;=OP!$C$120,COUNTIF(PAY,C460)=1),OP!$C$123,0)</f>
        <v>0</v>
      </c>
      <c r="AV460" s="298">
        <f ca="1">IF(AND(A460&gt;=OP!$C$132,A460&lt;=OP!$C$133,$C$3=C460),OP!$C$135,0)</f>
        <v>0</v>
      </c>
      <c r="AW460" s="180">
        <f t="shared" ca="1" si="282"/>
        <v>0.05</v>
      </c>
      <c r="AX460" s="180">
        <f t="shared" ca="1" si="283"/>
        <v>0.05</v>
      </c>
      <c r="AY460" s="286">
        <f t="shared" ca="1" si="284"/>
        <v>0</v>
      </c>
      <c r="AZ460" s="286">
        <f t="shared" ca="1" si="285"/>
        <v>0</v>
      </c>
      <c r="BA460" s="286">
        <f t="shared" ca="1" si="286"/>
        <v>0</v>
      </c>
      <c r="BB460" s="286">
        <f t="shared" ca="1" si="287"/>
        <v>0</v>
      </c>
      <c r="BC460" s="286">
        <f t="shared" ca="1" si="288"/>
        <v>0</v>
      </c>
      <c r="BD460" s="180">
        <f t="shared" ca="1" si="289"/>
        <v>0.05</v>
      </c>
      <c r="BE460" s="180">
        <f t="shared" ca="1" si="290"/>
        <v>0.05</v>
      </c>
      <c r="BF460" s="286">
        <f t="shared" ca="1" si="291"/>
        <v>0</v>
      </c>
      <c r="BG460" s="286">
        <f t="shared" ca="1" si="292"/>
        <v>0</v>
      </c>
    </row>
    <row r="461" spans="1:59">
      <c r="A461" s="1">
        <f t="shared" ca="1" si="272"/>
        <v>39</v>
      </c>
      <c r="B461" s="1">
        <f t="shared" ca="1" si="265"/>
        <v>144</v>
      </c>
      <c r="C461" s="1">
        <f t="shared" ca="1" si="266"/>
        <v>7</v>
      </c>
      <c r="D461" s="1">
        <f ca="1">MIN($D$3,VLOOKUP(C461,OP!$S$30:$T$41,2))</f>
        <v>2</v>
      </c>
      <c r="E461" s="1">
        <f t="shared" ca="1" si="267"/>
        <v>93</v>
      </c>
      <c r="F461" s="11" t="str">
        <f t="shared" ca="1" si="273"/>
        <v/>
      </c>
      <c r="G461" s="8">
        <f t="shared" ref="G461:G471" ca="1" si="296">G460</f>
        <v>366</v>
      </c>
      <c r="H461" s="8">
        <f t="shared" ca="1" si="274"/>
        <v>31</v>
      </c>
      <c r="I461" s="8" t="str">
        <f t="shared" ca="1" si="271"/>
        <v>397</v>
      </c>
      <c r="J461" s="13">
        <f>IF(繳費報酬率資料!$A$1=1,VALUE(OP!$C$121),VLOOKUP(A461,MP,2,0))</f>
        <v>0.05</v>
      </c>
      <c r="K461" s="14">
        <f ca="1">IF(SUM($K$4:K460,IF(繳費報酬率資料!$A$1=1,$AU461+$AV461,$BB461+$BC461))&gt;OP!$L$58,0,IF(繳費報酬率資料!$A$1=1,$AU461+$AV461,$BB461+$BC461))</f>
        <v>0</v>
      </c>
      <c r="L461" s="2"/>
      <c r="M461" s="2"/>
      <c r="N461" s="2"/>
      <c r="O461" s="261">
        <f t="shared" ca="1" si="275"/>
        <v>0</v>
      </c>
      <c r="P461" s="261">
        <f t="shared" ca="1" si="293"/>
        <v>0</v>
      </c>
      <c r="Q461" s="3">
        <f ca="1">IF(A461&gt;MAX(OP!$R$17:$R$26),0,VLOOKUP(A461,fees,3,FALSE))</f>
        <v>0</v>
      </c>
      <c r="R461" s="200" t="str">
        <f t="shared" ca="1" si="276"/>
        <v/>
      </c>
      <c r="S461" s="9" t="str">
        <f ca="1">IF(COUNTIF(($T$4:T460),"F")&gt;=1,"",IF(OR(C462&lt;&gt;$C$3,E461=""),"",A461))</f>
        <v/>
      </c>
      <c r="T461" s="20" t="str">
        <f t="shared" ca="1" si="268"/>
        <v/>
      </c>
      <c r="U461" s="2">
        <f ca="1">IF(IF(OP!$C$83=1,$Z460,IF(OP!$C$83=2,$AA460,IF(OP!$C$83=3,$AB460,)))+$K461-$O461-$P461-$AS461&lt;OP!$C$142,0,$AS461)</f>
        <v>0</v>
      </c>
      <c r="V461" s="9"/>
      <c r="W461" s="19">
        <f ca="1">MAX(SUM($K$4:K461),0)</f>
        <v>2000000</v>
      </c>
      <c r="X461" s="19"/>
      <c r="Y461" s="19">
        <f t="shared" ca="1" si="294"/>
        <v>1920000</v>
      </c>
      <c r="Z461" s="2">
        <f ca="1">IF(MIN($Z$4:Z460)=0,0,MAX(0,($Z460+$K461-$O461-$P461)*IF(AND(F461="F",$D$3&lt;&gt;$G$3),((1+(-J461))^(H461/MIN(G461,365))),((1+(-J461))^(1/12)))-$U461))</f>
        <v>271072.52253186266</v>
      </c>
      <c r="AA461" s="2">
        <f ca="1">IF(MIN($AA$4:AA460)=0,0,MAX(0,($AA460+$K461-$O461-$P461)*IF(AND(F461="F",$D$3&lt;&gt;$G$3),((1+$AA$1)^(H461/MIN(G461,365))),((1+$AA$1)^(1/12)))-$U461))</f>
        <v>1920000</v>
      </c>
      <c r="AB461" s="2">
        <f ca="1">IF(MIN($AB$4:AB460)=0,0,MAX(0,($AB460+$K461-$O461-$P461)*IF(AND(F461="F",$D$3&lt;&gt;$G$3),((1+(J461))^(H461/MIN(G461,365))),((1+(J461))^(1/12)))-$U461))</f>
        <v>12360218.359582353</v>
      </c>
      <c r="AC461" s="5"/>
      <c r="AD461" s="5"/>
      <c r="AE461" s="5"/>
      <c r="AF461" s="282">
        <f t="shared" ca="1" si="277"/>
        <v>271073</v>
      </c>
      <c r="AG461" s="282">
        <f t="shared" ca="1" si="278"/>
        <v>1920000</v>
      </c>
      <c r="AH461" s="282">
        <f t="shared" ca="1" si="279"/>
        <v>12360218</v>
      </c>
      <c r="AI461" s="23" t="str">
        <f t="shared" ca="1" si="295"/>
        <v>39-3</v>
      </c>
      <c r="AJ461" s="282">
        <f ca="1">IF(E461&gt;111,,IF(AND(OP!$C$99=1,T461="F"),Z461,IF(AND(OP!$C$99=2,COUNTIF($T$4:T461,"F")=1),OP!$C$97+IF(F461="F",OP!$C$98,0),"")))</f>
        <v>54527</v>
      </c>
      <c r="AK461" s="282">
        <f ca="1">IF(E461&gt;111,,IF(AND(OP!$D$99=1,T461="F"),AA461,IF(AND(OP!$D$99=2,COUNTIF($T$4:T461,"F")=1),OP!$D$97+IF(F461="F",OP!$D$98,0),"")))</f>
        <v>74177</v>
      </c>
      <c r="AL461" s="282">
        <f ca="1">IF(E461&gt;111,,IF(AND(OP!$E$99=1,T461="F"),AB461,IF(AND(OP!$E$99=2,COUNTIF($T$4:T461,"F")=1),OP!$E$97+IF(F461="F",OP!$E$98,0),"")))</f>
        <v>99404</v>
      </c>
      <c r="AM461" s="1">
        <f t="shared" ca="1" si="269"/>
        <v>3</v>
      </c>
      <c r="AN461" s="1" t="e">
        <f ca="1">IF(OR(VLOOKUP($A461,MP,5,0)="月繳"),1,"")</f>
        <v>#N/A</v>
      </c>
      <c r="AO461" s="1">
        <f t="shared" ca="1" si="280"/>
        <v>0</v>
      </c>
      <c r="AP461" s="1" t="str">
        <f ca="1">IF(AND(A461&lt;=OP!$C$120,COUNTIF(PAY,C461)=1),1,"")</f>
        <v/>
      </c>
      <c r="AR461" s="301">
        <f ca="1">IF(繳費報酬率資料!$A$1=1,$AY461+$AZ461,$BF461+$BG461)</f>
        <v>0</v>
      </c>
      <c r="AS461" s="1">
        <f ca="1">IF(C461&lt;&gt;IF($C$3=1,12,$C$3-1),0,IF(繳費報酬率資料!$A$1&lt;&gt;1,VLOOKUP($A461,MP,8,0),IF(AND($A461&gt;=OP!$C$79,$A461&lt;=OP!$C$80),OP!$C$78,)))</f>
        <v>0</v>
      </c>
      <c r="AT461" s="298">
        <f t="shared" ca="1" si="281"/>
        <v>0</v>
      </c>
      <c r="AU461" s="298">
        <f ca="1">IF(AND(A461&lt;=OP!$C$120,COUNTIF(PAY,C461)=1),OP!$C$123,0)</f>
        <v>0</v>
      </c>
      <c r="AV461" s="298">
        <f ca="1">IF(AND(A461&gt;=OP!$C$132,A461&lt;=OP!$C$133,$C$3=C461),OP!$C$135,0)</f>
        <v>0</v>
      </c>
      <c r="AW461" s="180">
        <f t="shared" ca="1" si="282"/>
        <v>0.05</v>
      </c>
      <c r="AX461" s="180">
        <f t="shared" ca="1" si="283"/>
        <v>0.05</v>
      </c>
      <c r="AY461" s="286">
        <f t="shared" ca="1" si="284"/>
        <v>0</v>
      </c>
      <c r="AZ461" s="286">
        <f t="shared" ca="1" si="285"/>
        <v>0</v>
      </c>
      <c r="BA461" s="286">
        <f t="shared" ca="1" si="286"/>
        <v>0</v>
      </c>
      <c r="BB461" s="286">
        <f t="shared" ca="1" si="287"/>
        <v>0</v>
      </c>
      <c r="BC461" s="286">
        <f t="shared" ca="1" si="288"/>
        <v>0</v>
      </c>
      <c r="BD461" s="180">
        <f t="shared" ca="1" si="289"/>
        <v>0.05</v>
      </c>
      <c r="BE461" s="180">
        <f t="shared" ca="1" si="290"/>
        <v>0.05</v>
      </c>
      <c r="BF461" s="286">
        <f t="shared" ca="1" si="291"/>
        <v>0</v>
      </c>
      <c r="BG461" s="286">
        <f t="shared" ca="1" si="292"/>
        <v>0</v>
      </c>
    </row>
    <row r="462" spans="1:59">
      <c r="A462" s="1">
        <f t="shared" ca="1" si="272"/>
        <v>39</v>
      </c>
      <c r="B462" s="1">
        <f t="shared" ca="1" si="265"/>
        <v>144</v>
      </c>
      <c r="C462" s="1">
        <f t="shared" ca="1" si="266"/>
        <v>8</v>
      </c>
      <c r="D462" s="1">
        <f ca="1">MIN($D$3,VLOOKUP(C462,OP!$S$30:$T$41,2))</f>
        <v>2</v>
      </c>
      <c r="E462" s="1">
        <f t="shared" ca="1" si="267"/>
        <v>93</v>
      </c>
      <c r="F462" s="11" t="str">
        <f t="shared" ca="1" si="273"/>
        <v/>
      </c>
      <c r="G462" s="8">
        <f t="shared" ca="1" si="296"/>
        <v>366</v>
      </c>
      <c r="H462" s="8">
        <f t="shared" ca="1" si="274"/>
        <v>31</v>
      </c>
      <c r="I462" s="8" t="str">
        <f t="shared" ca="1" si="271"/>
        <v>398</v>
      </c>
      <c r="J462" s="13">
        <f>IF(繳費報酬率資料!$A$1=1,VALUE(OP!$C$121),VLOOKUP(A462,MP,2,0))</f>
        <v>0.05</v>
      </c>
      <c r="K462" s="14">
        <f ca="1">IF(SUM($K$4:K461,IF(繳費報酬率資料!$A$1=1,$AU462+$AV462,$BB462+$BC462))&gt;OP!$L$58,0,IF(繳費報酬率資料!$A$1=1,$AU462+$AV462,$BB462+$BC462))</f>
        <v>0</v>
      </c>
      <c r="L462" s="2"/>
      <c r="M462" s="2"/>
      <c r="N462" s="2"/>
      <c r="O462" s="261">
        <f t="shared" ca="1" si="275"/>
        <v>0</v>
      </c>
      <c r="P462" s="261">
        <f t="shared" ca="1" si="293"/>
        <v>0</v>
      </c>
      <c r="Q462" s="3">
        <f ca="1">IF(A462&gt;MAX(OP!$R$17:$R$26),0,VLOOKUP(A462,fees,3,FALSE))</f>
        <v>0</v>
      </c>
      <c r="R462" s="200" t="str">
        <f t="shared" ca="1" si="276"/>
        <v/>
      </c>
      <c r="S462" s="9" t="str">
        <f ca="1">IF(COUNTIF(($T$4:T461),"F")&gt;=1,"",IF(OR(C463&lt;&gt;$C$3,E462=""),"",A462))</f>
        <v/>
      </c>
      <c r="T462" s="20" t="str">
        <f t="shared" ca="1" si="268"/>
        <v/>
      </c>
      <c r="U462" s="2">
        <f ca="1">IF(IF(OP!$C$83=1,$Z461,IF(OP!$C$83=2,$AA461,IF(OP!$C$83=3,$AB461,)))+$K462-$O462-$P462-$AS462&lt;OP!$C$142,0,$AS462)</f>
        <v>0</v>
      </c>
      <c r="V462" s="9"/>
      <c r="W462" s="19">
        <f ca="1">MAX(SUM($K$4:K462),0)</f>
        <v>2000000</v>
      </c>
      <c r="X462" s="19"/>
      <c r="Y462" s="19">
        <f t="shared" ca="1" si="294"/>
        <v>1920000</v>
      </c>
      <c r="Z462" s="2">
        <f ca="1">IF(MIN($Z$4:Z461)=0,0,MAX(0,($Z461+$K462-$O462-$P462)*IF(AND(F462="F",$D$3&lt;&gt;$G$3),((1+(-J462))^(H462/MIN(G462,365))),((1+(-J462))^(1/12)))-$U462))</f>
        <v>269916.31181142677</v>
      </c>
      <c r="AA462" s="2">
        <f ca="1">IF(MIN($AA$4:AA461)=0,0,MAX(0,($AA461+$K462-$O462-$P462)*IF(AND(F462="F",$D$3&lt;&gt;$G$3),((1+$AA$1)^(H462/MIN(G462,365))),((1+$AA$1)^(1/12)))-$U462))</f>
        <v>1920000</v>
      </c>
      <c r="AB462" s="2">
        <f ca="1">IF(MIN($AB$4:AB461)=0,0,MAX(0,($AB461+$K462-$O462-$P462)*IF(AND(F462="F",$D$3&lt;&gt;$G$3),((1+(J462))^(H462/MIN(G462,365))),((1+(J462))^(1/12)))-$U462))</f>
        <v>12410575.419172214</v>
      </c>
      <c r="AC462" s="5"/>
      <c r="AD462" s="5"/>
      <c r="AE462" s="5"/>
      <c r="AF462" s="282">
        <f t="shared" ca="1" si="277"/>
        <v>269916</v>
      </c>
      <c r="AG462" s="282">
        <f t="shared" ca="1" si="278"/>
        <v>1920000</v>
      </c>
      <c r="AH462" s="282">
        <f t="shared" ca="1" si="279"/>
        <v>12410575</v>
      </c>
      <c r="AI462" s="23" t="str">
        <f t="shared" ca="1" si="295"/>
        <v>39-4</v>
      </c>
      <c r="AJ462" s="282">
        <f ca="1">IF(E462&gt;111,,IF(AND(OP!$C$99=1,T462="F"),Z462,IF(AND(OP!$C$99=2,COUNTIF($T$4:T462,"F")=1),OP!$C$97+IF(F462="F",OP!$C$98,0),"")))</f>
        <v>54527</v>
      </c>
      <c r="AK462" s="282">
        <f ca="1">IF(E462&gt;111,,IF(AND(OP!$D$99=1,T462="F"),AA462,IF(AND(OP!$D$99=2,COUNTIF($T$4:T462,"F")=1),OP!$D$97+IF(F462="F",OP!$D$98,0),"")))</f>
        <v>74177</v>
      </c>
      <c r="AL462" s="282">
        <f ca="1">IF(E462&gt;111,,IF(AND(OP!$E$99=1,T462="F"),AB462,IF(AND(OP!$E$99=2,COUNTIF($T$4:T462,"F")=1),OP!$E$97+IF(F462="F",OP!$E$98,0),"")))</f>
        <v>99404</v>
      </c>
      <c r="AM462" s="1">
        <f t="shared" ca="1" si="269"/>
        <v>4</v>
      </c>
      <c r="AN462" s="1" t="e">
        <f ca="1">IF(OR(VLOOKUP($A462,MP,5,0)="月繳"),1,"")</f>
        <v>#N/A</v>
      </c>
      <c r="AO462" s="1">
        <f t="shared" ca="1" si="280"/>
        <v>0</v>
      </c>
      <c r="AP462" s="1" t="str">
        <f ca="1">IF(AND(A462&lt;=OP!$C$120,COUNTIF(PAY,C462)=1),1,"")</f>
        <v/>
      </c>
      <c r="AR462" s="301">
        <f ca="1">IF(繳費報酬率資料!$A$1=1,$AY462+$AZ462,$BF462+$BG462)</f>
        <v>0</v>
      </c>
      <c r="AS462" s="1">
        <f ca="1">IF(C462&lt;&gt;IF($C$3=1,12,$C$3-1),0,IF(繳費報酬率資料!$A$1&lt;&gt;1,VLOOKUP($A462,MP,8,0),IF(AND($A462&gt;=OP!$C$79,$A462&lt;=OP!$C$80),OP!$C$78,)))</f>
        <v>0</v>
      </c>
      <c r="AT462" s="298">
        <f t="shared" ca="1" si="281"/>
        <v>0</v>
      </c>
      <c r="AU462" s="298">
        <f ca="1">IF(AND(A462&lt;=OP!$C$120,COUNTIF(PAY,C462)=1),OP!$C$123,0)</f>
        <v>0</v>
      </c>
      <c r="AV462" s="298">
        <f ca="1">IF(AND(A462&gt;=OP!$C$132,A462&lt;=OP!$C$133,$C$3=C462),OP!$C$135,0)</f>
        <v>0</v>
      </c>
      <c r="AW462" s="180">
        <f t="shared" ca="1" si="282"/>
        <v>0.05</v>
      </c>
      <c r="AX462" s="180">
        <f t="shared" ca="1" si="283"/>
        <v>0.05</v>
      </c>
      <c r="AY462" s="286">
        <f t="shared" ca="1" si="284"/>
        <v>0</v>
      </c>
      <c r="AZ462" s="286">
        <f t="shared" ca="1" si="285"/>
        <v>0</v>
      </c>
      <c r="BA462" s="286">
        <f t="shared" ca="1" si="286"/>
        <v>0</v>
      </c>
      <c r="BB462" s="286">
        <f t="shared" ca="1" si="287"/>
        <v>0</v>
      </c>
      <c r="BC462" s="286">
        <f t="shared" ca="1" si="288"/>
        <v>0</v>
      </c>
      <c r="BD462" s="180">
        <f t="shared" ca="1" si="289"/>
        <v>0.05</v>
      </c>
      <c r="BE462" s="180">
        <f t="shared" ca="1" si="290"/>
        <v>0.05</v>
      </c>
      <c r="BF462" s="286">
        <f t="shared" ca="1" si="291"/>
        <v>0</v>
      </c>
      <c r="BG462" s="286">
        <f t="shared" ca="1" si="292"/>
        <v>0</v>
      </c>
    </row>
    <row r="463" spans="1:59">
      <c r="A463" s="1">
        <f t="shared" ca="1" si="272"/>
        <v>39</v>
      </c>
      <c r="B463" s="1">
        <f t="shared" ca="1" si="265"/>
        <v>144</v>
      </c>
      <c r="C463" s="1">
        <f t="shared" ca="1" si="266"/>
        <v>9</v>
      </c>
      <c r="D463" s="1">
        <f ca="1">MIN($D$3,VLOOKUP(C463,OP!$S$30:$T$41,2))</f>
        <v>2</v>
      </c>
      <c r="E463" s="1">
        <f t="shared" ca="1" si="267"/>
        <v>93</v>
      </c>
      <c r="F463" s="11" t="str">
        <f t="shared" ca="1" si="273"/>
        <v/>
      </c>
      <c r="G463" s="8">
        <f t="shared" ca="1" si="296"/>
        <v>366</v>
      </c>
      <c r="H463" s="8">
        <f t="shared" ca="1" si="274"/>
        <v>30</v>
      </c>
      <c r="I463" s="8" t="str">
        <f t="shared" ca="1" si="271"/>
        <v>399</v>
      </c>
      <c r="J463" s="13">
        <f>IF(繳費報酬率資料!$A$1=1,VALUE(OP!$C$121),VLOOKUP(A463,MP,2,0))</f>
        <v>0.05</v>
      </c>
      <c r="K463" s="14">
        <f ca="1">IF(SUM($K$4:K462,IF(繳費報酬率資料!$A$1=1,$AU463+$AV463,$BB463+$BC463))&gt;OP!$L$58,0,IF(繳費報酬率資料!$A$1=1,$AU463+$AV463,$BB463+$BC463))</f>
        <v>0</v>
      </c>
      <c r="L463" s="2"/>
      <c r="M463" s="2"/>
      <c r="N463" s="2"/>
      <c r="O463" s="261">
        <f t="shared" ca="1" si="275"/>
        <v>0</v>
      </c>
      <c r="P463" s="261">
        <f t="shared" ca="1" si="293"/>
        <v>0</v>
      </c>
      <c r="Q463" s="3">
        <f ca="1">IF(A463&gt;MAX(OP!$R$17:$R$26),0,VLOOKUP(A463,fees,3,FALSE))</f>
        <v>0</v>
      </c>
      <c r="R463" s="200" t="str">
        <f t="shared" ca="1" si="276"/>
        <v/>
      </c>
      <c r="S463" s="9" t="str">
        <f ca="1">IF(COUNTIF(($T$4:T462),"F")&gt;=1,"",IF(OR(C464&lt;&gt;$C$3,E463=""),"",A463))</f>
        <v/>
      </c>
      <c r="T463" s="20" t="str">
        <f t="shared" ca="1" si="268"/>
        <v/>
      </c>
      <c r="U463" s="2">
        <f ca="1">IF(IF(OP!$C$83=1,$Z462,IF(OP!$C$83=2,$AA462,IF(OP!$C$83=3,$AB462,)))+$K463-$O463-$P463-$AS463&lt;OP!$C$142,0,$AS463)</f>
        <v>0</v>
      </c>
      <c r="V463" s="9"/>
      <c r="W463" s="19">
        <f ca="1">MAX(SUM($K$4:K463),0)</f>
        <v>2000000</v>
      </c>
      <c r="X463" s="19"/>
      <c r="Y463" s="19">
        <f t="shared" ca="1" si="294"/>
        <v>1920000</v>
      </c>
      <c r="Z463" s="2">
        <f ca="1">IF(MIN($Z$4:Z462)=0,0,MAX(0,($Z462+$K463-$O463-$P463)*IF(AND(F463="F",$D$3&lt;&gt;$G$3),((1+(-J463))^(H463/MIN(G463,365))),((1+(-J463))^(1/12)))-$U463))</f>
        <v>268765.03269828757</v>
      </c>
      <c r="AA463" s="2">
        <f ca="1">IF(MIN($AA$4:AA462)=0,0,MAX(0,($AA462+$K463-$O463-$P463)*IF(AND(F463="F",$D$3&lt;&gt;$G$3),((1+$AA$1)^(H463/MIN(G463,365))),((1+$AA$1)^(1/12)))-$U463))</f>
        <v>1920000</v>
      </c>
      <c r="AB463" s="2">
        <f ca="1">IF(MIN($AB$4:AB462)=0,0,MAX(0,($AB462+$K463-$O463-$P463)*IF(AND(F463="F",$D$3&lt;&gt;$G$3),((1+(J463))^(H463/MIN(G463,365))),((1+(J463))^(1/12)))-$U463))</f>
        <v>12461137.639656225</v>
      </c>
      <c r="AC463" s="5"/>
      <c r="AD463" s="5"/>
      <c r="AE463" s="5"/>
      <c r="AF463" s="282">
        <f t="shared" ca="1" si="277"/>
        <v>268765</v>
      </c>
      <c r="AG463" s="282">
        <f t="shared" ca="1" si="278"/>
        <v>1920000</v>
      </c>
      <c r="AH463" s="282">
        <f t="shared" ca="1" si="279"/>
        <v>12461138</v>
      </c>
      <c r="AI463" s="23" t="str">
        <f t="shared" ca="1" si="295"/>
        <v>39-5</v>
      </c>
      <c r="AJ463" s="282">
        <f ca="1">IF(E463&gt;111,,IF(AND(OP!$C$99=1,T463="F"),Z463,IF(AND(OP!$C$99=2,COUNTIF($T$4:T463,"F")=1),OP!$C$97+IF(F463="F",OP!$C$98,0),"")))</f>
        <v>54527</v>
      </c>
      <c r="AK463" s="282">
        <f ca="1">IF(E463&gt;111,,IF(AND(OP!$D$99=1,T463="F"),AA463,IF(AND(OP!$D$99=2,COUNTIF($T$4:T463,"F")=1),OP!$D$97+IF(F463="F",OP!$D$98,0),"")))</f>
        <v>74177</v>
      </c>
      <c r="AL463" s="282">
        <f ca="1">IF(E463&gt;111,,IF(AND(OP!$E$99=1,T463="F"),AB463,IF(AND(OP!$E$99=2,COUNTIF($T$4:T463,"F")=1),OP!$E$97+IF(F463="F",OP!$E$98,0),"")))</f>
        <v>99404</v>
      </c>
      <c r="AM463" s="1">
        <f t="shared" ca="1" si="269"/>
        <v>5</v>
      </c>
      <c r="AN463" s="1" t="e">
        <f ca="1">IF(OR(VLOOKUP($A463,MP,5,0)="季繳",VLOOKUP($A463,MP,5,0)="月繳"),1,"")</f>
        <v>#N/A</v>
      </c>
      <c r="AO463" s="1">
        <f t="shared" ca="1" si="280"/>
        <v>0</v>
      </c>
      <c r="AP463" s="1" t="str">
        <f ca="1">IF(AND(A463&lt;=OP!$C$120,COUNTIF(PAY,C463)=1),1,"")</f>
        <v/>
      </c>
      <c r="AR463" s="301">
        <f ca="1">IF(繳費報酬率資料!$A$1=1,$AY463+$AZ463,$BF463+$BG463)</f>
        <v>0</v>
      </c>
      <c r="AS463" s="1">
        <f ca="1">IF(C463&lt;&gt;IF($C$3=1,12,$C$3-1),0,IF(繳費報酬率資料!$A$1&lt;&gt;1,VLOOKUP($A463,MP,8,0),IF(AND($A463&gt;=OP!$C$79,$A463&lt;=OP!$C$80),OP!$C$78,)))</f>
        <v>0</v>
      </c>
      <c r="AT463" s="298">
        <f t="shared" ca="1" si="281"/>
        <v>0</v>
      </c>
      <c r="AU463" s="298">
        <f ca="1">IF(AND(A463&lt;=OP!$C$120,COUNTIF(PAY,C463)=1),OP!$C$123,0)</f>
        <v>0</v>
      </c>
      <c r="AV463" s="298">
        <f ca="1">IF(AND(A463&gt;=OP!$C$132,A463&lt;=OP!$C$133,$C$3=C463),OP!$C$135,0)</f>
        <v>0</v>
      </c>
      <c r="AW463" s="180">
        <f t="shared" ca="1" si="282"/>
        <v>0.05</v>
      </c>
      <c r="AX463" s="180">
        <f t="shared" ca="1" si="283"/>
        <v>0.05</v>
      </c>
      <c r="AY463" s="286">
        <f t="shared" ca="1" si="284"/>
        <v>0</v>
      </c>
      <c r="AZ463" s="286">
        <f t="shared" ca="1" si="285"/>
        <v>0</v>
      </c>
      <c r="BA463" s="286">
        <f t="shared" ca="1" si="286"/>
        <v>0</v>
      </c>
      <c r="BB463" s="286">
        <f t="shared" ca="1" si="287"/>
        <v>0</v>
      </c>
      <c r="BC463" s="286">
        <f t="shared" ca="1" si="288"/>
        <v>0</v>
      </c>
      <c r="BD463" s="180">
        <f t="shared" ca="1" si="289"/>
        <v>0.05</v>
      </c>
      <c r="BE463" s="180">
        <f t="shared" ca="1" si="290"/>
        <v>0.05</v>
      </c>
      <c r="BF463" s="286">
        <f t="shared" ca="1" si="291"/>
        <v>0</v>
      </c>
      <c r="BG463" s="286">
        <f t="shared" ca="1" si="292"/>
        <v>0</v>
      </c>
    </row>
    <row r="464" spans="1:59">
      <c r="A464" s="1">
        <f t="shared" ca="1" si="272"/>
        <v>39</v>
      </c>
      <c r="B464" s="1">
        <f t="shared" ca="1" si="265"/>
        <v>144</v>
      </c>
      <c r="C464" s="1">
        <f t="shared" ca="1" si="266"/>
        <v>10</v>
      </c>
      <c r="D464" s="1">
        <f ca="1">MIN($D$3,VLOOKUP(C464,OP!$S$30:$T$41,2))</f>
        <v>2</v>
      </c>
      <c r="E464" s="1">
        <f t="shared" ca="1" si="267"/>
        <v>93</v>
      </c>
      <c r="F464" s="11" t="str">
        <f t="shared" ca="1" si="273"/>
        <v/>
      </c>
      <c r="G464" s="8">
        <f t="shared" ca="1" si="296"/>
        <v>366</v>
      </c>
      <c r="H464" s="8">
        <f t="shared" ca="1" si="274"/>
        <v>31</v>
      </c>
      <c r="I464" s="8" t="str">
        <f t="shared" ca="1" si="271"/>
        <v>3910</v>
      </c>
      <c r="J464" s="13">
        <f>IF(繳費報酬率資料!$A$1=1,VALUE(OP!$C$121),VLOOKUP(A464,MP,2,0))</f>
        <v>0.05</v>
      </c>
      <c r="K464" s="14">
        <f ca="1">IF(SUM($K$4:K463,IF(繳費報酬率資料!$A$1=1,$AU464+$AV464,$BB464+$BC464))&gt;OP!$L$58,0,IF(繳費報酬率資料!$A$1=1,$AU464+$AV464,$BB464+$BC464))</f>
        <v>0</v>
      </c>
      <c r="L464" s="2"/>
      <c r="M464" s="2"/>
      <c r="N464" s="2"/>
      <c r="O464" s="261">
        <f t="shared" ca="1" si="275"/>
        <v>0</v>
      </c>
      <c r="P464" s="261">
        <f t="shared" ca="1" si="293"/>
        <v>0</v>
      </c>
      <c r="Q464" s="3">
        <f ca="1">IF(A464&gt;MAX(OP!$R$17:$R$26),0,VLOOKUP(A464,fees,3,FALSE))</f>
        <v>0</v>
      </c>
      <c r="R464" s="200" t="str">
        <f t="shared" ca="1" si="276"/>
        <v/>
      </c>
      <c r="S464" s="9" t="str">
        <f ca="1">IF(COUNTIF(($T$4:T463),"F")&gt;=1,"",IF(OR(C465&lt;&gt;$C$3,E464=""),"",A464))</f>
        <v/>
      </c>
      <c r="T464" s="20" t="str">
        <f t="shared" ca="1" si="268"/>
        <v/>
      </c>
      <c r="U464" s="2">
        <f ca="1">IF(IF(OP!$C$83=1,$Z463,IF(OP!$C$83=2,$AA463,IF(OP!$C$83=3,$AB463,)))+$K464-$O464-$P464-$AS464&lt;OP!$C$142,0,$AS464)</f>
        <v>0</v>
      </c>
      <c r="V464" s="9"/>
      <c r="W464" s="19">
        <f ca="1">MAX(SUM($K$4:K464),0)</f>
        <v>2000000</v>
      </c>
      <c r="X464" s="19"/>
      <c r="Y464" s="19">
        <f t="shared" ca="1" si="294"/>
        <v>1920000</v>
      </c>
      <c r="Z464" s="2">
        <f ca="1">IF(MIN($Z$4:Z463)=0,0,MAX(0,($Z463+$K464-$O464-$P464)*IF(AND(F464="F",$D$3&lt;&gt;$G$3),((1+(-J464))^(H464/MIN(G464,365))),((1+(-J464))^(1/12)))-$U464))</f>
        <v>267618.66415756784</v>
      </c>
      <c r="AA464" s="2">
        <f ca="1">IF(MIN($AA$4:AA463)=0,0,MAX(0,($AA463+$K464-$O464-$P464)*IF(AND(F464="F",$D$3&lt;&gt;$G$3),((1+$AA$1)^(H464/MIN(G464,365))),((1+$AA$1)^(1/12)))-$U464))</f>
        <v>1920000</v>
      </c>
      <c r="AB464" s="2">
        <f ca="1">IF(MIN($AB$4:AB463)=0,0,MAX(0,($AB463+$K464-$O464-$P464)*IF(AND(F464="F",$D$3&lt;&gt;$G$3),((1+(J464))^(H464/MIN(G464,365))),((1+(J464))^(1/12)))-$U464))</f>
        <v>12511905.856885264</v>
      </c>
      <c r="AC464" s="5"/>
      <c r="AD464" s="5"/>
      <c r="AE464" s="5"/>
      <c r="AF464" s="282">
        <f t="shared" ca="1" si="277"/>
        <v>267619</v>
      </c>
      <c r="AG464" s="282">
        <f t="shared" ca="1" si="278"/>
        <v>1920000</v>
      </c>
      <c r="AH464" s="282">
        <f t="shared" ca="1" si="279"/>
        <v>12511906</v>
      </c>
      <c r="AI464" s="23" t="str">
        <f t="shared" ca="1" si="295"/>
        <v>39-6</v>
      </c>
      <c r="AJ464" s="282">
        <f ca="1">IF(E464&gt;111,,IF(AND(OP!$C$99=1,T464="F"),Z464,IF(AND(OP!$C$99=2,COUNTIF($T$4:T464,"F")=1),OP!$C$97+IF(F464="F",OP!$C$98,0),"")))</f>
        <v>54527</v>
      </c>
      <c r="AK464" s="282">
        <f ca="1">IF(E464&gt;111,,IF(AND(OP!$D$99=1,T464="F"),AA464,IF(AND(OP!$D$99=2,COUNTIF($T$4:T464,"F")=1),OP!$D$97+IF(F464="F",OP!$D$98,0),"")))</f>
        <v>74177</v>
      </c>
      <c r="AL464" s="282">
        <f ca="1">IF(E464&gt;111,,IF(AND(OP!$E$99=1,T464="F"),AB464,IF(AND(OP!$E$99=2,COUNTIF($T$4:T464,"F")=1),OP!$E$97+IF(F464="F",OP!$E$98,0),"")))</f>
        <v>99404</v>
      </c>
      <c r="AM464" s="1">
        <f t="shared" ca="1" si="269"/>
        <v>6</v>
      </c>
      <c r="AN464" s="1" t="e">
        <f ca="1">IF(OR(VLOOKUP($A464,MP,5,0)="月繳"),1,"")</f>
        <v>#N/A</v>
      </c>
      <c r="AO464" s="1">
        <f t="shared" ca="1" si="280"/>
        <v>0</v>
      </c>
      <c r="AP464" s="1" t="str">
        <f ca="1">IF(AND(A464&lt;=OP!$C$120,COUNTIF(PAY,C464)=1),1,"")</f>
        <v/>
      </c>
      <c r="AR464" s="301">
        <f ca="1">IF(繳費報酬率資料!$A$1=1,$AY464+$AZ464,$BF464+$BG464)</f>
        <v>0</v>
      </c>
      <c r="AS464" s="1">
        <f ca="1">IF(C464&lt;&gt;IF($C$3=1,12,$C$3-1),0,IF(繳費報酬率資料!$A$1&lt;&gt;1,VLOOKUP($A464,MP,8,0),IF(AND($A464&gt;=OP!$C$79,$A464&lt;=OP!$C$80),OP!$C$78,)))</f>
        <v>0</v>
      </c>
      <c r="AT464" s="298">
        <f t="shared" ca="1" si="281"/>
        <v>0</v>
      </c>
      <c r="AU464" s="298">
        <f ca="1">IF(AND(A464&lt;=OP!$C$120,COUNTIF(PAY,C464)=1),OP!$C$123,0)</f>
        <v>0</v>
      </c>
      <c r="AV464" s="298">
        <f ca="1">IF(AND(A464&gt;=OP!$C$132,A464&lt;=OP!$C$133,$C$3=C464),OP!$C$135,0)</f>
        <v>0</v>
      </c>
      <c r="AW464" s="180">
        <f t="shared" ca="1" si="282"/>
        <v>0.05</v>
      </c>
      <c r="AX464" s="180">
        <f t="shared" ca="1" si="283"/>
        <v>0.05</v>
      </c>
      <c r="AY464" s="286">
        <f t="shared" ca="1" si="284"/>
        <v>0</v>
      </c>
      <c r="AZ464" s="286">
        <f t="shared" ca="1" si="285"/>
        <v>0</v>
      </c>
      <c r="BA464" s="286">
        <f t="shared" ca="1" si="286"/>
        <v>0</v>
      </c>
      <c r="BB464" s="286">
        <f t="shared" ca="1" si="287"/>
        <v>0</v>
      </c>
      <c r="BC464" s="286">
        <f t="shared" ca="1" si="288"/>
        <v>0</v>
      </c>
      <c r="BD464" s="180">
        <f t="shared" ca="1" si="289"/>
        <v>0.05</v>
      </c>
      <c r="BE464" s="180">
        <f t="shared" ca="1" si="290"/>
        <v>0.05</v>
      </c>
      <c r="BF464" s="286">
        <f t="shared" ca="1" si="291"/>
        <v>0</v>
      </c>
      <c r="BG464" s="286">
        <f t="shared" ca="1" si="292"/>
        <v>0</v>
      </c>
    </row>
    <row r="465" spans="1:59">
      <c r="A465" s="1">
        <f t="shared" ca="1" si="272"/>
        <v>39</v>
      </c>
      <c r="B465" s="1">
        <f t="shared" ca="1" si="265"/>
        <v>144</v>
      </c>
      <c r="C465" s="1">
        <f t="shared" ca="1" si="266"/>
        <v>11</v>
      </c>
      <c r="D465" s="1">
        <f ca="1">MIN($D$3,VLOOKUP(C465,OP!$S$30:$T$41,2))</f>
        <v>2</v>
      </c>
      <c r="E465" s="1">
        <f t="shared" ca="1" si="267"/>
        <v>93</v>
      </c>
      <c r="F465" s="11" t="str">
        <f t="shared" ca="1" si="273"/>
        <v/>
      </c>
      <c r="G465" s="8">
        <f t="shared" ca="1" si="296"/>
        <v>366</v>
      </c>
      <c r="H465" s="8">
        <f t="shared" ca="1" si="274"/>
        <v>30</v>
      </c>
      <c r="I465" s="8" t="str">
        <f t="shared" ca="1" si="271"/>
        <v>3911</v>
      </c>
      <c r="J465" s="13">
        <f>IF(繳費報酬率資料!$A$1=1,VALUE(OP!$C$121),VLOOKUP(A465,MP,2,0))</f>
        <v>0.05</v>
      </c>
      <c r="K465" s="14">
        <f ca="1">IF(SUM($K$4:K464,IF(繳費報酬率資料!$A$1=1,$AU465+$AV465,$BB465+$BC465))&gt;OP!$L$58,0,IF(繳費報酬率資料!$A$1=1,$AU465+$AV465,$BB465+$BC465))</f>
        <v>0</v>
      </c>
      <c r="L465" s="2"/>
      <c r="M465" s="2"/>
      <c r="N465" s="2"/>
      <c r="O465" s="261">
        <f t="shared" ca="1" si="275"/>
        <v>0</v>
      </c>
      <c r="P465" s="261">
        <f t="shared" ca="1" si="293"/>
        <v>0</v>
      </c>
      <c r="Q465" s="3">
        <f ca="1">IF(A465&gt;MAX(OP!$R$17:$R$26),0,VLOOKUP(A465,fees,3,FALSE))</f>
        <v>0</v>
      </c>
      <c r="R465" s="200" t="str">
        <f t="shared" ca="1" si="276"/>
        <v/>
      </c>
      <c r="S465" s="9" t="str">
        <f ca="1">IF(COUNTIF(($T$4:T464),"F")&gt;=1,"",IF(OR(C466&lt;&gt;$C$3,E465=""),"",A465))</f>
        <v/>
      </c>
      <c r="T465" s="20" t="str">
        <f t="shared" ca="1" si="268"/>
        <v/>
      </c>
      <c r="U465" s="2">
        <f ca="1">IF(IF(OP!$C$83=1,$Z464,IF(OP!$C$83=2,$AA464,IF(OP!$C$83=3,$AB464,)))+$K465-$O465-$P465-$AS465&lt;OP!$C$142,0,$AS465)</f>
        <v>0</v>
      </c>
      <c r="V465" s="9"/>
      <c r="W465" s="19">
        <f ca="1">MAX(SUM($K$4:K465),0)</f>
        <v>2000000</v>
      </c>
      <c r="X465" s="19"/>
      <c r="Y465" s="19">
        <f t="shared" ca="1" si="294"/>
        <v>1920000</v>
      </c>
      <c r="Z465" s="2">
        <f ca="1">IF(MIN($Z$4:Z464)=0,0,MAX(0,($Z464+$K465-$O465-$P465)*IF(AND(F465="F",$D$3&lt;&gt;$G$3),((1+(-J465))^(H465/MIN(G465,365))),((1+(-J465))^(1/12)))-$U465))</f>
        <v>266477.18524411088</v>
      </c>
      <c r="AA465" s="2">
        <f ca="1">IF(MIN($AA$4:AA464)=0,0,MAX(0,($AA464+$K465-$O465-$P465)*IF(AND(F465="F",$D$3&lt;&gt;$G$3),((1+$AA$1)^(H465/MIN(G465,365))),((1+$AA$1)^(1/12)))-$U465))</f>
        <v>1920000</v>
      </c>
      <c r="AB465" s="2">
        <f ca="1">IF(MIN($AB$4:AB464)=0,0,MAX(0,($AB464+$K465-$O465-$P465)*IF(AND(F465="F",$D$3&lt;&gt;$G$3),((1+(J465))^(H465/MIN(G465,365))),((1+(J465))^(1/12)))-$U465))</f>
        <v>12562880.91011557</v>
      </c>
      <c r="AC465" s="5"/>
      <c r="AD465" s="5"/>
      <c r="AE465" s="5"/>
      <c r="AF465" s="282">
        <f t="shared" ca="1" si="277"/>
        <v>266477</v>
      </c>
      <c r="AG465" s="282">
        <f t="shared" ca="1" si="278"/>
        <v>1920000</v>
      </c>
      <c r="AH465" s="282">
        <f t="shared" ca="1" si="279"/>
        <v>12562881</v>
      </c>
      <c r="AI465" s="23" t="str">
        <f t="shared" ca="1" si="295"/>
        <v>39-7</v>
      </c>
      <c r="AJ465" s="282">
        <f ca="1">IF(E465&gt;111,,IF(AND(OP!$C$99=1,T465="F"),Z465,IF(AND(OP!$C$99=2,COUNTIF($T$4:T465,"F")=1),OP!$C$97+IF(F465="F",OP!$C$98,0),"")))</f>
        <v>54527</v>
      </c>
      <c r="AK465" s="282">
        <f ca="1">IF(E465&gt;111,,IF(AND(OP!$D$99=1,T465="F"),AA465,IF(AND(OP!$D$99=2,COUNTIF($T$4:T465,"F")=1),OP!$D$97+IF(F465="F",OP!$D$98,0),"")))</f>
        <v>74177</v>
      </c>
      <c r="AL465" s="282">
        <f ca="1">IF(E465&gt;111,,IF(AND(OP!$E$99=1,T465="F"),AB465,IF(AND(OP!$E$99=2,COUNTIF($T$4:T465,"F")=1),OP!$E$97+IF(F465="F",OP!$E$98,0),"")))</f>
        <v>99404</v>
      </c>
      <c r="AM465" s="1">
        <f t="shared" ca="1" si="269"/>
        <v>7</v>
      </c>
      <c r="AN465" s="1" t="e">
        <f ca="1">IF(OR(VLOOKUP($A465,MP,5,0)="月繳"),1,"")</f>
        <v>#N/A</v>
      </c>
      <c r="AO465" s="1">
        <f t="shared" ca="1" si="280"/>
        <v>0</v>
      </c>
      <c r="AP465" s="1" t="str">
        <f ca="1">IF(AND(A465&lt;=OP!$C$120,COUNTIF(PAY,C465)=1),1,"")</f>
        <v/>
      </c>
      <c r="AR465" s="301">
        <f ca="1">IF(繳費報酬率資料!$A$1=1,$AY465+$AZ465,$BF465+$BG465)</f>
        <v>0</v>
      </c>
      <c r="AS465" s="1">
        <f ca="1">IF(C465&lt;&gt;IF($C$3=1,12,$C$3-1),0,IF(繳費報酬率資料!$A$1&lt;&gt;1,VLOOKUP($A465,MP,8,0),IF(AND($A465&gt;=OP!$C$79,$A465&lt;=OP!$C$80),OP!$C$78,)))</f>
        <v>0</v>
      </c>
      <c r="AT465" s="298">
        <f t="shared" ca="1" si="281"/>
        <v>0</v>
      </c>
      <c r="AU465" s="298">
        <f ca="1">IF(AND(A465&lt;=OP!$C$120,COUNTIF(PAY,C465)=1),OP!$C$123,0)</f>
        <v>0</v>
      </c>
      <c r="AV465" s="298">
        <f ca="1">IF(AND(A465&gt;=OP!$C$132,A465&lt;=OP!$C$133,$C$3=C465),OP!$C$135,0)</f>
        <v>0</v>
      </c>
      <c r="AW465" s="180">
        <f t="shared" ca="1" si="282"/>
        <v>0.05</v>
      </c>
      <c r="AX465" s="180">
        <f t="shared" ca="1" si="283"/>
        <v>0.05</v>
      </c>
      <c r="AY465" s="286">
        <f t="shared" ca="1" si="284"/>
        <v>0</v>
      </c>
      <c r="AZ465" s="286">
        <f t="shared" ca="1" si="285"/>
        <v>0</v>
      </c>
      <c r="BA465" s="286">
        <f t="shared" ca="1" si="286"/>
        <v>0</v>
      </c>
      <c r="BB465" s="286">
        <f t="shared" ca="1" si="287"/>
        <v>0</v>
      </c>
      <c r="BC465" s="286">
        <f t="shared" ca="1" si="288"/>
        <v>0</v>
      </c>
      <c r="BD465" s="180">
        <f t="shared" ca="1" si="289"/>
        <v>0.05</v>
      </c>
      <c r="BE465" s="180">
        <f t="shared" ca="1" si="290"/>
        <v>0.05</v>
      </c>
      <c r="BF465" s="286">
        <f t="shared" ca="1" si="291"/>
        <v>0</v>
      </c>
      <c r="BG465" s="286">
        <f t="shared" ca="1" si="292"/>
        <v>0</v>
      </c>
    </row>
    <row r="466" spans="1:59">
      <c r="A466" s="1">
        <f t="shared" ca="1" si="272"/>
        <v>39</v>
      </c>
      <c r="B466" s="1">
        <f t="shared" ca="1" si="265"/>
        <v>144</v>
      </c>
      <c r="C466" s="1">
        <f t="shared" ca="1" si="266"/>
        <v>12</v>
      </c>
      <c r="D466" s="1">
        <f ca="1">MIN($D$3,VLOOKUP(C466,OP!$S$30:$T$41,2))</f>
        <v>2</v>
      </c>
      <c r="E466" s="1">
        <f t="shared" ca="1" si="267"/>
        <v>93</v>
      </c>
      <c r="F466" s="11" t="str">
        <f t="shared" ca="1" si="273"/>
        <v/>
      </c>
      <c r="G466" s="8">
        <f t="shared" ca="1" si="296"/>
        <v>366</v>
      </c>
      <c r="H466" s="8">
        <f t="shared" ca="1" si="274"/>
        <v>31</v>
      </c>
      <c r="I466" s="8" t="str">
        <f t="shared" ca="1" si="271"/>
        <v>3912</v>
      </c>
      <c r="J466" s="13">
        <f>IF(繳費報酬率資料!$A$1=1,VALUE(OP!$C$121),VLOOKUP(A466,MP,2,0))</f>
        <v>0.05</v>
      </c>
      <c r="K466" s="14">
        <f ca="1">IF(SUM($K$4:K465,IF(繳費報酬率資料!$A$1=1,$AU466+$AV466,$BB466+$BC466))&gt;OP!$L$58,0,IF(繳費報酬率資料!$A$1=1,$AU466+$AV466,$BB466+$BC466))</f>
        <v>0</v>
      </c>
      <c r="L466" s="2"/>
      <c r="M466" s="2"/>
      <c r="N466" s="2"/>
      <c r="O466" s="261">
        <f t="shared" ca="1" si="275"/>
        <v>0</v>
      </c>
      <c r="P466" s="261">
        <f t="shared" ca="1" si="293"/>
        <v>0</v>
      </c>
      <c r="Q466" s="3">
        <f ca="1">IF(A466&gt;MAX(OP!$R$17:$R$26),0,VLOOKUP(A466,fees,3,FALSE))</f>
        <v>0</v>
      </c>
      <c r="R466" s="200" t="str">
        <f t="shared" ca="1" si="276"/>
        <v/>
      </c>
      <c r="S466" s="9" t="str">
        <f ca="1">IF(COUNTIF(($T$4:T465),"F")&gt;=1,"",IF(OR(C467&lt;&gt;$C$3,E466=""),"",A466))</f>
        <v/>
      </c>
      <c r="T466" s="20" t="str">
        <f t="shared" ca="1" si="268"/>
        <v/>
      </c>
      <c r="U466" s="2">
        <f ca="1">IF(IF(OP!$C$83=1,$Z465,IF(OP!$C$83=2,$AA465,IF(OP!$C$83=3,$AB465,)))+$K466-$O466-$P466-$AS466&lt;OP!$C$142,0,$AS466)</f>
        <v>0</v>
      </c>
      <c r="V466" s="9"/>
      <c r="W466" s="19">
        <f ca="1">MAX(SUM($K$4:K466),0)</f>
        <v>2000000</v>
      </c>
      <c r="X466" s="19"/>
      <c r="Y466" s="19">
        <f t="shared" ca="1" si="294"/>
        <v>1920000</v>
      </c>
      <c r="Z466" s="2">
        <f ca="1">IF(MIN($Z$4:Z465)=0,0,MAX(0,($Z465+$K466-$O466-$P466)*IF(AND(F466="F",$D$3&lt;&gt;$G$3),((1+(-J466))^(H466/MIN(G466,365))),((1+(-J466))^(1/12)))-$U466))</f>
        <v>265340.57510209765</v>
      </c>
      <c r="AA466" s="2">
        <f ca="1">IF(MIN($AA$4:AA465)=0,0,MAX(0,($AA465+$K466-$O466-$P466)*IF(AND(F466="F",$D$3&lt;&gt;$G$3),((1+$AA$1)^(H466/MIN(G466,365))),((1+$AA$1)^(1/12)))-$U466))</f>
        <v>1920000</v>
      </c>
      <c r="AB466" s="2">
        <f ca="1">IF(MIN($AB$4:AB465)=0,0,MAX(0,($AB465+$K466-$O466-$P466)*IF(AND(F466="F",$D$3&lt;&gt;$G$3),((1+(J466))^(H466/MIN(G466,365))),((1+(J466))^(1/12)))-$U466))</f>
        <v>12614063.642022613</v>
      </c>
      <c r="AC466" s="5"/>
      <c r="AD466" s="5"/>
      <c r="AE466" s="5"/>
      <c r="AF466" s="282">
        <f t="shared" ca="1" si="277"/>
        <v>265341</v>
      </c>
      <c r="AG466" s="282">
        <f t="shared" ca="1" si="278"/>
        <v>1920000</v>
      </c>
      <c r="AH466" s="282">
        <f t="shared" ca="1" si="279"/>
        <v>12614064</v>
      </c>
      <c r="AI466" s="23" t="str">
        <f t="shared" ca="1" si="295"/>
        <v>39-8</v>
      </c>
      <c r="AJ466" s="282">
        <f ca="1">IF(E466&gt;111,,IF(AND(OP!$C$99=1,T466="F"),Z466,IF(AND(OP!$C$99=2,COUNTIF($T$4:T466,"F")=1),OP!$C$97+IF(F466="F",OP!$C$98,0),"")))</f>
        <v>54527</v>
      </c>
      <c r="AK466" s="282">
        <f ca="1">IF(E466&gt;111,,IF(AND(OP!$D$99=1,T466="F"),AA466,IF(AND(OP!$D$99=2,COUNTIF($T$4:T466,"F")=1),OP!$D$97+IF(F466="F",OP!$D$98,0),"")))</f>
        <v>74177</v>
      </c>
      <c r="AL466" s="282">
        <f ca="1">IF(E466&gt;111,,IF(AND(OP!$E$99=1,T466="F"),AB466,IF(AND(OP!$E$99=2,COUNTIF($T$4:T466,"F")=1),OP!$E$97+IF(F466="F",OP!$E$98,0),"")))</f>
        <v>99404</v>
      </c>
      <c r="AM466" s="1">
        <f t="shared" ca="1" si="269"/>
        <v>8</v>
      </c>
      <c r="AN466" s="1" t="e">
        <f ca="1">IF(OR(VLOOKUP($A466,MP,5,0)="半年繳",VLOOKUP($A466,MP,5,0)="季繳",VLOOKUP($A466,MP,5,0)="月繳"),1,"")</f>
        <v>#N/A</v>
      </c>
      <c r="AO466" s="1">
        <f t="shared" ca="1" si="280"/>
        <v>0</v>
      </c>
      <c r="AP466" s="1" t="str">
        <f ca="1">IF(AND(A466&lt;=OP!$C$120,COUNTIF(PAY,C466)=1),1,"")</f>
        <v/>
      </c>
      <c r="AR466" s="301">
        <f ca="1">IF(繳費報酬率資料!$A$1=1,$AY466+$AZ466,$BF466+$BG466)</f>
        <v>0</v>
      </c>
      <c r="AS466" s="1">
        <f ca="1">IF(C466&lt;&gt;IF($C$3=1,12,$C$3-1),0,IF(繳費報酬率資料!$A$1&lt;&gt;1,VLOOKUP($A466,MP,8,0),IF(AND($A466&gt;=OP!$C$79,$A466&lt;=OP!$C$80),OP!$C$78,)))</f>
        <v>0</v>
      </c>
      <c r="AT466" s="298">
        <f t="shared" ca="1" si="281"/>
        <v>0</v>
      </c>
      <c r="AU466" s="298">
        <f ca="1">IF(AND(A466&lt;=OP!$C$120,COUNTIF(PAY,C466)=1),OP!$C$123,0)</f>
        <v>0</v>
      </c>
      <c r="AV466" s="298">
        <f ca="1">IF(AND(A466&gt;=OP!$C$132,A466&lt;=OP!$C$133,$C$3=C466),OP!$C$135,0)</f>
        <v>0</v>
      </c>
      <c r="AW466" s="180">
        <f t="shared" ca="1" si="282"/>
        <v>0.05</v>
      </c>
      <c r="AX466" s="180">
        <f t="shared" ca="1" si="283"/>
        <v>0.05</v>
      </c>
      <c r="AY466" s="286">
        <f t="shared" ca="1" si="284"/>
        <v>0</v>
      </c>
      <c r="AZ466" s="286">
        <f t="shared" ca="1" si="285"/>
        <v>0</v>
      </c>
      <c r="BA466" s="286">
        <f t="shared" ca="1" si="286"/>
        <v>0</v>
      </c>
      <c r="BB466" s="286">
        <f t="shared" ca="1" si="287"/>
        <v>0</v>
      </c>
      <c r="BC466" s="286">
        <f t="shared" ca="1" si="288"/>
        <v>0</v>
      </c>
      <c r="BD466" s="180">
        <f t="shared" ca="1" si="289"/>
        <v>0.05</v>
      </c>
      <c r="BE466" s="180">
        <f t="shared" ca="1" si="290"/>
        <v>0.05</v>
      </c>
      <c r="BF466" s="286">
        <f t="shared" ca="1" si="291"/>
        <v>0</v>
      </c>
      <c r="BG466" s="286">
        <f t="shared" ca="1" si="292"/>
        <v>0</v>
      </c>
    </row>
    <row r="467" spans="1:59">
      <c r="A467" s="1">
        <f t="shared" ca="1" si="272"/>
        <v>39</v>
      </c>
      <c r="B467" s="1">
        <f t="shared" ca="1" si="265"/>
        <v>145</v>
      </c>
      <c r="C467" s="1">
        <f t="shared" ca="1" si="266"/>
        <v>1</v>
      </c>
      <c r="D467" s="1">
        <f ca="1">MIN($D$3,VLOOKUP(C467,OP!$S$30:$T$41,2))</f>
        <v>2</v>
      </c>
      <c r="E467" s="1">
        <f t="shared" ca="1" si="267"/>
        <v>93</v>
      </c>
      <c r="F467" s="11" t="str">
        <f t="shared" ca="1" si="273"/>
        <v/>
      </c>
      <c r="G467" s="8">
        <f t="shared" ca="1" si="296"/>
        <v>366</v>
      </c>
      <c r="H467" s="8">
        <f t="shared" ca="1" si="274"/>
        <v>31</v>
      </c>
      <c r="I467" s="8" t="str">
        <f t="shared" ca="1" si="271"/>
        <v>391</v>
      </c>
      <c r="J467" s="13">
        <f>IF(繳費報酬率資料!$A$1=1,VALUE(OP!$C$121),VLOOKUP(A467,MP,2,0))</f>
        <v>0.05</v>
      </c>
      <c r="K467" s="14">
        <f ca="1">IF(SUM($K$4:K466,IF(繳費報酬率資料!$A$1=1,$AU467+$AV467,$BB467+$BC467))&gt;OP!$L$58,0,IF(繳費報酬率資料!$A$1=1,$AU467+$AV467,$BB467+$BC467))</f>
        <v>0</v>
      </c>
      <c r="L467" s="2"/>
      <c r="M467" s="2"/>
      <c r="N467" s="2"/>
      <c r="O467" s="261">
        <f t="shared" ca="1" si="275"/>
        <v>0</v>
      </c>
      <c r="P467" s="261">
        <f t="shared" ca="1" si="293"/>
        <v>0</v>
      </c>
      <c r="Q467" s="3">
        <f ca="1">IF(A467&gt;MAX(OP!$R$17:$R$26),0,VLOOKUP(A467,fees,3,FALSE))</f>
        <v>0</v>
      </c>
      <c r="R467" s="200" t="str">
        <f t="shared" ca="1" si="276"/>
        <v/>
      </c>
      <c r="S467" s="9" t="str">
        <f ca="1">IF(COUNTIF(($T$4:T466),"F")&gt;=1,"",IF(OR(C468&lt;&gt;$C$3,E467=""),"",A467))</f>
        <v/>
      </c>
      <c r="T467" s="20" t="str">
        <f t="shared" ca="1" si="268"/>
        <v/>
      </c>
      <c r="U467" s="2">
        <f ca="1">IF(IF(OP!$C$83=1,$Z466,IF(OP!$C$83=2,$AA466,IF(OP!$C$83=3,$AB466,)))+$K467-$O467-$P467-$AS467&lt;OP!$C$142,0,$AS467)</f>
        <v>0</v>
      </c>
      <c r="V467" s="9"/>
      <c r="W467" s="19">
        <f ca="1">MAX(SUM($K$4:K467),0)</f>
        <v>2000000</v>
      </c>
      <c r="X467" s="19"/>
      <c r="Y467" s="19">
        <f t="shared" ca="1" si="294"/>
        <v>1920000</v>
      </c>
      <c r="Z467" s="2">
        <f ca="1">IF(MIN($Z$4:Z466)=0,0,MAX(0,($Z466+$K467-$O467-$P467)*IF(AND(F467="F",$D$3&lt;&gt;$G$3),((1+(-J467))^(H467/MIN(G467,365))),((1+(-J467))^(1/12)))-$U467))</f>
        <v>264208.81296466594</v>
      </c>
      <c r="AA467" s="2">
        <f ca="1">IF(MIN($AA$4:AA466)=0,0,MAX(0,($AA466+$K467-$O467-$P467)*IF(AND(F467="F",$D$3&lt;&gt;$G$3),((1+$AA$1)^(H467/MIN(G467,365))),((1+$AA$1)^(1/12)))-$U467))</f>
        <v>1920000</v>
      </c>
      <c r="AB467" s="2">
        <f ca="1">IF(MIN($AB$4:AB466)=0,0,MAX(0,($AB466+$K467-$O467-$P467)*IF(AND(F467="F",$D$3&lt;&gt;$G$3),((1+(J467))^(H467/MIN(G467,365))),((1+(J467))^(1/12)))-$U467))</f>
        <v>12665454.898715032</v>
      </c>
      <c r="AC467" s="5"/>
      <c r="AD467" s="5"/>
      <c r="AE467" s="5"/>
      <c r="AF467" s="282">
        <f t="shared" ca="1" si="277"/>
        <v>264209</v>
      </c>
      <c r="AG467" s="282">
        <f t="shared" ca="1" si="278"/>
        <v>1920000</v>
      </c>
      <c r="AH467" s="282">
        <f t="shared" ca="1" si="279"/>
        <v>12665455</v>
      </c>
      <c r="AI467" s="23" t="str">
        <f t="shared" ca="1" si="295"/>
        <v>39-9</v>
      </c>
      <c r="AJ467" s="282">
        <f ca="1">IF(E467&gt;111,,IF(AND(OP!$C$99=1,T467="F"),Z467,IF(AND(OP!$C$99=2,COUNTIF($T$4:T467,"F")=1),OP!$C$97+IF(F467="F",OP!$C$98,0),"")))</f>
        <v>54527</v>
      </c>
      <c r="AK467" s="282">
        <f ca="1">IF(E467&gt;111,,IF(AND(OP!$D$99=1,T467="F"),AA467,IF(AND(OP!$D$99=2,COUNTIF($T$4:T467,"F")=1),OP!$D$97+IF(F467="F",OP!$D$98,0),"")))</f>
        <v>74177</v>
      </c>
      <c r="AL467" s="282">
        <f ca="1">IF(E467&gt;111,,IF(AND(OP!$E$99=1,T467="F"),AB467,IF(AND(OP!$E$99=2,COUNTIF($T$4:T467,"F")=1),OP!$E$97+IF(F467="F",OP!$E$98,0),"")))</f>
        <v>99404</v>
      </c>
      <c r="AM467" s="1">
        <f t="shared" ca="1" si="269"/>
        <v>9</v>
      </c>
      <c r="AN467" s="1" t="e">
        <f ca="1">IF(OR(VLOOKUP($A467,MP,5,0)="月繳"),1,"")</f>
        <v>#N/A</v>
      </c>
      <c r="AO467" s="1">
        <f t="shared" ca="1" si="280"/>
        <v>0</v>
      </c>
      <c r="AP467" s="1" t="str">
        <f ca="1">IF(AND(A467&lt;=OP!$C$120,COUNTIF(PAY,C467)=1),1,"")</f>
        <v/>
      </c>
      <c r="AR467" s="301">
        <f ca="1">IF(繳費報酬率資料!$A$1=1,$AY467+$AZ467,$BF467+$BG467)</f>
        <v>0</v>
      </c>
      <c r="AS467" s="1">
        <f ca="1">IF(C467&lt;&gt;IF($C$3=1,12,$C$3-1),0,IF(繳費報酬率資料!$A$1&lt;&gt;1,VLOOKUP($A467,MP,8,0),IF(AND($A467&gt;=OP!$C$79,$A467&lt;=OP!$C$80),OP!$C$78,)))</f>
        <v>0</v>
      </c>
      <c r="AT467" s="298">
        <f t="shared" ca="1" si="281"/>
        <v>0</v>
      </c>
      <c r="AU467" s="298">
        <f ca="1">IF(AND(A467&lt;=OP!$C$120,COUNTIF(PAY,C467)=1),OP!$C$123,0)</f>
        <v>0</v>
      </c>
      <c r="AV467" s="298">
        <f ca="1">IF(AND(A467&gt;=OP!$C$132,A467&lt;=OP!$C$133,$C$3=C467),OP!$C$135,0)</f>
        <v>0</v>
      </c>
      <c r="AW467" s="180">
        <f t="shared" ca="1" si="282"/>
        <v>0.05</v>
      </c>
      <c r="AX467" s="180">
        <f t="shared" ca="1" si="283"/>
        <v>0.05</v>
      </c>
      <c r="AY467" s="286">
        <f t="shared" ca="1" si="284"/>
        <v>0</v>
      </c>
      <c r="AZ467" s="286">
        <f t="shared" ca="1" si="285"/>
        <v>0</v>
      </c>
      <c r="BA467" s="286">
        <f t="shared" ca="1" si="286"/>
        <v>0</v>
      </c>
      <c r="BB467" s="286">
        <f t="shared" ca="1" si="287"/>
        <v>0</v>
      </c>
      <c r="BC467" s="286">
        <f t="shared" ca="1" si="288"/>
        <v>0</v>
      </c>
      <c r="BD467" s="180">
        <f t="shared" ca="1" si="289"/>
        <v>0.05</v>
      </c>
      <c r="BE467" s="180">
        <f t="shared" ca="1" si="290"/>
        <v>0.05</v>
      </c>
      <c r="BF467" s="286">
        <f t="shared" ca="1" si="291"/>
        <v>0</v>
      </c>
      <c r="BG467" s="286">
        <f t="shared" ca="1" si="292"/>
        <v>0</v>
      </c>
    </row>
    <row r="468" spans="1:59">
      <c r="A468" s="1">
        <f t="shared" ca="1" si="272"/>
        <v>39</v>
      </c>
      <c r="B468" s="1">
        <f t="shared" ca="1" si="265"/>
        <v>145</v>
      </c>
      <c r="C468" s="1">
        <f t="shared" ca="1" si="266"/>
        <v>2</v>
      </c>
      <c r="D468" s="1">
        <f ca="1">MIN($D$3,VLOOKUP(C468,OP!$S$30:$T$41,2))</f>
        <v>2</v>
      </c>
      <c r="E468" s="1">
        <f t="shared" ca="1" si="267"/>
        <v>93</v>
      </c>
      <c r="F468" s="11" t="str">
        <f t="shared" ca="1" si="273"/>
        <v/>
      </c>
      <c r="G468" s="8">
        <f t="shared" ca="1" si="296"/>
        <v>366</v>
      </c>
      <c r="H468" s="8">
        <f t="shared" ca="1" si="274"/>
        <v>29</v>
      </c>
      <c r="I468" s="8" t="str">
        <f t="shared" ca="1" si="271"/>
        <v>392</v>
      </c>
      <c r="J468" s="13">
        <f>IF(繳費報酬率資料!$A$1=1,VALUE(OP!$C$121),VLOOKUP(A468,MP,2,0))</f>
        <v>0.05</v>
      </c>
      <c r="K468" s="14">
        <f ca="1">IF(SUM($K$4:K467,IF(繳費報酬率資料!$A$1=1,$AU468+$AV468,$BB468+$BC468))&gt;OP!$L$58,0,IF(繳費報酬率資料!$A$1=1,$AU468+$AV468,$BB468+$BC468))</f>
        <v>0</v>
      </c>
      <c r="L468" s="2"/>
      <c r="M468" s="2"/>
      <c r="N468" s="2"/>
      <c r="O468" s="261">
        <f t="shared" ca="1" si="275"/>
        <v>0</v>
      </c>
      <c r="P468" s="261">
        <f t="shared" ca="1" si="293"/>
        <v>0</v>
      </c>
      <c r="Q468" s="3">
        <f ca="1">IF(A468&gt;MAX(OP!$R$17:$R$26),0,VLOOKUP(A468,fees,3,FALSE))</f>
        <v>0</v>
      </c>
      <c r="R468" s="200" t="str">
        <f t="shared" ca="1" si="276"/>
        <v/>
      </c>
      <c r="S468" s="9" t="str">
        <f ca="1">IF(COUNTIF(($T$4:T467),"F")&gt;=1,"",IF(OR(C469&lt;&gt;$C$3,E468=""),"",A468))</f>
        <v/>
      </c>
      <c r="T468" s="20" t="str">
        <f t="shared" ca="1" si="268"/>
        <v/>
      </c>
      <c r="U468" s="2">
        <f ca="1">IF(IF(OP!$C$83=1,$Z467,IF(OP!$C$83=2,$AA467,IF(OP!$C$83=3,$AB467,)))+$K468-$O468-$P468-$AS468&lt;OP!$C$142,0,$AS468)</f>
        <v>0</v>
      </c>
      <c r="V468" s="9"/>
      <c r="W468" s="19">
        <f ca="1">MAX(SUM($K$4:K468),0)</f>
        <v>2000000</v>
      </c>
      <c r="X468" s="19"/>
      <c r="Y468" s="19">
        <f t="shared" ca="1" si="294"/>
        <v>1920000</v>
      </c>
      <c r="Z468" s="2">
        <f ca="1">IF(MIN($Z$4:Z467)=0,0,MAX(0,($Z467+$K468-$O468-$P468)*IF(AND(F468="F",$D$3&lt;&gt;$G$3),((1+(-J468))^(H468/MIN(G468,365))),((1+(-J468))^(1/12)))-$U468))</f>
        <v>263081.87815353076</v>
      </c>
      <c r="AA468" s="2">
        <f ca="1">IF(MIN($AA$4:AA467)=0,0,MAX(0,($AA467+$K468-$O468-$P468)*IF(AND(F468="F",$D$3&lt;&gt;$G$3),((1+$AA$1)^(H468/MIN(G468,365))),((1+$AA$1)^(1/12)))-$U468))</f>
        <v>1920000</v>
      </c>
      <c r="AB468" s="2">
        <f ca="1">IF(MIN($AB$4:AB467)=0,0,MAX(0,($AB467+$K468-$O468-$P468)*IF(AND(F468="F",$D$3&lt;&gt;$G$3),((1+(J468))^(H468/MIN(G468,365))),((1+(J468))^(1/12)))-$U468))</f>
        <v>12717055.529748613</v>
      </c>
      <c r="AC468" s="5"/>
      <c r="AD468" s="5"/>
      <c r="AE468" s="5"/>
      <c r="AF468" s="282">
        <f t="shared" ca="1" si="277"/>
        <v>263082</v>
      </c>
      <c r="AG468" s="282">
        <f t="shared" ca="1" si="278"/>
        <v>1920000</v>
      </c>
      <c r="AH468" s="282">
        <f t="shared" ca="1" si="279"/>
        <v>12717056</v>
      </c>
      <c r="AI468" s="23" t="str">
        <f t="shared" ca="1" si="295"/>
        <v>39-10</v>
      </c>
      <c r="AJ468" s="282">
        <f ca="1">IF(E468&gt;111,,IF(AND(OP!$C$99=1,T468="F"),Z468,IF(AND(OP!$C$99=2,COUNTIF($T$4:T468,"F")=1),OP!$C$97+IF(F468="F",OP!$C$98,0),"")))</f>
        <v>54527</v>
      </c>
      <c r="AK468" s="282">
        <f ca="1">IF(E468&gt;111,,IF(AND(OP!$D$99=1,T468="F"),AA468,IF(AND(OP!$D$99=2,COUNTIF($T$4:T468,"F")=1),OP!$D$97+IF(F468="F",OP!$D$98,0),"")))</f>
        <v>74177</v>
      </c>
      <c r="AL468" s="282">
        <f ca="1">IF(E468&gt;111,,IF(AND(OP!$E$99=1,T468="F"),AB468,IF(AND(OP!$E$99=2,COUNTIF($T$4:T468,"F")=1),OP!$E$97+IF(F468="F",OP!$E$98,0),"")))</f>
        <v>99404</v>
      </c>
      <c r="AM468" s="1">
        <f t="shared" ca="1" si="269"/>
        <v>10</v>
      </c>
      <c r="AN468" s="1" t="e">
        <f ca="1">IF(OR(VLOOKUP($A468,MP,5,0)="月繳"),1,"")</f>
        <v>#N/A</v>
      </c>
      <c r="AO468" s="1">
        <f t="shared" ca="1" si="280"/>
        <v>0</v>
      </c>
      <c r="AP468" s="1" t="str">
        <f ca="1">IF(AND(A468&lt;=OP!$C$120,COUNTIF(PAY,C468)=1),1,"")</f>
        <v/>
      </c>
      <c r="AR468" s="301">
        <f ca="1">IF(繳費報酬率資料!$A$1=1,$AY468+$AZ468,$BF468+$BG468)</f>
        <v>0</v>
      </c>
      <c r="AS468" s="1">
        <f ca="1">IF(C468&lt;&gt;IF($C$3=1,12,$C$3-1),0,IF(繳費報酬率資料!$A$1&lt;&gt;1,VLOOKUP($A468,MP,8,0),IF(AND($A468&gt;=OP!$C$79,$A468&lt;=OP!$C$80),OP!$C$78,)))</f>
        <v>0</v>
      </c>
      <c r="AT468" s="298">
        <f t="shared" ca="1" si="281"/>
        <v>0</v>
      </c>
      <c r="AU468" s="298">
        <f ca="1">IF(AND(A468&lt;=OP!$C$120,COUNTIF(PAY,C468)=1),OP!$C$123,0)</f>
        <v>0</v>
      </c>
      <c r="AV468" s="298">
        <f ca="1">IF(AND(A468&gt;=OP!$C$132,A468&lt;=OP!$C$133,$C$3=C468),OP!$C$135,0)</f>
        <v>0</v>
      </c>
      <c r="AW468" s="180">
        <f t="shared" ca="1" si="282"/>
        <v>0.05</v>
      </c>
      <c r="AX468" s="180">
        <f t="shared" ca="1" si="283"/>
        <v>0.05</v>
      </c>
      <c r="AY468" s="286">
        <f t="shared" ca="1" si="284"/>
        <v>0</v>
      </c>
      <c r="AZ468" s="286">
        <f t="shared" ca="1" si="285"/>
        <v>0</v>
      </c>
      <c r="BA468" s="286">
        <f t="shared" ca="1" si="286"/>
        <v>0</v>
      </c>
      <c r="BB468" s="286">
        <f t="shared" ca="1" si="287"/>
        <v>0</v>
      </c>
      <c r="BC468" s="286">
        <f t="shared" ca="1" si="288"/>
        <v>0</v>
      </c>
      <c r="BD468" s="180">
        <f t="shared" ca="1" si="289"/>
        <v>0.05</v>
      </c>
      <c r="BE468" s="180">
        <f t="shared" ca="1" si="290"/>
        <v>0.05</v>
      </c>
      <c r="BF468" s="286">
        <f t="shared" ca="1" si="291"/>
        <v>0</v>
      </c>
      <c r="BG468" s="286">
        <f t="shared" ca="1" si="292"/>
        <v>0</v>
      </c>
    </row>
    <row r="469" spans="1:59">
      <c r="A469" s="1">
        <f t="shared" ca="1" si="272"/>
        <v>39</v>
      </c>
      <c r="B469" s="1">
        <f t="shared" ca="1" si="265"/>
        <v>145</v>
      </c>
      <c r="C469" s="1">
        <f t="shared" ca="1" si="266"/>
        <v>3</v>
      </c>
      <c r="D469" s="1">
        <f ca="1">MIN($D$3,VLOOKUP(C469,OP!$S$30:$T$41,2))</f>
        <v>2</v>
      </c>
      <c r="E469" s="1">
        <f t="shared" ca="1" si="267"/>
        <v>93</v>
      </c>
      <c r="F469" s="11" t="str">
        <f t="shared" ca="1" si="273"/>
        <v/>
      </c>
      <c r="G469" s="8">
        <f t="shared" ca="1" si="296"/>
        <v>366</v>
      </c>
      <c r="H469" s="8">
        <f t="shared" ca="1" si="274"/>
        <v>31</v>
      </c>
      <c r="I469" s="8" t="str">
        <f t="shared" ca="1" si="271"/>
        <v>393</v>
      </c>
      <c r="J469" s="13">
        <f>IF(繳費報酬率資料!$A$1=1,VALUE(OP!$C$121),VLOOKUP(A469,MP,2,0))</f>
        <v>0.05</v>
      </c>
      <c r="K469" s="14">
        <f ca="1">IF(SUM($K$4:K468,IF(繳費報酬率資料!$A$1=1,$AU469+$AV469,$BB469+$BC469))&gt;OP!$L$58,0,IF(繳費報酬率資料!$A$1=1,$AU469+$AV469,$BB469+$BC469))</f>
        <v>0</v>
      </c>
      <c r="L469" s="2"/>
      <c r="M469" s="2"/>
      <c r="N469" s="2"/>
      <c r="O469" s="261">
        <f t="shared" ca="1" si="275"/>
        <v>0</v>
      </c>
      <c r="P469" s="261">
        <f t="shared" ca="1" si="293"/>
        <v>0</v>
      </c>
      <c r="Q469" s="3">
        <f ca="1">IF(A469&gt;MAX(OP!$R$17:$R$26),0,VLOOKUP(A469,fees,3,FALSE))</f>
        <v>0</v>
      </c>
      <c r="R469" s="200" t="str">
        <f t="shared" ca="1" si="276"/>
        <v/>
      </c>
      <c r="S469" s="9" t="str">
        <f ca="1">IF(COUNTIF(($T$4:T468),"F")&gt;=1,"",IF(OR(C470&lt;&gt;$C$3,E469=""),"",A469))</f>
        <v/>
      </c>
      <c r="T469" s="20" t="str">
        <f t="shared" ca="1" si="268"/>
        <v/>
      </c>
      <c r="U469" s="2">
        <f ca="1">IF(IF(OP!$C$83=1,$Z468,IF(OP!$C$83=2,$AA468,IF(OP!$C$83=3,$AB468,)))+$K469-$O469-$P469-$AS469&lt;OP!$C$142,0,$AS469)</f>
        <v>0</v>
      </c>
      <c r="V469" s="9"/>
      <c r="W469" s="19">
        <f ca="1">MAX(SUM($K$4:K469),0)</f>
        <v>2000000</v>
      </c>
      <c r="X469" s="19"/>
      <c r="Y469" s="19">
        <f t="shared" ca="1" si="294"/>
        <v>1920000</v>
      </c>
      <c r="Z469" s="2">
        <f ca="1">IF(MIN($Z$4:Z468)=0,0,MAX(0,($Z468+$K469-$O469-$P469)*IF(AND(F469="F",$D$3&lt;&gt;$G$3),((1+(-J469))^(H469/MIN(G469,365))),((1+(-J469))^(1/12)))-$U469))</f>
        <v>261959.75007860659</v>
      </c>
      <c r="AA469" s="2">
        <f ca="1">IF(MIN($AA$4:AA468)=0,0,MAX(0,($AA468+$K469-$O469-$P469)*IF(AND(F469="F",$D$3&lt;&gt;$G$3),((1+$AA$1)^(H469/MIN(G469,365))),((1+$AA$1)^(1/12)))-$U469))</f>
        <v>1920000</v>
      </c>
      <c r="AB469" s="2">
        <f ca="1">IF(MIN($AB$4:AB468)=0,0,MAX(0,($AB468+$K469-$O469-$P469)*IF(AND(F469="F",$D$3&lt;&gt;$G$3),((1+(J469))^(H469/MIN(G469,365))),((1+(J469))^(1/12)))-$U469))</f>
        <v>12768866.388140339</v>
      </c>
      <c r="AC469" s="5"/>
      <c r="AD469" s="5"/>
      <c r="AE469" s="5"/>
      <c r="AF469" s="282">
        <f t="shared" ca="1" si="277"/>
        <v>261960</v>
      </c>
      <c r="AG469" s="282">
        <f t="shared" ca="1" si="278"/>
        <v>1920000</v>
      </c>
      <c r="AH469" s="282">
        <f t="shared" ca="1" si="279"/>
        <v>12768866</v>
      </c>
      <c r="AI469" s="23" t="str">
        <f t="shared" ca="1" si="295"/>
        <v>39-11</v>
      </c>
      <c r="AJ469" s="282">
        <f ca="1">IF(E469&gt;111,,IF(AND(OP!$C$99=1,T469="F"),Z469,IF(AND(OP!$C$99=2,COUNTIF($T$4:T469,"F")=1),OP!$C$97+IF(F469="F",OP!$C$98,0),"")))</f>
        <v>54527</v>
      </c>
      <c r="AK469" s="282">
        <f ca="1">IF(E469&gt;111,,IF(AND(OP!$D$99=1,T469="F"),AA469,IF(AND(OP!$D$99=2,COUNTIF($T$4:T469,"F")=1),OP!$D$97+IF(F469="F",OP!$D$98,0),"")))</f>
        <v>74177</v>
      </c>
      <c r="AL469" s="282">
        <f ca="1">IF(E469&gt;111,,IF(AND(OP!$E$99=1,T469="F"),AB469,IF(AND(OP!$E$99=2,COUNTIF($T$4:T469,"F")=1),OP!$E$97+IF(F469="F",OP!$E$98,0),"")))</f>
        <v>99404</v>
      </c>
      <c r="AM469" s="1">
        <f t="shared" ca="1" si="269"/>
        <v>11</v>
      </c>
      <c r="AN469" s="1" t="e">
        <f ca="1">IF(OR(VLOOKUP($A469,MP,5,0)="季繳",VLOOKUP($A469,MP,5,0)="月繳"),1,"")</f>
        <v>#N/A</v>
      </c>
      <c r="AO469" s="1">
        <f t="shared" ca="1" si="280"/>
        <v>0</v>
      </c>
      <c r="AP469" s="1" t="str">
        <f ca="1">IF(AND(A469&lt;=OP!$C$120,COUNTIF(PAY,C469)=1),1,"")</f>
        <v/>
      </c>
      <c r="AR469" s="301">
        <f ca="1">IF(繳費報酬率資料!$A$1=1,$AY469+$AZ469,$BF469+$BG469)</f>
        <v>0</v>
      </c>
      <c r="AS469" s="1">
        <f ca="1">IF(C469&lt;&gt;IF($C$3=1,12,$C$3-1),0,IF(繳費報酬率資料!$A$1&lt;&gt;1,VLOOKUP($A469,MP,8,0),IF(AND($A469&gt;=OP!$C$79,$A469&lt;=OP!$C$80),OP!$C$78,)))</f>
        <v>0</v>
      </c>
      <c r="AT469" s="298">
        <f t="shared" ca="1" si="281"/>
        <v>0</v>
      </c>
      <c r="AU469" s="298">
        <f ca="1">IF(AND(A469&lt;=OP!$C$120,COUNTIF(PAY,C469)=1),OP!$C$123,0)</f>
        <v>0</v>
      </c>
      <c r="AV469" s="298">
        <f ca="1">IF(AND(A469&gt;=OP!$C$132,A469&lt;=OP!$C$133,$C$3=C469),OP!$C$135,0)</f>
        <v>0</v>
      </c>
      <c r="AW469" s="180">
        <f t="shared" ca="1" si="282"/>
        <v>0.05</v>
      </c>
      <c r="AX469" s="180">
        <f t="shared" ca="1" si="283"/>
        <v>0.05</v>
      </c>
      <c r="AY469" s="286">
        <f t="shared" ca="1" si="284"/>
        <v>0</v>
      </c>
      <c r="AZ469" s="286">
        <f t="shared" ca="1" si="285"/>
        <v>0</v>
      </c>
      <c r="BA469" s="286">
        <f t="shared" ca="1" si="286"/>
        <v>0</v>
      </c>
      <c r="BB469" s="286">
        <f t="shared" ca="1" si="287"/>
        <v>0</v>
      </c>
      <c r="BC469" s="286">
        <f t="shared" ca="1" si="288"/>
        <v>0</v>
      </c>
      <c r="BD469" s="180">
        <f t="shared" ca="1" si="289"/>
        <v>0.05</v>
      </c>
      <c r="BE469" s="180">
        <f t="shared" ca="1" si="290"/>
        <v>0.05</v>
      </c>
      <c r="BF469" s="286">
        <f t="shared" ca="1" si="291"/>
        <v>0</v>
      </c>
      <c r="BG469" s="286">
        <f t="shared" ca="1" si="292"/>
        <v>0</v>
      </c>
    </row>
    <row r="470" spans="1:59">
      <c r="A470" s="1">
        <f t="shared" ca="1" si="272"/>
        <v>39</v>
      </c>
      <c r="B470" s="1">
        <f t="shared" ca="1" si="265"/>
        <v>145</v>
      </c>
      <c r="C470" s="1">
        <f t="shared" ca="1" si="266"/>
        <v>4</v>
      </c>
      <c r="D470" s="1">
        <f ca="1">MIN($D$3,VLOOKUP(C470,OP!$S$30:$T$41,2))</f>
        <v>2</v>
      </c>
      <c r="E470" s="1">
        <f t="shared" ca="1" si="267"/>
        <v>93</v>
      </c>
      <c r="F470" s="11" t="str">
        <f t="shared" ca="1" si="273"/>
        <v/>
      </c>
      <c r="G470" s="8">
        <f t="shared" ca="1" si="296"/>
        <v>366</v>
      </c>
      <c r="H470" s="8">
        <f t="shared" ca="1" si="274"/>
        <v>30</v>
      </c>
      <c r="I470" s="8" t="str">
        <f t="shared" ca="1" si="271"/>
        <v>394</v>
      </c>
      <c r="J470" s="13">
        <f>IF(繳費報酬率資料!$A$1=1,VALUE(OP!$C$121),VLOOKUP(A470,MP,2,0))</f>
        <v>0.05</v>
      </c>
      <c r="K470" s="14">
        <f ca="1">IF(SUM($K$4:K469,IF(繳費報酬率資料!$A$1=1,$AU470+$AV470,$BB470+$BC470))&gt;OP!$L$58,0,IF(繳費報酬率資料!$A$1=1,$AU470+$AV470,$BB470+$BC470))</f>
        <v>0</v>
      </c>
      <c r="L470" s="2"/>
      <c r="M470" s="2"/>
      <c r="N470" s="2"/>
      <c r="O470" s="261">
        <f t="shared" ca="1" si="275"/>
        <v>0</v>
      </c>
      <c r="P470" s="261">
        <f t="shared" ca="1" si="293"/>
        <v>0</v>
      </c>
      <c r="Q470" s="3">
        <f ca="1">IF(A470&gt;MAX(OP!$R$17:$R$26),0,VLOOKUP(A470,fees,3,FALSE))</f>
        <v>0</v>
      </c>
      <c r="R470" s="200" t="str">
        <f t="shared" ca="1" si="276"/>
        <v/>
      </c>
      <c r="S470" s="9" t="str">
        <f ca="1">IF(COUNTIF(($T$4:T469),"F")&gt;=1,"",IF(OR(C471&lt;&gt;$C$3,E470=""),"",A470))</f>
        <v/>
      </c>
      <c r="T470" s="20" t="str">
        <f t="shared" ca="1" si="268"/>
        <v/>
      </c>
      <c r="U470" s="2">
        <f ca="1">IF(IF(OP!$C$83=1,$Z469,IF(OP!$C$83=2,$AA469,IF(OP!$C$83=3,$AB469,)))+$K470-$O470-$P470-$AS470&lt;OP!$C$142,0,$AS470)</f>
        <v>0</v>
      </c>
      <c r="V470" s="9"/>
      <c r="W470" s="19">
        <f ca="1">MAX(SUM($K$4:K470),0)</f>
        <v>2000000</v>
      </c>
      <c r="X470" s="19"/>
      <c r="Y470" s="19">
        <f t="shared" ca="1" si="294"/>
        <v>1920000</v>
      </c>
      <c r="Z470" s="2">
        <f ca="1">IF(MIN($Z$4:Z469)=0,0,MAX(0,($Z469+$K470-$O470-$P470)*IF(AND(F470="F",$D$3&lt;&gt;$G$3),((1+(-J470))^(H470/MIN(G470,365))),((1+(-J470))^(1/12)))-$U470))</f>
        <v>260842.40823763123</v>
      </c>
      <c r="AA470" s="2">
        <f ca="1">IF(MIN($AA$4:AA469)=0,0,MAX(0,($AA469+$K470-$O470-$P470)*IF(AND(F470="F",$D$3&lt;&gt;$G$3),((1+$AA$1)^(H470/MIN(G470,365))),((1+$AA$1)^(1/12)))-$U470))</f>
        <v>1920000</v>
      </c>
      <c r="AB470" s="2">
        <f ca="1">IF(MIN($AB$4:AB469)=0,0,MAX(0,($AB469+$K470-$O470-$P470)*IF(AND(F470="F",$D$3&lt;&gt;$G$3),((1+(J470))^(H470/MIN(G470,365))),((1+(J470))^(1/12)))-$U470))</f>
        <v>12820888.330382491</v>
      </c>
      <c r="AC470" s="5"/>
      <c r="AD470" s="5"/>
      <c r="AE470" s="5"/>
      <c r="AF470" s="282">
        <f t="shared" ca="1" si="277"/>
        <v>260842</v>
      </c>
      <c r="AG470" s="282">
        <f t="shared" ca="1" si="278"/>
        <v>1920000</v>
      </c>
      <c r="AH470" s="282">
        <f t="shared" ca="1" si="279"/>
        <v>12820888</v>
      </c>
      <c r="AI470" s="23" t="str">
        <f t="shared" ca="1" si="295"/>
        <v>39-12</v>
      </c>
      <c r="AJ470" s="282">
        <f ca="1">IF(E470&gt;111,,IF(AND(OP!$C$99=1,T470="F"),Z470,IF(AND(OP!$C$99=2,COUNTIF($T$4:T470,"F")=1),OP!$C$97+IF(F470="F",OP!$C$98,0),"")))</f>
        <v>54527</v>
      </c>
      <c r="AK470" s="282">
        <f ca="1">IF(E470&gt;111,,IF(AND(OP!$D$99=1,T470="F"),AA470,IF(AND(OP!$D$99=2,COUNTIF($T$4:T470,"F")=1),OP!$D$97+IF(F470="F",OP!$D$98,0),"")))</f>
        <v>74177</v>
      </c>
      <c r="AL470" s="282">
        <f ca="1">IF(E470&gt;111,,IF(AND(OP!$E$99=1,T470="F"),AB470,IF(AND(OP!$E$99=2,COUNTIF($T$4:T470,"F")=1),OP!$E$97+IF(F470="F",OP!$E$98,0),"")))</f>
        <v>99404</v>
      </c>
      <c r="AM470" s="1">
        <f t="shared" ca="1" si="269"/>
        <v>12</v>
      </c>
      <c r="AN470" s="1" t="e">
        <f ca="1">IF(OR(VLOOKUP($A470,MP,5,0)="月繳"),1,"")</f>
        <v>#N/A</v>
      </c>
      <c r="AO470" s="1">
        <f t="shared" ca="1" si="280"/>
        <v>0</v>
      </c>
      <c r="AP470" s="1" t="str">
        <f ca="1">IF(AND(A470&lt;=OP!$C$120,COUNTIF(PAY,C470)=1),1,"")</f>
        <v/>
      </c>
      <c r="AR470" s="301">
        <f ca="1">IF(繳費報酬率資料!$A$1=1,$AY470+$AZ470,$BF470+$BG470)</f>
        <v>0</v>
      </c>
      <c r="AS470" s="1">
        <f ca="1">IF(C470&lt;&gt;IF($C$3=1,12,$C$3-1),0,IF(繳費報酬率資料!$A$1&lt;&gt;1,VLOOKUP($A470,MP,8,0),IF(AND($A470&gt;=OP!$C$79,$A470&lt;=OP!$C$80),OP!$C$78,)))</f>
        <v>0</v>
      </c>
      <c r="AT470" s="298">
        <f t="shared" ca="1" si="281"/>
        <v>0</v>
      </c>
      <c r="AU470" s="298">
        <f ca="1">IF(AND(A470&lt;=OP!$C$120,COUNTIF(PAY,C470)=1),OP!$C$123,0)</f>
        <v>0</v>
      </c>
      <c r="AV470" s="298">
        <f ca="1">IF(AND(A470&gt;=OP!$C$132,A470&lt;=OP!$C$133,$C$3=C470),OP!$C$135,0)</f>
        <v>0</v>
      </c>
      <c r="AW470" s="180">
        <f t="shared" ca="1" si="282"/>
        <v>0.05</v>
      </c>
      <c r="AX470" s="180">
        <f t="shared" ca="1" si="283"/>
        <v>0.05</v>
      </c>
      <c r="AY470" s="286">
        <f t="shared" ca="1" si="284"/>
        <v>0</v>
      </c>
      <c r="AZ470" s="286">
        <f t="shared" ca="1" si="285"/>
        <v>0</v>
      </c>
      <c r="BA470" s="286">
        <f t="shared" ca="1" si="286"/>
        <v>0</v>
      </c>
      <c r="BB470" s="286">
        <f t="shared" ca="1" si="287"/>
        <v>0</v>
      </c>
      <c r="BC470" s="286">
        <f t="shared" ca="1" si="288"/>
        <v>0</v>
      </c>
      <c r="BD470" s="180">
        <f t="shared" ca="1" si="289"/>
        <v>0.05</v>
      </c>
      <c r="BE470" s="180">
        <f t="shared" ca="1" si="290"/>
        <v>0.05</v>
      </c>
      <c r="BF470" s="286">
        <f t="shared" ca="1" si="291"/>
        <v>0</v>
      </c>
      <c r="BG470" s="286">
        <f t="shared" ca="1" si="292"/>
        <v>0</v>
      </c>
    </row>
    <row r="471" spans="1:59">
      <c r="A471" s="1">
        <f t="shared" ca="1" si="272"/>
        <v>39</v>
      </c>
      <c r="B471" s="1">
        <f t="shared" ca="1" si="265"/>
        <v>145</v>
      </c>
      <c r="C471" s="1">
        <f t="shared" ca="1" si="266"/>
        <v>5</v>
      </c>
      <c r="D471" s="1">
        <f ca="1">MIN($D$3,VLOOKUP(C471,OP!$S$30:$T$41,2))</f>
        <v>2</v>
      </c>
      <c r="E471" s="1">
        <f t="shared" ca="1" si="267"/>
        <v>93</v>
      </c>
      <c r="F471" s="11" t="str">
        <f t="shared" ca="1" si="273"/>
        <v/>
      </c>
      <c r="G471" s="8">
        <f t="shared" ca="1" si="296"/>
        <v>366</v>
      </c>
      <c r="H471" s="8">
        <f t="shared" ca="1" si="274"/>
        <v>31</v>
      </c>
      <c r="I471" s="8" t="str">
        <f t="shared" ca="1" si="271"/>
        <v>395</v>
      </c>
      <c r="J471" s="13">
        <f>IF(繳費報酬率資料!$A$1=1,VALUE(OP!$C$121),VLOOKUP(A471,MP,2,0))</f>
        <v>0.05</v>
      </c>
      <c r="K471" s="14">
        <f ca="1">IF(SUM($K$4:K470,IF(繳費報酬率資料!$A$1=1,$AU471+$AV471,$BB471+$BC471))&gt;OP!$L$58,0,IF(繳費報酬率資料!$A$1=1,$AU471+$AV471,$BB471+$BC471))</f>
        <v>0</v>
      </c>
      <c r="L471" s="2">
        <f ca="1">ROUND(IF(OP!$C$78&lt;(IF(OR($T471="F",$E471&gt;=111),0,Z470+$K471-$O471+IF($C$1=1,OP!$C$78,IF($C472=$C$3,SUM(AC460:AC471,0)))))*5%,0,(OP!$C$78-((IF(OR($T471="F",$E471&gt;=111),0,Z470+$K471-$O471+IF($C$1=1,AC471,IF($C472=$C$3,SUM(AC460:AC471,0)))))*5%))*$Q471),0)</f>
        <v>0</v>
      </c>
      <c r="M471" s="2">
        <f ca="1">ROUND(IF(OP!$C$78&lt;(IF(OR($T471="F",$E471&gt;=111),0,AA470+$K471-$O471+IF($C$1=1,AD471,IF($C472=$C$3,SUM(AD460:AD471,0)))))*5%,0,(OP!$C$78-((IF(OR($T471="F",$E471&gt;=111),0,AA470+$K471-$O471+IF($C$1=1,AD471,IF($C472=$C$3,SUM(AD460:AD471,0)))))*5%))*$Q471),0)</f>
        <v>0</v>
      </c>
      <c r="N471" s="2">
        <f ca="1">ROUND(IF(OP!$C$78&lt;(IF(OR($T471="F",$E471&gt;=111),0,AB470+$K471-$O471+IF($C$1=1,AE471,IF($C472=$C$3,SUM(AE460:AE471,0)))))*5%,0,(OP!$C$78-((IF(OR($T471="F",$E471&gt;=111),0,AB470+$K471-$O471+IF($C$1=1,AE471,IF($C472=$C$3,SUM(AE460:AE471,0)))))*5%))*$Q471),0)</f>
        <v>0</v>
      </c>
      <c r="O471" s="261">
        <f t="shared" ca="1" si="275"/>
        <v>0</v>
      </c>
      <c r="P471" s="261">
        <f t="shared" ca="1" si="293"/>
        <v>0</v>
      </c>
      <c r="Q471" s="3">
        <f ca="1">IF(A471&gt;MAX(OP!$R$17:$R$26),0,VLOOKUP(A471,fees,3,FALSE))</f>
        <v>0</v>
      </c>
      <c r="R471" s="200">
        <f t="shared" ca="1" si="276"/>
        <v>39</v>
      </c>
      <c r="S471" s="9" t="str">
        <f ca="1">IF(COUNTIF(($T$4:T470),"F")&gt;=1,"",IF(OR(C472&lt;&gt;$C$3,E471=""),"",A471))</f>
        <v/>
      </c>
      <c r="T471" s="20" t="str">
        <f t="shared" ca="1" si="268"/>
        <v/>
      </c>
      <c r="U471" s="2">
        <f ca="1">IF(IF(OP!$C$83=1,$Z470,IF(OP!$C$83=2,$AA470,IF(OP!$C$83=3,$AB470,)))+$K471-$O471-$P471-$AS471&lt;OP!$C$142,0,$AS471)</f>
        <v>0</v>
      </c>
      <c r="V471" s="19">
        <f ca="1">SUM(K460:K471)</f>
        <v>0</v>
      </c>
      <c r="W471" s="19">
        <f ca="1">MAX(SUM($K$4:K471),0)</f>
        <v>2000000</v>
      </c>
      <c r="X471" s="19">
        <f ca="1">SUM(O460:P471)</f>
        <v>0</v>
      </c>
      <c r="Y471" s="19">
        <f t="shared" ca="1" si="294"/>
        <v>1920000</v>
      </c>
      <c r="Z471" s="2">
        <f ca="1">IF(MIN($Z$4:Z470)=0,0,MAX(0,($Z470+$K471-$O471-$P471)*IF(AND(F471="F",$D$3&lt;&gt;$G$3),((1+(-J471))^(H471/MIN(G471,365))),((1+(-J471))^(1/12)))-$U471))</f>
        <v>259729.83221579113</v>
      </c>
      <c r="AA471" s="2">
        <f ca="1">IF(MIN($AA$4:AA470)=0,0,MAX(0,($AA470+$K471-$O471-$P471)*IF(AND(F471="F",$D$3&lt;&gt;$G$3),((1+$AA$1)^(H471/MIN(G471,365))),((1+$AA$1)^(1/12)))-$U471))</f>
        <v>1920000</v>
      </c>
      <c r="AB471" s="2">
        <f ca="1">IF(MIN($AB$4:AB470)=0,0,MAX(0,($AB470+$K471-$O471-$P471)*IF(AND(F471="F",$D$3&lt;&gt;$G$3),((1+(J471))^(H471/MIN(G471,365))),((1+(J471))^(1/12)))-$U471))</f>
        <v>12873122.216456801</v>
      </c>
      <c r="AC471" s="5"/>
      <c r="AD471" s="5"/>
      <c r="AE471" s="5"/>
      <c r="AF471" s="282">
        <f t="shared" ca="1" si="277"/>
        <v>259730</v>
      </c>
      <c r="AG471" s="282">
        <f t="shared" ca="1" si="278"/>
        <v>1920000</v>
      </c>
      <c r="AH471" s="282">
        <f t="shared" ca="1" si="279"/>
        <v>12873122</v>
      </c>
      <c r="AI471" s="23" t="str">
        <f t="shared" ca="1" si="295"/>
        <v>40-1</v>
      </c>
      <c r="AJ471" s="282">
        <f ca="1">IF(E471&gt;111,,IF(AND(OP!$C$99=1,T471="F"),Z471,IF(AND(OP!$C$99=2,COUNTIF($T$4:T471,"F")=1),OP!$C$97+IF(F471="F",OP!$C$98,0),"")))</f>
        <v>54527</v>
      </c>
      <c r="AK471" s="282">
        <f ca="1">IF(E471&gt;111,,IF(AND(OP!$D$99=1,T471="F"),AA471,IF(AND(OP!$D$99=2,COUNTIF($T$4:T471,"F")=1),OP!$D$97+IF(F471="F",OP!$D$98,0),"")))</f>
        <v>74177</v>
      </c>
      <c r="AL471" s="282">
        <f ca="1">IF(E471&gt;111,,IF(AND(OP!$E$99=1,T471="F"),AB471,IF(AND(OP!$E$99=2,COUNTIF($T$4:T471,"F")=1),OP!$E$97+IF(F471="F",OP!$E$98,0),"")))</f>
        <v>99404</v>
      </c>
      <c r="AM471" s="1">
        <f t="shared" ca="1" si="269"/>
        <v>1</v>
      </c>
      <c r="AN471" s="1" t="e">
        <f ca="1">IF(OR(VLOOKUP($A471,MP,5,0)="月繳"),1,"")</f>
        <v>#N/A</v>
      </c>
      <c r="AO471" s="1">
        <f t="shared" ca="1" si="280"/>
        <v>0</v>
      </c>
      <c r="AP471" s="1" t="str">
        <f ca="1">IF(AND(A471&lt;=OP!$C$120,COUNTIF(PAY,C471)=1),1,"")</f>
        <v/>
      </c>
      <c r="AR471" s="301">
        <f ca="1">IF(繳費報酬率資料!$A$1=1,$AY471+$AZ471,$BF471+$BG471)</f>
        <v>0</v>
      </c>
      <c r="AS471" s="1">
        <f ca="1">IF(C471&lt;&gt;IF($C$3=1,12,$C$3-1),0,IF(繳費報酬率資料!$A$1&lt;&gt;1,VLOOKUP($A471,MP,8,0),IF(AND($A471&gt;=OP!$C$79,$A471&lt;=OP!$C$80),OP!$C$78,)))</f>
        <v>0</v>
      </c>
      <c r="AT471" s="298">
        <f t="shared" ca="1" si="281"/>
        <v>0</v>
      </c>
      <c r="AU471" s="298">
        <f ca="1">IF(AND(A471&lt;=OP!$C$120,COUNTIF(PAY,C471)=1),OP!$C$123,0)</f>
        <v>0</v>
      </c>
      <c r="AV471" s="298">
        <f ca="1">IF(AND(A471&gt;=OP!$C$132,A471&lt;=OP!$C$133,$C$3=C471),OP!$C$135,0)</f>
        <v>0</v>
      </c>
      <c r="AW471" s="180">
        <f t="shared" ca="1" si="282"/>
        <v>0.05</v>
      </c>
      <c r="AX471" s="180">
        <f t="shared" ca="1" si="283"/>
        <v>0.05</v>
      </c>
      <c r="AY471" s="286">
        <f t="shared" ca="1" si="284"/>
        <v>0</v>
      </c>
      <c r="AZ471" s="286">
        <f t="shared" ca="1" si="285"/>
        <v>0</v>
      </c>
      <c r="BA471" s="286">
        <f t="shared" ca="1" si="286"/>
        <v>0</v>
      </c>
      <c r="BB471" s="286">
        <f t="shared" ca="1" si="287"/>
        <v>0</v>
      </c>
      <c r="BC471" s="286">
        <f t="shared" ca="1" si="288"/>
        <v>0</v>
      </c>
      <c r="BD471" s="180">
        <f t="shared" ca="1" si="289"/>
        <v>0.05</v>
      </c>
      <c r="BE471" s="180">
        <f t="shared" ca="1" si="290"/>
        <v>0.05</v>
      </c>
      <c r="BF471" s="286">
        <f t="shared" ca="1" si="291"/>
        <v>0</v>
      </c>
      <c r="BG471" s="286">
        <f t="shared" ca="1" si="292"/>
        <v>0</v>
      </c>
    </row>
    <row r="472" spans="1:59">
      <c r="A472" s="1">
        <f t="shared" ca="1" si="272"/>
        <v>40</v>
      </c>
      <c r="B472" s="1">
        <f t="shared" ca="1" si="265"/>
        <v>145</v>
      </c>
      <c r="C472" s="1">
        <f t="shared" ca="1" si="266"/>
        <v>6</v>
      </c>
      <c r="D472" s="1">
        <f ca="1">MIN($D$3,VLOOKUP(C472,OP!$S$30:$T$41,2))</f>
        <v>2</v>
      </c>
      <c r="E472" s="1">
        <f t="shared" ca="1" si="267"/>
        <v>94</v>
      </c>
      <c r="F472" s="11" t="str">
        <f t="shared" ca="1" si="273"/>
        <v/>
      </c>
      <c r="G472" s="6">
        <f ca="1">DATEDIF(DATE(B472+1911,C472,D472),DATE(B484+1911,C484,D484),"d")</f>
        <v>365</v>
      </c>
      <c r="H472" s="8">
        <f t="shared" ca="1" si="274"/>
        <v>30</v>
      </c>
      <c r="I472" s="8" t="str">
        <f t="shared" ca="1" si="271"/>
        <v>406</v>
      </c>
      <c r="J472" s="13">
        <f>IF(繳費報酬率資料!$A$1=1,VALUE(OP!$C$121),VLOOKUP(A472,MP,2,0))</f>
        <v>0.05</v>
      </c>
      <c r="K472" s="14">
        <f ca="1">IF(SUM($K$4:K471,IF(繳費報酬率資料!$A$1=1,$AU472+$AV472,$BB472+$BC472))&gt;OP!$L$58,0,IF(繳費報酬率資料!$A$1=1,$AU472+$AV472,$BB472+$BC472))</f>
        <v>0</v>
      </c>
      <c r="L472" s="2"/>
      <c r="M472" s="2"/>
      <c r="N472" s="2"/>
      <c r="O472" s="261">
        <f t="shared" ca="1" si="275"/>
        <v>0</v>
      </c>
      <c r="P472" s="261">
        <f t="shared" ca="1" si="293"/>
        <v>0</v>
      </c>
      <c r="Q472" s="3">
        <f ca="1">IF(A472&gt;MAX(OP!$R$17:$R$26),0,VLOOKUP(A472,fees,3,FALSE))</f>
        <v>0</v>
      </c>
      <c r="R472" s="200" t="str">
        <f t="shared" ca="1" si="276"/>
        <v/>
      </c>
      <c r="S472" s="9" t="str">
        <f ca="1">IF(COUNTIF(($T$4:T471),"F")&gt;=1,"",IF(OR(C473&lt;&gt;$C$3,E472=""),"",A472))</f>
        <v/>
      </c>
      <c r="T472" s="20" t="str">
        <f t="shared" ca="1" si="268"/>
        <v/>
      </c>
      <c r="U472" s="2">
        <f ca="1">IF(IF(OP!$C$83=1,$Z471,IF(OP!$C$83=2,$AA471,IF(OP!$C$83=3,$AB471,)))+$K472-$O472-$P472-$AS472&lt;OP!$C$142,0,$AS472)</f>
        <v>0</v>
      </c>
      <c r="V472" s="9"/>
      <c r="W472" s="19">
        <f ca="1">MAX(SUM($K$4:K472),0)</f>
        <v>2000000</v>
      </c>
      <c r="X472" s="19"/>
      <c r="Y472" s="19">
        <f t="shared" ca="1" si="294"/>
        <v>1920000</v>
      </c>
      <c r="Z472" s="2">
        <f ca="1">IF(MIN($Z$4:Z471)=0,0,MAX(0,($Z471+$K472-$O472-$P472)*IF(AND(F472="F",$D$3&lt;&gt;$G$3),((1+(-J472))^(H472/MIN(G472,365))),((1+(-J472))^(1/12)))-$U472))</f>
        <v>258622.00168534846</v>
      </c>
      <c r="AA472" s="2">
        <f ca="1">IF(MIN($AA$4:AA471)=0,0,MAX(0,($AA471+$K472-$O472-$P472)*IF(AND(F472="F",$D$3&lt;&gt;$G$3),((1+$AA$1)^(H472/MIN(G472,365))),((1+$AA$1)^(1/12)))-$U472))</f>
        <v>1920000</v>
      </c>
      <c r="AB472" s="2">
        <f ca="1">IF(MIN($AB$4:AB471)=0,0,MAX(0,($AB471+$K472-$O472-$P472)*IF(AND(F472="F",$D$3&lt;&gt;$G$3),((1+(J472))^(H472/MIN(G472,365))),((1+(J472))^(1/12)))-$U472))</f>
        <v>12925568.909848679</v>
      </c>
      <c r="AC472" s="21"/>
      <c r="AD472" s="21"/>
      <c r="AE472" s="21"/>
      <c r="AF472" s="282">
        <f t="shared" ca="1" si="277"/>
        <v>258622</v>
      </c>
      <c r="AG472" s="282">
        <f t="shared" ca="1" si="278"/>
        <v>1920000</v>
      </c>
      <c r="AH472" s="282">
        <f t="shared" ca="1" si="279"/>
        <v>12925569</v>
      </c>
      <c r="AI472" s="23" t="str">
        <f t="shared" ca="1" si="295"/>
        <v>40-2</v>
      </c>
      <c r="AJ472" s="281">
        <f ca="1">IF(E472&gt;111,,IF(AND(OP!$C$99=1,T472="F"),Z472,IF(AND(OP!$C$99=2,COUNTIF($T$4:T472,"F")=1),OP!$C$97+IF(F472="F",OP!$C$98,0),"")))</f>
        <v>54527</v>
      </c>
      <c r="AK472" s="281">
        <f ca="1">IF(E472&gt;111,,IF(AND(OP!$D$99=1,T472="F"),AA472,IF(AND(OP!$D$99=2,COUNTIF($T$4:T472,"F")=1),OP!$D$97+IF(F472="F",OP!$D$98,0),"")))</f>
        <v>74177</v>
      </c>
      <c r="AL472" s="281">
        <f ca="1">IF(E472&gt;111,,IF(AND(OP!$E$99=1,T472="F"),AB472,IF(AND(OP!$E$99=2,COUNTIF($T$4:T472,"F")=1),OP!$E$97+IF(F472="F",OP!$E$98,0),"")))</f>
        <v>99404</v>
      </c>
      <c r="AM472" s="1">
        <f t="shared" ca="1" si="269"/>
        <v>2</v>
      </c>
      <c r="AN472" s="1" t="e">
        <f ca="1">IF(OR(VLOOKUP($A472,MP,5,0)="年繳",VLOOKUP($A472,MP,5,0)="半年繳",VLOOKUP($A472,MP,5,0)="季繳",VLOOKUP($A472,MP,5,0)="月繳"),1,"")</f>
        <v>#N/A</v>
      </c>
      <c r="AO472" s="1">
        <f t="shared" ca="1" si="280"/>
        <v>0</v>
      </c>
      <c r="AP472" s="1" t="str">
        <f ca="1">IF(AND(A472&lt;=OP!$C$120,COUNTIF(PAY,C472)=1),1,"")</f>
        <v/>
      </c>
      <c r="AR472" s="301">
        <f ca="1">IF(繳費報酬率資料!$A$1=1,$AY472+$AZ472,$BF472+$BG472)</f>
        <v>0</v>
      </c>
      <c r="AS472" s="1">
        <f ca="1">IF(C472&lt;&gt;IF($C$3=1,12,$C$3-1),0,IF(繳費報酬率資料!$A$1&lt;&gt;1,VLOOKUP($A472,MP,8,0),IF(AND($A472&gt;=OP!$C$79,$A472&lt;=OP!$C$80),OP!$C$78,)))</f>
        <v>0</v>
      </c>
      <c r="AT472" s="298">
        <f t="shared" ca="1" si="281"/>
        <v>0</v>
      </c>
      <c r="AU472" s="298">
        <f ca="1">IF(AND(A472&lt;=OP!$C$120,COUNTIF(PAY,C472)=1),OP!$C$123,0)</f>
        <v>0</v>
      </c>
      <c r="AV472" s="298">
        <f ca="1">IF(AND(A472&gt;=OP!$C$132,A472&lt;=OP!$C$133,$C$3=C472),OP!$C$135,0)</f>
        <v>0</v>
      </c>
      <c r="AW472" s="180">
        <f t="shared" ca="1" si="282"/>
        <v>0.05</v>
      </c>
      <c r="AX472" s="180">
        <f t="shared" ca="1" si="283"/>
        <v>0.05</v>
      </c>
      <c r="AY472" s="286">
        <f t="shared" ca="1" si="284"/>
        <v>0</v>
      </c>
      <c r="AZ472" s="286">
        <f t="shared" ca="1" si="285"/>
        <v>0</v>
      </c>
      <c r="BA472" s="286">
        <f t="shared" ca="1" si="286"/>
        <v>0</v>
      </c>
      <c r="BB472" s="286">
        <f t="shared" ca="1" si="287"/>
        <v>0</v>
      </c>
      <c r="BC472" s="286">
        <f t="shared" ca="1" si="288"/>
        <v>0</v>
      </c>
      <c r="BD472" s="180">
        <f t="shared" ca="1" si="289"/>
        <v>0.05</v>
      </c>
      <c r="BE472" s="180">
        <f t="shared" ca="1" si="290"/>
        <v>0.05</v>
      </c>
      <c r="BF472" s="286">
        <f t="shared" ca="1" si="291"/>
        <v>0</v>
      </c>
      <c r="BG472" s="286">
        <f t="shared" ca="1" si="292"/>
        <v>0</v>
      </c>
    </row>
    <row r="473" spans="1:59">
      <c r="A473" s="1">
        <f t="shared" ca="1" si="272"/>
        <v>40</v>
      </c>
      <c r="B473" s="1">
        <f t="shared" ca="1" si="265"/>
        <v>145</v>
      </c>
      <c r="C473" s="1">
        <f t="shared" ca="1" si="266"/>
        <v>7</v>
      </c>
      <c r="D473" s="1">
        <f ca="1">MIN($D$3,VLOOKUP(C473,OP!$S$30:$T$41,2))</f>
        <v>2</v>
      </c>
      <c r="E473" s="1">
        <f t="shared" ca="1" si="267"/>
        <v>94</v>
      </c>
      <c r="F473" s="11" t="str">
        <f t="shared" ca="1" si="273"/>
        <v/>
      </c>
      <c r="G473" s="8">
        <f t="shared" ref="G473:G483" ca="1" si="297">G472</f>
        <v>365</v>
      </c>
      <c r="H473" s="8">
        <f t="shared" ca="1" si="274"/>
        <v>31</v>
      </c>
      <c r="I473" s="8" t="str">
        <f t="shared" ca="1" si="271"/>
        <v>407</v>
      </c>
      <c r="J473" s="13">
        <f>IF(繳費報酬率資料!$A$1=1,VALUE(OP!$C$121),VLOOKUP(A473,MP,2,0))</f>
        <v>0.05</v>
      </c>
      <c r="K473" s="14">
        <f ca="1">IF(SUM($K$4:K472,IF(繳費報酬率資料!$A$1=1,$AU473+$AV473,$BB473+$BC473))&gt;OP!$L$58,0,IF(繳費報酬率資料!$A$1=1,$AU473+$AV473,$BB473+$BC473))</f>
        <v>0</v>
      </c>
      <c r="L473" s="2"/>
      <c r="M473" s="2"/>
      <c r="N473" s="2"/>
      <c r="O473" s="261">
        <f t="shared" ca="1" si="275"/>
        <v>0</v>
      </c>
      <c r="P473" s="261">
        <f t="shared" ca="1" si="293"/>
        <v>0</v>
      </c>
      <c r="Q473" s="3">
        <f ca="1">IF(A473&gt;MAX(OP!$R$17:$R$26),0,VLOOKUP(A473,fees,3,FALSE))</f>
        <v>0</v>
      </c>
      <c r="R473" s="200" t="str">
        <f t="shared" ca="1" si="276"/>
        <v/>
      </c>
      <c r="S473" s="9" t="str">
        <f ca="1">IF(COUNTIF(($T$4:T472),"F")&gt;=1,"",IF(OR(C474&lt;&gt;$C$3,E473=""),"",A473))</f>
        <v/>
      </c>
      <c r="T473" s="20" t="str">
        <f t="shared" ca="1" si="268"/>
        <v/>
      </c>
      <c r="U473" s="2">
        <f ca="1">IF(IF(OP!$C$83=1,$Z472,IF(OP!$C$83=2,$AA472,IF(OP!$C$83=3,$AB472,)))+$K473-$O473-$P473-$AS473&lt;OP!$C$142,0,$AS473)</f>
        <v>0</v>
      </c>
      <c r="V473" s="9"/>
      <c r="W473" s="19">
        <f ca="1">MAX(SUM($K$4:K473),0)</f>
        <v>2000000</v>
      </c>
      <c r="X473" s="19"/>
      <c r="Y473" s="19">
        <f t="shared" ca="1" si="294"/>
        <v>1920000</v>
      </c>
      <c r="Z473" s="2">
        <f ca="1">IF(MIN($Z$4:Z472)=0,0,MAX(0,($Z472+$K473-$O473-$P473)*IF(AND(F473="F",$D$3&lt;&gt;$G$3),((1+(-J473))^(H473/MIN(G473,365))),((1+(-J473))^(1/12)))-$U473))</f>
        <v>257518.89640526962</v>
      </c>
      <c r="AA473" s="2">
        <f ca="1">IF(MIN($AA$4:AA472)=0,0,MAX(0,($AA472+$K473-$O473-$P473)*IF(AND(F473="F",$D$3&lt;&gt;$G$3),((1+$AA$1)^(H473/MIN(G473,365))),((1+$AA$1)^(1/12)))-$U473))</f>
        <v>1920000</v>
      </c>
      <c r="AB473" s="2">
        <f ca="1">IF(MIN($AB$4:AB472)=0,0,MAX(0,($AB472+$K473-$O473-$P473)*IF(AND(F473="F",$D$3&lt;&gt;$G$3),((1+(J473))^(H473/MIN(G473,365))),((1+(J473))^(1/12)))-$U473))</f>
        <v>12978229.277561478</v>
      </c>
      <c r="AC473" s="5"/>
      <c r="AD473" s="5"/>
      <c r="AE473" s="5"/>
      <c r="AF473" s="282">
        <f t="shared" ca="1" si="277"/>
        <v>257519</v>
      </c>
      <c r="AG473" s="282">
        <f t="shared" ca="1" si="278"/>
        <v>1920000</v>
      </c>
      <c r="AH473" s="282">
        <f t="shared" ca="1" si="279"/>
        <v>12978229</v>
      </c>
      <c r="AI473" s="23" t="str">
        <f t="shared" ca="1" si="295"/>
        <v>40-3</v>
      </c>
      <c r="AJ473" s="282">
        <f ca="1">IF(E473&gt;111,,IF(AND(OP!$C$99=1,T473="F"),Z473,IF(AND(OP!$C$99=2,COUNTIF($T$4:T473,"F")=1),OP!$C$97+IF(F473="F",OP!$C$98,0),"")))</f>
        <v>54527</v>
      </c>
      <c r="AK473" s="282">
        <f ca="1">IF(E473&gt;111,,IF(AND(OP!$D$99=1,T473="F"),AA473,IF(AND(OP!$D$99=2,COUNTIF($T$4:T473,"F")=1),OP!$D$97+IF(F473="F",OP!$D$98,0),"")))</f>
        <v>74177</v>
      </c>
      <c r="AL473" s="282">
        <f ca="1">IF(E473&gt;111,,IF(AND(OP!$E$99=1,T473="F"),AB473,IF(AND(OP!$E$99=2,COUNTIF($T$4:T473,"F")=1),OP!$E$97+IF(F473="F",OP!$E$98,0),"")))</f>
        <v>99404</v>
      </c>
      <c r="AM473" s="1">
        <f t="shared" ca="1" si="269"/>
        <v>3</v>
      </c>
      <c r="AN473" s="1" t="e">
        <f ca="1">IF(OR(VLOOKUP($A473,MP,5,0)="月繳"),1,"")</f>
        <v>#N/A</v>
      </c>
      <c r="AO473" s="1">
        <f t="shared" ca="1" si="280"/>
        <v>0</v>
      </c>
      <c r="AP473" s="1" t="str">
        <f ca="1">IF(AND(A473&lt;=OP!$C$120,COUNTIF(PAY,C473)=1),1,"")</f>
        <v/>
      </c>
      <c r="AR473" s="301">
        <f ca="1">IF(繳費報酬率資料!$A$1=1,$AY473+$AZ473,$BF473+$BG473)</f>
        <v>0</v>
      </c>
      <c r="AS473" s="1">
        <f ca="1">IF(C473&lt;&gt;IF($C$3=1,12,$C$3-1),0,IF(繳費報酬率資料!$A$1&lt;&gt;1,VLOOKUP($A473,MP,8,0),IF(AND($A473&gt;=OP!$C$79,$A473&lt;=OP!$C$80),OP!$C$78,)))</f>
        <v>0</v>
      </c>
      <c r="AT473" s="298">
        <f t="shared" ca="1" si="281"/>
        <v>0</v>
      </c>
      <c r="AU473" s="298">
        <f ca="1">IF(AND(A473&lt;=OP!$C$120,COUNTIF(PAY,C473)=1),OP!$C$123,0)</f>
        <v>0</v>
      </c>
      <c r="AV473" s="298">
        <f ca="1">IF(AND(A473&gt;=OP!$C$132,A473&lt;=OP!$C$133,$C$3=C473),OP!$C$135,0)</f>
        <v>0</v>
      </c>
      <c r="AW473" s="180">
        <f t="shared" ca="1" si="282"/>
        <v>0.05</v>
      </c>
      <c r="AX473" s="180">
        <f t="shared" ca="1" si="283"/>
        <v>0.05</v>
      </c>
      <c r="AY473" s="286">
        <f t="shared" ca="1" si="284"/>
        <v>0</v>
      </c>
      <c r="AZ473" s="286">
        <f t="shared" ca="1" si="285"/>
        <v>0</v>
      </c>
      <c r="BA473" s="286">
        <f t="shared" ca="1" si="286"/>
        <v>0</v>
      </c>
      <c r="BB473" s="286">
        <f t="shared" ca="1" si="287"/>
        <v>0</v>
      </c>
      <c r="BC473" s="286">
        <f t="shared" ca="1" si="288"/>
        <v>0</v>
      </c>
      <c r="BD473" s="180">
        <f t="shared" ca="1" si="289"/>
        <v>0.05</v>
      </c>
      <c r="BE473" s="180">
        <f t="shared" ca="1" si="290"/>
        <v>0.05</v>
      </c>
      <c r="BF473" s="286">
        <f t="shared" ca="1" si="291"/>
        <v>0</v>
      </c>
      <c r="BG473" s="286">
        <f t="shared" ca="1" si="292"/>
        <v>0</v>
      </c>
    </row>
    <row r="474" spans="1:59">
      <c r="A474" s="1">
        <f t="shared" ca="1" si="272"/>
        <v>40</v>
      </c>
      <c r="B474" s="1">
        <f t="shared" ca="1" si="265"/>
        <v>145</v>
      </c>
      <c r="C474" s="1">
        <f t="shared" ca="1" si="266"/>
        <v>8</v>
      </c>
      <c r="D474" s="1">
        <f ca="1">MIN($D$3,VLOOKUP(C474,OP!$S$30:$T$41,2))</f>
        <v>2</v>
      </c>
      <c r="E474" s="1">
        <f t="shared" ca="1" si="267"/>
        <v>94</v>
      </c>
      <c r="F474" s="11" t="str">
        <f t="shared" ca="1" si="273"/>
        <v/>
      </c>
      <c r="G474" s="8">
        <f t="shared" ca="1" si="297"/>
        <v>365</v>
      </c>
      <c r="H474" s="8">
        <f t="shared" ca="1" si="274"/>
        <v>31</v>
      </c>
      <c r="I474" s="8" t="str">
        <f t="shared" ca="1" si="271"/>
        <v>408</v>
      </c>
      <c r="J474" s="13">
        <f>IF(繳費報酬率資料!$A$1=1,VALUE(OP!$C$121),VLOOKUP(A474,MP,2,0))</f>
        <v>0.05</v>
      </c>
      <c r="K474" s="14">
        <f ca="1">IF(SUM($K$4:K473,IF(繳費報酬率資料!$A$1=1,$AU474+$AV474,$BB474+$BC474))&gt;OP!$L$58,0,IF(繳費報酬率資料!$A$1=1,$AU474+$AV474,$BB474+$BC474))</f>
        <v>0</v>
      </c>
      <c r="L474" s="2"/>
      <c r="M474" s="2"/>
      <c r="N474" s="2"/>
      <c r="O474" s="261">
        <f t="shared" ca="1" si="275"/>
        <v>0</v>
      </c>
      <c r="P474" s="261">
        <f t="shared" ca="1" si="293"/>
        <v>0</v>
      </c>
      <c r="Q474" s="3">
        <f ca="1">IF(A474&gt;MAX(OP!$R$17:$R$26),0,VLOOKUP(A474,fees,3,FALSE))</f>
        <v>0</v>
      </c>
      <c r="R474" s="200" t="str">
        <f t="shared" ca="1" si="276"/>
        <v/>
      </c>
      <c r="S474" s="9" t="str">
        <f ca="1">IF(COUNTIF(($T$4:T473),"F")&gt;=1,"",IF(OR(C475&lt;&gt;$C$3,E474=""),"",A474))</f>
        <v/>
      </c>
      <c r="T474" s="20" t="str">
        <f t="shared" ca="1" si="268"/>
        <v/>
      </c>
      <c r="U474" s="2">
        <f ca="1">IF(IF(OP!$C$83=1,$Z473,IF(OP!$C$83=2,$AA473,IF(OP!$C$83=3,$AB473,)))+$K474-$O474-$P474-$AS474&lt;OP!$C$142,0,$AS474)</f>
        <v>0</v>
      </c>
      <c r="V474" s="9"/>
      <c r="W474" s="19">
        <f ca="1">MAX(SUM($K$4:K474),0)</f>
        <v>2000000</v>
      </c>
      <c r="X474" s="19"/>
      <c r="Y474" s="19">
        <f t="shared" ca="1" si="294"/>
        <v>1920000</v>
      </c>
      <c r="Z474" s="2">
        <f ca="1">IF(MIN($Z$4:Z473)=0,0,MAX(0,($Z473+$K474-$O474-$P474)*IF(AND(F474="F",$D$3&lt;&gt;$G$3),((1+(-J474))^(H474/MIN(G474,365))),((1+(-J474))^(1/12)))-$U474))</f>
        <v>256420.49622085554</v>
      </c>
      <c r="AA474" s="2">
        <f ca="1">IF(MIN($AA$4:AA473)=0,0,MAX(0,($AA473+$K474-$O474-$P474)*IF(AND(F474="F",$D$3&lt;&gt;$G$3),((1+$AA$1)^(H474/MIN(G474,365))),((1+$AA$1)^(1/12)))-$U474))</f>
        <v>1920000</v>
      </c>
      <c r="AB474" s="2">
        <f ca="1">IF(MIN($AB$4:AB473)=0,0,MAX(0,($AB473+$K474-$O474-$P474)*IF(AND(F474="F",$D$3&lt;&gt;$G$3),((1+(J474))^(H474/MIN(G474,365))),((1+(J474))^(1/12)))-$U474))</f>
        <v>13031104.190130834</v>
      </c>
      <c r="AC474" s="5"/>
      <c r="AD474" s="5"/>
      <c r="AE474" s="5"/>
      <c r="AF474" s="282">
        <f t="shared" ca="1" si="277"/>
        <v>256420</v>
      </c>
      <c r="AG474" s="282">
        <f t="shared" ca="1" si="278"/>
        <v>1920000</v>
      </c>
      <c r="AH474" s="282">
        <f t="shared" ca="1" si="279"/>
        <v>13031104</v>
      </c>
      <c r="AI474" s="23" t="str">
        <f t="shared" ca="1" si="295"/>
        <v>40-4</v>
      </c>
      <c r="AJ474" s="282">
        <f ca="1">IF(E474&gt;111,,IF(AND(OP!$C$99=1,T474="F"),Z474,IF(AND(OP!$C$99=2,COUNTIF($T$4:T474,"F")=1),OP!$C$97+IF(F474="F",OP!$C$98,0),"")))</f>
        <v>54527</v>
      </c>
      <c r="AK474" s="282">
        <f ca="1">IF(E474&gt;111,,IF(AND(OP!$D$99=1,T474="F"),AA474,IF(AND(OP!$D$99=2,COUNTIF($T$4:T474,"F")=1),OP!$D$97+IF(F474="F",OP!$D$98,0),"")))</f>
        <v>74177</v>
      </c>
      <c r="AL474" s="282">
        <f ca="1">IF(E474&gt;111,,IF(AND(OP!$E$99=1,T474="F"),AB474,IF(AND(OP!$E$99=2,COUNTIF($T$4:T474,"F")=1),OP!$E$97+IF(F474="F",OP!$E$98,0),"")))</f>
        <v>99404</v>
      </c>
      <c r="AM474" s="1">
        <f t="shared" ca="1" si="269"/>
        <v>4</v>
      </c>
      <c r="AN474" s="1" t="e">
        <f ca="1">IF(OR(VLOOKUP($A474,MP,5,0)="月繳"),1,"")</f>
        <v>#N/A</v>
      </c>
      <c r="AO474" s="1">
        <f t="shared" ca="1" si="280"/>
        <v>0</v>
      </c>
      <c r="AP474" s="1" t="str">
        <f ca="1">IF(AND(A474&lt;=OP!$C$120,COUNTIF(PAY,C474)=1),1,"")</f>
        <v/>
      </c>
      <c r="AR474" s="301">
        <f ca="1">IF(繳費報酬率資料!$A$1=1,$AY474+$AZ474,$BF474+$BG474)</f>
        <v>0</v>
      </c>
      <c r="AS474" s="1">
        <f ca="1">IF(C474&lt;&gt;IF($C$3=1,12,$C$3-1),0,IF(繳費報酬率資料!$A$1&lt;&gt;1,VLOOKUP($A474,MP,8,0),IF(AND($A474&gt;=OP!$C$79,$A474&lt;=OP!$C$80),OP!$C$78,)))</f>
        <v>0</v>
      </c>
      <c r="AT474" s="298">
        <f t="shared" ca="1" si="281"/>
        <v>0</v>
      </c>
      <c r="AU474" s="298">
        <f ca="1">IF(AND(A474&lt;=OP!$C$120,COUNTIF(PAY,C474)=1),OP!$C$123,0)</f>
        <v>0</v>
      </c>
      <c r="AV474" s="298">
        <f ca="1">IF(AND(A474&gt;=OP!$C$132,A474&lt;=OP!$C$133,$C$3=C474),OP!$C$135,0)</f>
        <v>0</v>
      </c>
      <c r="AW474" s="180">
        <f t="shared" ca="1" si="282"/>
        <v>0.05</v>
      </c>
      <c r="AX474" s="180">
        <f t="shared" ca="1" si="283"/>
        <v>0.05</v>
      </c>
      <c r="AY474" s="286">
        <f t="shared" ca="1" si="284"/>
        <v>0</v>
      </c>
      <c r="AZ474" s="286">
        <f t="shared" ca="1" si="285"/>
        <v>0</v>
      </c>
      <c r="BA474" s="286">
        <f t="shared" ca="1" si="286"/>
        <v>0</v>
      </c>
      <c r="BB474" s="286">
        <f t="shared" ca="1" si="287"/>
        <v>0</v>
      </c>
      <c r="BC474" s="286">
        <f t="shared" ca="1" si="288"/>
        <v>0</v>
      </c>
      <c r="BD474" s="180">
        <f t="shared" ca="1" si="289"/>
        <v>0.05</v>
      </c>
      <c r="BE474" s="180">
        <f t="shared" ca="1" si="290"/>
        <v>0.05</v>
      </c>
      <c r="BF474" s="286">
        <f t="shared" ca="1" si="291"/>
        <v>0</v>
      </c>
      <c r="BG474" s="286">
        <f t="shared" ca="1" si="292"/>
        <v>0</v>
      </c>
    </row>
    <row r="475" spans="1:59">
      <c r="A475" s="1">
        <f t="shared" ca="1" si="272"/>
        <v>40</v>
      </c>
      <c r="B475" s="1">
        <f t="shared" ca="1" si="265"/>
        <v>145</v>
      </c>
      <c r="C475" s="1">
        <f t="shared" ca="1" si="266"/>
        <v>9</v>
      </c>
      <c r="D475" s="1">
        <f ca="1">MIN($D$3,VLOOKUP(C475,OP!$S$30:$T$41,2))</f>
        <v>2</v>
      </c>
      <c r="E475" s="1">
        <f t="shared" ca="1" si="267"/>
        <v>94</v>
      </c>
      <c r="F475" s="11" t="str">
        <f t="shared" ca="1" si="273"/>
        <v/>
      </c>
      <c r="G475" s="8">
        <f t="shared" ca="1" si="297"/>
        <v>365</v>
      </c>
      <c r="H475" s="8">
        <f t="shared" ca="1" si="274"/>
        <v>30</v>
      </c>
      <c r="I475" s="8" t="str">
        <f t="shared" ca="1" si="271"/>
        <v>409</v>
      </c>
      <c r="J475" s="13">
        <f>IF(繳費報酬率資料!$A$1=1,VALUE(OP!$C$121),VLOOKUP(A475,MP,2,0))</f>
        <v>0.05</v>
      </c>
      <c r="K475" s="14">
        <f ca="1">IF(SUM($K$4:K474,IF(繳費報酬率資料!$A$1=1,$AU475+$AV475,$BB475+$BC475))&gt;OP!$L$58,0,IF(繳費報酬率資料!$A$1=1,$AU475+$AV475,$BB475+$BC475))</f>
        <v>0</v>
      </c>
      <c r="L475" s="2"/>
      <c r="M475" s="2"/>
      <c r="N475" s="2"/>
      <c r="O475" s="261">
        <f t="shared" ca="1" si="275"/>
        <v>0</v>
      </c>
      <c r="P475" s="261">
        <f t="shared" ca="1" si="293"/>
        <v>0</v>
      </c>
      <c r="Q475" s="3">
        <f ca="1">IF(A475&gt;MAX(OP!$R$17:$R$26),0,VLOOKUP(A475,fees,3,FALSE))</f>
        <v>0</v>
      </c>
      <c r="R475" s="200" t="str">
        <f t="shared" ca="1" si="276"/>
        <v/>
      </c>
      <c r="S475" s="9" t="str">
        <f ca="1">IF(COUNTIF(($T$4:T474),"F")&gt;=1,"",IF(OR(C476&lt;&gt;$C$3,E475=""),"",A475))</f>
        <v/>
      </c>
      <c r="T475" s="20" t="str">
        <f t="shared" ca="1" si="268"/>
        <v/>
      </c>
      <c r="U475" s="2">
        <f ca="1">IF(IF(OP!$C$83=1,$Z474,IF(OP!$C$83=2,$AA474,IF(OP!$C$83=3,$AB474,)))+$K475-$O475-$P475-$AS475&lt;OP!$C$142,0,$AS475)</f>
        <v>0</v>
      </c>
      <c r="V475" s="9"/>
      <c r="W475" s="19">
        <f ca="1">MAX(SUM($K$4:K475),0)</f>
        <v>2000000</v>
      </c>
      <c r="X475" s="19"/>
      <c r="Y475" s="19">
        <f t="shared" ca="1" si="294"/>
        <v>1920000</v>
      </c>
      <c r="Z475" s="2">
        <f ca="1">IF(MIN($Z$4:Z474)=0,0,MAX(0,($Z474+$K475-$O475-$P475)*IF(AND(F475="F",$D$3&lt;&gt;$G$3),((1+(-J475))^(H475/MIN(G475,365))),((1+(-J475))^(1/12)))-$U475))</f>
        <v>255326.78106337332</v>
      </c>
      <c r="AA475" s="2">
        <f ca="1">IF(MIN($AA$4:AA474)=0,0,MAX(0,($AA474+$K475-$O475-$P475)*IF(AND(F475="F",$D$3&lt;&gt;$G$3),((1+$AA$1)^(H475/MIN(G475,365))),((1+$AA$1)^(1/12)))-$U475))</f>
        <v>1920000</v>
      </c>
      <c r="AB475" s="2">
        <f ca="1">IF(MIN($AB$4:AB474)=0,0,MAX(0,($AB474+$K475-$O475-$P475)*IF(AND(F475="F",$D$3&lt;&gt;$G$3),((1+(J475))^(H475/MIN(G475,365))),((1+(J475))^(1/12)))-$U475))</f>
        <v>13084194.521639045</v>
      </c>
      <c r="AC475" s="5"/>
      <c r="AD475" s="5"/>
      <c r="AE475" s="5"/>
      <c r="AF475" s="282">
        <f t="shared" ca="1" si="277"/>
        <v>255327</v>
      </c>
      <c r="AG475" s="282">
        <f t="shared" ca="1" si="278"/>
        <v>1920000</v>
      </c>
      <c r="AH475" s="282">
        <f t="shared" ca="1" si="279"/>
        <v>13084195</v>
      </c>
      <c r="AI475" s="23" t="str">
        <f t="shared" ca="1" si="295"/>
        <v>40-5</v>
      </c>
      <c r="AJ475" s="282">
        <f ca="1">IF(E475&gt;111,,IF(AND(OP!$C$99=1,T475="F"),Z475,IF(AND(OP!$C$99=2,COUNTIF($T$4:T475,"F")=1),OP!$C$97+IF(F475="F",OP!$C$98,0),"")))</f>
        <v>54527</v>
      </c>
      <c r="AK475" s="282">
        <f ca="1">IF(E475&gt;111,,IF(AND(OP!$D$99=1,T475="F"),AA475,IF(AND(OP!$D$99=2,COUNTIF($T$4:T475,"F")=1),OP!$D$97+IF(F475="F",OP!$D$98,0),"")))</f>
        <v>74177</v>
      </c>
      <c r="AL475" s="282">
        <f ca="1">IF(E475&gt;111,,IF(AND(OP!$E$99=1,T475="F"),AB475,IF(AND(OP!$E$99=2,COUNTIF($T$4:T475,"F")=1),OP!$E$97+IF(F475="F",OP!$E$98,0),"")))</f>
        <v>99404</v>
      </c>
      <c r="AM475" s="1">
        <f t="shared" ca="1" si="269"/>
        <v>5</v>
      </c>
      <c r="AN475" s="1" t="e">
        <f ca="1">IF(OR(VLOOKUP($A475,MP,5,0)="季繳",VLOOKUP($A475,MP,5,0)="月繳"),1,"")</f>
        <v>#N/A</v>
      </c>
      <c r="AO475" s="1">
        <f t="shared" ca="1" si="280"/>
        <v>0</v>
      </c>
      <c r="AP475" s="1" t="str">
        <f ca="1">IF(AND(A475&lt;=OP!$C$120,COUNTIF(PAY,C475)=1),1,"")</f>
        <v/>
      </c>
      <c r="AR475" s="301">
        <f ca="1">IF(繳費報酬率資料!$A$1=1,$AY475+$AZ475,$BF475+$BG475)</f>
        <v>0</v>
      </c>
      <c r="AS475" s="1">
        <f ca="1">IF(C475&lt;&gt;IF($C$3=1,12,$C$3-1),0,IF(繳費報酬率資料!$A$1&lt;&gt;1,VLOOKUP($A475,MP,8,0),IF(AND($A475&gt;=OP!$C$79,$A475&lt;=OP!$C$80),OP!$C$78,)))</f>
        <v>0</v>
      </c>
      <c r="AT475" s="298">
        <f t="shared" ca="1" si="281"/>
        <v>0</v>
      </c>
      <c r="AU475" s="298">
        <f ca="1">IF(AND(A475&lt;=OP!$C$120,COUNTIF(PAY,C475)=1),OP!$C$123,0)</f>
        <v>0</v>
      </c>
      <c r="AV475" s="298">
        <f ca="1">IF(AND(A475&gt;=OP!$C$132,A475&lt;=OP!$C$133,$C$3=C475),OP!$C$135,0)</f>
        <v>0</v>
      </c>
      <c r="AW475" s="180">
        <f t="shared" ca="1" si="282"/>
        <v>0.05</v>
      </c>
      <c r="AX475" s="180">
        <f t="shared" ca="1" si="283"/>
        <v>0.05</v>
      </c>
      <c r="AY475" s="286">
        <f t="shared" ca="1" si="284"/>
        <v>0</v>
      </c>
      <c r="AZ475" s="286">
        <f t="shared" ca="1" si="285"/>
        <v>0</v>
      </c>
      <c r="BA475" s="286">
        <f t="shared" ca="1" si="286"/>
        <v>0</v>
      </c>
      <c r="BB475" s="286">
        <f t="shared" ca="1" si="287"/>
        <v>0</v>
      </c>
      <c r="BC475" s="286">
        <f t="shared" ca="1" si="288"/>
        <v>0</v>
      </c>
      <c r="BD475" s="180">
        <f t="shared" ca="1" si="289"/>
        <v>0.05</v>
      </c>
      <c r="BE475" s="180">
        <f t="shared" ca="1" si="290"/>
        <v>0.05</v>
      </c>
      <c r="BF475" s="286">
        <f t="shared" ca="1" si="291"/>
        <v>0</v>
      </c>
      <c r="BG475" s="286">
        <f t="shared" ca="1" si="292"/>
        <v>0</v>
      </c>
    </row>
    <row r="476" spans="1:59">
      <c r="A476" s="1">
        <f t="shared" ca="1" si="272"/>
        <v>40</v>
      </c>
      <c r="B476" s="1">
        <f t="shared" ca="1" si="265"/>
        <v>145</v>
      </c>
      <c r="C476" s="1">
        <f t="shared" ca="1" si="266"/>
        <v>10</v>
      </c>
      <c r="D476" s="1">
        <f ca="1">MIN($D$3,VLOOKUP(C476,OP!$S$30:$T$41,2))</f>
        <v>2</v>
      </c>
      <c r="E476" s="1">
        <f t="shared" ca="1" si="267"/>
        <v>94</v>
      </c>
      <c r="F476" s="11" t="str">
        <f t="shared" ca="1" si="273"/>
        <v/>
      </c>
      <c r="G476" s="8">
        <f t="shared" ca="1" si="297"/>
        <v>365</v>
      </c>
      <c r="H476" s="8">
        <f t="shared" ca="1" si="274"/>
        <v>31</v>
      </c>
      <c r="I476" s="8" t="str">
        <f t="shared" ca="1" si="271"/>
        <v>4010</v>
      </c>
      <c r="J476" s="13">
        <f>IF(繳費報酬率資料!$A$1=1,VALUE(OP!$C$121),VLOOKUP(A476,MP,2,0))</f>
        <v>0.05</v>
      </c>
      <c r="K476" s="14">
        <f ca="1">IF(SUM($K$4:K475,IF(繳費報酬率資料!$A$1=1,$AU476+$AV476,$BB476+$BC476))&gt;OP!$L$58,0,IF(繳費報酬率資料!$A$1=1,$AU476+$AV476,$BB476+$BC476))</f>
        <v>0</v>
      </c>
      <c r="L476" s="2"/>
      <c r="M476" s="2"/>
      <c r="N476" s="2"/>
      <c r="O476" s="261">
        <f t="shared" ca="1" si="275"/>
        <v>0</v>
      </c>
      <c r="P476" s="261">
        <f t="shared" ca="1" si="293"/>
        <v>0</v>
      </c>
      <c r="Q476" s="3">
        <f ca="1">IF(A476&gt;MAX(OP!$R$17:$R$26),0,VLOOKUP(A476,fees,3,FALSE))</f>
        <v>0</v>
      </c>
      <c r="R476" s="200" t="str">
        <f t="shared" ca="1" si="276"/>
        <v/>
      </c>
      <c r="S476" s="9" t="str">
        <f ca="1">IF(COUNTIF(($T$4:T475),"F")&gt;=1,"",IF(OR(C477&lt;&gt;$C$3,E476=""),"",A476))</f>
        <v/>
      </c>
      <c r="T476" s="20" t="str">
        <f t="shared" ca="1" si="268"/>
        <v/>
      </c>
      <c r="U476" s="2">
        <f ca="1">IF(IF(OP!$C$83=1,$Z475,IF(OP!$C$83=2,$AA475,IF(OP!$C$83=3,$AB475,)))+$K476-$O476-$P476-$AS476&lt;OP!$C$142,0,$AS476)</f>
        <v>0</v>
      </c>
      <c r="V476" s="9"/>
      <c r="W476" s="19">
        <f ca="1">MAX(SUM($K$4:K476),0)</f>
        <v>2000000</v>
      </c>
      <c r="X476" s="19"/>
      <c r="Y476" s="19">
        <f t="shared" ca="1" si="294"/>
        <v>1920000</v>
      </c>
      <c r="Z476" s="2">
        <f ca="1">IF(MIN($Z$4:Z475)=0,0,MAX(0,($Z475+$K476-$O476-$P476)*IF(AND(F476="F",$D$3&lt;&gt;$G$3),((1+(-J476))^(H476/MIN(G476,365))),((1+(-J476))^(1/12)))-$U476))</f>
        <v>254237.73094968961</v>
      </c>
      <c r="AA476" s="2">
        <f ca="1">IF(MIN($AA$4:AA475)=0,0,MAX(0,($AA475+$K476-$O476-$P476)*IF(AND(F476="F",$D$3&lt;&gt;$G$3),((1+$AA$1)^(H476/MIN(G476,365))),((1+$AA$1)^(1/12)))-$U476))</f>
        <v>1920000</v>
      </c>
      <c r="AB476" s="2">
        <f ca="1">IF(MIN($AB$4:AB475)=0,0,MAX(0,($AB475+$K476-$O476-$P476)*IF(AND(F476="F",$D$3&lt;&gt;$G$3),((1+(J476))^(H476/MIN(G476,365))),((1+(J476))^(1/12)))-$U476))</f>
        <v>13137501.149729537</v>
      </c>
      <c r="AC476" s="5"/>
      <c r="AD476" s="5"/>
      <c r="AE476" s="5"/>
      <c r="AF476" s="282">
        <f t="shared" ca="1" si="277"/>
        <v>254238</v>
      </c>
      <c r="AG476" s="282">
        <f t="shared" ca="1" si="278"/>
        <v>1920000</v>
      </c>
      <c r="AH476" s="282">
        <f t="shared" ca="1" si="279"/>
        <v>13137501</v>
      </c>
      <c r="AI476" s="23" t="str">
        <f t="shared" ca="1" si="295"/>
        <v>40-6</v>
      </c>
      <c r="AJ476" s="282">
        <f ca="1">IF(E476&gt;111,,IF(AND(OP!$C$99=1,T476="F"),Z476,IF(AND(OP!$C$99=2,COUNTIF($T$4:T476,"F")=1),OP!$C$97+IF(F476="F",OP!$C$98,0),"")))</f>
        <v>54527</v>
      </c>
      <c r="AK476" s="282">
        <f ca="1">IF(E476&gt;111,,IF(AND(OP!$D$99=1,T476="F"),AA476,IF(AND(OP!$D$99=2,COUNTIF($T$4:T476,"F")=1),OP!$D$97+IF(F476="F",OP!$D$98,0),"")))</f>
        <v>74177</v>
      </c>
      <c r="AL476" s="282">
        <f ca="1">IF(E476&gt;111,,IF(AND(OP!$E$99=1,T476="F"),AB476,IF(AND(OP!$E$99=2,COUNTIF($T$4:T476,"F")=1),OP!$E$97+IF(F476="F",OP!$E$98,0),"")))</f>
        <v>99404</v>
      </c>
      <c r="AM476" s="1">
        <f t="shared" ca="1" si="269"/>
        <v>6</v>
      </c>
      <c r="AN476" s="1" t="e">
        <f ca="1">IF(OR(VLOOKUP($A476,MP,5,0)="月繳"),1,"")</f>
        <v>#N/A</v>
      </c>
      <c r="AO476" s="1">
        <f t="shared" ca="1" si="280"/>
        <v>0</v>
      </c>
      <c r="AP476" s="1" t="str">
        <f ca="1">IF(AND(A476&lt;=OP!$C$120,COUNTIF(PAY,C476)=1),1,"")</f>
        <v/>
      </c>
      <c r="AR476" s="301">
        <f ca="1">IF(繳費報酬率資料!$A$1=1,$AY476+$AZ476,$BF476+$BG476)</f>
        <v>0</v>
      </c>
      <c r="AS476" s="1">
        <f ca="1">IF(C476&lt;&gt;IF($C$3=1,12,$C$3-1),0,IF(繳費報酬率資料!$A$1&lt;&gt;1,VLOOKUP($A476,MP,8,0),IF(AND($A476&gt;=OP!$C$79,$A476&lt;=OP!$C$80),OP!$C$78,)))</f>
        <v>0</v>
      </c>
      <c r="AT476" s="298">
        <f t="shared" ca="1" si="281"/>
        <v>0</v>
      </c>
      <c r="AU476" s="298">
        <f ca="1">IF(AND(A476&lt;=OP!$C$120,COUNTIF(PAY,C476)=1),OP!$C$123,0)</f>
        <v>0</v>
      </c>
      <c r="AV476" s="298">
        <f ca="1">IF(AND(A476&gt;=OP!$C$132,A476&lt;=OP!$C$133,$C$3=C476),OP!$C$135,0)</f>
        <v>0</v>
      </c>
      <c r="AW476" s="180">
        <f t="shared" ca="1" si="282"/>
        <v>0.05</v>
      </c>
      <c r="AX476" s="180">
        <f t="shared" ca="1" si="283"/>
        <v>0.05</v>
      </c>
      <c r="AY476" s="286">
        <f t="shared" ca="1" si="284"/>
        <v>0</v>
      </c>
      <c r="AZ476" s="286">
        <f t="shared" ca="1" si="285"/>
        <v>0</v>
      </c>
      <c r="BA476" s="286">
        <f t="shared" ca="1" si="286"/>
        <v>0</v>
      </c>
      <c r="BB476" s="286">
        <f t="shared" ca="1" si="287"/>
        <v>0</v>
      </c>
      <c r="BC476" s="286">
        <f t="shared" ca="1" si="288"/>
        <v>0</v>
      </c>
      <c r="BD476" s="180">
        <f t="shared" ca="1" si="289"/>
        <v>0.05</v>
      </c>
      <c r="BE476" s="180">
        <f t="shared" ca="1" si="290"/>
        <v>0.05</v>
      </c>
      <c r="BF476" s="286">
        <f t="shared" ca="1" si="291"/>
        <v>0</v>
      </c>
      <c r="BG476" s="286">
        <f t="shared" ca="1" si="292"/>
        <v>0</v>
      </c>
    </row>
    <row r="477" spans="1:59">
      <c r="A477" s="1">
        <f t="shared" ca="1" si="272"/>
        <v>40</v>
      </c>
      <c r="B477" s="1">
        <f t="shared" ca="1" si="265"/>
        <v>145</v>
      </c>
      <c r="C477" s="1">
        <f t="shared" ca="1" si="266"/>
        <v>11</v>
      </c>
      <c r="D477" s="1">
        <f ca="1">MIN($D$3,VLOOKUP(C477,OP!$S$30:$T$41,2))</f>
        <v>2</v>
      </c>
      <c r="E477" s="1">
        <f t="shared" ca="1" si="267"/>
        <v>94</v>
      </c>
      <c r="F477" s="11" t="str">
        <f t="shared" ca="1" si="273"/>
        <v/>
      </c>
      <c r="G477" s="8">
        <f t="shared" ca="1" si="297"/>
        <v>365</v>
      </c>
      <c r="H477" s="8">
        <f t="shared" ca="1" si="274"/>
        <v>30</v>
      </c>
      <c r="I477" s="8" t="str">
        <f t="shared" ca="1" si="271"/>
        <v>4011</v>
      </c>
      <c r="J477" s="13">
        <f>IF(繳費報酬率資料!$A$1=1,VALUE(OP!$C$121),VLOOKUP(A477,MP,2,0))</f>
        <v>0.05</v>
      </c>
      <c r="K477" s="14">
        <f ca="1">IF(SUM($K$4:K476,IF(繳費報酬率資料!$A$1=1,$AU477+$AV477,$BB477+$BC477))&gt;OP!$L$58,0,IF(繳費報酬率資料!$A$1=1,$AU477+$AV477,$BB477+$BC477))</f>
        <v>0</v>
      </c>
      <c r="L477" s="2"/>
      <c r="M477" s="2"/>
      <c r="N477" s="2"/>
      <c r="O477" s="261">
        <f t="shared" ca="1" si="275"/>
        <v>0</v>
      </c>
      <c r="P477" s="261">
        <f t="shared" ca="1" si="293"/>
        <v>0</v>
      </c>
      <c r="Q477" s="3">
        <f ca="1">IF(A477&gt;MAX(OP!$R$17:$R$26),0,VLOOKUP(A477,fees,3,FALSE))</f>
        <v>0</v>
      </c>
      <c r="R477" s="200" t="str">
        <f t="shared" ca="1" si="276"/>
        <v/>
      </c>
      <c r="S477" s="9" t="str">
        <f ca="1">IF(COUNTIF(($T$4:T476),"F")&gt;=1,"",IF(OR(C478&lt;&gt;$C$3,E477=""),"",A477))</f>
        <v/>
      </c>
      <c r="T477" s="20" t="str">
        <f t="shared" ca="1" si="268"/>
        <v/>
      </c>
      <c r="U477" s="2">
        <f ca="1">IF(IF(OP!$C$83=1,$Z476,IF(OP!$C$83=2,$AA476,IF(OP!$C$83=3,$AB476,)))+$K477-$O477-$P477-$AS477&lt;OP!$C$142,0,$AS477)</f>
        <v>0</v>
      </c>
      <c r="V477" s="9"/>
      <c r="W477" s="19">
        <f ca="1">MAX(SUM($K$4:K477),0)</f>
        <v>2000000</v>
      </c>
      <c r="X477" s="19"/>
      <c r="Y477" s="19">
        <f t="shared" ca="1" si="294"/>
        <v>1920000</v>
      </c>
      <c r="Z477" s="2">
        <f ca="1">IF(MIN($Z$4:Z476)=0,0,MAX(0,($Z476+$K477-$O477-$P477)*IF(AND(F477="F",$D$3&lt;&gt;$G$3),((1+(-J477))^(H477/MIN(G477,365))),((1+(-J477))^(1/12)))-$U477))</f>
        <v>253153.32598190548</v>
      </c>
      <c r="AA477" s="2">
        <f ca="1">IF(MIN($AA$4:AA476)=0,0,MAX(0,($AA476+$K477-$O477-$P477)*IF(AND(F477="F",$D$3&lt;&gt;$G$3),((1+$AA$1)^(H477/MIN(G477,365))),((1+$AA$1)^(1/12)))-$U477))</f>
        <v>1920000</v>
      </c>
      <c r="AB477" s="2">
        <f ca="1">IF(MIN($AB$4:AB476)=0,0,MAX(0,($AB476+$K477-$O477-$P477)*IF(AND(F477="F",$D$3&lt;&gt;$G$3),((1+(J477))^(H477/MIN(G477,365))),((1+(J477))^(1/12)))-$U477))</f>
        <v>13191024.955621358</v>
      </c>
      <c r="AC477" s="5"/>
      <c r="AD477" s="5"/>
      <c r="AE477" s="5"/>
      <c r="AF477" s="282">
        <f t="shared" ca="1" si="277"/>
        <v>253153</v>
      </c>
      <c r="AG477" s="282">
        <f t="shared" ca="1" si="278"/>
        <v>1920000</v>
      </c>
      <c r="AH477" s="282">
        <f t="shared" ca="1" si="279"/>
        <v>13191025</v>
      </c>
      <c r="AI477" s="23" t="str">
        <f t="shared" ca="1" si="295"/>
        <v>40-7</v>
      </c>
      <c r="AJ477" s="282">
        <f ca="1">IF(E477&gt;111,,IF(AND(OP!$C$99=1,T477="F"),Z477,IF(AND(OP!$C$99=2,COUNTIF($T$4:T477,"F")=1),OP!$C$97+IF(F477="F",OP!$C$98,0),"")))</f>
        <v>54527</v>
      </c>
      <c r="AK477" s="282">
        <f ca="1">IF(E477&gt;111,,IF(AND(OP!$D$99=1,T477="F"),AA477,IF(AND(OP!$D$99=2,COUNTIF($T$4:T477,"F")=1),OP!$D$97+IF(F477="F",OP!$D$98,0),"")))</f>
        <v>74177</v>
      </c>
      <c r="AL477" s="282">
        <f ca="1">IF(E477&gt;111,,IF(AND(OP!$E$99=1,T477="F"),AB477,IF(AND(OP!$E$99=2,COUNTIF($T$4:T477,"F")=1),OP!$E$97+IF(F477="F",OP!$E$98,0),"")))</f>
        <v>99404</v>
      </c>
      <c r="AM477" s="1">
        <f t="shared" ca="1" si="269"/>
        <v>7</v>
      </c>
      <c r="AN477" s="1" t="e">
        <f ca="1">IF(OR(VLOOKUP($A477,MP,5,0)="月繳"),1,"")</f>
        <v>#N/A</v>
      </c>
      <c r="AO477" s="1">
        <f t="shared" ca="1" si="280"/>
        <v>0</v>
      </c>
      <c r="AP477" s="1" t="str">
        <f ca="1">IF(AND(A477&lt;=OP!$C$120,COUNTIF(PAY,C477)=1),1,"")</f>
        <v/>
      </c>
      <c r="AR477" s="301">
        <f ca="1">IF(繳費報酬率資料!$A$1=1,$AY477+$AZ477,$BF477+$BG477)</f>
        <v>0</v>
      </c>
      <c r="AS477" s="1">
        <f ca="1">IF(C477&lt;&gt;IF($C$3=1,12,$C$3-1),0,IF(繳費報酬率資料!$A$1&lt;&gt;1,VLOOKUP($A477,MP,8,0),IF(AND($A477&gt;=OP!$C$79,$A477&lt;=OP!$C$80),OP!$C$78,)))</f>
        <v>0</v>
      </c>
      <c r="AT477" s="298">
        <f t="shared" ca="1" si="281"/>
        <v>0</v>
      </c>
      <c r="AU477" s="298">
        <f ca="1">IF(AND(A477&lt;=OP!$C$120,COUNTIF(PAY,C477)=1),OP!$C$123,0)</f>
        <v>0</v>
      </c>
      <c r="AV477" s="298">
        <f ca="1">IF(AND(A477&gt;=OP!$C$132,A477&lt;=OP!$C$133,$C$3=C477),OP!$C$135,0)</f>
        <v>0</v>
      </c>
      <c r="AW477" s="180">
        <f t="shared" ca="1" si="282"/>
        <v>0.05</v>
      </c>
      <c r="AX477" s="180">
        <f t="shared" ca="1" si="283"/>
        <v>0.05</v>
      </c>
      <c r="AY477" s="286">
        <f t="shared" ca="1" si="284"/>
        <v>0</v>
      </c>
      <c r="AZ477" s="286">
        <f t="shared" ca="1" si="285"/>
        <v>0</v>
      </c>
      <c r="BA477" s="286">
        <f t="shared" ca="1" si="286"/>
        <v>0</v>
      </c>
      <c r="BB477" s="286">
        <f t="shared" ca="1" si="287"/>
        <v>0</v>
      </c>
      <c r="BC477" s="286">
        <f t="shared" ca="1" si="288"/>
        <v>0</v>
      </c>
      <c r="BD477" s="180">
        <f t="shared" ca="1" si="289"/>
        <v>0.05</v>
      </c>
      <c r="BE477" s="180">
        <f t="shared" ca="1" si="290"/>
        <v>0.05</v>
      </c>
      <c r="BF477" s="286">
        <f t="shared" ca="1" si="291"/>
        <v>0</v>
      </c>
      <c r="BG477" s="286">
        <f t="shared" ca="1" si="292"/>
        <v>0</v>
      </c>
    </row>
    <row r="478" spans="1:59">
      <c r="A478" s="1">
        <f t="shared" ca="1" si="272"/>
        <v>40</v>
      </c>
      <c r="B478" s="1">
        <f t="shared" ca="1" si="265"/>
        <v>145</v>
      </c>
      <c r="C478" s="1">
        <f t="shared" ca="1" si="266"/>
        <v>12</v>
      </c>
      <c r="D478" s="1">
        <f ca="1">MIN($D$3,VLOOKUP(C478,OP!$S$30:$T$41,2))</f>
        <v>2</v>
      </c>
      <c r="E478" s="1">
        <f t="shared" ca="1" si="267"/>
        <v>94</v>
      </c>
      <c r="F478" s="11" t="str">
        <f t="shared" ca="1" si="273"/>
        <v/>
      </c>
      <c r="G478" s="8">
        <f t="shared" ca="1" si="297"/>
        <v>365</v>
      </c>
      <c r="H478" s="8">
        <f t="shared" ca="1" si="274"/>
        <v>31</v>
      </c>
      <c r="I478" s="8" t="str">
        <f t="shared" ca="1" si="271"/>
        <v>4012</v>
      </c>
      <c r="J478" s="13">
        <f>IF(繳費報酬率資料!$A$1=1,VALUE(OP!$C$121),VLOOKUP(A478,MP,2,0))</f>
        <v>0.05</v>
      </c>
      <c r="K478" s="14">
        <f ca="1">IF(SUM($K$4:K477,IF(繳費報酬率資料!$A$1=1,$AU478+$AV478,$BB478+$BC478))&gt;OP!$L$58,0,IF(繳費報酬率資料!$A$1=1,$AU478+$AV478,$BB478+$BC478))</f>
        <v>0</v>
      </c>
      <c r="L478" s="2"/>
      <c r="M478" s="2"/>
      <c r="N478" s="2"/>
      <c r="O478" s="261">
        <f t="shared" ca="1" si="275"/>
        <v>0</v>
      </c>
      <c r="P478" s="261">
        <f t="shared" ca="1" si="293"/>
        <v>0</v>
      </c>
      <c r="Q478" s="3">
        <f ca="1">IF(A478&gt;MAX(OP!$R$17:$R$26),0,VLOOKUP(A478,fees,3,FALSE))</f>
        <v>0</v>
      </c>
      <c r="R478" s="200" t="str">
        <f t="shared" ca="1" si="276"/>
        <v/>
      </c>
      <c r="S478" s="9" t="str">
        <f ca="1">IF(COUNTIF(($T$4:T477),"F")&gt;=1,"",IF(OR(C479&lt;&gt;$C$3,E478=""),"",A478))</f>
        <v/>
      </c>
      <c r="T478" s="20" t="str">
        <f t="shared" ca="1" si="268"/>
        <v/>
      </c>
      <c r="U478" s="2">
        <f ca="1">IF(IF(OP!$C$83=1,$Z477,IF(OP!$C$83=2,$AA477,IF(OP!$C$83=3,$AB477,)))+$K478-$O478-$P478-$AS478&lt;OP!$C$142,0,$AS478)</f>
        <v>0</v>
      </c>
      <c r="V478" s="9"/>
      <c r="W478" s="19">
        <f ca="1">MAX(SUM($K$4:K478),0)</f>
        <v>2000000</v>
      </c>
      <c r="X478" s="19"/>
      <c r="Y478" s="19">
        <f t="shared" ca="1" si="294"/>
        <v>1920000</v>
      </c>
      <c r="Z478" s="2">
        <f ca="1">IF(MIN($Z$4:Z477)=0,0,MAX(0,($Z477+$K478-$O478-$P478)*IF(AND(F478="F",$D$3&lt;&gt;$G$3),((1+(-J478))^(H478/MIN(G478,365))),((1+(-J478))^(1/12)))-$U478))</f>
        <v>252073.54634699292</v>
      </c>
      <c r="AA478" s="2">
        <f ca="1">IF(MIN($AA$4:AA477)=0,0,MAX(0,($AA477+$K478-$O478-$P478)*IF(AND(F478="F",$D$3&lt;&gt;$G$3),((1+$AA$1)^(H478/MIN(G478,365))),((1+$AA$1)^(1/12)))-$U478))</f>
        <v>1920000</v>
      </c>
      <c r="AB478" s="2">
        <f ca="1">IF(MIN($AB$4:AB477)=0,0,MAX(0,($AB477+$K478-$O478-$P478)*IF(AND(F478="F",$D$3&lt;&gt;$G$3),((1+(J478))^(H478/MIN(G478,365))),((1+(J478))^(1/12)))-$U478))</f>
        <v>13244766.824123753</v>
      </c>
      <c r="AC478" s="5"/>
      <c r="AD478" s="5"/>
      <c r="AE478" s="5"/>
      <c r="AF478" s="282">
        <f t="shared" ca="1" si="277"/>
        <v>252074</v>
      </c>
      <c r="AG478" s="282">
        <f t="shared" ca="1" si="278"/>
        <v>1920000</v>
      </c>
      <c r="AH478" s="282">
        <f t="shared" ca="1" si="279"/>
        <v>13244767</v>
      </c>
      <c r="AI478" s="23" t="str">
        <f t="shared" ca="1" si="295"/>
        <v>40-8</v>
      </c>
      <c r="AJ478" s="282">
        <f ca="1">IF(E478&gt;111,,IF(AND(OP!$C$99=1,T478="F"),Z478,IF(AND(OP!$C$99=2,COUNTIF($T$4:T478,"F")=1),OP!$C$97+IF(F478="F",OP!$C$98,0),"")))</f>
        <v>54527</v>
      </c>
      <c r="AK478" s="282">
        <f ca="1">IF(E478&gt;111,,IF(AND(OP!$D$99=1,T478="F"),AA478,IF(AND(OP!$D$99=2,COUNTIF($T$4:T478,"F")=1),OP!$D$97+IF(F478="F",OP!$D$98,0),"")))</f>
        <v>74177</v>
      </c>
      <c r="AL478" s="282">
        <f ca="1">IF(E478&gt;111,,IF(AND(OP!$E$99=1,T478="F"),AB478,IF(AND(OP!$E$99=2,COUNTIF($T$4:T478,"F")=1),OP!$E$97+IF(F478="F",OP!$E$98,0),"")))</f>
        <v>99404</v>
      </c>
      <c r="AM478" s="1">
        <f t="shared" ca="1" si="269"/>
        <v>8</v>
      </c>
      <c r="AN478" s="1" t="e">
        <f ca="1">IF(OR(VLOOKUP($A478,MP,5,0)="半年繳",VLOOKUP($A478,MP,5,0)="季繳",VLOOKUP($A478,MP,5,0)="月繳"),1,"")</f>
        <v>#N/A</v>
      </c>
      <c r="AO478" s="1">
        <f t="shared" ca="1" si="280"/>
        <v>0</v>
      </c>
      <c r="AP478" s="1" t="str">
        <f ca="1">IF(AND(A478&lt;=OP!$C$120,COUNTIF(PAY,C478)=1),1,"")</f>
        <v/>
      </c>
      <c r="AR478" s="301">
        <f ca="1">IF(繳費報酬率資料!$A$1=1,$AY478+$AZ478,$BF478+$BG478)</f>
        <v>0</v>
      </c>
      <c r="AS478" s="1">
        <f ca="1">IF(C478&lt;&gt;IF($C$3=1,12,$C$3-1),0,IF(繳費報酬率資料!$A$1&lt;&gt;1,VLOOKUP($A478,MP,8,0),IF(AND($A478&gt;=OP!$C$79,$A478&lt;=OP!$C$80),OP!$C$78,)))</f>
        <v>0</v>
      </c>
      <c r="AT478" s="298">
        <f t="shared" ca="1" si="281"/>
        <v>0</v>
      </c>
      <c r="AU478" s="298">
        <f ca="1">IF(AND(A478&lt;=OP!$C$120,COUNTIF(PAY,C478)=1),OP!$C$123,0)</f>
        <v>0</v>
      </c>
      <c r="AV478" s="298">
        <f ca="1">IF(AND(A478&gt;=OP!$C$132,A478&lt;=OP!$C$133,$C$3=C478),OP!$C$135,0)</f>
        <v>0</v>
      </c>
      <c r="AW478" s="180">
        <f t="shared" ca="1" si="282"/>
        <v>0.05</v>
      </c>
      <c r="AX478" s="180">
        <f t="shared" ca="1" si="283"/>
        <v>0.05</v>
      </c>
      <c r="AY478" s="286">
        <f t="shared" ca="1" si="284"/>
        <v>0</v>
      </c>
      <c r="AZ478" s="286">
        <f t="shared" ca="1" si="285"/>
        <v>0</v>
      </c>
      <c r="BA478" s="286">
        <f t="shared" ca="1" si="286"/>
        <v>0</v>
      </c>
      <c r="BB478" s="286">
        <f t="shared" ca="1" si="287"/>
        <v>0</v>
      </c>
      <c r="BC478" s="286">
        <f t="shared" ca="1" si="288"/>
        <v>0</v>
      </c>
      <c r="BD478" s="180">
        <f t="shared" ca="1" si="289"/>
        <v>0.05</v>
      </c>
      <c r="BE478" s="180">
        <f t="shared" ca="1" si="290"/>
        <v>0.05</v>
      </c>
      <c r="BF478" s="286">
        <f t="shared" ca="1" si="291"/>
        <v>0</v>
      </c>
      <c r="BG478" s="286">
        <f t="shared" ca="1" si="292"/>
        <v>0</v>
      </c>
    </row>
    <row r="479" spans="1:59">
      <c r="A479" s="1">
        <f t="shared" ca="1" si="272"/>
        <v>40</v>
      </c>
      <c r="B479" s="1">
        <f t="shared" ca="1" si="265"/>
        <v>146</v>
      </c>
      <c r="C479" s="1">
        <f t="shared" ca="1" si="266"/>
        <v>1</v>
      </c>
      <c r="D479" s="1">
        <f ca="1">MIN($D$3,VLOOKUP(C479,OP!$S$30:$T$41,2))</f>
        <v>2</v>
      </c>
      <c r="E479" s="1">
        <f t="shared" ca="1" si="267"/>
        <v>94</v>
      </c>
      <c r="F479" s="11" t="str">
        <f t="shared" ca="1" si="273"/>
        <v/>
      </c>
      <c r="G479" s="8">
        <f t="shared" ca="1" si="297"/>
        <v>365</v>
      </c>
      <c r="H479" s="8">
        <f t="shared" ca="1" si="274"/>
        <v>31</v>
      </c>
      <c r="I479" s="8" t="str">
        <f t="shared" ca="1" si="271"/>
        <v>401</v>
      </c>
      <c r="J479" s="13">
        <f>IF(繳費報酬率資料!$A$1=1,VALUE(OP!$C$121),VLOOKUP(A479,MP,2,0))</f>
        <v>0.05</v>
      </c>
      <c r="K479" s="14">
        <f ca="1">IF(SUM($K$4:K478,IF(繳費報酬率資料!$A$1=1,$AU479+$AV479,$BB479+$BC479))&gt;OP!$L$58,0,IF(繳費報酬率資料!$A$1=1,$AU479+$AV479,$BB479+$BC479))</f>
        <v>0</v>
      </c>
      <c r="L479" s="2"/>
      <c r="M479" s="2"/>
      <c r="N479" s="2"/>
      <c r="O479" s="261">
        <f t="shared" ca="1" si="275"/>
        <v>0</v>
      </c>
      <c r="P479" s="261">
        <f t="shared" ca="1" si="293"/>
        <v>0</v>
      </c>
      <c r="Q479" s="3">
        <f ca="1">IF(A479&gt;MAX(OP!$R$17:$R$26),0,VLOOKUP(A479,fees,3,FALSE))</f>
        <v>0</v>
      </c>
      <c r="R479" s="200" t="str">
        <f t="shared" ca="1" si="276"/>
        <v/>
      </c>
      <c r="S479" s="9" t="str">
        <f ca="1">IF(COUNTIF(($T$4:T478),"F")&gt;=1,"",IF(OR(C480&lt;&gt;$C$3,E479=""),"",A479))</f>
        <v/>
      </c>
      <c r="T479" s="20" t="str">
        <f t="shared" ca="1" si="268"/>
        <v/>
      </c>
      <c r="U479" s="2">
        <f ca="1">IF(IF(OP!$C$83=1,$Z478,IF(OP!$C$83=2,$AA478,IF(OP!$C$83=3,$AB478,)))+$K479-$O479-$P479-$AS479&lt;OP!$C$142,0,$AS479)</f>
        <v>0</v>
      </c>
      <c r="V479" s="9"/>
      <c r="W479" s="19">
        <f ca="1">MAX(SUM($K$4:K479),0)</f>
        <v>2000000</v>
      </c>
      <c r="X479" s="19"/>
      <c r="Y479" s="19">
        <f t="shared" ca="1" si="294"/>
        <v>1920000</v>
      </c>
      <c r="Z479" s="2">
        <f ca="1">IF(MIN($Z$4:Z478)=0,0,MAX(0,($Z478+$K479-$O479-$P479)*IF(AND(F479="F",$D$3&lt;&gt;$G$3),((1+(-J479))^(H479/MIN(G479,365))),((1+(-J479))^(1/12)))-$U479))</f>
        <v>250998.3723164328</v>
      </c>
      <c r="AA479" s="2">
        <f ca="1">IF(MIN($AA$4:AA478)=0,0,MAX(0,($AA478+$K479-$O479-$P479)*IF(AND(F479="F",$D$3&lt;&gt;$G$3),((1+$AA$1)^(H479/MIN(G479,365))),((1+$AA$1)^(1/12)))-$U479))</f>
        <v>1920000</v>
      </c>
      <c r="AB479" s="2">
        <f ca="1">IF(MIN($AB$4:AB478)=0,0,MAX(0,($AB478+$K479-$O479-$P479)*IF(AND(F479="F",$D$3&lt;&gt;$G$3),((1+(J479))^(H479/MIN(G479,365))),((1+(J479))^(1/12)))-$U479))</f>
        <v>13298727.643650793</v>
      </c>
      <c r="AC479" s="5"/>
      <c r="AD479" s="5"/>
      <c r="AE479" s="5"/>
      <c r="AF479" s="282">
        <f t="shared" ca="1" si="277"/>
        <v>250998</v>
      </c>
      <c r="AG479" s="282">
        <f t="shared" ca="1" si="278"/>
        <v>1920000</v>
      </c>
      <c r="AH479" s="282">
        <f t="shared" ca="1" si="279"/>
        <v>13298728</v>
      </c>
      <c r="AI479" s="23" t="str">
        <f t="shared" ca="1" si="295"/>
        <v>40-9</v>
      </c>
      <c r="AJ479" s="282">
        <f ca="1">IF(E479&gt;111,,IF(AND(OP!$C$99=1,T479="F"),Z479,IF(AND(OP!$C$99=2,COUNTIF($T$4:T479,"F")=1),OP!$C$97+IF(F479="F",OP!$C$98,0),"")))</f>
        <v>54527</v>
      </c>
      <c r="AK479" s="282">
        <f ca="1">IF(E479&gt;111,,IF(AND(OP!$D$99=1,T479="F"),AA479,IF(AND(OP!$D$99=2,COUNTIF($T$4:T479,"F")=1),OP!$D$97+IF(F479="F",OP!$D$98,0),"")))</f>
        <v>74177</v>
      </c>
      <c r="AL479" s="282">
        <f ca="1">IF(E479&gt;111,,IF(AND(OP!$E$99=1,T479="F"),AB479,IF(AND(OP!$E$99=2,COUNTIF($T$4:T479,"F")=1),OP!$E$97+IF(F479="F",OP!$E$98,0),"")))</f>
        <v>99404</v>
      </c>
      <c r="AM479" s="1">
        <f t="shared" ca="1" si="269"/>
        <v>9</v>
      </c>
      <c r="AN479" s="1" t="e">
        <f ca="1">IF(OR(VLOOKUP($A479,MP,5,0)="月繳"),1,"")</f>
        <v>#N/A</v>
      </c>
      <c r="AO479" s="1">
        <f t="shared" ca="1" si="280"/>
        <v>0</v>
      </c>
      <c r="AP479" s="1" t="str">
        <f ca="1">IF(AND(A479&lt;=OP!$C$120,COUNTIF(PAY,C479)=1),1,"")</f>
        <v/>
      </c>
      <c r="AR479" s="301">
        <f ca="1">IF(繳費報酬率資料!$A$1=1,$AY479+$AZ479,$BF479+$BG479)</f>
        <v>0</v>
      </c>
      <c r="AS479" s="1">
        <f ca="1">IF(C479&lt;&gt;IF($C$3=1,12,$C$3-1),0,IF(繳費報酬率資料!$A$1&lt;&gt;1,VLOOKUP($A479,MP,8,0),IF(AND($A479&gt;=OP!$C$79,$A479&lt;=OP!$C$80),OP!$C$78,)))</f>
        <v>0</v>
      </c>
      <c r="AT479" s="298">
        <f t="shared" ca="1" si="281"/>
        <v>0</v>
      </c>
      <c r="AU479" s="298">
        <f ca="1">IF(AND(A479&lt;=OP!$C$120,COUNTIF(PAY,C479)=1),OP!$C$123,0)</f>
        <v>0</v>
      </c>
      <c r="AV479" s="298">
        <f ca="1">IF(AND(A479&gt;=OP!$C$132,A479&lt;=OP!$C$133,$C$3=C479),OP!$C$135,0)</f>
        <v>0</v>
      </c>
      <c r="AW479" s="180">
        <f t="shared" ca="1" si="282"/>
        <v>0.05</v>
      </c>
      <c r="AX479" s="180">
        <f t="shared" ca="1" si="283"/>
        <v>0.05</v>
      </c>
      <c r="AY479" s="286">
        <f t="shared" ca="1" si="284"/>
        <v>0</v>
      </c>
      <c r="AZ479" s="286">
        <f t="shared" ca="1" si="285"/>
        <v>0</v>
      </c>
      <c r="BA479" s="286">
        <f t="shared" ca="1" si="286"/>
        <v>0</v>
      </c>
      <c r="BB479" s="286">
        <f t="shared" ca="1" si="287"/>
        <v>0</v>
      </c>
      <c r="BC479" s="286">
        <f t="shared" ca="1" si="288"/>
        <v>0</v>
      </c>
      <c r="BD479" s="180">
        <f t="shared" ca="1" si="289"/>
        <v>0.05</v>
      </c>
      <c r="BE479" s="180">
        <f t="shared" ca="1" si="290"/>
        <v>0.05</v>
      </c>
      <c r="BF479" s="286">
        <f t="shared" ca="1" si="291"/>
        <v>0</v>
      </c>
      <c r="BG479" s="286">
        <f t="shared" ca="1" si="292"/>
        <v>0</v>
      </c>
    </row>
    <row r="480" spans="1:59">
      <c r="A480" s="1">
        <f t="shared" ca="1" si="272"/>
        <v>40</v>
      </c>
      <c r="B480" s="1">
        <f t="shared" ca="1" si="265"/>
        <v>146</v>
      </c>
      <c r="C480" s="1">
        <f t="shared" ca="1" si="266"/>
        <v>2</v>
      </c>
      <c r="D480" s="1">
        <f ca="1">MIN($D$3,VLOOKUP(C480,OP!$S$30:$T$41,2))</f>
        <v>2</v>
      </c>
      <c r="E480" s="1">
        <f t="shared" ca="1" si="267"/>
        <v>94</v>
      </c>
      <c r="F480" s="11" t="str">
        <f t="shared" ca="1" si="273"/>
        <v/>
      </c>
      <c r="G480" s="8">
        <f t="shared" ca="1" si="297"/>
        <v>365</v>
      </c>
      <c r="H480" s="8">
        <f t="shared" ca="1" si="274"/>
        <v>28</v>
      </c>
      <c r="I480" s="8" t="str">
        <f t="shared" ca="1" si="271"/>
        <v>402</v>
      </c>
      <c r="J480" s="13">
        <f>IF(繳費報酬率資料!$A$1=1,VALUE(OP!$C$121),VLOOKUP(A480,MP,2,0))</f>
        <v>0.05</v>
      </c>
      <c r="K480" s="14">
        <f ca="1">IF(SUM($K$4:K479,IF(繳費報酬率資料!$A$1=1,$AU480+$AV480,$BB480+$BC480))&gt;OP!$L$58,0,IF(繳費報酬率資料!$A$1=1,$AU480+$AV480,$BB480+$BC480))</f>
        <v>0</v>
      </c>
      <c r="L480" s="2"/>
      <c r="M480" s="2"/>
      <c r="N480" s="2"/>
      <c r="O480" s="261">
        <f t="shared" ca="1" si="275"/>
        <v>0</v>
      </c>
      <c r="P480" s="261">
        <f t="shared" ca="1" si="293"/>
        <v>0</v>
      </c>
      <c r="Q480" s="3">
        <f ca="1">IF(A480&gt;MAX(OP!$R$17:$R$26),0,VLOOKUP(A480,fees,3,FALSE))</f>
        <v>0</v>
      </c>
      <c r="R480" s="200" t="str">
        <f t="shared" ca="1" si="276"/>
        <v/>
      </c>
      <c r="S480" s="9" t="str">
        <f ca="1">IF(COUNTIF(($T$4:T479),"F")&gt;=1,"",IF(OR(C481&lt;&gt;$C$3,E480=""),"",A480))</f>
        <v/>
      </c>
      <c r="T480" s="20" t="str">
        <f t="shared" ca="1" si="268"/>
        <v/>
      </c>
      <c r="U480" s="2">
        <f ca="1">IF(IF(OP!$C$83=1,$Z479,IF(OP!$C$83=2,$AA479,IF(OP!$C$83=3,$AB479,)))+$K480-$O480-$P480-$AS480&lt;OP!$C$142,0,$AS480)</f>
        <v>0</v>
      </c>
      <c r="V480" s="9"/>
      <c r="W480" s="19">
        <f ca="1">MAX(SUM($K$4:K480),0)</f>
        <v>2000000</v>
      </c>
      <c r="X480" s="19"/>
      <c r="Y480" s="19">
        <f t="shared" ca="1" si="294"/>
        <v>1920000</v>
      </c>
      <c r="Z480" s="2">
        <f ca="1">IF(MIN($Z$4:Z479)=0,0,MAX(0,($Z479+$K480-$O480-$P480)*IF(AND(F480="F",$D$3&lt;&gt;$G$3),((1+(-J480))^(H480/MIN(G480,365))),((1+(-J480))^(1/12)))-$U480))</f>
        <v>249927.78424585436</v>
      </c>
      <c r="AA480" s="2">
        <f ca="1">IF(MIN($AA$4:AA479)=0,0,MAX(0,($AA479+$K480-$O480-$P480)*IF(AND(F480="F",$D$3&lt;&gt;$G$3),((1+$AA$1)^(H480/MIN(G480,365))),((1+$AA$1)^(1/12)))-$U480))</f>
        <v>1920000</v>
      </c>
      <c r="AB480" s="2">
        <f ca="1">IF(MIN($AB$4:AB479)=0,0,MAX(0,($AB479+$K480-$O480-$P480)*IF(AND(F480="F",$D$3&lt;&gt;$G$3),((1+(J480))^(H480/MIN(G480,365))),((1+(J480))^(1/12)))-$U480))</f>
        <v>13352908.306236053</v>
      </c>
      <c r="AC480" s="5"/>
      <c r="AD480" s="5"/>
      <c r="AE480" s="5"/>
      <c r="AF480" s="282">
        <f t="shared" ca="1" si="277"/>
        <v>249928</v>
      </c>
      <c r="AG480" s="282">
        <f t="shared" ca="1" si="278"/>
        <v>1920000</v>
      </c>
      <c r="AH480" s="282">
        <f t="shared" ca="1" si="279"/>
        <v>13352908</v>
      </c>
      <c r="AI480" s="23" t="str">
        <f t="shared" ca="1" si="295"/>
        <v>40-10</v>
      </c>
      <c r="AJ480" s="282">
        <f ca="1">IF(E480&gt;111,,IF(AND(OP!$C$99=1,T480="F"),Z480,IF(AND(OP!$C$99=2,COUNTIF($T$4:T480,"F")=1),OP!$C$97+IF(F480="F",OP!$C$98,0),"")))</f>
        <v>54527</v>
      </c>
      <c r="AK480" s="282">
        <f ca="1">IF(E480&gt;111,,IF(AND(OP!$D$99=1,T480="F"),AA480,IF(AND(OP!$D$99=2,COUNTIF($T$4:T480,"F")=1),OP!$D$97+IF(F480="F",OP!$D$98,0),"")))</f>
        <v>74177</v>
      </c>
      <c r="AL480" s="282">
        <f ca="1">IF(E480&gt;111,,IF(AND(OP!$E$99=1,T480="F"),AB480,IF(AND(OP!$E$99=2,COUNTIF($T$4:T480,"F")=1),OP!$E$97+IF(F480="F",OP!$E$98,0),"")))</f>
        <v>99404</v>
      </c>
      <c r="AM480" s="1">
        <f t="shared" ca="1" si="269"/>
        <v>10</v>
      </c>
      <c r="AN480" s="1" t="e">
        <f ca="1">IF(OR(VLOOKUP($A480,MP,5,0)="月繳"),1,"")</f>
        <v>#N/A</v>
      </c>
      <c r="AO480" s="1">
        <f t="shared" ca="1" si="280"/>
        <v>0</v>
      </c>
      <c r="AP480" s="1" t="str">
        <f ca="1">IF(AND(A480&lt;=OP!$C$120,COUNTIF(PAY,C480)=1),1,"")</f>
        <v/>
      </c>
      <c r="AR480" s="301">
        <f ca="1">IF(繳費報酬率資料!$A$1=1,$AY480+$AZ480,$BF480+$BG480)</f>
        <v>0</v>
      </c>
      <c r="AS480" s="1">
        <f ca="1">IF(C480&lt;&gt;IF($C$3=1,12,$C$3-1),0,IF(繳費報酬率資料!$A$1&lt;&gt;1,VLOOKUP($A480,MP,8,0),IF(AND($A480&gt;=OP!$C$79,$A480&lt;=OP!$C$80),OP!$C$78,)))</f>
        <v>0</v>
      </c>
      <c r="AT480" s="298">
        <f t="shared" ca="1" si="281"/>
        <v>0</v>
      </c>
      <c r="AU480" s="298">
        <f ca="1">IF(AND(A480&lt;=OP!$C$120,COUNTIF(PAY,C480)=1),OP!$C$123,0)</f>
        <v>0</v>
      </c>
      <c r="AV480" s="298">
        <f ca="1">IF(AND(A480&gt;=OP!$C$132,A480&lt;=OP!$C$133,$C$3=C480),OP!$C$135,0)</f>
        <v>0</v>
      </c>
      <c r="AW480" s="180">
        <f t="shared" ca="1" si="282"/>
        <v>0.05</v>
      </c>
      <c r="AX480" s="180">
        <f t="shared" ca="1" si="283"/>
        <v>0.05</v>
      </c>
      <c r="AY480" s="286">
        <f t="shared" ca="1" si="284"/>
        <v>0</v>
      </c>
      <c r="AZ480" s="286">
        <f t="shared" ca="1" si="285"/>
        <v>0</v>
      </c>
      <c r="BA480" s="286">
        <f t="shared" ca="1" si="286"/>
        <v>0</v>
      </c>
      <c r="BB480" s="286">
        <f t="shared" ca="1" si="287"/>
        <v>0</v>
      </c>
      <c r="BC480" s="286">
        <f t="shared" ca="1" si="288"/>
        <v>0</v>
      </c>
      <c r="BD480" s="180">
        <f t="shared" ca="1" si="289"/>
        <v>0.05</v>
      </c>
      <c r="BE480" s="180">
        <f t="shared" ca="1" si="290"/>
        <v>0.05</v>
      </c>
      <c r="BF480" s="286">
        <f t="shared" ca="1" si="291"/>
        <v>0</v>
      </c>
      <c r="BG480" s="286">
        <f t="shared" ca="1" si="292"/>
        <v>0</v>
      </c>
    </row>
    <row r="481" spans="1:59">
      <c r="A481" s="1">
        <f t="shared" ca="1" si="272"/>
        <v>40</v>
      </c>
      <c r="B481" s="1">
        <f t="shared" ca="1" si="265"/>
        <v>146</v>
      </c>
      <c r="C481" s="1">
        <f t="shared" ca="1" si="266"/>
        <v>3</v>
      </c>
      <c r="D481" s="1">
        <f ca="1">MIN($D$3,VLOOKUP(C481,OP!$S$30:$T$41,2))</f>
        <v>2</v>
      </c>
      <c r="E481" s="1">
        <f t="shared" ca="1" si="267"/>
        <v>94</v>
      </c>
      <c r="F481" s="11" t="str">
        <f t="shared" ca="1" si="273"/>
        <v/>
      </c>
      <c r="G481" s="8">
        <f t="shared" ca="1" si="297"/>
        <v>365</v>
      </c>
      <c r="H481" s="8">
        <f t="shared" ca="1" si="274"/>
        <v>31</v>
      </c>
      <c r="I481" s="8" t="str">
        <f t="shared" ca="1" si="271"/>
        <v>403</v>
      </c>
      <c r="J481" s="13">
        <f>IF(繳費報酬率資料!$A$1=1,VALUE(OP!$C$121),VLOOKUP(A481,MP,2,0))</f>
        <v>0.05</v>
      </c>
      <c r="K481" s="14">
        <f ca="1">IF(SUM($K$4:K480,IF(繳費報酬率資料!$A$1=1,$AU481+$AV481,$BB481+$BC481))&gt;OP!$L$58,0,IF(繳費報酬率資料!$A$1=1,$AU481+$AV481,$BB481+$BC481))</f>
        <v>0</v>
      </c>
      <c r="L481" s="2"/>
      <c r="M481" s="2"/>
      <c r="N481" s="2"/>
      <c r="O481" s="261">
        <f t="shared" ca="1" si="275"/>
        <v>0</v>
      </c>
      <c r="P481" s="261">
        <f t="shared" ca="1" si="293"/>
        <v>0</v>
      </c>
      <c r="Q481" s="3">
        <f ca="1">IF(A481&gt;MAX(OP!$R$17:$R$26),0,VLOOKUP(A481,fees,3,FALSE))</f>
        <v>0</v>
      </c>
      <c r="R481" s="200" t="str">
        <f t="shared" ca="1" si="276"/>
        <v/>
      </c>
      <c r="S481" s="9" t="str">
        <f ca="1">IF(COUNTIF(($T$4:T480),"F")&gt;=1,"",IF(OR(C482&lt;&gt;$C$3,E481=""),"",A481))</f>
        <v/>
      </c>
      <c r="T481" s="20" t="str">
        <f t="shared" ca="1" si="268"/>
        <v/>
      </c>
      <c r="U481" s="2">
        <f ca="1">IF(IF(OP!$C$83=1,$Z480,IF(OP!$C$83=2,$AA480,IF(OP!$C$83=3,$AB480,)))+$K481-$O481-$P481-$AS481&lt;OP!$C$142,0,$AS481)</f>
        <v>0</v>
      </c>
      <c r="V481" s="9"/>
      <c r="W481" s="19">
        <f ca="1">MAX(SUM($K$4:K481),0)</f>
        <v>2000000</v>
      </c>
      <c r="X481" s="19"/>
      <c r="Y481" s="19">
        <f t="shared" ca="1" si="294"/>
        <v>1920000</v>
      </c>
      <c r="Z481" s="2">
        <f ca="1">IF(MIN($Z$4:Z480)=0,0,MAX(0,($Z480+$K481-$O481-$P481)*IF(AND(F481="F",$D$3&lt;&gt;$G$3),((1+(-J481))^(H481/MIN(G481,365))),((1+(-J481))^(1/12)))-$U481))</f>
        <v>248861.7625746764</v>
      </c>
      <c r="AA481" s="2">
        <f ca="1">IF(MIN($AA$4:AA480)=0,0,MAX(0,($AA480+$K481-$O481-$P481)*IF(AND(F481="F",$D$3&lt;&gt;$G$3),((1+$AA$1)^(H481/MIN(G481,365))),((1+$AA$1)^(1/12)))-$U481))</f>
        <v>1920000</v>
      </c>
      <c r="AB481" s="2">
        <f ca="1">IF(MIN($AB$4:AB480)=0,0,MAX(0,($AB480+$K481-$O481-$P481)*IF(AND(F481="F",$D$3&lt;&gt;$G$3),((1+(J481))^(H481/MIN(G481,365))),((1+(J481))^(1/12)))-$U481))</f>
        <v>13407309.707547365</v>
      </c>
      <c r="AC481" s="5"/>
      <c r="AD481" s="5"/>
      <c r="AE481" s="5"/>
      <c r="AF481" s="282">
        <f t="shared" ca="1" si="277"/>
        <v>248862</v>
      </c>
      <c r="AG481" s="282">
        <f t="shared" ca="1" si="278"/>
        <v>1920000</v>
      </c>
      <c r="AH481" s="282">
        <f t="shared" ca="1" si="279"/>
        <v>13407310</v>
      </c>
      <c r="AI481" s="23" t="str">
        <f t="shared" ca="1" si="295"/>
        <v>40-11</v>
      </c>
      <c r="AJ481" s="282">
        <f ca="1">IF(E481&gt;111,,IF(AND(OP!$C$99=1,T481="F"),Z481,IF(AND(OP!$C$99=2,COUNTIF($T$4:T481,"F")=1),OP!$C$97+IF(F481="F",OP!$C$98,0),"")))</f>
        <v>54527</v>
      </c>
      <c r="AK481" s="282">
        <f ca="1">IF(E481&gt;111,,IF(AND(OP!$D$99=1,T481="F"),AA481,IF(AND(OP!$D$99=2,COUNTIF($T$4:T481,"F")=1),OP!$D$97+IF(F481="F",OP!$D$98,0),"")))</f>
        <v>74177</v>
      </c>
      <c r="AL481" s="282">
        <f ca="1">IF(E481&gt;111,,IF(AND(OP!$E$99=1,T481="F"),AB481,IF(AND(OP!$E$99=2,COUNTIF($T$4:T481,"F")=1),OP!$E$97+IF(F481="F",OP!$E$98,0),"")))</f>
        <v>99404</v>
      </c>
      <c r="AM481" s="1">
        <f t="shared" ca="1" si="269"/>
        <v>11</v>
      </c>
      <c r="AN481" s="1" t="e">
        <f ca="1">IF(OR(VLOOKUP($A481,MP,5,0)="季繳",VLOOKUP($A481,MP,5,0)="月繳"),1,"")</f>
        <v>#N/A</v>
      </c>
      <c r="AO481" s="1">
        <f t="shared" ca="1" si="280"/>
        <v>0</v>
      </c>
      <c r="AP481" s="1" t="str">
        <f ca="1">IF(AND(A481&lt;=OP!$C$120,COUNTIF(PAY,C481)=1),1,"")</f>
        <v/>
      </c>
      <c r="AR481" s="301">
        <f ca="1">IF(繳費報酬率資料!$A$1=1,$AY481+$AZ481,$BF481+$BG481)</f>
        <v>0</v>
      </c>
      <c r="AS481" s="1">
        <f ca="1">IF(C481&lt;&gt;IF($C$3=1,12,$C$3-1),0,IF(繳費報酬率資料!$A$1&lt;&gt;1,VLOOKUP($A481,MP,8,0),IF(AND($A481&gt;=OP!$C$79,$A481&lt;=OP!$C$80),OP!$C$78,)))</f>
        <v>0</v>
      </c>
      <c r="AT481" s="298">
        <f t="shared" ca="1" si="281"/>
        <v>0</v>
      </c>
      <c r="AU481" s="298">
        <f ca="1">IF(AND(A481&lt;=OP!$C$120,COUNTIF(PAY,C481)=1),OP!$C$123,0)</f>
        <v>0</v>
      </c>
      <c r="AV481" s="298">
        <f ca="1">IF(AND(A481&gt;=OP!$C$132,A481&lt;=OP!$C$133,$C$3=C481),OP!$C$135,0)</f>
        <v>0</v>
      </c>
      <c r="AW481" s="180">
        <f t="shared" ca="1" si="282"/>
        <v>0.05</v>
      </c>
      <c r="AX481" s="180">
        <f t="shared" ca="1" si="283"/>
        <v>0.05</v>
      </c>
      <c r="AY481" s="286">
        <f t="shared" ca="1" si="284"/>
        <v>0</v>
      </c>
      <c r="AZ481" s="286">
        <f t="shared" ca="1" si="285"/>
        <v>0</v>
      </c>
      <c r="BA481" s="286">
        <f t="shared" ca="1" si="286"/>
        <v>0</v>
      </c>
      <c r="BB481" s="286">
        <f t="shared" ca="1" si="287"/>
        <v>0</v>
      </c>
      <c r="BC481" s="286">
        <f t="shared" ca="1" si="288"/>
        <v>0</v>
      </c>
      <c r="BD481" s="180">
        <f t="shared" ca="1" si="289"/>
        <v>0.05</v>
      </c>
      <c r="BE481" s="180">
        <f t="shared" ca="1" si="290"/>
        <v>0.05</v>
      </c>
      <c r="BF481" s="286">
        <f t="shared" ca="1" si="291"/>
        <v>0</v>
      </c>
      <c r="BG481" s="286">
        <f t="shared" ca="1" si="292"/>
        <v>0</v>
      </c>
    </row>
    <row r="482" spans="1:59">
      <c r="A482" s="1">
        <f t="shared" ca="1" si="272"/>
        <v>40</v>
      </c>
      <c r="B482" s="1">
        <f t="shared" ca="1" si="265"/>
        <v>146</v>
      </c>
      <c r="C482" s="1">
        <f t="shared" ca="1" si="266"/>
        <v>4</v>
      </c>
      <c r="D482" s="1">
        <f ca="1">MIN($D$3,VLOOKUP(C482,OP!$S$30:$T$41,2))</f>
        <v>2</v>
      </c>
      <c r="E482" s="1">
        <f t="shared" ca="1" si="267"/>
        <v>94</v>
      </c>
      <c r="F482" s="11" t="str">
        <f t="shared" ca="1" si="273"/>
        <v/>
      </c>
      <c r="G482" s="8">
        <f t="shared" ca="1" si="297"/>
        <v>365</v>
      </c>
      <c r="H482" s="8">
        <f t="shared" ca="1" si="274"/>
        <v>30</v>
      </c>
      <c r="I482" s="8" t="str">
        <f t="shared" ca="1" si="271"/>
        <v>404</v>
      </c>
      <c r="J482" s="13">
        <f>IF(繳費報酬率資料!$A$1=1,VALUE(OP!$C$121),VLOOKUP(A482,MP,2,0))</f>
        <v>0.05</v>
      </c>
      <c r="K482" s="14">
        <f ca="1">IF(SUM($K$4:K481,IF(繳費報酬率資料!$A$1=1,$AU482+$AV482,$BB482+$BC482))&gt;OP!$L$58,0,IF(繳費報酬率資料!$A$1=1,$AU482+$AV482,$BB482+$BC482))</f>
        <v>0</v>
      </c>
      <c r="L482" s="2"/>
      <c r="M482" s="2"/>
      <c r="N482" s="2"/>
      <c r="O482" s="261">
        <f t="shared" ca="1" si="275"/>
        <v>0</v>
      </c>
      <c r="P482" s="261">
        <f t="shared" ca="1" si="293"/>
        <v>0</v>
      </c>
      <c r="Q482" s="3">
        <f ca="1">IF(A482&gt;MAX(OP!$R$17:$R$26),0,VLOOKUP(A482,fees,3,FALSE))</f>
        <v>0</v>
      </c>
      <c r="R482" s="200" t="str">
        <f t="shared" ca="1" si="276"/>
        <v/>
      </c>
      <c r="S482" s="9" t="str">
        <f ca="1">IF(COUNTIF(($T$4:T481),"F")&gt;=1,"",IF(OR(C483&lt;&gt;$C$3,E482=""),"",A482))</f>
        <v/>
      </c>
      <c r="T482" s="20" t="str">
        <f t="shared" ca="1" si="268"/>
        <v/>
      </c>
      <c r="U482" s="2">
        <f ca="1">IF(IF(OP!$C$83=1,$Z481,IF(OP!$C$83=2,$AA481,IF(OP!$C$83=3,$AB481,)))+$K482-$O482-$P482-$AS482&lt;OP!$C$142,0,$AS482)</f>
        <v>0</v>
      </c>
      <c r="V482" s="9"/>
      <c r="W482" s="19">
        <f ca="1">MAX(SUM($K$4:K482),0)</f>
        <v>2000000</v>
      </c>
      <c r="X482" s="19"/>
      <c r="Y482" s="19">
        <f t="shared" ca="1" si="294"/>
        <v>1920000</v>
      </c>
      <c r="Z482" s="2">
        <f ca="1">IF(MIN($Z$4:Z481)=0,0,MAX(0,($Z481+$K482-$O482-$P482)*IF(AND(F482="F",$D$3&lt;&gt;$G$3),((1+(-J482))^(H482/MIN(G482,365))),((1+(-J482))^(1/12)))-$U482))</f>
        <v>247800.28782574978</v>
      </c>
      <c r="AA482" s="2">
        <f ca="1">IF(MIN($AA$4:AA481)=0,0,MAX(0,($AA481+$K482-$O482-$P482)*IF(AND(F482="F",$D$3&lt;&gt;$G$3),((1+$AA$1)^(H482/MIN(G482,365))),((1+$AA$1)^(1/12)))-$U482))</f>
        <v>1920000</v>
      </c>
      <c r="AB482" s="2">
        <f ca="1">IF(MIN($AB$4:AB481)=0,0,MAX(0,($AB481+$K482-$O482-$P482)*IF(AND(F482="F",$D$3&lt;&gt;$G$3),((1+(J482))^(H482/MIN(G482,365))),((1+(J482))^(1/12)))-$U482))</f>
        <v>13461932.746901622</v>
      </c>
      <c r="AC482" s="5"/>
      <c r="AD482" s="5"/>
      <c r="AE482" s="5"/>
      <c r="AF482" s="282">
        <f t="shared" ca="1" si="277"/>
        <v>247800</v>
      </c>
      <c r="AG482" s="282">
        <f t="shared" ca="1" si="278"/>
        <v>1920000</v>
      </c>
      <c r="AH482" s="282">
        <f t="shared" ca="1" si="279"/>
        <v>13461933</v>
      </c>
      <c r="AI482" s="23" t="str">
        <f t="shared" ca="1" si="295"/>
        <v>40-12</v>
      </c>
      <c r="AJ482" s="282">
        <f ca="1">IF(E482&gt;111,,IF(AND(OP!$C$99=1,T482="F"),Z482,IF(AND(OP!$C$99=2,COUNTIF($T$4:T482,"F")=1),OP!$C$97+IF(F482="F",OP!$C$98,0),"")))</f>
        <v>54527</v>
      </c>
      <c r="AK482" s="282">
        <f ca="1">IF(E482&gt;111,,IF(AND(OP!$D$99=1,T482="F"),AA482,IF(AND(OP!$D$99=2,COUNTIF($T$4:T482,"F")=1),OP!$D$97+IF(F482="F",OP!$D$98,0),"")))</f>
        <v>74177</v>
      </c>
      <c r="AL482" s="282">
        <f ca="1">IF(E482&gt;111,,IF(AND(OP!$E$99=1,T482="F"),AB482,IF(AND(OP!$E$99=2,COUNTIF($T$4:T482,"F")=1),OP!$E$97+IF(F482="F",OP!$E$98,0),"")))</f>
        <v>99404</v>
      </c>
      <c r="AM482" s="1">
        <f t="shared" ca="1" si="269"/>
        <v>12</v>
      </c>
      <c r="AN482" s="1" t="e">
        <f ca="1">IF(OR(VLOOKUP($A482,MP,5,0)="月繳"),1,"")</f>
        <v>#N/A</v>
      </c>
      <c r="AO482" s="1">
        <f t="shared" ca="1" si="280"/>
        <v>0</v>
      </c>
      <c r="AP482" s="1" t="str">
        <f ca="1">IF(AND(A482&lt;=OP!$C$120,COUNTIF(PAY,C482)=1),1,"")</f>
        <v/>
      </c>
      <c r="AR482" s="301">
        <f ca="1">IF(繳費報酬率資料!$A$1=1,$AY482+$AZ482,$BF482+$BG482)</f>
        <v>0</v>
      </c>
      <c r="AS482" s="1">
        <f ca="1">IF(C482&lt;&gt;IF($C$3=1,12,$C$3-1),0,IF(繳費報酬率資料!$A$1&lt;&gt;1,VLOOKUP($A482,MP,8,0),IF(AND($A482&gt;=OP!$C$79,$A482&lt;=OP!$C$80),OP!$C$78,)))</f>
        <v>0</v>
      </c>
      <c r="AT482" s="298">
        <f t="shared" ca="1" si="281"/>
        <v>0</v>
      </c>
      <c r="AU482" s="298">
        <f ca="1">IF(AND(A482&lt;=OP!$C$120,COUNTIF(PAY,C482)=1),OP!$C$123,0)</f>
        <v>0</v>
      </c>
      <c r="AV482" s="298">
        <f ca="1">IF(AND(A482&gt;=OP!$C$132,A482&lt;=OP!$C$133,$C$3=C482),OP!$C$135,0)</f>
        <v>0</v>
      </c>
      <c r="AW482" s="180">
        <f t="shared" ca="1" si="282"/>
        <v>0.05</v>
      </c>
      <c r="AX482" s="180">
        <f t="shared" ca="1" si="283"/>
        <v>0.05</v>
      </c>
      <c r="AY482" s="286">
        <f t="shared" ca="1" si="284"/>
        <v>0</v>
      </c>
      <c r="AZ482" s="286">
        <f t="shared" ca="1" si="285"/>
        <v>0</v>
      </c>
      <c r="BA482" s="286">
        <f t="shared" ca="1" si="286"/>
        <v>0</v>
      </c>
      <c r="BB482" s="286">
        <f t="shared" ca="1" si="287"/>
        <v>0</v>
      </c>
      <c r="BC482" s="286">
        <f t="shared" ca="1" si="288"/>
        <v>0</v>
      </c>
      <c r="BD482" s="180">
        <f t="shared" ca="1" si="289"/>
        <v>0.05</v>
      </c>
      <c r="BE482" s="180">
        <f t="shared" ca="1" si="290"/>
        <v>0.05</v>
      </c>
      <c r="BF482" s="286">
        <f t="shared" ca="1" si="291"/>
        <v>0</v>
      </c>
      <c r="BG482" s="286">
        <f t="shared" ca="1" si="292"/>
        <v>0</v>
      </c>
    </row>
    <row r="483" spans="1:59">
      <c r="A483" s="1">
        <f t="shared" ca="1" si="272"/>
        <v>40</v>
      </c>
      <c r="B483" s="1">
        <f t="shared" ca="1" si="265"/>
        <v>146</v>
      </c>
      <c r="C483" s="1">
        <f t="shared" ca="1" si="266"/>
        <v>5</v>
      </c>
      <c r="D483" s="1">
        <f ca="1">MIN($D$3,VLOOKUP(C483,OP!$S$30:$T$41,2))</f>
        <v>2</v>
      </c>
      <c r="E483" s="1">
        <f t="shared" ca="1" si="267"/>
        <v>94</v>
      </c>
      <c r="F483" s="11" t="str">
        <f t="shared" ca="1" si="273"/>
        <v/>
      </c>
      <c r="G483" s="8">
        <f t="shared" ca="1" si="297"/>
        <v>365</v>
      </c>
      <c r="H483" s="8">
        <f t="shared" ca="1" si="274"/>
        <v>31</v>
      </c>
      <c r="I483" s="8" t="str">
        <f t="shared" ca="1" si="271"/>
        <v>405</v>
      </c>
      <c r="J483" s="13">
        <f>IF(繳費報酬率資料!$A$1=1,VALUE(OP!$C$121),VLOOKUP(A483,MP,2,0))</f>
        <v>0.05</v>
      </c>
      <c r="K483" s="14">
        <f ca="1">IF(SUM($K$4:K482,IF(繳費報酬率資料!$A$1=1,$AU483+$AV483,$BB483+$BC483))&gt;OP!$L$58,0,IF(繳費報酬率資料!$A$1=1,$AU483+$AV483,$BB483+$BC483))</f>
        <v>0</v>
      </c>
      <c r="L483" s="2">
        <f ca="1">ROUND(IF(OP!$C$78&lt;(IF(OR($T483="F",$E483&gt;=111),0,Z482+$K483-$O483+IF($C$1=1,OP!$C$78,IF($C484=$C$3,SUM(AC472:AC483,0)))))*5%,0,(OP!$C$78-((IF(OR($T483="F",$E483&gt;=111),0,Z482+$K483-$O483+IF($C$1=1,AC483,IF($C484=$C$3,SUM(AC472:AC483,0)))))*5%))*$Q483),0)</f>
        <v>0</v>
      </c>
      <c r="M483" s="2">
        <f ca="1">ROUND(IF(OP!$C$78&lt;(IF(OR($T483="F",$E483&gt;=111),0,AA482+$K483-$O483+IF($C$1=1,AD483,IF($C484=$C$3,SUM(AD472:AD483,0)))))*5%,0,(OP!$C$78-((IF(OR($T483="F",$E483&gt;=111),0,AA482+$K483-$O483+IF($C$1=1,AD483,IF($C484=$C$3,SUM(AD472:AD483,0)))))*5%))*$Q483),0)</f>
        <v>0</v>
      </c>
      <c r="N483" s="2">
        <f ca="1">ROUND(IF(OP!$C$78&lt;(IF(OR($T483="F",$E483&gt;=111),0,AB482+$K483-$O483+IF($C$1=1,AE483,IF($C484=$C$3,SUM(AE472:AE483,0)))))*5%,0,(OP!$C$78-((IF(OR($T483="F",$E483&gt;=111),0,AB482+$K483-$O483+IF($C$1=1,AE483,IF($C484=$C$3,SUM(AE472:AE483,0)))))*5%))*$Q483),0)</f>
        <v>0</v>
      </c>
      <c r="O483" s="261">
        <f t="shared" ca="1" si="275"/>
        <v>0</v>
      </c>
      <c r="P483" s="261">
        <f t="shared" ca="1" si="293"/>
        <v>0</v>
      </c>
      <c r="Q483" s="3">
        <f ca="1">IF(A483&gt;MAX(OP!$R$17:$R$26),0,VLOOKUP(A483,fees,3,FALSE))</f>
        <v>0</v>
      </c>
      <c r="R483" s="200">
        <f t="shared" ca="1" si="276"/>
        <v>40</v>
      </c>
      <c r="S483" s="9" t="str">
        <f ca="1">IF(COUNTIF(($T$4:T482),"F")&gt;=1,"",IF(OR(C484&lt;&gt;$C$3,E483=""),"",A483))</f>
        <v/>
      </c>
      <c r="T483" s="20" t="str">
        <f t="shared" ca="1" si="268"/>
        <v/>
      </c>
      <c r="U483" s="2">
        <f ca="1">IF(IF(OP!$C$83=1,$Z482,IF(OP!$C$83=2,$AA482,IF(OP!$C$83=3,$AB482,)))+$K483-$O483-$P483-$AS483&lt;OP!$C$142,0,$AS483)</f>
        <v>0</v>
      </c>
      <c r="V483" s="19">
        <f ca="1">SUM(K472:K483)</f>
        <v>0</v>
      </c>
      <c r="W483" s="19">
        <f ca="1">MAX(SUM($K$4:K483),0)</f>
        <v>2000000</v>
      </c>
      <c r="X483" s="19">
        <f ca="1">SUM(O472:P483)</f>
        <v>0</v>
      </c>
      <c r="Y483" s="19">
        <f t="shared" ca="1" si="294"/>
        <v>1920000</v>
      </c>
      <c r="Z483" s="2">
        <f ca="1">IF(MIN($Z$4:Z482)=0,0,MAX(0,($Z482+$K483-$O483-$P483)*IF(AND(F483="F",$D$3&lt;&gt;$G$3),((1+(-J483))^(H483/MIN(G483,365))),((1+(-J483))^(1/12)))-$U483))</f>
        <v>246743.34060500166</v>
      </c>
      <c r="AA483" s="2">
        <f ca="1">IF(MIN($AA$4:AA482)=0,0,MAX(0,($AA482+$K483-$O483-$P483)*IF(AND(F483="F",$D$3&lt;&gt;$G$3),((1+$AA$1)^(H483/MIN(G483,365))),((1+$AA$1)^(1/12)))-$U483))</f>
        <v>1920000</v>
      </c>
      <c r="AB483" s="2">
        <f ca="1">IF(MIN($AB$4:AB482)=0,0,MAX(0,($AB482+$K483-$O483-$P483)*IF(AND(F483="F",$D$3&lt;&gt;$G$3),((1+(J483))^(H483/MIN(G483,365))),((1+(J483))^(1/12)))-$U483))</f>
        <v>13516778.327279648</v>
      </c>
      <c r="AC483" s="5"/>
      <c r="AD483" s="5"/>
      <c r="AE483" s="5"/>
      <c r="AF483" s="282">
        <f t="shared" ca="1" si="277"/>
        <v>246743</v>
      </c>
      <c r="AG483" s="282">
        <f t="shared" ca="1" si="278"/>
        <v>1920000</v>
      </c>
      <c r="AH483" s="282">
        <f t="shared" ca="1" si="279"/>
        <v>13516778</v>
      </c>
      <c r="AI483" s="23" t="str">
        <f t="shared" ca="1" si="295"/>
        <v>41-1</v>
      </c>
      <c r="AJ483" s="282">
        <f ca="1">IF(E483&gt;111,,IF(AND(OP!$C$99=1,T483="F"),Z483,IF(AND(OP!$C$99=2,COUNTIF($T$4:T483,"F")=1),OP!$C$97+IF(F483="F",OP!$C$98,0),"")))</f>
        <v>54527</v>
      </c>
      <c r="AK483" s="282">
        <f ca="1">IF(E483&gt;111,,IF(AND(OP!$D$99=1,T483="F"),AA483,IF(AND(OP!$D$99=2,COUNTIF($T$4:T483,"F")=1),OP!$D$97+IF(F483="F",OP!$D$98,0),"")))</f>
        <v>74177</v>
      </c>
      <c r="AL483" s="282">
        <f ca="1">IF(E483&gt;111,,IF(AND(OP!$E$99=1,T483="F"),AB483,IF(AND(OP!$E$99=2,COUNTIF($T$4:T483,"F")=1),OP!$E$97+IF(F483="F",OP!$E$98,0),"")))</f>
        <v>99404</v>
      </c>
      <c r="AM483" s="1">
        <f t="shared" ca="1" si="269"/>
        <v>1</v>
      </c>
      <c r="AN483" s="1" t="e">
        <f ca="1">IF(OR(VLOOKUP($A483,MP,5,0)="月繳"),1,"")</f>
        <v>#N/A</v>
      </c>
      <c r="AO483" s="1">
        <f t="shared" ca="1" si="280"/>
        <v>0</v>
      </c>
      <c r="AP483" s="1" t="str">
        <f ca="1">IF(AND(A483&lt;=OP!$C$120,COUNTIF(PAY,C483)=1),1,"")</f>
        <v/>
      </c>
      <c r="AR483" s="301">
        <f ca="1">IF(繳費報酬率資料!$A$1=1,$AY483+$AZ483,$BF483+$BG483)</f>
        <v>0</v>
      </c>
      <c r="AS483" s="1">
        <f ca="1">IF(C483&lt;&gt;IF($C$3=1,12,$C$3-1),0,IF(繳費報酬率資料!$A$1&lt;&gt;1,VLOOKUP($A483,MP,8,0),IF(AND($A483&gt;=OP!$C$79,$A483&lt;=OP!$C$80),OP!$C$78,)))</f>
        <v>0</v>
      </c>
      <c r="AT483" s="298">
        <f t="shared" ca="1" si="281"/>
        <v>0</v>
      </c>
      <c r="AU483" s="298">
        <f ca="1">IF(AND(A483&lt;=OP!$C$120,COUNTIF(PAY,C483)=1),OP!$C$123,0)</f>
        <v>0</v>
      </c>
      <c r="AV483" s="298">
        <f ca="1">IF(AND(A483&gt;=OP!$C$132,A483&lt;=OP!$C$133,$C$3=C483),OP!$C$135,0)</f>
        <v>0</v>
      </c>
      <c r="AW483" s="180">
        <f t="shared" ca="1" si="282"/>
        <v>0.05</v>
      </c>
      <c r="AX483" s="180">
        <f t="shared" ca="1" si="283"/>
        <v>0.05</v>
      </c>
      <c r="AY483" s="286">
        <f t="shared" ca="1" si="284"/>
        <v>0</v>
      </c>
      <c r="AZ483" s="286">
        <f t="shared" ca="1" si="285"/>
        <v>0</v>
      </c>
      <c r="BA483" s="286">
        <f t="shared" ca="1" si="286"/>
        <v>0</v>
      </c>
      <c r="BB483" s="286">
        <f t="shared" ca="1" si="287"/>
        <v>0</v>
      </c>
      <c r="BC483" s="286">
        <f t="shared" ca="1" si="288"/>
        <v>0</v>
      </c>
      <c r="BD483" s="180">
        <f t="shared" ca="1" si="289"/>
        <v>0.05</v>
      </c>
      <c r="BE483" s="180">
        <f t="shared" ca="1" si="290"/>
        <v>0.05</v>
      </c>
      <c r="BF483" s="286">
        <f t="shared" ca="1" si="291"/>
        <v>0</v>
      </c>
      <c r="BG483" s="286">
        <f t="shared" ca="1" si="292"/>
        <v>0</v>
      </c>
    </row>
    <row r="484" spans="1:59">
      <c r="A484" s="1">
        <f t="shared" ca="1" si="272"/>
        <v>41</v>
      </c>
      <c r="B484" s="1">
        <f t="shared" ca="1" si="265"/>
        <v>146</v>
      </c>
      <c r="C484" s="1">
        <f t="shared" ca="1" si="266"/>
        <v>6</v>
      </c>
      <c r="D484" s="1">
        <f ca="1">MIN($D$3,VLOOKUP(C484,OP!$S$30:$T$41,2))</f>
        <v>2</v>
      </c>
      <c r="E484" s="1">
        <f t="shared" ca="1" si="267"/>
        <v>95</v>
      </c>
      <c r="F484" s="11" t="str">
        <f t="shared" ca="1" si="273"/>
        <v/>
      </c>
      <c r="G484" s="6">
        <f ca="1">DATEDIF(DATE(B484+1911,C484,D484),DATE(B496+1911,C496,D496),"d")</f>
        <v>365</v>
      </c>
      <c r="H484" s="8">
        <f t="shared" ca="1" si="274"/>
        <v>30</v>
      </c>
      <c r="I484" s="8" t="str">
        <f t="shared" ca="1" si="271"/>
        <v>416</v>
      </c>
      <c r="J484" s="13">
        <f>IF(繳費報酬率資料!$A$1=1,VALUE(OP!$C$121),VLOOKUP(A484,MP,2,0))</f>
        <v>0.05</v>
      </c>
      <c r="K484" s="14">
        <f ca="1">IF(SUM($K$4:K483,IF(繳費報酬率資料!$A$1=1,$AU484+$AV484,$BB484+$BC484))&gt;OP!$L$58,0,IF(繳費報酬率資料!$A$1=1,$AU484+$AV484,$BB484+$BC484))</f>
        <v>0</v>
      </c>
      <c r="L484" s="2"/>
      <c r="M484" s="2"/>
      <c r="N484" s="2"/>
      <c r="O484" s="261">
        <f t="shared" ca="1" si="275"/>
        <v>0</v>
      </c>
      <c r="P484" s="261">
        <f t="shared" ca="1" si="293"/>
        <v>0</v>
      </c>
      <c r="Q484" s="3">
        <f ca="1">IF(A484&gt;MAX(OP!$R$17:$R$26),0,VLOOKUP(A484,fees,3,FALSE))</f>
        <v>0</v>
      </c>
      <c r="R484" s="200" t="str">
        <f t="shared" ca="1" si="276"/>
        <v/>
      </c>
      <c r="S484" s="9" t="str">
        <f ca="1">IF(COUNTIF(($T$4:T483),"F")&gt;=1,"",IF(OR(C485&lt;&gt;$C$3,E484=""),"",A484))</f>
        <v/>
      </c>
      <c r="T484" s="20" t="str">
        <f t="shared" ca="1" si="268"/>
        <v/>
      </c>
      <c r="U484" s="2">
        <f ca="1">IF(IF(OP!$C$83=1,$Z483,IF(OP!$C$83=2,$AA483,IF(OP!$C$83=3,$AB483,)))+$K484-$O484-$P484-$AS484&lt;OP!$C$142,0,$AS484)</f>
        <v>0</v>
      </c>
      <c r="V484" s="9"/>
      <c r="W484" s="19">
        <f ca="1">MAX(SUM($K$4:K484),0)</f>
        <v>2000000</v>
      </c>
      <c r="X484" s="19"/>
      <c r="Y484" s="19">
        <f t="shared" ca="1" si="294"/>
        <v>1920000</v>
      </c>
      <c r="Z484" s="2">
        <f ca="1">IF(MIN($Z$4:Z483)=0,0,MAX(0,($Z483+$K484-$O484-$P484)*IF(AND(F484="F",$D$3&lt;&gt;$G$3),((1+(-J484))^(H484/MIN(G484,365))),((1+(-J484))^(1/12)))-$U484))</f>
        <v>245690.9016010811</v>
      </c>
      <c r="AA484" s="2">
        <f ca="1">IF(MIN($AA$4:AA483)=0,0,MAX(0,($AA483+$K484-$O484-$P484)*IF(AND(F484="F",$D$3&lt;&gt;$G$3),((1+$AA$1)^(H484/MIN(G484,365))),((1+$AA$1)^(1/12)))-$U484))</f>
        <v>1920000</v>
      </c>
      <c r="AB484" s="2">
        <f ca="1">IF(MIN($AB$4:AB483)=0,0,MAX(0,($AB483+$K484-$O484-$P484)*IF(AND(F484="F",$D$3&lt;&gt;$G$3),((1+(J484))^(H484/MIN(G484,365))),((1+(J484))^(1/12)))-$U484))</f>
        <v>13571847.35534112</v>
      </c>
      <c r="AC484" s="21"/>
      <c r="AD484" s="21"/>
      <c r="AE484" s="21"/>
      <c r="AF484" s="282">
        <f t="shared" ca="1" si="277"/>
        <v>245691</v>
      </c>
      <c r="AG484" s="282">
        <f t="shared" ca="1" si="278"/>
        <v>1920000</v>
      </c>
      <c r="AH484" s="282">
        <f t="shared" ca="1" si="279"/>
        <v>13571847</v>
      </c>
      <c r="AI484" s="23" t="str">
        <f t="shared" ca="1" si="295"/>
        <v>41-2</v>
      </c>
      <c r="AJ484" s="281">
        <f ca="1">IF(E484&gt;111,,IF(AND(OP!$C$99=1,T484="F"),Z484,IF(AND(OP!$C$99=2,COUNTIF($T$4:T484,"F")=1),OP!$C$97+IF(F484="F",OP!$C$98,0),"")))</f>
        <v>54527</v>
      </c>
      <c r="AK484" s="281">
        <f ca="1">IF(E484&gt;111,,IF(AND(OP!$D$99=1,T484="F"),AA484,IF(AND(OP!$D$99=2,COUNTIF($T$4:T484,"F")=1),OP!$D$97+IF(F484="F",OP!$D$98,0),"")))</f>
        <v>74177</v>
      </c>
      <c r="AL484" s="281">
        <f ca="1">IF(E484&gt;111,,IF(AND(OP!$E$99=1,T484="F"),AB484,IF(AND(OP!$E$99=2,COUNTIF($T$4:T484,"F")=1),OP!$E$97+IF(F484="F",OP!$E$98,0),"")))</f>
        <v>99404</v>
      </c>
      <c r="AM484" s="1">
        <f t="shared" ca="1" si="269"/>
        <v>2</v>
      </c>
      <c r="AN484" s="1" t="e">
        <f ca="1">IF(OR(VLOOKUP($A484,MP,5,0)="年繳",VLOOKUP($A484,MP,5,0)="半年繳",VLOOKUP($A484,MP,5,0)="季繳",VLOOKUP($A484,MP,5,0)="月繳"),1,"")</f>
        <v>#N/A</v>
      </c>
      <c r="AO484" s="1">
        <f t="shared" ca="1" si="280"/>
        <v>0</v>
      </c>
      <c r="AP484" s="1" t="str">
        <f ca="1">IF(AND(A484&lt;=OP!$C$120,COUNTIF(PAY,C484)=1),1,"")</f>
        <v/>
      </c>
      <c r="AR484" s="301">
        <f ca="1">IF(繳費報酬率資料!$A$1=1,$AY484+$AZ484,$BF484+$BG484)</f>
        <v>0</v>
      </c>
      <c r="AS484" s="1">
        <f ca="1">IF(C484&lt;&gt;IF($C$3=1,12,$C$3-1),0,IF(繳費報酬率資料!$A$1&lt;&gt;1,VLOOKUP($A484,MP,8,0),IF(AND($A484&gt;=OP!$C$79,$A484&lt;=OP!$C$80),OP!$C$78,)))</f>
        <v>0</v>
      </c>
      <c r="AT484" s="298">
        <f t="shared" ca="1" si="281"/>
        <v>0</v>
      </c>
      <c r="AU484" s="298">
        <f ca="1">IF(AND(A484&lt;=OP!$C$120,COUNTIF(PAY,C484)=1),OP!$C$123,0)</f>
        <v>0</v>
      </c>
      <c r="AV484" s="298">
        <f ca="1">IF(AND(A484&gt;=OP!$C$132,A484&lt;=OP!$C$133,$C$3=C484),OP!$C$135,0)</f>
        <v>0</v>
      </c>
      <c r="AW484" s="180">
        <f t="shared" ca="1" si="282"/>
        <v>0.05</v>
      </c>
      <c r="AX484" s="180">
        <f t="shared" ca="1" si="283"/>
        <v>0.05</v>
      </c>
      <c r="AY484" s="286">
        <f t="shared" ca="1" si="284"/>
        <v>0</v>
      </c>
      <c r="AZ484" s="286">
        <f t="shared" ca="1" si="285"/>
        <v>0</v>
      </c>
      <c r="BA484" s="286">
        <f t="shared" ca="1" si="286"/>
        <v>0</v>
      </c>
      <c r="BB484" s="286">
        <f t="shared" ca="1" si="287"/>
        <v>0</v>
      </c>
      <c r="BC484" s="286">
        <f t="shared" ca="1" si="288"/>
        <v>0</v>
      </c>
      <c r="BD484" s="180">
        <f t="shared" ca="1" si="289"/>
        <v>0.05</v>
      </c>
      <c r="BE484" s="180">
        <f t="shared" ca="1" si="290"/>
        <v>0.05</v>
      </c>
      <c r="BF484" s="286">
        <f t="shared" ca="1" si="291"/>
        <v>0</v>
      </c>
      <c r="BG484" s="286">
        <f t="shared" ca="1" si="292"/>
        <v>0</v>
      </c>
    </row>
    <row r="485" spans="1:59">
      <c r="A485" s="1">
        <f t="shared" ca="1" si="272"/>
        <v>41</v>
      </c>
      <c r="B485" s="1">
        <f t="shared" ca="1" si="265"/>
        <v>146</v>
      </c>
      <c r="C485" s="1">
        <f t="shared" ca="1" si="266"/>
        <v>7</v>
      </c>
      <c r="D485" s="1">
        <f ca="1">MIN($D$3,VLOOKUP(C485,OP!$S$30:$T$41,2))</f>
        <v>2</v>
      </c>
      <c r="E485" s="1">
        <f t="shared" ca="1" si="267"/>
        <v>95</v>
      </c>
      <c r="F485" s="11" t="str">
        <f t="shared" ca="1" si="273"/>
        <v/>
      </c>
      <c r="G485" s="8">
        <f t="shared" ref="G485:G495" ca="1" si="298">G484</f>
        <v>365</v>
      </c>
      <c r="H485" s="8">
        <f t="shared" ca="1" si="274"/>
        <v>31</v>
      </c>
      <c r="I485" s="8" t="str">
        <f t="shared" ca="1" si="271"/>
        <v>417</v>
      </c>
      <c r="J485" s="13">
        <f>IF(繳費報酬率資料!$A$1=1,VALUE(OP!$C$121),VLOOKUP(A485,MP,2,0))</f>
        <v>0.05</v>
      </c>
      <c r="K485" s="14">
        <f ca="1">IF(SUM($K$4:K484,IF(繳費報酬率資料!$A$1=1,$AU485+$AV485,$BB485+$BC485))&gt;OP!$L$58,0,IF(繳費報酬率資料!$A$1=1,$AU485+$AV485,$BB485+$BC485))</f>
        <v>0</v>
      </c>
      <c r="L485" s="2"/>
      <c r="M485" s="2"/>
      <c r="N485" s="2"/>
      <c r="O485" s="261">
        <f t="shared" ca="1" si="275"/>
        <v>0</v>
      </c>
      <c r="P485" s="261">
        <f t="shared" ca="1" si="293"/>
        <v>0</v>
      </c>
      <c r="Q485" s="3">
        <f ca="1">IF(A485&gt;MAX(OP!$R$17:$R$26),0,VLOOKUP(A485,fees,3,FALSE))</f>
        <v>0</v>
      </c>
      <c r="R485" s="200" t="str">
        <f t="shared" ca="1" si="276"/>
        <v/>
      </c>
      <c r="S485" s="9" t="str">
        <f ca="1">IF(COUNTIF(($T$4:T484),"F")&gt;=1,"",IF(OR(C486&lt;&gt;$C$3,E485=""),"",A485))</f>
        <v/>
      </c>
      <c r="T485" s="20" t="str">
        <f t="shared" ca="1" si="268"/>
        <v/>
      </c>
      <c r="U485" s="2">
        <f ca="1">IF(IF(OP!$C$83=1,$Z484,IF(OP!$C$83=2,$AA484,IF(OP!$C$83=3,$AB484,)))+$K485-$O485-$P485-$AS485&lt;OP!$C$142,0,$AS485)</f>
        <v>0</v>
      </c>
      <c r="V485" s="9"/>
      <c r="W485" s="19">
        <f ca="1">MAX(SUM($K$4:K485),0)</f>
        <v>2000000</v>
      </c>
      <c r="X485" s="19"/>
      <c r="Y485" s="19">
        <f t="shared" ca="1" si="294"/>
        <v>1920000</v>
      </c>
      <c r="Z485" s="2">
        <f ca="1">IF(MIN($Z$4:Z484)=0,0,MAX(0,($Z484+$K485-$O485-$P485)*IF(AND(F485="F",$D$3&lt;&gt;$G$3),((1+(-J485))^(H485/MIN(G485,365))),((1+(-J485))^(1/12)))-$U485))</f>
        <v>244642.9515850062</v>
      </c>
      <c r="AA485" s="2">
        <f ca="1">IF(MIN($AA$4:AA484)=0,0,MAX(0,($AA484+$K485-$O485-$P485)*IF(AND(F485="F",$D$3&lt;&gt;$G$3),((1+$AA$1)^(H485/MIN(G485,365))),((1+$AA$1)^(1/12)))-$U485))</f>
        <v>1920000</v>
      </c>
      <c r="AB485" s="2">
        <f ca="1">IF(MIN($AB$4:AB484)=0,0,MAX(0,($AB484+$K485-$O485-$P485)*IF(AND(F485="F",$D$3&lt;&gt;$G$3),((1+(J485))^(H485/MIN(G485,365))),((1+(J485))^(1/12)))-$U485))</f>
        <v>13627140.74143956</v>
      </c>
      <c r="AC485" s="5"/>
      <c r="AD485" s="5"/>
      <c r="AE485" s="5"/>
      <c r="AF485" s="282">
        <f t="shared" ca="1" si="277"/>
        <v>244643</v>
      </c>
      <c r="AG485" s="282">
        <f t="shared" ca="1" si="278"/>
        <v>1920000</v>
      </c>
      <c r="AH485" s="282">
        <f t="shared" ca="1" si="279"/>
        <v>13627141</v>
      </c>
      <c r="AI485" s="23" t="str">
        <f t="shared" ca="1" si="295"/>
        <v>41-3</v>
      </c>
      <c r="AJ485" s="282">
        <f ca="1">IF(E485&gt;111,,IF(AND(OP!$C$99=1,T485="F"),Z485,IF(AND(OP!$C$99=2,COUNTIF($T$4:T485,"F")=1),OP!$C$97+IF(F485="F",OP!$C$98,0),"")))</f>
        <v>54527</v>
      </c>
      <c r="AK485" s="282">
        <f ca="1">IF(E485&gt;111,,IF(AND(OP!$D$99=1,T485="F"),AA485,IF(AND(OP!$D$99=2,COUNTIF($T$4:T485,"F")=1),OP!$D$97+IF(F485="F",OP!$D$98,0),"")))</f>
        <v>74177</v>
      </c>
      <c r="AL485" s="282">
        <f ca="1">IF(E485&gt;111,,IF(AND(OP!$E$99=1,T485="F"),AB485,IF(AND(OP!$E$99=2,COUNTIF($T$4:T485,"F")=1),OP!$E$97+IF(F485="F",OP!$E$98,0),"")))</f>
        <v>99404</v>
      </c>
      <c r="AM485" s="1">
        <f t="shared" ca="1" si="269"/>
        <v>3</v>
      </c>
      <c r="AN485" s="1" t="e">
        <f ca="1">IF(OR(VLOOKUP($A485,MP,5,0)="月繳"),1,"")</f>
        <v>#N/A</v>
      </c>
      <c r="AO485" s="1">
        <f t="shared" ca="1" si="280"/>
        <v>0</v>
      </c>
      <c r="AP485" s="1" t="str">
        <f ca="1">IF(AND(A485&lt;=OP!$C$120,COUNTIF(PAY,C485)=1),1,"")</f>
        <v/>
      </c>
      <c r="AR485" s="301">
        <f ca="1">IF(繳費報酬率資料!$A$1=1,$AY485+$AZ485,$BF485+$BG485)</f>
        <v>0</v>
      </c>
      <c r="AS485" s="1">
        <f ca="1">IF(C485&lt;&gt;IF($C$3=1,12,$C$3-1),0,IF(繳費報酬率資料!$A$1&lt;&gt;1,VLOOKUP($A485,MP,8,0),IF(AND($A485&gt;=OP!$C$79,$A485&lt;=OP!$C$80),OP!$C$78,)))</f>
        <v>0</v>
      </c>
      <c r="AT485" s="298">
        <f t="shared" ca="1" si="281"/>
        <v>0</v>
      </c>
      <c r="AU485" s="298">
        <f ca="1">IF(AND(A485&lt;=OP!$C$120,COUNTIF(PAY,C485)=1),OP!$C$123,0)</f>
        <v>0</v>
      </c>
      <c r="AV485" s="298">
        <f ca="1">IF(AND(A485&gt;=OP!$C$132,A485&lt;=OP!$C$133,$C$3=C485),OP!$C$135,0)</f>
        <v>0</v>
      </c>
      <c r="AW485" s="180">
        <f t="shared" ca="1" si="282"/>
        <v>0.05</v>
      </c>
      <c r="AX485" s="180">
        <f t="shared" ca="1" si="283"/>
        <v>0.05</v>
      </c>
      <c r="AY485" s="286">
        <f t="shared" ca="1" si="284"/>
        <v>0</v>
      </c>
      <c r="AZ485" s="286">
        <f t="shared" ca="1" si="285"/>
        <v>0</v>
      </c>
      <c r="BA485" s="286">
        <f t="shared" ca="1" si="286"/>
        <v>0</v>
      </c>
      <c r="BB485" s="286">
        <f t="shared" ca="1" si="287"/>
        <v>0</v>
      </c>
      <c r="BC485" s="286">
        <f t="shared" ca="1" si="288"/>
        <v>0</v>
      </c>
      <c r="BD485" s="180">
        <f t="shared" ca="1" si="289"/>
        <v>0.05</v>
      </c>
      <c r="BE485" s="180">
        <f t="shared" ca="1" si="290"/>
        <v>0.05</v>
      </c>
      <c r="BF485" s="286">
        <f t="shared" ca="1" si="291"/>
        <v>0</v>
      </c>
      <c r="BG485" s="286">
        <f t="shared" ca="1" si="292"/>
        <v>0</v>
      </c>
    </row>
    <row r="486" spans="1:59">
      <c r="A486" s="1">
        <f t="shared" ca="1" si="272"/>
        <v>41</v>
      </c>
      <c r="B486" s="1">
        <f t="shared" ca="1" si="265"/>
        <v>146</v>
      </c>
      <c r="C486" s="1">
        <f t="shared" ca="1" si="266"/>
        <v>8</v>
      </c>
      <c r="D486" s="1">
        <f ca="1">MIN($D$3,VLOOKUP(C486,OP!$S$30:$T$41,2))</f>
        <v>2</v>
      </c>
      <c r="E486" s="1">
        <f t="shared" ca="1" si="267"/>
        <v>95</v>
      </c>
      <c r="F486" s="11" t="str">
        <f t="shared" ca="1" si="273"/>
        <v/>
      </c>
      <c r="G486" s="8">
        <f t="shared" ca="1" si="298"/>
        <v>365</v>
      </c>
      <c r="H486" s="8">
        <f t="shared" ca="1" si="274"/>
        <v>31</v>
      </c>
      <c r="I486" s="8" t="str">
        <f t="shared" ca="1" si="271"/>
        <v>418</v>
      </c>
      <c r="J486" s="13">
        <f>IF(繳費報酬率資料!$A$1=1,VALUE(OP!$C$121),VLOOKUP(A486,MP,2,0))</f>
        <v>0.05</v>
      </c>
      <c r="K486" s="14">
        <f ca="1">IF(SUM($K$4:K485,IF(繳費報酬率資料!$A$1=1,$AU486+$AV486,$BB486+$BC486))&gt;OP!$L$58,0,IF(繳費報酬率資料!$A$1=1,$AU486+$AV486,$BB486+$BC486))</f>
        <v>0</v>
      </c>
      <c r="L486" s="2"/>
      <c r="M486" s="2"/>
      <c r="N486" s="2"/>
      <c r="O486" s="261">
        <f t="shared" ca="1" si="275"/>
        <v>0</v>
      </c>
      <c r="P486" s="261">
        <f t="shared" ca="1" si="293"/>
        <v>0</v>
      </c>
      <c r="Q486" s="3">
        <f ca="1">IF(A486&gt;MAX(OP!$R$17:$R$26),0,VLOOKUP(A486,fees,3,FALSE))</f>
        <v>0</v>
      </c>
      <c r="R486" s="200" t="str">
        <f t="shared" ca="1" si="276"/>
        <v/>
      </c>
      <c r="S486" s="9" t="str">
        <f ca="1">IF(COUNTIF(($T$4:T485),"F")&gt;=1,"",IF(OR(C487&lt;&gt;$C$3,E486=""),"",A486))</f>
        <v/>
      </c>
      <c r="T486" s="20" t="str">
        <f t="shared" ca="1" si="268"/>
        <v/>
      </c>
      <c r="U486" s="2">
        <f ca="1">IF(IF(OP!$C$83=1,$Z485,IF(OP!$C$83=2,$AA485,IF(OP!$C$83=3,$AB485,)))+$K486-$O486-$P486-$AS486&lt;OP!$C$142,0,$AS486)</f>
        <v>0</v>
      </c>
      <c r="V486" s="9"/>
      <c r="W486" s="19">
        <f ca="1">MAX(SUM($K$4:K486),0)</f>
        <v>2000000</v>
      </c>
      <c r="X486" s="19"/>
      <c r="Y486" s="19">
        <f t="shared" ca="1" si="294"/>
        <v>1920000</v>
      </c>
      <c r="Z486" s="2">
        <f ca="1">IF(MIN($Z$4:Z485)=0,0,MAX(0,($Z485+$K486-$O486-$P486)*IF(AND(F486="F",$D$3&lt;&gt;$G$3),((1+(-J486))^(H486/MIN(G486,365))),((1+(-J486))^(1/12)))-$U486))</f>
        <v>243599.4714098128</v>
      </c>
      <c r="AA486" s="2">
        <f ca="1">IF(MIN($AA$4:AA485)=0,0,MAX(0,($AA485+$K486-$O486-$P486)*IF(AND(F486="F",$D$3&lt;&gt;$G$3),((1+$AA$1)^(H486/MIN(G486,365))),((1+$AA$1)^(1/12)))-$U486))</f>
        <v>1920000</v>
      </c>
      <c r="AB486" s="2">
        <f ca="1">IF(MIN($AB$4:AB485)=0,0,MAX(0,($AB485+$K486-$O486-$P486)*IF(AND(F486="F",$D$3&lt;&gt;$G$3),((1+(J486))^(H486/MIN(G486,365))),((1+(J486))^(1/12)))-$U486))</f>
        <v>13682659.399637382</v>
      </c>
      <c r="AC486" s="5"/>
      <c r="AD486" s="5"/>
      <c r="AE486" s="5"/>
      <c r="AF486" s="282">
        <f t="shared" ca="1" si="277"/>
        <v>243599</v>
      </c>
      <c r="AG486" s="282">
        <f t="shared" ca="1" si="278"/>
        <v>1920000</v>
      </c>
      <c r="AH486" s="282">
        <f t="shared" ca="1" si="279"/>
        <v>13682659</v>
      </c>
      <c r="AI486" s="23" t="str">
        <f t="shared" ca="1" si="295"/>
        <v>41-4</v>
      </c>
      <c r="AJ486" s="282">
        <f ca="1">IF(E486&gt;111,,IF(AND(OP!$C$99=1,T486="F"),Z486,IF(AND(OP!$C$99=2,COUNTIF($T$4:T486,"F")=1),OP!$C$97+IF(F486="F",OP!$C$98,0),"")))</f>
        <v>54527</v>
      </c>
      <c r="AK486" s="282">
        <f ca="1">IF(E486&gt;111,,IF(AND(OP!$D$99=1,T486="F"),AA486,IF(AND(OP!$D$99=2,COUNTIF($T$4:T486,"F")=1),OP!$D$97+IF(F486="F",OP!$D$98,0),"")))</f>
        <v>74177</v>
      </c>
      <c r="AL486" s="282">
        <f ca="1">IF(E486&gt;111,,IF(AND(OP!$E$99=1,T486="F"),AB486,IF(AND(OP!$E$99=2,COUNTIF($T$4:T486,"F")=1),OP!$E$97+IF(F486="F",OP!$E$98,0),"")))</f>
        <v>99404</v>
      </c>
      <c r="AM486" s="1">
        <f t="shared" ca="1" si="269"/>
        <v>4</v>
      </c>
      <c r="AN486" s="1" t="e">
        <f ca="1">IF(OR(VLOOKUP($A486,MP,5,0)="月繳"),1,"")</f>
        <v>#N/A</v>
      </c>
      <c r="AO486" s="1">
        <f t="shared" ca="1" si="280"/>
        <v>0</v>
      </c>
      <c r="AP486" s="1" t="str">
        <f ca="1">IF(AND(A486&lt;=OP!$C$120,COUNTIF(PAY,C486)=1),1,"")</f>
        <v/>
      </c>
      <c r="AR486" s="301">
        <f ca="1">IF(繳費報酬率資料!$A$1=1,$AY486+$AZ486,$BF486+$BG486)</f>
        <v>0</v>
      </c>
      <c r="AS486" s="1">
        <f ca="1">IF(C486&lt;&gt;IF($C$3=1,12,$C$3-1),0,IF(繳費報酬率資料!$A$1&lt;&gt;1,VLOOKUP($A486,MP,8,0),IF(AND($A486&gt;=OP!$C$79,$A486&lt;=OP!$C$80),OP!$C$78,)))</f>
        <v>0</v>
      </c>
      <c r="AT486" s="298">
        <f t="shared" ca="1" si="281"/>
        <v>0</v>
      </c>
      <c r="AU486" s="298">
        <f ca="1">IF(AND(A486&lt;=OP!$C$120,COUNTIF(PAY,C486)=1),OP!$C$123,0)</f>
        <v>0</v>
      </c>
      <c r="AV486" s="298">
        <f ca="1">IF(AND(A486&gt;=OP!$C$132,A486&lt;=OP!$C$133,$C$3=C486),OP!$C$135,0)</f>
        <v>0</v>
      </c>
      <c r="AW486" s="180">
        <f t="shared" ca="1" si="282"/>
        <v>0.05</v>
      </c>
      <c r="AX486" s="180">
        <f t="shared" ca="1" si="283"/>
        <v>0.05</v>
      </c>
      <c r="AY486" s="286">
        <f t="shared" ca="1" si="284"/>
        <v>0</v>
      </c>
      <c r="AZ486" s="286">
        <f t="shared" ca="1" si="285"/>
        <v>0</v>
      </c>
      <c r="BA486" s="286">
        <f t="shared" ca="1" si="286"/>
        <v>0</v>
      </c>
      <c r="BB486" s="286">
        <f t="shared" ca="1" si="287"/>
        <v>0</v>
      </c>
      <c r="BC486" s="286">
        <f t="shared" ca="1" si="288"/>
        <v>0</v>
      </c>
      <c r="BD486" s="180">
        <f t="shared" ca="1" si="289"/>
        <v>0.05</v>
      </c>
      <c r="BE486" s="180">
        <f t="shared" ca="1" si="290"/>
        <v>0.05</v>
      </c>
      <c r="BF486" s="286">
        <f t="shared" ca="1" si="291"/>
        <v>0</v>
      </c>
      <c r="BG486" s="286">
        <f t="shared" ca="1" si="292"/>
        <v>0</v>
      </c>
    </row>
    <row r="487" spans="1:59">
      <c r="A487" s="1">
        <f t="shared" ca="1" si="272"/>
        <v>41</v>
      </c>
      <c r="B487" s="1">
        <f t="shared" ca="1" si="265"/>
        <v>146</v>
      </c>
      <c r="C487" s="1">
        <f t="shared" ca="1" si="266"/>
        <v>9</v>
      </c>
      <c r="D487" s="1">
        <f ca="1">MIN($D$3,VLOOKUP(C487,OP!$S$30:$T$41,2))</f>
        <v>2</v>
      </c>
      <c r="E487" s="1">
        <f t="shared" ca="1" si="267"/>
        <v>95</v>
      </c>
      <c r="F487" s="11" t="str">
        <f t="shared" ca="1" si="273"/>
        <v/>
      </c>
      <c r="G487" s="8">
        <f t="shared" ca="1" si="298"/>
        <v>365</v>
      </c>
      <c r="H487" s="8">
        <f t="shared" ca="1" si="274"/>
        <v>30</v>
      </c>
      <c r="I487" s="8" t="str">
        <f t="shared" ca="1" si="271"/>
        <v>419</v>
      </c>
      <c r="J487" s="13">
        <f>IF(繳費報酬率資料!$A$1=1,VALUE(OP!$C$121),VLOOKUP(A487,MP,2,0))</f>
        <v>0.05</v>
      </c>
      <c r="K487" s="14">
        <f ca="1">IF(SUM($K$4:K486,IF(繳費報酬率資料!$A$1=1,$AU487+$AV487,$BB487+$BC487))&gt;OP!$L$58,0,IF(繳費報酬率資料!$A$1=1,$AU487+$AV487,$BB487+$BC487))</f>
        <v>0</v>
      </c>
      <c r="L487" s="2"/>
      <c r="M487" s="2"/>
      <c r="N487" s="2"/>
      <c r="O487" s="261">
        <f t="shared" ca="1" si="275"/>
        <v>0</v>
      </c>
      <c r="P487" s="261">
        <f t="shared" ca="1" si="293"/>
        <v>0</v>
      </c>
      <c r="Q487" s="3">
        <f ca="1">IF(A487&gt;MAX(OP!$R$17:$R$26),0,VLOOKUP(A487,fees,3,FALSE))</f>
        <v>0</v>
      </c>
      <c r="R487" s="200" t="str">
        <f t="shared" ca="1" si="276"/>
        <v/>
      </c>
      <c r="S487" s="9" t="str">
        <f ca="1">IF(COUNTIF(($T$4:T486),"F")&gt;=1,"",IF(OR(C488&lt;&gt;$C$3,E487=""),"",A487))</f>
        <v/>
      </c>
      <c r="T487" s="20" t="str">
        <f t="shared" ca="1" si="268"/>
        <v/>
      </c>
      <c r="U487" s="2">
        <f ca="1">IF(IF(OP!$C$83=1,$Z486,IF(OP!$C$83=2,$AA486,IF(OP!$C$83=3,$AB486,)))+$K487-$O487-$P487-$AS487&lt;OP!$C$142,0,$AS487)</f>
        <v>0</v>
      </c>
      <c r="V487" s="9"/>
      <c r="W487" s="19">
        <f ca="1">MAX(SUM($K$4:K487),0)</f>
        <v>2000000</v>
      </c>
      <c r="X487" s="19"/>
      <c r="Y487" s="19">
        <f t="shared" ca="1" si="294"/>
        <v>1920000</v>
      </c>
      <c r="Z487" s="2">
        <f ca="1">IF(MIN($Z$4:Z486)=0,0,MAX(0,($Z486+$K487-$O487-$P487)*IF(AND(F487="F",$D$3&lt;&gt;$G$3),((1+(-J487))^(H487/MIN(G487,365))),((1+(-J487))^(1/12)))-$U487))</f>
        <v>242560.44201020469</v>
      </c>
      <c r="AA487" s="2">
        <f ca="1">IF(MIN($AA$4:AA486)=0,0,MAX(0,($AA486+$K487-$O487-$P487)*IF(AND(F487="F",$D$3&lt;&gt;$G$3),((1+$AA$1)^(H487/MIN(G487,365))),((1+$AA$1)^(1/12)))-$U487))</f>
        <v>1920000</v>
      </c>
      <c r="AB487" s="2">
        <f ca="1">IF(MIN($AB$4:AB486)=0,0,MAX(0,($AB486+$K487-$O487-$P487)*IF(AND(F487="F",$D$3&lt;&gt;$G$3),((1+(J487))^(H487/MIN(G487,365))),((1+(J487))^(1/12)))-$U487))</f>
        <v>13738404.247721005</v>
      </c>
      <c r="AC487" s="5"/>
      <c r="AD487" s="5"/>
      <c r="AE487" s="5"/>
      <c r="AF487" s="282">
        <f t="shared" ca="1" si="277"/>
        <v>242560</v>
      </c>
      <c r="AG487" s="282">
        <f t="shared" ca="1" si="278"/>
        <v>1920000</v>
      </c>
      <c r="AH487" s="282">
        <f t="shared" ca="1" si="279"/>
        <v>13738404</v>
      </c>
      <c r="AI487" s="23" t="str">
        <f t="shared" ca="1" si="295"/>
        <v>41-5</v>
      </c>
      <c r="AJ487" s="282">
        <f ca="1">IF(E487&gt;111,,IF(AND(OP!$C$99=1,T487="F"),Z487,IF(AND(OP!$C$99=2,COUNTIF($T$4:T487,"F")=1),OP!$C$97+IF(F487="F",OP!$C$98,0),"")))</f>
        <v>54527</v>
      </c>
      <c r="AK487" s="282">
        <f ca="1">IF(E487&gt;111,,IF(AND(OP!$D$99=1,T487="F"),AA487,IF(AND(OP!$D$99=2,COUNTIF($T$4:T487,"F")=1),OP!$D$97+IF(F487="F",OP!$D$98,0),"")))</f>
        <v>74177</v>
      </c>
      <c r="AL487" s="282">
        <f ca="1">IF(E487&gt;111,,IF(AND(OP!$E$99=1,T487="F"),AB487,IF(AND(OP!$E$99=2,COUNTIF($T$4:T487,"F")=1),OP!$E$97+IF(F487="F",OP!$E$98,0),"")))</f>
        <v>99404</v>
      </c>
      <c r="AM487" s="1">
        <f t="shared" ca="1" si="269"/>
        <v>5</v>
      </c>
      <c r="AN487" s="1" t="e">
        <f ca="1">IF(OR(VLOOKUP($A487,MP,5,0)="季繳",VLOOKUP($A487,MP,5,0)="月繳"),1,"")</f>
        <v>#N/A</v>
      </c>
      <c r="AO487" s="1">
        <f t="shared" ca="1" si="280"/>
        <v>0</v>
      </c>
      <c r="AP487" s="1" t="str">
        <f ca="1">IF(AND(A487&lt;=OP!$C$120,COUNTIF(PAY,C487)=1),1,"")</f>
        <v/>
      </c>
      <c r="AR487" s="301">
        <f ca="1">IF(繳費報酬率資料!$A$1=1,$AY487+$AZ487,$BF487+$BG487)</f>
        <v>0</v>
      </c>
      <c r="AS487" s="1">
        <f ca="1">IF(C487&lt;&gt;IF($C$3=1,12,$C$3-1),0,IF(繳費報酬率資料!$A$1&lt;&gt;1,VLOOKUP($A487,MP,8,0),IF(AND($A487&gt;=OP!$C$79,$A487&lt;=OP!$C$80),OP!$C$78,)))</f>
        <v>0</v>
      </c>
      <c r="AT487" s="298">
        <f t="shared" ca="1" si="281"/>
        <v>0</v>
      </c>
      <c r="AU487" s="298">
        <f ca="1">IF(AND(A487&lt;=OP!$C$120,COUNTIF(PAY,C487)=1),OP!$C$123,0)</f>
        <v>0</v>
      </c>
      <c r="AV487" s="298">
        <f ca="1">IF(AND(A487&gt;=OP!$C$132,A487&lt;=OP!$C$133,$C$3=C487),OP!$C$135,0)</f>
        <v>0</v>
      </c>
      <c r="AW487" s="180">
        <f t="shared" ca="1" si="282"/>
        <v>0.05</v>
      </c>
      <c r="AX487" s="180">
        <f t="shared" ca="1" si="283"/>
        <v>0.05</v>
      </c>
      <c r="AY487" s="286">
        <f t="shared" ca="1" si="284"/>
        <v>0</v>
      </c>
      <c r="AZ487" s="286">
        <f t="shared" ca="1" si="285"/>
        <v>0</v>
      </c>
      <c r="BA487" s="286">
        <f t="shared" ca="1" si="286"/>
        <v>0</v>
      </c>
      <c r="BB487" s="286">
        <f t="shared" ca="1" si="287"/>
        <v>0</v>
      </c>
      <c r="BC487" s="286">
        <f t="shared" ca="1" si="288"/>
        <v>0</v>
      </c>
      <c r="BD487" s="180">
        <f t="shared" ca="1" si="289"/>
        <v>0.05</v>
      </c>
      <c r="BE487" s="180">
        <f t="shared" ca="1" si="290"/>
        <v>0.05</v>
      </c>
      <c r="BF487" s="286">
        <f t="shared" ca="1" si="291"/>
        <v>0</v>
      </c>
      <c r="BG487" s="286">
        <f t="shared" ca="1" si="292"/>
        <v>0</v>
      </c>
    </row>
    <row r="488" spans="1:59">
      <c r="A488" s="1">
        <f t="shared" ca="1" si="272"/>
        <v>41</v>
      </c>
      <c r="B488" s="1">
        <f t="shared" ca="1" si="265"/>
        <v>146</v>
      </c>
      <c r="C488" s="1">
        <f t="shared" ca="1" si="266"/>
        <v>10</v>
      </c>
      <c r="D488" s="1">
        <f ca="1">MIN($D$3,VLOOKUP(C488,OP!$S$30:$T$41,2))</f>
        <v>2</v>
      </c>
      <c r="E488" s="1">
        <f t="shared" ca="1" si="267"/>
        <v>95</v>
      </c>
      <c r="F488" s="11" t="str">
        <f t="shared" ca="1" si="273"/>
        <v/>
      </c>
      <c r="G488" s="8">
        <f t="shared" ca="1" si="298"/>
        <v>365</v>
      </c>
      <c r="H488" s="8">
        <f t="shared" ca="1" si="274"/>
        <v>31</v>
      </c>
      <c r="I488" s="8" t="str">
        <f t="shared" ca="1" si="271"/>
        <v>4110</v>
      </c>
      <c r="J488" s="13">
        <f>IF(繳費報酬率資料!$A$1=1,VALUE(OP!$C$121),VLOOKUP(A488,MP,2,0))</f>
        <v>0.05</v>
      </c>
      <c r="K488" s="14">
        <f ca="1">IF(SUM($K$4:K487,IF(繳費報酬率資料!$A$1=1,$AU488+$AV488,$BB488+$BC488))&gt;OP!$L$58,0,IF(繳費報酬率資料!$A$1=1,$AU488+$AV488,$BB488+$BC488))</f>
        <v>0</v>
      </c>
      <c r="L488" s="2"/>
      <c r="M488" s="2"/>
      <c r="N488" s="2"/>
      <c r="O488" s="261">
        <f t="shared" ca="1" si="275"/>
        <v>0</v>
      </c>
      <c r="P488" s="261">
        <f t="shared" ca="1" si="293"/>
        <v>0</v>
      </c>
      <c r="Q488" s="3">
        <f ca="1">IF(A488&gt;MAX(OP!$R$17:$R$26),0,VLOOKUP(A488,fees,3,FALSE))</f>
        <v>0</v>
      </c>
      <c r="R488" s="200" t="str">
        <f t="shared" ca="1" si="276"/>
        <v/>
      </c>
      <c r="S488" s="9" t="str">
        <f ca="1">IF(COUNTIF(($T$4:T487),"F")&gt;=1,"",IF(OR(C489&lt;&gt;$C$3,E488=""),"",A488))</f>
        <v/>
      </c>
      <c r="T488" s="20" t="str">
        <f t="shared" ca="1" si="268"/>
        <v/>
      </c>
      <c r="U488" s="2">
        <f ca="1">IF(IF(OP!$C$83=1,$Z487,IF(OP!$C$83=2,$AA487,IF(OP!$C$83=3,$AB487,)))+$K488-$O488-$P488-$AS488&lt;OP!$C$142,0,$AS488)</f>
        <v>0</v>
      </c>
      <c r="V488" s="9"/>
      <c r="W488" s="19">
        <f ca="1">MAX(SUM($K$4:K488),0)</f>
        <v>2000000</v>
      </c>
      <c r="X488" s="19"/>
      <c r="Y488" s="19">
        <f t="shared" ca="1" si="294"/>
        <v>1920000</v>
      </c>
      <c r="Z488" s="2">
        <f ca="1">IF(MIN($Z$4:Z487)=0,0,MAX(0,($Z487+$K488-$O488-$P488)*IF(AND(F488="F",$D$3&lt;&gt;$G$3),((1+(-J488))^(H488/MIN(G488,365))),((1+(-J488))^(1/12)))-$U488))</f>
        <v>241525.84440220514</v>
      </c>
      <c r="AA488" s="2">
        <f ca="1">IF(MIN($AA$4:AA487)=0,0,MAX(0,($AA487+$K488-$O488-$P488)*IF(AND(F488="F",$D$3&lt;&gt;$G$3),((1+$AA$1)^(H488/MIN(G488,365))),((1+$AA$1)^(1/12)))-$U488))</f>
        <v>1920000</v>
      </c>
      <c r="AB488" s="2">
        <f ca="1">IF(MIN($AB$4:AB487)=0,0,MAX(0,($AB487+$K488-$O488-$P488)*IF(AND(F488="F",$D$3&lt;&gt;$G$3),((1+(J488))^(H488/MIN(G488,365))),((1+(J488))^(1/12)))-$U488))</f>
        <v>13794376.207216021</v>
      </c>
      <c r="AC488" s="5"/>
      <c r="AD488" s="5"/>
      <c r="AE488" s="5"/>
      <c r="AF488" s="282">
        <f t="shared" ca="1" si="277"/>
        <v>241526</v>
      </c>
      <c r="AG488" s="282">
        <f t="shared" ca="1" si="278"/>
        <v>1920000</v>
      </c>
      <c r="AH488" s="282">
        <f t="shared" ca="1" si="279"/>
        <v>13794376</v>
      </c>
      <c r="AI488" s="23" t="str">
        <f t="shared" ca="1" si="295"/>
        <v>41-6</v>
      </c>
      <c r="AJ488" s="282">
        <f ca="1">IF(E488&gt;111,,IF(AND(OP!$C$99=1,T488="F"),Z488,IF(AND(OP!$C$99=2,COUNTIF($T$4:T488,"F")=1),OP!$C$97+IF(F488="F",OP!$C$98,0),"")))</f>
        <v>54527</v>
      </c>
      <c r="AK488" s="282">
        <f ca="1">IF(E488&gt;111,,IF(AND(OP!$D$99=1,T488="F"),AA488,IF(AND(OP!$D$99=2,COUNTIF($T$4:T488,"F")=1),OP!$D$97+IF(F488="F",OP!$D$98,0),"")))</f>
        <v>74177</v>
      </c>
      <c r="AL488" s="282">
        <f ca="1">IF(E488&gt;111,,IF(AND(OP!$E$99=1,T488="F"),AB488,IF(AND(OP!$E$99=2,COUNTIF($T$4:T488,"F")=1),OP!$E$97+IF(F488="F",OP!$E$98,0),"")))</f>
        <v>99404</v>
      </c>
      <c r="AM488" s="1">
        <f t="shared" ca="1" si="269"/>
        <v>6</v>
      </c>
      <c r="AN488" s="1" t="e">
        <f ca="1">IF(OR(VLOOKUP($A488,MP,5,0)="月繳"),1,"")</f>
        <v>#N/A</v>
      </c>
      <c r="AO488" s="1">
        <f t="shared" ca="1" si="280"/>
        <v>0</v>
      </c>
      <c r="AP488" s="1" t="str">
        <f ca="1">IF(AND(A488&lt;=OP!$C$120,COUNTIF(PAY,C488)=1),1,"")</f>
        <v/>
      </c>
      <c r="AR488" s="301">
        <f ca="1">IF(繳費報酬率資料!$A$1=1,$AY488+$AZ488,$BF488+$BG488)</f>
        <v>0</v>
      </c>
      <c r="AS488" s="1">
        <f ca="1">IF(C488&lt;&gt;IF($C$3=1,12,$C$3-1),0,IF(繳費報酬率資料!$A$1&lt;&gt;1,VLOOKUP($A488,MP,8,0),IF(AND($A488&gt;=OP!$C$79,$A488&lt;=OP!$C$80),OP!$C$78,)))</f>
        <v>0</v>
      </c>
      <c r="AT488" s="298">
        <f t="shared" ca="1" si="281"/>
        <v>0</v>
      </c>
      <c r="AU488" s="298">
        <f ca="1">IF(AND(A488&lt;=OP!$C$120,COUNTIF(PAY,C488)=1),OP!$C$123,0)</f>
        <v>0</v>
      </c>
      <c r="AV488" s="298">
        <f ca="1">IF(AND(A488&gt;=OP!$C$132,A488&lt;=OP!$C$133,$C$3=C488),OP!$C$135,0)</f>
        <v>0</v>
      </c>
      <c r="AW488" s="180">
        <f t="shared" ca="1" si="282"/>
        <v>0.05</v>
      </c>
      <c r="AX488" s="180">
        <f t="shared" ca="1" si="283"/>
        <v>0.05</v>
      </c>
      <c r="AY488" s="286">
        <f t="shared" ca="1" si="284"/>
        <v>0</v>
      </c>
      <c r="AZ488" s="286">
        <f t="shared" ca="1" si="285"/>
        <v>0</v>
      </c>
      <c r="BA488" s="286">
        <f t="shared" ca="1" si="286"/>
        <v>0</v>
      </c>
      <c r="BB488" s="286">
        <f t="shared" ca="1" si="287"/>
        <v>0</v>
      </c>
      <c r="BC488" s="286">
        <f t="shared" ca="1" si="288"/>
        <v>0</v>
      </c>
      <c r="BD488" s="180">
        <f t="shared" ca="1" si="289"/>
        <v>0.05</v>
      </c>
      <c r="BE488" s="180">
        <f t="shared" ca="1" si="290"/>
        <v>0.05</v>
      </c>
      <c r="BF488" s="286">
        <f t="shared" ca="1" si="291"/>
        <v>0</v>
      </c>
      <c r="BG488" s="286">
        <f t="shared" ca="1" si="292"/>
        <v>0</v>
      </c>
    </row>
    <row r="489" spans="1:59">
      <c r="A489" s="1">
        <f t="shared" ca="1" si="272"/>
        <v>41</v>
      </c>
      <c r="B489" s="1">
        <f t="shared" ca="1" si="265"/>
        <v>146</v>
      </c>
      <c r="C489" s="1">
        <f t="shared" ca="1" si="266"/>
        <v>11</v>
      </c>
      <c r="D489" s="1">
        <f ca="1">MIN($D$3,VLOOKUP(C489,OP!$S$30:$T$41,2))</f>
        <v>2</v>
      </c>
      <c r="E489" s="1">
        <f t="shared" ca="1" si="267"/>
        <v>95</v>
      </c>
      <c r="F489" s="11" t="str">
        <f t="shared" ca="1" si="273"/>
        <v/>
      </c>
      <c r="G489" s="8">
        <f t="shared" ca="1" si="298"/>
        <v>365</v>
      </c>
      <c r="H489" s="8">
        <f t="shared" ca="1" si="274"/>
        <v>30</v>
      </c>
      <c r="I489" s="8" t="str">
        <f t="shared" ca="1" si="271"/>
        <v>4111</v>
      </c>
      <c r="J489" s="13">
        <f>IF(繳費報酬率資料!$A$1=1,VALUE(OP!$C$121),VLOOKUP(A489,MP,2,0))</f>
        <v>0.05</v>
      </c>
      <c r="K489" s="14">
        <f ca="1">IF(SUM($K$4:K488,IF(繳費報酬率資料!$A$1=1,$AU489+$AV489,$BB489+$BC489))&gt;OP!$L$58,0,IF(繳費報酬率資料!$A$1=1,$AU489+$AV489,$BB489+$BC489))</f>
        <v>0</v>
      </c>
      <c r="L489" s="2"/>
      <c r="M489" s="2"/>
      <c r="N489" s="2"/>
      <c r="O489" s="261">
        <f t="shared" ca="1" si="275"/>
        <v>0</v>
      </c>
      <c r="P489" s="261">
        <f t="shared" ca="1" si="293"/>
        <v>0</v>
      </c>
      <c r="Q489" s="3">
        <f ca="1">IF(A489&gt;MAX(OP!$R$17:$R$26),0,VLOOKUP(A489,fees,3,FALSE))</f>
        <v>0</v>
      </c>
      <c r="R489" s="200" t="str">
        <f t="shared" ca="1" si="276"/>
        <v/>
      </c>
      <c r="S489" s="9" t="str">
        <f ca="1">IF(COUNTIF(($T$4:T488),"F")&gt;=1,"",IF(OR(C490&lt;&gt;$C$3,E489=""),"",A489))</f>
        <v/>
      </c>
      <c r="T489" s="20" t="str">
        <f t="shared" ca="1" si="268"/>
        <v/>
      </c>
      <c r="U489" s="2">
        <f ca="1">IF(IF(OP!$C$83=1,$Z488,IF(OP!$C$83=2,$AA488,IF(OP!$C$83=3,$AB488,)))+$K489-$O489-$P489-$AS489&lt;OP!$C$142,0,$AS489)</f>
        <v>0</v>
      </c>
      <c r="V489" s="9"/>
      <c r="W489" s="19">
        <f ca="1">MAX(SUM($K$4:K489),0)</f>
        <v>2000000</v>
      </c>
      <c r="X489" s="19"/>
      <c r="Y489" s="19">
        <f t="shared" ca="1" si="294"/>
        <v>1920000</v>
      </c>
      <c r="Z489" s="2">
        <f ca="1">IF(MIN($Z$4:Z488)=0,0,MAX(0,($Z488+$K489-$O489-$P489)*IF(AND(F489="F",$D$3&lt;&gt;$G$3),((1+(-J489))^(H489/MIN(G489,365))),((1+(-J489))^(1/12)))-$U489))</f>
        <v>240495.65968281022</v>
      </c>
      <c r="AA489" s="2">
        <f ca="1">IF(MIN($AA$4:AA488)=0,0,MAX(0,($AA488+$K489-$O489-$P489)*IF(AND(F489="F",$D$3&lt;&gt;$G$3),((1+$AA$1)^(H489/MIN(G489,365))),((1+$AA$1)^(1/12)))-$U489))</f>
        <v>1920000</v>
      </c>
      <c r="AB489" s="2">
        <f ca="1">IF(MIN($AB$4:AB488)=0,0,MAX(0,($AB488+$K489-$O489-$P489)*IF(AND(F489="F",$D$3&lt;&gt;$G$3),((1+(J489))^(H489/MIN(G489,365))),((1+(J489))^(1/12)))-$U489))</f>
        <v>13850576.203402432</v>
      </c>
      <c r="AC489" s="5"/>
      <c r="AD489" s="5"/>
      <c r="AE489" s="5"/>
      <c r="AF489" s="282">
        <f t="shared" ca="1" si="277"/>
        <v>240496</v>
      </c>
      <c r="AG489" s="282">
        <f t="shared" ca="1" si="278"/>
        <v>1920000</v>
      </c>
      <c r="AH489" s="282">
        <f t="shared" ca="1" si="279"/>
        <v>13850576</v>
      </c>
      <c r="AI489" s="23" t="str">
        <f t="shared" ca="1" si="295"/>
        <v>41-7</v>
      </c>
      <c r="AJ489" s="282">
        <f ca="1">IF(E489&gt;111,,IF(AND(OP!$C$99=1,T489="F"),Z489,IF(AND(OP!$C$99=2,COUNTIF($T$4:T489,"F")=1),OP!$C$97+IF(F489="F",OP!$C$98,0),"")))</f>
        <v>54527</v>
      </c>
      <c r="AK489" s="282">
        <f ca="1">IF(E489&gt;111,,IF(AND(OP!$D$99=1,T489="F"),AA489,IF(AND(OP!$D$99=2,COUNTIF($T$4:T489,"F")=1),OP!$D$97+IF(F489="F",OP!$D$98,0),"")))</f>
        <v>74177</v>
      </c>
      <c r="AL489" s="282">
        <f ca="1">IF(E489&gt;111,,IF(AND(OP!$E$99=1,T489="F"),AB489,IF(AND(OP!$E$99=2,COUNTIF($T$4:T489,"F")=1),OP!$E$97+IF(F489="F",OP!$E$98,0),"")))</f>
        <v>99404</v>
      </c>
      <c r="AM489" s="1">
        <f t="shared" ca="1" si="269"/>
        <v>7</v>
      </c>
      <c r="AN489" s="1" t="e">
        <f ca="1">IF(OR(VLOOKUP($A489,MP,5,0)="月繳"),1,"")</f>
        <v>#N/A</v>
      </c>
      <c r="AO489" s="1">
        <f t="shared" ca="1" si="280"/>
        <v>0</v>
      </c>
      <c r="AP489" s="1" t="str">
        <f ca="1">IF(AND(A489&lt;=OP!$C$120,COUNTIF(PAY,C489)=1),1,"")</f>
        <v/>
      </c>
      <c r="AR489" s="301">
        <f ca="1">IF(繳費報酬率資料!$A$1=1,$AY489+$AZ489,$BF489+$BG489)</f>
        <v>0</v>
      </c>
      <c r="AS489" s="1">
        <f ca="1">IF(C489&lt;&gt;IF($C$3=1,12,$C$3-1),0,IF(繳費報酬率資料!$A$1&lt;&gt;1,VLOOKUP($A489,MP,8,0),IF(AND($A489&gt;=OP!$C$79,$A489&lt;=OP!$C$80),OP!$C$78,)))</f>
        <v>0</v>
      </c>
      <c r="AT489" s="298">
        <f t="shared" ca="1" si="281"/>
        <v>0</v>
      </c>
      <c r="AU489" s="298">
        <f ca="1">IF(AND(A489&lt;=OP!$C$120,COUNTIF(PAY,C489)=1),OP!$C$123,0)</f>
        <v>0</v>
      </c>
      <c r="AV489" s="298">
        <f ca="1">IF(AND(A489&gt;=OP!$C$132,A489&lt;=OP!$C$133,$C$3=C489),OP!$C$135,0)</f>
        <v>0</v>
      </c>
      <c r="AW489" s="180">
        <f t="shared" ca="1" si="282"/>
        <v>0.05</v>
      </c>
      <c r="AX489" s="180">
        <f t="shared" ca="1" si="283"/>
        <v>0.05</v>
      </c>
      <c r="AY489" s="286">
        <f t="shared" ca="1" si="284"/>
        <v>0</v>
      </c>
      <c r="AZ489" s="286">
        <f t="shared" ca="1" si="285"/>
        <v>0</v>
      </c>
      <c r="BA489" s="286">
        <f t="shared" ca="1" si="286"/>
        <v>0</v>
      </c>
      <c r="BB489" s="286">
        <f t="shared" ca="1" si="287"/>
        <v>0</v>
      </c>
      <c r="BC489" s="286">
        <f t="shared" ca="1" si="288"/>
        <v>0</v>
      </c>
      <c r="BD489" s="180">
        <f t="shared" ca="1" si="289"/>
        <v>0.05</v>
      </c>
      <c r="BE489" s="180">
        <f t="shared" ca="1" si="290"/>
        <v>0.05</v>
      </c>
      <c r="BF489" s="286">
        <f t="shared" ca="1" si="291"/>
        <v>0</v>
      </c>
      <c r="BG489" s="286">
        <f t="shared" ca="1" si="292"/>
        <v>0</v>
      </c>
    </row>
    <row r="490" spans="1:59">
      <c r="A490" s="1">
        <f t="shared" ca="1" si="272"/>
        <v>41</v>
      </c>
      <c r="B490" s="1">
        <f t="shared" ca="1" si="265"/>
        <v>146</v>
      </c>
      <c r="C490" s="1">
        <f t="shared" ca="1" si="266"/>
        <v>12</v>
      </c>
      <c r="D490" s="1">
        <f ca="1">MIN($D$3,VLOOKUP(C490,OP!$S$30:$T$41,2))</f>
        <v>2</v>
      </c>
      <c r="E490" s="1">
        <f t="shared" ca="1" si="267"/>
        <v>95</v>
      </c>
      <c r="F490" s="11" t="str">
        <f t="shared" ca="1" si="273"/>
        <v/>
      </c>
      <c r="G490" s="8">
        <f t="shared" ca="1" si="298"/>
        <v>365</v>
      </c>
      <c r="H490" s="8">
        <f t="shared" ca="1" si="274"/>
        <v>31</v>
      </c>
      <c r="I490" s="8" t="str">
        <f t="shared" ca="1" si="271"/>
        <v>4112</v>
      </c>
      <c r="J490" s="13">
        <f>IF(繳費報酬率資料!$A$1=1,VALUE(OP!$C$121),VLOOKUP(A490,MP,2,0))</f>
        <v>0.05</v>
      </c>
      <c r="K490" s="14">
        <f ca="1">IF(SUM($K$4:K489,IF(繳費報酬率資料!$A$1=1,$AU490+$AV490,$BB490+$BC490))&gt;OP!$L$58,0,IF(繳費報酬率資料!$A$1=1,$AU490+$AV490,$BB490+$BC490))</f>
        <v>0</v>
      </c>
      <c r="L490" s="2"/>
      <c r="M490" s="2"/>
      <c r="N490" s="2"/>
      <c r="O490" s="261">
        <f t="shared" ca="1" si="275"/>
        <v>0</v>
      </c>
      <c r="P490" s="261">
        <f t="shared" ca="1" si="293"/>
        <v>0</v>
      </c>
      <c r="Q490" s="3">
        <f ca="1">IF(A490&gt;MAX(OP!$R$17:$R$26),0,VLOOKUP(A490,fees,3,FALSE))</f>
        <v>0</v>
      </c>
      <c r="R490" s="200" t="str">
        <f t="shared" ca="1" si="276"/>
        <v/>
      </c>
      <c r="S490" s="9" t="str">
        <f ca="1">IF(COUNTIF(($T$4:T489),"F")&gt;=1,"",IF(OR(C491&lt;&gt;$C$3,E490=""),"",A490))</f>
        <v/>
      </c>
      <c r="T490" s="20" t="str">
        <f t="shared" ca="1" si="268"/>
        <v/>
      </c>
      <c r="U490" s="2">
        <f ca="1">IF(IF(OP!$C$83=1,$Z489,IF(OP!$C$83=2,$AA489,IF(OP!$C$83=3,$AB489,)))+$K490-$O490-$P490-$AS490&lt;OP!$C$142,0,$AS490)</f>
        <v>0</v>
      </c>
      <c r="V490" s="9"/>
      <c r="W490" s="19">
        <f ca="1">MAX(SUM($K$4:K490),0)</f>
        <v>2000000</v>
      </c>
      <c r="X490" s="19"/>
      <c r="Y490" s="19">
        <f t="shared" ca="1" si="294"/>
        <v>1920000</v>
      </c>
      <c r="Z490" s="2">
        <f ca="1">IF(MIN($Z$4:Z489)=0,0,MAX(0,($Z489+$K490-$O490-$P490)*IF(AND(F490="F",$D$3&lt;&gt;$G$3),((1+(-J490))^(H490/MIN(G490,365))),((1+(-J490))^(1/12)))-$U490))</f>
        <v>239469.86902964331</v>
      </c>
      <c r="AA490" s="2">
        <f ca="1">IF(MIN($AA$4:AA489)=0,0,MAX(0,($AA489+$K490-$O490-$P490)*IF(AND(F490="F",$D$3&lt;&gt;$G$3),((1+$AA$1)^(H490/MIN(G490,365))),((1+$AA$1)^(1/12)))-$U490))</f>
        <v>1920000</v>
      </c>
      <c r="AB490" s="2">
        <f ca="1">IF(MIN($AB$4:AB489)=0,0,MAX(0,($AB489+$K490-$O490-$P490)*IF(AND(F490="F",$D$3&lt;&gt;$G$3),((1+(J490))^(H490/MIN(G490,365))),((1+(J490))^(1/12)))-$U490))</f>
        <v>13907005.165329948</v>
      </c>
      <c r="AC490" s="5"/>
      <c r="AD490" s="5"/>
      <c r="AE490" s="5"/>
      <c r="AF490" s="282">
        <f t="shared" ca="1" si="277"/>
        <v>239470</v>
      </c>
      <c r="AG490" s="282">
        <f t="shared" ca="1" si="278"/>
        <v>1920000</v>
      </c>
      <c r="AH490" s="282">
        <f t="shared" ca="1" si="279"/>
        <v>13907005</v>
      </c>
      <c r="AI490" s="23" t="str">
        <f t="shared" ca="1" si="295"/>
        <v>41-8</v>
      </c>
      <c r="AJ490" s="282">
        <f ca="1">IF(E490&gt;111,,IF(AND(OP!$C$99=1,T490="F"),Z490,IF(AND(OP!$C$99=2,COUNTIF($T$4:T490,"F")=1),OP!$C$97+IF(F490="F",OP!$C$98,0),"")))</f>
        <v>54527</v>
      </c>
      <c r="AK490" s="282">
        <f ca="1">IF(E490&gt;111,,IF(AND(OP!$D$99=1,T490="F"),AA490,IF(AND(OP!$D$99=2,COUNTIF($T$4:T490,"F")=1),OP!$D$97+IF(F490="F",OP!$D$98,0),"")))</f>
        <v>74177</v>
      </c>
      <c r="AL490" s="282">
        <f ca="1">IF(E490&gt;111,,IF(AND(OP!$E$99=1,T490="F"),AB490,IF(AND(OP!$E$99=2,COUNTIF($T$4:T490,"F")=1),OP!$E$97+IF(F490="F",OP!$E$98,0),"")))</f>
        <v>99404</v>
      </c>
      <c r="AM490" s="1">
        <f t="shared" ca="1" si="269"/>
        <v>8</v>
      </c>
      <c r="AN490" s="1" t="e">
        <f ca="1">IF(OR(VLOOKUP($A490,MP,5,0)="半年繳",VLOOKUP($A490,MP,5,0)="季繳",VLOOKUP($A490,MP,5,0)="月繳"),1,"")</f>
        <v>#N/A</v>
      </c>
      <c r="AO490" s="1">
        <f t="shared" ca="1" si="280"/>
        <v>0</v>
      </c>
      <c r="AP490" s="1" t="str">
        <f ca="1">IF(AND(A490&lt;=OP!$C$120,COUNTIF(PAY,C490)=1),1,"")</f>
        <v/>
      </c>
      <c r="AR490" s="301">
        <f ca="1">IF(繳費報酬率資料!$A$1=1,$AY490+$AZ490,$BF490+$BG490)</f>
        <v>0</v>
      </c>
      <c r="AS490" s="1">
        <f ca="1">IF(C490&lt;&gt;IF($C$3=1,12,$C$3-1),0,IF(繳費報酬率資料!$A$1&lt;&gt;1,VLOOKUP($A490,MP,8,0),IF(AND($A490&gt;=OP!$C$79,$A490&lt;=OP!$C$80),OP!$C$78,)))</f>
        <v>0</v>
      </c>
      <c r="AT490" s="298">
        <f t="shared" ca="1" si="281"/>
        <v>0</v>
      </c>
      <c r="AU490" s="298">
        <f ca="1">IF(AND(A490&lt;=OP!$C$120,COUNTIF(PAY,C490)=1),OP!$C$123,0)</f>
        <v>0</v>
      </c>
      <c r="AV490" s="298">
        <f ca="1">IF(AND(A490&gt;=OP!$C$132,A490&lt;=OP!$C$133,$C$3=C490),OP!$C$135,0)</f>
        <v>0</v>
      </c>
      <c r="AW490" s="180">
        <f t="shared" ca="1" si="282"/>
        <v>0.05</v>
      </c>
      <c r="AX490" s="180">
        <f t="shared" ca="1" si="283"/>
        <v>0.05</v>
      </c>
      <c r="AY490" s="286">
        <f t="shared" ca="1" si="284"/>
        <v>0</v>
      </c>
      <c r="AZ490" s="286">
        <f t="shared" ca="1" si="285"/>
        <v>0</v>
      </c>
      <c r="BA490" s="286">
        <f t="shared" ca="1" si="286"/>
        <v>0</v>
      </c>
      <c r="BB490" s="286">
        <f t="shared" ca="1" si="287"/>
        <v>0</v>
      </c>
      <c r="BC490" s="286">
        <f t="shared" ca="1" si="288"/>
        <v>0</v>
      </c>
      <c r="BD490" s="180">
        <f t="shared" ca="1" si="289"/>
        <v>0.05</v>
      </c>
      <c r="BE490" s="180">
        <f t="shared" ca="1" si="290"/>
        <v>0.05</v>
      </c>
      <c r="BF490" s="286">
        <f t="shared" ca="1" si="291"/>
        <v>0</v>
      </c>
      <c r="BG490" s="286">
        <f t="shared" ca="1" si="292"/>
        <v>0</v>
      </c>
    </row>
    <row r="491" spans="1:59">
      <c r="A491" s="1">
        <f t="shared" ca="1" si="272"/>
        <v>41</v>
      </c>
      <c r="B491" s="1">
        <f t="shared" ca="1" si="265"/>
        <v>147</v>
      </c>
      <c r="C491" s="1">
        <f t="shared" ca="1" si="266"/>
        <v>1</v>
      </c>
      <c r="D491" s="1">
        <f ca="1">MIN($D$3,VLOOKUP(C491,OP!$S$30:$T$41,2))</f>
        <v>2</v>
      </c>
      <c r="E491" s="1">
        <f t="shared" ca="1" si="267"/>
        <v>95</v>
      </c>
      <c r="F491" s="11" t="str">
        <f t="shared" ca="1" si="273"/>
        <v/>
      </c>
      <c r="G491" s="8">
        <f t="shared" ca="1" si="298"/>
        <v>365</v>
      </c>
      <c r="H491" s="8">
        <f t="shared" ca="1" si="274"/>
        <v>31</v>
      </c>
      <c r="I491" s="8" t="str">
        <f t="shared" ca="1" si="271"/>
        <v>411</v>
      </c>
      <c r="J491" s="13">
        <f>IF(繳費報酬率資料!$A$1=1,VALUE(OP!$C$121),VLOOKUP(A491,MP,2,0))</f>
        <v>0.05</v>
      </c>
      <c r="K491" s="14">
        <f ca="1">IF(SUM($K$4:K490,IF(繳費報酬率資料!$A$1=1,$AU491+$AV491,$BB491+$BC491))&gt;OP!$L$58,0,IF(繳費報酬率資料!$A$1=1,$AU491+$AV491,$BB491+$BC491))</f>
        <v>0</v>
      </c>
      <c r="L491" s="2"/>
      <c r="M491" s="2"/>
      <c r="N491" s="2"/>
      <c r="O491" s="261">
        <f t="shared" ca="1" si="275"/>
        <v>0</v>
      </c>
      <c r="P491" s="261">
        <f t="shared" ca="1" si="293"/>
        <v>0</v>
      </c>
      <c r="Q491" s="3">
        <f ca="1">IF(A491&gt;MAX(OP!$R$17:$R$26),0,VLOOKUP(A491,fees,3,FALSE))</f>
        <v>0</v>
      </c>
      <c r="R491" s="200" t="str">
        <f t="shared" ca="1" si="276"/>
        <v/>
      </c>
      <c r="S491" s="9" t="str">
        <f ca="1">IF(COUNTIF(($T$4:T490),"F")&gt;=1,"",IF(OR(C492&lt;&gt;$C$3,E491=""),"",A491))</f>
        <v/>
      </c>
      <c r="T491" s="20" t="str">
        <f t="shared" ca="1" si="268"/>
        <v/>
      </c>
      <c r="U491" s="2">
        <f ca="1">IF(IF(OP!$C$83=1,$Z490,IF(OP!$C$83=2,$AA490,IF(OP!$C$83=3,$AB490,)))+$K491-$O491-$P491-$AS491&lt;OP!$C$142,0,$AS491)</f>
        <v>0</v>
      </c>
      <c r="V491" s="9"/>
      <c r="W491" s="19">
        <f ca="1">MAX(SUM($K$4:K491),0)</f>
        <v>2000000</v>
      </c>
      <c r="X491" s="19"/>
      <c r="Y491" s="19">
        <f t="shared" ca="1" si="294"/>
        <v>1920000</v>
      </c>
      <c r="Z491" s="2">
        <f ca="1">IF(MIN($Z$4:Z490)=0,0,MAX(0,($Z490+$K491-$O491-$P491)*IF(AND(F491="F",$D$3&lt;&gt;$G$3),((1+(-J491))^(H491/MIN(G491,365))),((1+(-J491))^(1/12)))-$U491))</f>
        <v>238448.45370061119</v>
      </c>
      <c r="AA491" s="2">
        <f ca="1">IF(MIN($AA$4:AA490)=0,0,MAX(0,($AA490+$K491-$O491-$P491)*IF(AND(F491="F",$D$3&lt;&gt;$G$3),((1+$AA$1)^(H491/MIN(G491,365))),((1+$AA$1)^(1/12)))-$U491))</f>
        <v>1920000</v>
      </c>
      <c r="AB491" s="2">
        <f ca="1">IF(MIN($AB$4:AB490)=0,0,MAX(0,($AB490+$K491-$O491-$P491)*IF(AND(F491="F",$D$3&lt;&gt;$G$3),((1+(J491))^(H491/MIN(G491,365))),((1+(J491))^(1/12)))-$U491))</f>
        <v>13963664.025833338</v>
      </c>
      <c r="AC491" s="5"/>
      <c r="AD491" s="5"/>
      <c r="AE491" s="5"/>
      <c r="AF491" s="282">
        <f t="shared" ca="1" si="277"/>
        <v>238448</v>
      </c>
      <c r="AG491" s="282">
        <f t="shared" ca="1" si="278"/>
        <v>1920000</v>
      </c>
      <c r="AH491" s="282">
        <f t="shared" ca="1" si="279"/>
        <v>13963664</v>
      </c>
      <c r="AI491" s="23" t="str">
        <f t="shared" ca="1" si="295"/>
        <v>41-9</v>
      </c>
      <c r="AJ491" s="282">
        <f ca="1">IF(E491&gt;111,,IF(AND(OP!$C$99=1,T491="F"),Z491,IF(AND(OP!$C$99=2,COUNTIF($T$4:T491,"F")=1),OP!$C$97+IF(F491="F",OP!$C$98,0),"")))</f>
        <v>54527</v>
      </c>
      <c r="AK491" s="282">
        <f ca="1">IF(E491&gt;111,,IF(AND(OP!$D$99=1,T491="F"),AA491,IF(AND(OP!$D$99=2,COUNTIF($T$4:T491,"F")=1),OP!$D$97+IF(F491="F",OP!$D$98,0),"")))</f>
        <v>74177</v>
      </c>
      <c r="AL491" s="282">
        <f ca="1">IF(E491&gt;111,,IF(AND(OP!$E$99=1,T491="F"),AB491,IF(AND(OP!$E$99=2,COUNTIF($T$4:T491,"F")=1),OP!$E$97+IF(F491="F",OP!$E$98,0),"")))</f>
        <v>99404</v>
      </c>
      <c r="AM491" s="1">
        <f t="shared" ca="1" si="269"/>
        <v>9</v>
      </c>
      <c r="AN491" s="1" t="e">
        <f ca="1">IF(OR(VLOOKUP($A491,MP,5,0)="月繳"),1,"")</f>
        <v>#N/A</v>
      </c>
      <c r="AO491" s="1">
        <f t="shared" ca="1" si="280"/>
        <v>0</v>
      </c>
      <c r="AP491" s="1" t="str">
        <f ca="1">IF(AND(A491&lt;=OP!$C$120,COUNTIF(PAY,C491)=1),1,"")</f>
        <v/>
      </c>
      <c r="AR491" s="301">
        <f ca="1">IF(繳費報酬率資料!$A$1=1,$AY491+$AZ491,$BF491+$BG491)</f>
        <v>0</v>
      </c>
      <c r="AS491" s="1">
        <f ca="1">IF(C491&lt;&gt;IF($C$3=1,12,$C$3-1),0,IF(繳費報酬率資料!$A$1&lt;&gt;1,VLOOKUP($A491,MP,8,0),IF(AND($A491&gt;=OP!$C$79,$A491&lt;=OP!$C$80),OP!$C$78,)))</f>
        <v>0</v>
      </c>
      <c r="AT491" s="298">
        <f t="shared" ca="1" si="281"/>
        <v>0</v>
      </c>
      <c r="AU491" s="298">
        <f ca="1">IF(AND(A491&lt;=OP!$C$120,COUNTIF(PAY,C491)=1),OP!$C$123,0)</f>
        <v>0</v>
      </c>
      <c r="AV491" s="298">
        <f ca="1">IF(AND(A491&gt;=OP!$C$132,A491&lt;=OP!$C$133,$C$3=C491),OP!$C$135,0)</f>
        <v>0</v>
      </c>
      <c r="AW491" s="180">
        <f t="shared" ca="1" si="282"/>
        <v>0.05</v>
      </c>
      <c r="AX491" s="180">
        <f t="shared" ca="1" si="283"/>
        <v>0.05</v>
      </c>
      <c r="AY491" s="286">
        <f t="shared" ca="1" si="284"/>
        <v>0</v>
      </c>
      <c r="AZ491" s="286">
        <f t="shared" ca="1" si="285"/>
        <v>0</v>
      </c>
      <c r="BA491" s="286">
        <f t="shared" ca="1" si="286"/>
        <v>0</v>
      </c>
      <c r="BB491" s="286">
        <f t="shared" ca="1" si="287"/>
        <v>0</v>
      </c>
      <c r="BC491" s="286">
        <f t="shared" ca="1" si="288"/>
        <v>0</v>
      </c>
      <c r="BD491" s="180">
        <f t="shared" ca="1" si="289"/>
        <v>0.05</v>
      </c>
      <c r="BE491" s="180">
        <f t="shared" ca="1" si="290"/>
        <v>0.05</v>
      </c>
      <c r="BF491" s="286">
        <f t="shared" ca="1" si="291"/>
        <v>0</v>
      </c>
      <c r="BG491" s="286">
        <f t="shared" ca="1" si="292"/>
        <v>0</v>
      </c>
    </row>
    <row r="492" spans="1:59">
      <c r="A492" s="1">
        <f t="shared" ca="1" si="272"/>
        <v>41</v>
      </c>
      <c r="B492" s="1">
        <f t="shared" ca="1" si="265"/>
        <v>147</v>
      </c>
      <c r="C492" s="1">
        <f t="shared" ca="1" si="266"/>
        <v>2</v>
      </c>
      <c r="D492" s="1">
        <f ca="1">MIN($D$3,VLOOKUP(C492,OP!$S$30:$T$41,2))</f>
        <v>2</v>
      </c>
      <c r="E492" s="1">
        <f t="shared" ca="1" si="267"/>
        <v>95</v>
      </c>
      <c r="F492" s="11" t="str">
        <f t="shared" ca="1" si="273"/>
        <v/>
      </c>
      <c r="G492" s="8">
        <f t="shared" ca="1" si="298"/>
        <v>365</v>
      </c>
      <c r="H492" s="8">
        <f t="shared" ca="1" si="274"/>
        <v>28</v>
      </c>
      <c r="I492" s="8" t="str">
        <f t="shared" ca="1" si="271"/>
        <v>412</v>
      </c>
      <c r="J492" s="13">
        <f>IF(繳費報酬率資料!$A$1=1,VALUE(OP!$C$121),VLOOKUP(A492,MP,2,0))</f>
        <v>0.05</v>
      </c>
      <c r="K492" s="14">
        <f ca="1">IF(SUM($K$4:K491,IF(繳費報酬率資料!$A$1=1,$AU492+$AV492,$BB492+$BC492))&gt;OP!$L$58,0,IF(繳費報酬率資料!$A$1=1,$AU492+$AV492,$BB492+$BC492))</f>
        <v>0</v>
      </c>
      <c r="L492" s="2"/>
      <c r="M492" s="2"/>
      <c r="N492" s="2"/>
      <c r="O492" s="261">
        <f t="shared" ca="1" si="275"/>
        <v>0</v>
      </c>
      <c r="P492" s="261">
        <f t="shared" ca="1" si="293"/>
        <v>0</v>
      </c>
      <c r="Q492" s="3">
        <f ca="1">IF(A492&gt;MAX(OP!$R$17:$R$26),0,VLOOKUP(A492,fees,3,FALSE))</f>
        <v>0</v>
      </c>
      <c r="R492" s="200" t="str">
        <f t="shared" ca="1" si="276"/>
        <v/>
      </c>
      <c r="S492" s="9" t="str">
        <f ca="1">IF(COUNTIF(($T$4:T491),"F")&gt;=1,"",IF(OR(C493&lt;&gt;$C$3,E492=""),"",A492))</f>
        <v/>
      </c>
      <c r="T492" s="20" t="str">
        <f t="shared" ca="1" si="268"/>
        <v/>
      </c>
      <c r="U492" s="2">
        <f ca="1">IF(IF(OP!$C$83=1,$Z491,IF(OP!$C$83=2,$AA491,IF(OP!$C$83=3,$AB491,)))+$K492-$O492-$P492-$AS492&lt;OP!$C$142,0,$AS492)</f>
        <v>0</v>
      </c>
      <c r="V492" s="9"/>
      <c r="W492" s="19">
        <f ca="1">MAX(SUM($K$4:K492),0)</f>
        <v>2000000</v>
      </c>
      <c r="X492" s="19"/>
      <c r="Y492" s="19">
        <f t="shared" ca="1" si="294"/>
        <v>1920000</v>
      </c>
      <c r="Z492" s="2">
        <f ca="1">IF(MIN($Z$4:Z491)=0,0,MAX(0,($Z491+$K492-$O492-$P492)*IF(AND(F492="F",$D$3&lt;&gt;$G$3),((1+(-J492))^(H492/MIN(G492,365))),((1+(-J492))^(1/12)))-$U492))</f>
        <v>237431.39503356168</v>
      </c>
      <c r="AA492" s="2">
        <f ca="1">IF(MIN($AA$4:AA491)=0,0,MAX(0,($AA491+$K492-$O492-$P492)*IF(AND(F492="F",$D$3&lt;&gt;$G$3),((1+$AA$1)^(H492/MIN(G492,365))),((1+$AA$1)^(1/12)))-$U492))</f>
        <v>1920000</v>
      </c>
      <c r="AB492" s="2">
        <f ca="1">IF(MIN($AB$4:AB491)=0,0,MAX(0,($AB491+$K492-$O492-$P492)*IF(AND(F492="F",$D$3&lt;&gt;$G$3),((1+(J492))^(H492/MIN(G492,365))),((1+(J492))^(1/12)))-$U492))</f>
        <v>14020553.721547861</v>
      </c>
      <c r="AC492" s="5"/>
      <c r="AD492" s="5"/>
      <c r="AE492" s="5"/>
      <c r="AF492" s="282">
        <f t="shared" ca="1" si="277"/>
        <v>237431</v>
      </c>
      <c r="AG492" s="282">
        <f t="shared" ca="1" si="278"/>
        <v>1920000</v>
      </c>
      <c r="AH492" s="282">
        <f t="shared" ca="1" si="279"/>
        <v>14020554</v>
      </c>
      <c r="AI492" s="23" t="str">
        <f t="shared" ca="1" si="295"/>
        <v>41-10</v>
      </c>
      <c r="AJ492" s="282">
        <f ca="1">IF(E492&gt;111,,IF(AND(OP!$C$99=1,T492="F"),Z492,IF(AND(OP!$C$99=2,COUNTIF($T$4:T492,"F")=1),OP!$C$97+IF(F492="F",OP!$C$98,0),"")))</f>
        <v>54527</v>
      </c>
      <c r="AK492" s="282">
        <f ca="1">IF(E492&gt;111,,IF(AND(OP!$D$99=1,T492="F"),AA492,IF(AND(OP!$D$99=2,COUNTIF($T$4:T492,"F")=1),OP!$D$97+IF(F492="F",OP!$D$98,0),"")))</f>
        <v>74177</v>
      </c>
      <c r="AL492" s="282">
        <f ca="1">IF(E492&gt;111,,IF(AND(OP!$E$99=1,T492="F"),AB492,IF(AND(OP!$E$99=2,COUNTIF($T$4:T492,"F")=1),OP!$E$97+IF(F492="F",OP!$E$98,0),"")))</f>
        <v>99404</v>
      </c>
      <c r="AM492" s="1">
        <f t="shared" ca="1" si="269"/>
        <v>10</v>
      </c>
      <c r="AN492" s="1" t="e">
        <f ca="1">IF(OR(VLOOKUP($A492,MP,5,0)="月繳"),1,"")</f>
        <v>#N/A</v>
      </c>
      <c r="AO492" s="1">
        <f t="shared" ca="1" si="280"/>
        <v>0</v>
      </c>
      <c r="AP492" s="1" t="str">
        <f ca="1">IF(AND(A492&lt;=OP!$C$120,COUNTIF(PAY,C492)=1),1,"")</f>
        <v/>
      </c>
      <c r="AR492" s="301">
        <f ca="1">IF(繳費報酬率資料!$A$1=1,$AY492+$AZ492,$BF492+$BG492)</f>
        <v>0</v>
      </c>
      <c r="AS492" s="1">
        <f ca="1">IF(C492&lt;&gt;IF($C$3=1,12,$C$3-1),0,IF(繳費報酬率資料!$A$1&lt;&gt;1,VLOOKUP($A492,MP,8,0),IF(AND($A492&gt;=OP!$C$79,$A492&lt;=OP!$C$80),OP!$C$78,)))</f>
        <v>0</v>
      </c>
      <c r="AT492" s="298">
        <f t="shared" ca="1" si="281"/>
        <v>0</v>
      </c>
      <c r="AU492" s="298">
        <f ca="1">IF(AND(A492&lt;=OP!$C$120,COUNTIF(PAY,C492)=1),OP!$C$123,0)</f>
        <v>0</v>
      </c>
      <c r="AV492" s="298">
        <f ca="1">IF(AND(A492&gt;=OP!$C$132,A492&lt;=OP!$C$133,$C$3=C492),OP!$C$135,0)</f>
        <v>0</v>
      </c>
      <c r="AW492" s="180">
        <f t="shared" ca="1" si="282"/>
        <v>0.05</v>
      </c>
      <c r="AX492" s="180">
        <f t="shared" ca="1" si="283"/>
        <v>0.05</v>
      </c>
      <c r="AY492" s="286">
        <f t="shared" ca="1" si="284"/>
        <v>0</v>
      </c>
      <c r="AZ492" s="286">
        <f t="shared" ca="1" si="285"/>
        <v>0</v>
      </c>
      <c r="BA492" s="286">
        <f t="shared" ca="1" si="286"/>
        <v>0</v>
      </c>
      <c r="BB492" s="286">
        <f t="shared" ca="1" si="287"/>
        <v>0</v>
      </c>
      <c r="BC492" s="286">
        <f t="shared" ca="1" si="288"/>
        <v>0</v>
      </c>
      <c r="BD492" s="180">
        <f t="shared" ca="1" si="289"/>
        <v>0.05</v>
      </c>
      <c r="BE492" s="180">
        <f t="shared" ca="1" si="290"/>
        <v>0.05</v>
      </c>
      <c r="BF492" s="286">
        <f t="shared" ca="1" si="291"/>
        <v>0</v>
      </c>
      <c r="BG492" s="286">
        <f t="shared" ca="1" si="292"/>
        <v>0</v>
      </c>
    </row>
    <row r="493" spans="1:59">
      <c r="A493" s="1">
        <f t="shared" ca="1" si="272"/>
        <v>41</v>
      </c>
      <c r="B493" s="1">
        <f t="shared" ca="1" si="265"/>
        <v>147</v>
      </c>
      <c r="C493" s="1">
        <f t="shared" ca="1" si="266"/>
        <v>3</v>
      </c>
      <c r="D493" s="1">
        <f ca="1">MIN($D$3,VLOOKUP(C493,OP!$S$30:$T$41,2))</f>
        <v>2</v>
      </c>
      <c r="E493" s="1">
        <f t="shared" ca="1" si="267"/>
        <v>95</v>
      </c>
      <c r="F493" s="11" t="str">
        <f t="shared" ca="1" si="273"/>
        <v/>
      </c>
      <c r="G493" s="8">
        <f t="shared" ca="1" si="298"/>
        <v>365</v>
      </c>
      <c r="H493" s="8">
        <f t="shared" ca="1" si="274"/>
        <v>31</v>
      </c>
      <c r="I493" s="8" t="str">
        <f t="shared" ca="1" si="271"/>
        <v>413</v>
      </c>
      <c r="J493" s="13">
        <f>IF(繳費報酬率資料!$A$1=1,VALUE(OP!$C$121),VLOOKUP(A493,MP,2,0))</f>
        <v>0.05</v>
      </c>
      <c r="K493" s="14">
        <f ca="1">IF(SUM($K$4:K492,IF(繳費報酬率資料!$A$1=1,$AU493+$AV493,$BB493+$BC493))&gt;OP!$L$58,0,IF(繳費報酬率資料!$A$1=1,$AU493+$AV493,$BB493+$BC493))</f>
        <v>0</v>
      </c>
      <c r="L493" s="2"/>
      <c r="M493" s="2"/>
      <c r="N493" s="2"/>
      <c r="O493" s="261">
        <f t="shared" ca="1" si="275"/>
        <v>0</v>
      </c>
      <c r="P493" s="261">
        <f t="shared" ca="1" si="293"/>
        <v>0</v>
      </c>
      <c r="Q493" s="3">
        <f ca="1">IF(A493&gt;MAX(OP!$R$17:$R$26),0,VLOOKUP(A493,fees,3,FALSE))</f>
        <v>0</v>
      </c>
      <c r="R493" s="200" t="str">
        <f t="shared" ca="1" si="276"/>
        <v/>
      </c>
      <c r="S493" s="9" t="str">
        <f ca="1">IF(COUNTIF(($T$4:T492),"F")&gt;=1,"",IF(OR(C494&lt;&gt;$C$3,E493=""),"",A493))</f>
        <v/>
      </c>
      <c r="T493" s="20" t="str">
        <f t="shared" ca="1" si="268"/>
        <v/>
      </c>
      <c r="U493" s="2">
        <f ca="1">IF(IF(OP!$C$83=1,$Z492,IF(OP!$C$83=2,$AA492,IF(OP!$C$83=3,$AB492,)))+$K493-$O493-$P493-$AS493&lt;OP!$C$142,0,$AS493)</f>
        <v>0</v>
      </c>
      <c r="V493" s="9"/>
      <c r="W493" s="19">
        <f ca="1">MAX(SUM($K$4:K493),0)</f>
        <v>2000000</v>
      </c>
      <c r="X493" s="19"/>
      <c r="Y493" s="19">
        <f t="shared" ca="1" si="294"/>
        <v>1920000</v>
      </c>
      <c r="Z493" s="2">
        <f ca="1">IF(MIN($Z$4:Z492)=0,0,MAX(0,($Z492+$K493-$O493-$P493)*IF(AND(F493="F",$D$3&lt;&gt;$G$3),((1+(-J493))^(H493/MIN(G493,365))),((1+(-J493))^(1/12)))-$U493))</f>
        <v>236418.67444594263</v>
      </c>
      <c r="AA493" s="2">
        <f ca="1">IF(MIN($AA$4:AA492)=0,0,MAX(0,($AA492+$K493-$O493-$P493)*IF(AND(F493="F",$D$3&lt;&gt;$G$3),((1+$AA$1)^(H493/MIN(G493,365))),((1+$AA$1)^(1/12)))-$U493))</f>
        <v>1920000</v>
      </c>
      <c r="AB493" s="2">
        <f ca="1">IF(MIN($AB$4:AB492)=0,0,MAX(0,($AB492+$K493-$O493-$P493)*IF(AND(F493="F",$D$3&lt;&gt;$G$3),((1+(J493))^(H493/MIN(G493,365))),((1+(J493))^(1/12)))-$U493))</f>
        <v>14077675.192924738</v>
      </c>
      <c r="AC493" s="5"/>
      <c r="AD493" s="5"/>
      <c r="AE493" s="5"/>
      <c r="AF493" s="282">
        <f t="shared" ca="1" si="277"/>
        <v>236419</v>
      </c>
      <c r="AG493" s="282">
        <f t="shared" ca="1" si="278"/>
        <v>1920000</v>
      </c>
      <c r="AH493" s="282">
        <f t="shared" ca="1" si="279"/>
        <v>14077675</v>
      </c>
      <c r="AI493" s="23" t="str">
        <f t="shared" ca="1" si="295"/>
        <v>41-11</v>
      </c>
      <c r="AJ493" s="282">
        <f ca="1">IF(E493&gt;111,,IF(AND(OP!$C$99=1,T493="F"),Z493,IF(AND(OP!$C$99=2,COUNTIF($T$4:T493,"F")=1),OP!$C$97+IF(F493="F",OP!$C$98,0),"")))</f>
        <v>54527</v>
      </c>
      <c r="AK493" s="282">
        <f ca="1">IF(E493&gt;111,,IF(AND(OP!$D$99=1,T493="F"),AA493,IF(AND(OP!$D$99=2,COUNTIF($T$4:T493,"F")=1),OP!$D$97+IF(F493="F",OP!$D$98,0),"")))</f>
        <v>74177</v>
      </c>
      <c r="AL493" s="282">
        <f ca="1">IF(E493&gt;111,,IF(AND(OP!$E$99=1,T493="F"),AB493,IF(AND(OP!$E$99=2,COUNTIF($T$4:T493,"F")=1),OP!$E$97+IF(F493="F",OP!$E$98,0),"")))</f>
        <v>99404</v>
      </c>
      <c r="AM493" s="1">
        <f t="shared" ca="1" si="269"/>
        <v>11</v>
      </c>
      <c r="AN493" s="1" t="e">
        <f ca="1">IF(OR(VLOOKUP($A493,MP,5,0)="季繳",VLOOKUP($A493,MP,5,0)="月繳"),1,"")</f>
        <v>#N/A</v>
      </c>
      <c r="AO493" s="1">
        <f t="shared" ca="1" si="280"/>
        <v>0</v>
      </c>
      <c r="AP493" s="1" t="str">
        <f ca="1">IF(AND(A493&lt;=OP!$C$120,COUNTIF(PAY,C493)=1),1,"")</f>
        <v/>
      </c>
      <c r="AR493" s="301">
        <f ca="1">IF(繳費報酬率資料!$A$1=1,$AY493+$AZ493,$BF493+$BG493)</f>
        <v>0</v>
      </c>
      <c r="AS493" s="1">
        <f ca="1">IF(C493&lt;&gt;IF($C$3=1,12,$C$3-1),0,IF(繳費報酬率資料!$A$1&lt;&gt;1,VLOOKUP($A493,MP,8,0),IF(AND($A493&gt;=OP!$C$79,$A493&lt;=OP!$C$80),OP!$C$78,)))</f>
        <v>0</v>
      </c>
      <c r="AT493" s="298">
        <f t="shared" ca="1" si="281"/>
        <v>0</v>
      </c>
      <c r="AU493" s="298">
        <f ca="1">IF(AND(A493&lt;=OP!$C$120,COUNTIF(PAY,C493)=1),OP!$C$123,0)</f>
        <v>0</v>
      </c>
      <c r="AV493" s="298">
        <f ca="1">IF(AND(A493&gt;=OP!$C$132,A493&lt;=OP!$C$133,$C$3=C493),OP!$C$135,0)</f>
        <v>0</v>
      </c>
      <c r="AW493" s="180">
        <f t="shared" ca="1" si="282"/>
        <v>0.05</v>
      </c>
      <c r="AX493" s="180">
        <f t="shared" ca="1" si="283"/>
        <v>0.05</v>
      </c>
      <c r="AY493" s="286">
        <f t="shared" ca="1" si="284"/>
        <v>0</v>
      </c>
      <c r="AZ493" s="286">
        <f t="shared" ca="1" si="285"/>
        <v>0</v>
      </c>
      <c r="BA493" s="286">
        <f t="shared" ca="1" si="286"/>
        <v>0</v>
      </c>
      <c r="BB493" s="286">
        <f t="shared" ca="1" si="287"/>
        <v>0</v>
      </c>
      <c r="BC493" s="286">
        <f t="shared" ca="1" si="288"/>
        <v>0</v>
      </c>
      <c r="BD493" s="180">
        <f t="shared" ca="1" si="289"/>
        <v>0.05</v>
      </c>
      <c r="BE493" s="180">
        <f t="shared" ca="1" si="290"/>
        <v>0.05</v>
      </c>
      <c r="BF493" s="286">
        <f t="shared" ca="1" si="291"/>
        <v>0</v>
      </c>
      <c r="BG493" s="286">
        <f t="shared" ca="1" si="292"/>
        <v>0</v>
      </c>
    </row>
    <row r="494" spans="1:59">
      <c r="A494" s="1">
        <f t="shared" ca="1" si="272"/>
        <v>41</v>
      </c>
      <c r="B494" s="1">
        <f t="shared" ca="1" si="265"/>
        <v>147</v>
      </c>
      <c r="C494" s="1">
        <f t="shared" ca="1" si="266"/>
        <v>4</v>
      </c>
      <c r="D494" s="1">
        <f ca="1">MIN($D$3,VLOOKUP(C494,OP!$S$30:$T$41,2))</f>
        <v>2</v>
      </c>
      <c r="E494" s="1">
        <f t="shared" ca="1" si="267"/>
        <v>95</v>
      </c>
      <c r="F494" s="11" t="str">
        <f t="shared" ca="1" si="273"/>
        <v/>
      </c>
      <c r="G494" s="8">
        <f t="shared" ca="1" si="298"/>
        <v>365</v>
      </c>
      <c r="H494" s="8">
        <f t="shared" ca="1" si="274"/>
        <v>30</v>
      </c>
      <c r="I494" s="8" t="str">
        <f t="shared" ca="1" si="271"/>
        <v>414</v>
      </c>
      <c r="J494" s="13">
        <f>IF(繳費報酬率資料!$A$1=1,VALUE(OP!$C$121),VLOOKUP(A494,MP,2,0))</f>
        <v>0.05</v>
      </c>
      <c r="K494" s="14">
        <f ca="1">IF(SUM($K$4:K493,IF(繳費報酬率資料!$A$1=1,$AU494+$AV494,$BB494+$BC494))&gt;OP!$L$58,0,IF(繳費報酬率資料!$A$1=1,$AU494+$AV494,$BB494+$BC494))</f>
        <v>0</v>
      </c>
      <c r="L494" s="2"/>
      <c r="M494" s="2"/>
      <c r="N494" s="2"/>
      <c r="O494" s="261">
        <f t="shared" ca="1" si="275"/>
        <v>0</v>
      </c>
      <c r="P494" s="261">
        <f t="shared" ca="1" si="293"/>
        <v>0</v>
      </c>
      <c r="Q494" s="3">
        <f ca="1">IF(A494&gt;MAX(OP!$R$17:$R$26),0,VLOOKUP(A494,fees,3,FALSE))</f>
        <v>0</v>
      </c>
      <c r="R494" s="200" t="str">
        <f t="shared" ca="1" si="276"/>
        <v/>
      </c>
      <c r="S494" s="9" t="str">
        <f ca="1">IF(COUNTIF(($T$4:T493),"F")&gt;=1,"",IF(OR(C495&lt;&gt;$C$3,E494=""),"",A494))</f>
        <v/>
      </c>
      <c r="T494" s="20" t="str">
        <f t="shared" ca="1" si="268"/>
        <v/>
      </c>
      <c r="U494" s="2">
        <f ca="1">IF(IF(OP!$C$83=1,$Z493,IF(OP!$C$83=2,$AA493,IF(OP!$C$83=3,$AB493,)))+$K494-$O494-$P494-$AS494&lt;OP!$C$142,0,$AS494)</f>
        <v>0</v>
      </c>
      <c r="V494" s="9"/>
      <c r="W494" s="19">
        <f ca="1">MAX(SUM($K$4:K494),0)</f>
        <v>2000000</v>
      </c>
      <c r="X494" s="19"/>
      <c r="Y494" s="19">
        <f t="shared" ca="1" si="294"/>
        <v>1920000</v>
      </c>
      <c r="Z494" s="2">
        <f ca="1">IF(MIN($Z$4:Z493)=0,0,MAX(0,($Z493+$K494-$O494-$P494)*IF(AND(F494="F",$D$3&lt;&gt;$G$3),((1+(-J494))^(H494/MIN(G494,365))),((1+(-J494))^(1/12)))-$U494))</f>
        <v>235410.27343446235</v>
      </c>
      <c r="AA494" s="2">
        <f ca="1">IF(MIN($AA$4:AA493)=0,0,MAX(0,($AA493+$K494-$O494-$P494)*IF(AND(F494="F",$D$3&lt;&gt;$G$3),((1+$AA$1)^(H494/MIN(G494,365))),((1+$AA$1)^(1/12)))-$U494))</f>
        <v>1920000</v>
      </c>
      <c r="AB494" s="2">
        <f ca="1">IF(MIN($AB$4:AB493)=0,0,MAX(0,($AB493+$K494-$O494-$P494)*IF(AND(F494="F",$D$3&lt;&gt;$G$3),((1+(J494))^(H494/MIN(G494,365))),((1+(J494))^(1/12)))-$U494))</f>
        <v>14135029.384246709</v>
      </c>
      <c r="AC494" s="5"/>
      <c r="AD494" s="5"/>
      <c r="AE494" s="5"/>
      <c r="AF494" s="282">
        <f t="shared" ca="1" si="277"/>
        <v>235410</v>
      </c>
      <c r="AG494" s="282">
        <f t="shared" ca="1" si="278"/>
        <v>1920000</v>
      </c>
      <c r="AH494" s="282">
        <f t="shared" ca="1" si="279"/>
        <v>14135029</v>
      </c>
      <c r="AI494" s="23" t="str">
        <f t="shared" ca="1" si="295"/>
        <v>41-12</v>
      </c>
      <c r="AJ494" s="282">
        <f ca="1">IF(E494&gt;111,,IF(AND(OP!$C$99=1,T494="F"),Z494,IF(AND(OP!$C$99=2,COUNTIF($T$4:T494,"F")=1),OP!$C$97+IF(F494="F",OP!$C$98,0),"")))</f>
        <v>54527</v>
      </c>
      <c r="AK494" s="282">
        <f ca="1">IF(E494&gt;111,,IF(AND(OP!$D$99=1,T494="F"),AA494,IF(AND(OP!$D$99=2,COUNTIF($T$4:T494,"F")=1),OP!$D$97+IF(F494="F",OP!$D$98,0),"")))</f>
        <v>74177</v>
      </c>
      <c r="AL494" s="282">
        <f ca="1">IF(E494&gt;111,,IF(AND(OP!$E$99=1,T494="F"),AB494,IF(AND(OP!$E$99=2,COUNTIF($T$4:T494,"F")=1),OP!$E$97+IF(F494="F",OP!$E$98,0),"")))</f>
        <v>99404</v>
      </c>
      <c r="AM494" s="1">
        <f t="shared" ca="1" si="269"/>
        <v>12</v>
      </c>
      <c r="AN494" s="1" t="e">
        <f ca="1">IF(OR(VLOOKUP($A494,MP,5,0)="月繳"),1,"")</f>
        <v>#N/A</v>
      </c>
      <c r="AO494" s="1">
        <f t="shared" ca="1" si="280"/>
        <v>0</v>
      </c>
      <c r="AP494" s="1" t="str">
        <f ca="1">IF(AND(A494&lt;=OP!$C$120,COUNTIF(PAY,C494)=1),1,"")</f>
        <v/>
      </c>
      <c r="AR494" s="301">
        <f ca="1">IF(繳費報酬率資料!$A$1=1,$AY494+$AZ494,$BF494+$BG494)</f>
        <v>0</v>
      </c>
      <c r="AS494" s="1">
        <f ca="1">IF(C494&lt;&gt;IF($C$3=1,12,$C$3-1),0,IF(繳費報酬率資料!$A$1&lt;&gt;1,VLOOKUP($A494,MP,8,0),IF(AND($A494&gt;=OP!$C$79,$A494&lt;=OP!$C$80),OP!$C$78,)))</f>
        <v>0</v>
      </c>
      <c r="AT494" s="298">
        <f t="shared" ca="1" si="281"/>
        <v>0</v>
      </c>
      <c r="AU494" s="298">
        <f ca="1">IF(AND(A494&lt;=OP!$C$120,COUNTIF(PAY,C494)=1),OP!$C$123,0)</f>
        <v>0</v>
      </c>
      <c r="AV494" s="298">
        <f ca="1">IF(AND(A494&gt;=OP!$C$132,A494&lt;=OP!$C$133,$C$3=C494),OP!$C$135,0)</f>
        <v>0</v>
      </c>
      <c r="AW494" s="180">
        <f t="shared" ca="1" si="282"/>
        <v>0.05</v>
      </c>
      <c r="AX494" s="180">
        <f t="shared" ca="1" si="283"/>
        <v>0.05</v>
      </c>
      <c r="AY494" s="286">
        <f t="shared" ca="1" si="284"/>
        <v>0</v>
      </c>
      <c r="AZ494" s="286">
        <f t="shared" ca="1" si="285"/>
        <v>0</v>
      </c>
      <c r="BA494" s="286">
        <f t="shared" ca="1" si="286"/>
        <v>0</v>
      </c>
      <c r="BB494" s="286">
        <f t="shared" ca="1" si="287"/>
        <v>0</v>
      </c>
      <c r="BC494" s="286">
        <f t="shared" ca="1" si="288"/>
        <v>0</v>
      </c>
      <c r="BD494" s="180">
        <f t="shared" ca="1" si="289"/>
        <v>0.05</v>
      </c>
      <c r="BE494" s="180">
        <f t="shared" ca="1" si="290"/>
        <v>0.05</v>
      </c>
      <c r="BF494" s="286">
        <f t="shared" ca="1" si="291"/>
        <v>0</v>
      </c>
      <c r="BG494" s="286">
        <f t="shared" ca="1" si="292"/>
        <v>0</v>
      </c>
    </row>
    <row r="495" spans="1:59">
      <c r="A495" s="1">
        <f t="shared" ca="1" si="272"/>
        <v>41</v>
      </c>
      <c r="B495" s="1">
        <f t="shared" ca="1" si="265"/>
        <v>147</v>
      </c>
      <c r="C495" s="1">
        <f t="shared" ca="1" si="266"/>
        <v>5</v>
      </c>
      <c r="D495" s="1">
        <f ca="1">MIN($D$3,VLOOKUP(C495,OP!$S$30:$T$41,2))</f>
        <v>2</v>
      </c>
      <c r="E495" s="1">
        <f t="shared" ca="1" si="267"/>
        <v>95</v>
      </c>
      <c r="F495" s="11" t="str">
        <f t="shared" ca="1" si="273"/>
        <v/>
      </c>
      <c r="G495" s="8">
        <f t="shared" ca="1" si="298"/>
        <v>365</v>
      </c>
      <c r="H495" s="8">
        <f t="shared" ca="1" si="274"/>
        <v>31</v>
      </c>
      <c r="I495" s="8" t="str">
        <f t="shared" ca="1" si="271"/>
        <v>415</v>
      </c>
      <c r="J495" s="13">
        <f>IF(繳費報酬率資料!$A$1=1,VALUE(OP!$C$121),VLOOKUP(A495,MP,2,0))</f>
        <v>0.05</v>
      </c>
      <c r="K495" s="14">
        <f ca="1">IF(SUM($K$4:K494,IF(繳費報酬率資料!$A$1=1,$AU495+$AV495,$BB495+$BC495))&gt;OP!$L$58,0,IF(繳費報酬率資料!$A$1=1,$AU495+$AV495,$BB495+$BC495))</f>
        <v>0</v>
      </c>
      <c r="L495" s="2">
        <f ca="1">ROUND(IF(OP!$C$78&lt;(IF(OR($T495="F",$E495&gt;=111),0,Z494+$K495-$O495+IF($C$1=1,OP!$C$78,IF($C496=$C$3,SUM(AC484:AC495,0)))))*5%,0,(OP!$C$78-((IF(OR($T495="F",$E495&gt;=111),0,Z494+$K495-$O495+IF($C$1=1,AC495,IF($C496=$C$3,SUM(AC484:AC495,0)))))*5%))*$Q495),0)</f>
        <v>0</v>
      </c>
      <c r="M495" s="2">
        <f ca="1">ROUND(IF(OP!$C$78&lt;(IF(OR($T495="F",$E495&gt;=111),0,AA494+$K495-$O495+IF($C$1=1,AD495,IF($C496=$C$3,SUM(AD484:AD495,0)))))*5%,0,(OP!$C$78-((IF(OR($T495="F",$E495&gt;=111),0,AA494+$K495-$O495+IF($C$1=1,AD495,IF($C496=$C$3,SUM(AD484:AD495,0)))))*5%))*$Q495),0)</f>
        <v>0</v>
      </c>
      <c r="N495" s="2">
        <f ca="1">ROUND(IF(OP!$C$78&lt;(IF(OR($T495="F",$E495&gt;=111),0,AB494+$K495-$O495+IF($C$1=1,AE495,IF($C496=$C$3,SUM(AE484:AE495,0)))))*5%,0,(OP!$C$78-((IF(OR($T495="F",$E495&gt;=111),0,AB494+$K495-$O495+IF($C$1=1,AE495,IF($C496=$C$3,SUM(AE484:AE495,0)))))*5%))*$Q495),0)</f>
        <v>0</v>
      </c>
      <c r="O495" s="261">
        <f t="shared" ca="1" si="275"/>
        <v>0</v>
      </c>
      <c r="P495" s="261">
        <f t="shared" ca="1" si="293"/>
        <v>0</v>
      </c>
      <c r="Q495" s="3">
        <f ca="1">IF(A495&gt;MAX(OP!$R$17:$R$26),0,VLOOKUP(A495,fees,3,FALSE))</f>
        <v>0</v>
      </c>
      <c r="R495" s="200">
        <f t="shared" ca="1" si="276"/>
        <v>41</v>
      </c>
      <c r="S495" s="9" t="str">
        <f ca="1">IF(COUNTIF(($T$4:T494),"F")&gt;=1,"",IF(OR(C496&lt;&gt;$C$3,E495=""),"",A495))</f>
        <v/>
      </c>
      <c r="T495" s="20" t="str">
        <f t="shared" ca="1" si="268"/>
        <v/>
      </c>
      <c r="U495" s="2">
        <f ca="1">IF(IF(OP!$C$83=1,$Z494,IF(OP!$C$83=2,$AA494,IF(OP!$C$83=3,$AB494,)))+$K495-$O495-$P495-$AS495&lt;OP!$C$142,0,$AS495)</f>
        <v>0</v>
      </c>
      <c r="V495" s="19">
        <f ca="1">SUM(K484:K495)</f>
        <v>0</v>
      </c>
      <c r="W495" s="19">
        <f ca="1">MAX(SUM($K$4:K495),0)</f>
        <v>2000000</v>
      </c>
      <c r="X495" s="19">
        <f ca="1">SUM(O484:P495)</f>
        <v>0</v>
      </c>
      <c r="Y495" s="19">
        <f t="shared" ca="1" si="294"/>
        <v>1920000</v>
      </c>
      <c r="Z495" s="2">
        <f ca="1">IF(MIN($Z$4:Z494)=0,0,MAX(0,($Z494+$K495-$O495-$P495)*IF(AND(F495="F",$D$3&lt;&gt;$G$3),((1+(-J495))^(H495/MIN(G495,365))),((1+(-J495))^(1/12)))-$U495))</f>
        <v>234406.17357475165</v>
      </c>
      <c r="AA495" s="2">
        <f ca="1">IF(MIN($AA$4:AA494)=0,0,MAX(0,($AA494+$K495-$O495-$P495)*IF(AND(F495="F",$D$3&lt;&gt;$G$3),((1+$AA$1)^(H495/MIN(G495,365))),((1+$AA$1)^(1/12)))-$U495))</f>
        <v>1920000</v>
      </c>
      <c r="AB495" s="2">
        <f ca="1">IF(MIN($AB$4:AB494)=0,0,MAX(0,($AB494+$K495-$O495-$P495)*IF(AND(F495="F",$D$3&lt;&gt;$G$3),((1+(J495))^(H495/MIN(G495,365))),((1+(J495))^(1/12)))-$U495))</f>
        <v>14192617.243643636</v>
      </c>
      <c r="AC495" s="5"/>
      <c r="AD495" s="5"/>
      <c r="AE495" s="5"/>
      <c r="AF495" s="282">
        <f t="shared" ca="1" si="277"/>
        <v>234406</v>
      </c>
      <c r="AG495" s="282">
        <f t="shared" ca="1" si="278"/>
        <v>1920000</v>
      </c>
      <c r="AH495" s="282">
        <f t="shared" ca="1" si="279"/>
        <v>14192617</v>
      </c>
      <c r="AI495" s="23" t="str">
        <f t="shared" ca="1" si="295"/>
        <v>42-1</v>
      </c>
      <c r="AJ495" s="282">
        <f ca="1">IF(E495&gt;111,,IF(AND(OP!$C$99=1,T495="F"),Z495,IF(AND(OP!$C$99=2,COUNTIF($T$4:T495,"F")=1),OP!$C$97+IF(F495="F",OP!$C$98,0),"")))</f>
        <v>54527</v>
      </c>
      <c r="AK495" s="282">
        <f ca="1">IF(E495&gt;111,,IF(AND(OP!$D$99=1,T495="F"),AA495,IF(AND(OP!$D$99=2,COUNTIF($T$4:T495,"F")=1),OP!$D$97+IF(F495="F",OP!$D$98,0),"")))</f>
        <v>74177</v>
      </c>
      <c r="AL495" s="282">
        <f ca="1">IF(E495&gt;111,,IF(AND(OP!$E$99=1,T495="F"),AB495,IF(AND(OP!$E$99=2,COUNTIF($T$4:T495,"F")=1),OP!$E$97+IF(F495="F",OP!$E$98,0),"")))</f>
        <v>99404</v>
      </c>
      <c r="AM495" s="1">
        <f t="shared" ca="1" si="269"/>
        <v>1</v>
      </c>
      <c r="AN495" s="1" t="e">
        <f ca="1">IF(OR(VLOOKUP($A495,MP,5,0)="月繳"),1,"")</f>
        <v>#N/A</v>
      </c>
      <c r="AO495" s="1">
        <f t="shared" ca="1" si="280"/>
        <v>0</v>
      </c>
      <c r="AP495" s="1" t="str">
        <f ca="1">IF(AND(A495&lt;=OP!$C$120,COUNTIF(PAY,C495)=1),1,"")</f>
        <v/>
      </c>
      <c r="AR495" s="301">
        <f ca="1">IF(繳費報酬率資料!$A$1=1,$AY495+$AZ495,$BF495+$BG495)</f>
        <v>0</v>
      </c>
      <c r="AS495" s="1">
        <f ca="1">IF(C495&lt;&gt;IF($C$3=1,12,$C$3-1),0,IF(繳費報酬率資料!$A$1&lt;&gt;1,VLOOKUP($A495,MP,8,0),IF(AND($A495&gt;=OP!$C$79,$A495&lt;=OP!$C$80),OP!$C$78,)))</f>
        <v>0</v>
      </c>
      <c r="AT495" s="298">
        <f t="shared" ca="1" si="281"/>
        <v>0</v>
      </c>
      <c r="AU495" s="298">
        <f ca="1">IF(AND(A495&lt;=OP!$C$120,COUNTIF(PAY,C495)=1),OP!$C$123,0)</f>
        <v>0</v>
      </c>
      <c r="AV495" s="298">
        <f ca="1">IF(AND(A495&gt;=OP!$C$132,A495&lt;=OP!$C$133,$C$3=C495),OP!$C$135,0)</f>
        <v>0</v>
      </c>
      <c r="AW495" s="180">
        <f t="shared" ca="1" si="282"/>
        <v>0.05</v>
      </c>
      <c r="AX495" s="180">
        <f t="shared" ca="1" si="283"/>
        <v>0.05</v>
      </c>
      <c r="AY495" s="286">
        <f t="shared" ca="1" si="284"/>
        <v>0</v>
      </c>
      <c r="AZ495" s="286">
        <f t="shared" ca="1" si="285"/>
        <v>0</v>
      </c>
      <c r="BA495" s="286">
        <f t="shared" ca="1" si="286"/>
        <v>0</v>
      </c>
      <c r="BB495" s="286">
        <f t="shared" ca="1" si="287"/>
        <v>0</v>
      </c>
      <c r="BC495" s="286">
        <f t="shared" ca="1" si="288"/>
        <v>0</v>
      </c>
      <c r="BD495" s="180">
        <f t="shared" ca="1" si="289"/>
        <v>0.05</v>
      </c>
      <c r="BE495" s="180">
        <f t="shared" ca="1" si="290"/>
        <v>0.05</v>
      </c>
      <c r="BF495" s="286">
        <f t="shared" ca="1" si="291"/>
        <v>0</v>
      </c>
      <c r="BG495" s="286">
        <f t="shared" ca="1" si="292"/>
        <v>0</v>
      </c>
    </row>
    <row r="496" spans="1:59">
      <c r="A496" s="1">
        <f t="shared" ca="1" si="272"/>
        <v>42</v>
      </c>
      <c r="B496" s="1">
        <f t="shared" ca="1" si="265"/>
        <v>147</v>
      </c>
      <c r="C496" s="1">
        <f t="shared" ca="1" si="266"/>
        <v>6</v>
      </c>
      <c r="D496" s="1">
        <f ca="1">MIN($D$3,VLOOKUP(C496,OP!$S$30:$T$41,2))</f>
        <v>2</v>
      </c>
      <c r="E496" s="1">
        <f t="shared" ca="1" si="267"/>
        <v>96</v>
      </c>
      <c r="F496" s="11" t="str">
        <f t="shared" ca="1" si="273"/>
        <v/>
      </c>
      <c r="G496" s="6">
        <f ca="1">DATEDIF(DATE(B496+1911,C496,D496),DATE(B508+1911,C508,D508),"d")</f>
        <v>365</v>
      </c>
      <c r="H496" s="8">
        <f t="shared" ca="1" si="274"/>
        <v>30</v>
      </c>
      <c r="I496" s="8" t="str">
        <f t="shared" ca="1" si="271"/>
        <v>426</v>
      </c>
      <c r="J496" s="13">
        <f>IF(繳費報酬率資料!$A$1=1,VALUE(OP!$C$121),VLOOKUP(A496,MP,2,0))</f>
        <v>0.05</v>
      </c>
      <c r="K496" s="14">
        <f ca="1">IF(SUM($K$4:K495,IF(繳費報酬率資料!$A$1=1,$AU496+$AV496,$BB496+$BC496))&gt;OP!$L$58,0,IF(繳費報酬率資料!$A$1=1,$AU496+$AV496,$BB496+$BC496))</f>
        <v>0</v>
      </c>
      <c r="L496" s="2"/>
      <c r="M496" s="2"/>
      <c r="N496" s="2"/>
      <c r="O496" s="261">
        <f t="shared" ca="1" si="275"/>
        <v>0</v>
      </c>
      <c r="P496" s="261">
        <f t="shared" ca="1" si="293"/>
        <v>0</v>
      </c>
      <c r="Q496" s="3">
        <f ca="1">IF(A496&gt;MAX(OP!$R$17:$R$26),0,VLOOKUP(A496,fees,3,FALSE))</f>
        <v>0</v>
      </c>
      <c r="R496" s="200" t="str">
        <f t="shared" ca="1" si="276"/>
        <v/>
      </c>
      <c r="S496" s="9" t="str">
        <f ca="1">IF(COUNTIF(($T$4:T495),"F")&gt;=1,"",IF(OR(C497&lt;&gt;$C$3,E496=""),"",A496))</f>
        <v/>
      </c>
      <c r="T496" s="20" t="str">
        <f t="shared" ca="1" si="268"/>
        <v/>
      </c>
      <c r="U496" s="2">
        <f ca="1">IF(IF(OP!$C$83=1,$Z495,IF(OP!$C$83=2,$AA495,IF(OP!$C$83=3,$AB495,)))+$K496-$O496-$P496-$AS496&lt;OP!$C$142,0,$AS496)</f>
        <v>0</v>
      </c>
      <c r="V496" s="9"/>
      <c r="W496" s="19">
        <f ca="1">MAX(SUM($K$4:K496),0)</f>
        <v>2000000</v>
      </c>
      <c r="X496" s="19"/>
      <c r="Y496" s="19">
        <f t="shared" ca="1" si="294"/>
        <v>1920000</v>
      </c>
      <c r="Z496" s="2">
        <f ca="1">IF(MIN($Z$4:Z495)=0,0,MAX(0,($Z495+$K496-$O496-$P496)*IF(AND(F496="F",$D$3&lt;&gt;$G$3),((1+(-J496))^(H496/MIN(G496,365))),((1+(-J496))^(1/12)))-$U496))</f>
        <v>233406.35652102713</v>
      </c>
      <c r="AA496" s="2">
        <f ca="1">IF(MIN($AA$4:AA495)=0,0,MAX(0,($AA495+$K496-$O496-$P496)*IF(AND(F496="F",$D$3&lt;&gt;$G$3),((1+$AA$1)^(H496/MIN(G496,365))),((1+$AA$1)^(1/12)))-$U496))</f>
        <v>1920000</v>
      </c>
      <c r="AB496" s="2">
        <f ca="1">IF(MIN($AB$4:AB495)=0,0,MAX(0,($AB495+$K496-$O496-$P496)*IF(AND(F496="F",$D$3&lt;&gt;$G$3),((1+(J496))^(H496/MIN(G496,365))),((1+(J496))^(1/12)))-$U496))</f>
        <v>14250439.723108182</v>
      </c>
      <c r="AC496" s="21"/>
      <c r="AD496" s="21"/>
      <c r="AE496" s="21"/>
      <c r="AF496" s="282">
        <f t="shared" ca="1" si="277"/>
        <v>233406</v>
      </c>
      <c r="AG496" s="282">
        <f t="shared" ca="1" si="278"/>
        <v>1920000</v>
      </c>
      <c r="AH496" s="282">
        <f t="shared" ca="1" si="279"/>
        <v>14250440</v>
      </c>
      <c r="AI496" s="23" t="str">
        <f t="shared" ca="1" si="295"/>
        <v>42-2</v>
      </c>
      <c r="AJ496" s="281">
        <f ca="1">IF(E496&gt;111,,IF(AND(OP!$C$99=1,T496="F"),Z496,IF(AND(OP!$C$99=2,COUNTIF($T$4:T496,"F")=1),OP!$C$97+IF(F496="F",OP!$C$98,0),"")))</f>
        <v>54527</v>
      </c>
      <c r="AK496" s="281">
        <f ca="1">IF(E496&gt;111,,IF(AND(OP!$D$99=1,T496="F"),AA496,IF(AND(OP!$D$99=2,COUNTIF($T$4:T496,"F")=1),OP!$D$97+IF(F496="F",OP!$D$98,0),"")))</f>
        <v>74177</v>
      </c>
      <c r="AL496" s="281">
        <f ca="1">IF(E496&gt;111,,IF(AND(OP!$E$99=1,T496="F"),AB496,IF(AND(OP!$E$99=2,COUNTIF($T$4:T496,"F")=1),OP!$E$97+IF(F496="F",OP!$E$98,0),"")))</f>
        <v>99404</v>
      </c>
      <c r="AM496" s="1">
        <f t="shared" ca="1" si="269"/>
        <v>2</v>
      </c>
      <c r="AN496" s="1" t="e">
        <f ca="1">IF(OR(VLOOKUP($A496,MP,5,0)="年繳",VLOOKUP($A496,MP,5,0)="半年繳",VLOOKUP($A496,MP,5,0)="季繳",VLOOKUP($A496,MP,5,0)="月繳"),1,"")</f>
        <v>#N/A</v>
      </c>
      <c r="AO496" s="1">
        <f t="shared" ca="1" si="280"/>
        <v>0</v>
      </c>
      <c r="AP496" s="1" t="str">
        <f ca="1">IF(AND(A496&lt;=OP!$C$120,COUNTIF(PAY,C496)=1),1,"")</f>
        <v/>
      </c>
      <c r="AR496" s="301">
        <f ca="1">IF(繳費報酬率資料!$A$1=1,$AY496+$AZ496,$BF496+$BG496)</f>
        <v>0</v>
      </c>
      <c r="AS496" s="1">
        <f ca="1">IF(C496&lt;&gt;IF($C$3=1,12,$C$3-1),0,IF(繳費報酬率資料!$A$1&lt;&gt;1,VLOOKUP($A496,MP,8,0),IF(AND($A496&gt;=OP!$C$79,$A496&lt;=OP!$C$80),OP!$C$78,)))</f>
        <v>0</v>
      </c>
      <c r="AT496" s="298">
        <f t="shared" ca="1" si="281"/>
        <v>0</v>
      </c>
      <c r="AU496" s="298">
        <f ca="1">IF(AND(A496&lt;=OP!$C$120,COUNTIF(PAY,C496)=1),OP!$C$123,0)</f>
        <v>0</v>
      </c>
      <c r="AV496" s="298">
        <f ca="1">IF(AND(A496&gt;=OP!$C$132,A496&lt;=OP!$C$133,$C$3=C496),OP!$C$135,0)</f>
        <v>0</v>
      </c>
      <c r="AW496" s="180">
        <f t="shared" ca="1" si="282"/>
        <v>0.05</v>
      </c>
      <c r="AX496" s="180">
        <f t="shared" ca="1" si="283"/>
        <v>0.05</v>
      </c>
      <c r="AY496" s="286">
        <f t="shared" ca="1" si="284"/>
        <v>0</v>
      </c>
      <c r="AZ496" s="286">
        <f t="shared" ca="1" si="285"/>
        <v>0</v>
      </c>
      <c r="BA496" s="286">
        <f t="shared" ca="1" si="286"/>
        <v>0</v>
      </c>
      <c r="BB496" s="286">
        <f t="shared" ca="1" si="287"/>
        <v>0</v>
      </c>
      <c r="BC496" s="286">
        <f t="shared" ca="1" si="288"/>
        <v>0</v>
      </c>
      <c r="BD496" s="180">
        <f t="shared" ca="1" si="289"/>
        <v>0.05</v>
      </c>
      <c r="BE496" s="180">
        <f t="shared" ca="1" si="290"/>
        <v>0.05</v>
      </c>
      <c r="BF496" s="286">
        <f t="shared" ca="1" si="291"/>
        <v>0</v>
      </c>
      <c r="BG496" s="286">
        <f t="shared" ca="1" si="292"/>
        <v>0</v>
      </c>
    </row>
    <row r="497" spans="1:59">
      <c r="A497" s="1">
        <f t="shared" ca="1" si="272"/>
        <v>42</v>
      </c>
      <c r="B497" s="1">
        <f t="shared" ca="1" si="265"/>
        <v>147</v>
      </c>
      <c r="C497" s="1">
        <f t="shared" ca="1" si="266"/>
        <v>7</v>
      </c>
      <c r="D497" s="1">
        <f ca="1">MIN($D$3,VLOOKUP(C497,OP!$S$30:$T$41,2))</f>
        <v>2</v>
      </c>
      <c r="E497" s="1">
        <f t="shared" ca="1" si="267"/>
        <v>96</v>
      </c>
      <c r="F497" s="11" t="str">
        <f t="shared" ca="1" si="273"/>
        <v/>
      </c>
      <c r="G497" s="8">
        <f t="shared" ref="G497:G507" ca="1" si="299">G496</f>
        <v>365</v>
      </c>
      <c r="H497" s="8">
        <f t="shared" ca="1" si="274"/>
        <v>31</v>
      </c>
      <c r="I497" s="8" t="str">
        <f t="shared" ca="1" si="271"/>
        <v>427</v>
      </c>
      <c r="J497" s="13">
        <f>IF(繳費報酬率資料!$A$1=1,VALUE(OP!$C$121),VLOOKUP(A497,MP,2,0))</f>
        <v>0.05</v>
      </c>
      <c r="K497" s="14">
        <f ca="1">IF(SUM($K$4:K496,IF(繳費報酬率資料!$A$1=1,$AU497+$AV497,$BB497+$BC497))&gt;OP!$L$58,0,IF(繳費報酬率資料!$A$1=1,$AU497+$AV497,$BB497+$BC497))</f>
        <v>0</v>
      </c>
      <c r="L497" s="2"/>
      <c r="M497" s="2"/>
      <c r="N497" s="2"/>
      <c r="O497" s="261">
        <f t="shared" ca="1" si="275"/>
        <v>0</v>
      </c>
      <c r="P497" s="261">
        <f t="shared" ca="1" si="293"/>
        <v>0</v>
      </c>
      <c r="Q497" s="3">
        <f ca="1">IF(A497&gt;MAX(OP!$R$17:$R$26),0,VLOOKUP(A497,fees,3,FALSE))</f>
        <v>0</v>
      </c>
      <c r="R497" s="200" t="str">
        <f t="shared" ca="1" si="276"/>
        <v/>
      </c>
      <c r="S497" s="9" t="str">
        <f ca="1">IF(COUNTIF(($T$4:T496),"F")&gt;=1,"",IF(OR(C498&lt;&gt;$C$3,E497=""),"",A497))</f>
        <v/>
      </c>
      <c r="T497" s="20" t="str">
        <f t="shared" ca="1" si="268"/>
        <v/>
      </c>
      <c r="U497" s="2">
        <f ca="1">IF(IF(OP!$C$83=1,$Z496,IF(OP!$C$83=2,$AA496,IF(OP!$C$83=3,$AB496,)))+$K497-$O497-$P497-$AS497&lt;OP!$C$142,0,$AS497)</f>
        <v>0</v>
      </c>
      <c r="V497" s="9"/>
      <c r="W497" s="19">
        <f ca="1">MAX(SUM($K$4:K497),0)</f>
        <v>2000000</v>
      </c>
      <c r="X497" s="19"/>
      <c r="Y497" s="19">
        <f t="shared" ca="1" si="294"/>
        <v>1920000</v>
      </c>
      <c r="Z497" s="2">
        <f ca="1">IF(MIN($Z$4:Z496)=0,0,MAX(0,($Z496+$K497-$O497-$P497)*IF(AND(F497="F",$D$3&lt;&gt;$G$3),((1+(-J497))^(H497/MIN(G497,365))),((1+(-J497))^(1/12)))-$U497))</f>
        <v>232410.80400575598</v>
      </c>
      <c r="AA497" s="2">
        <f ca="1">IF(MIN($AA$4:AA496)=0,0,MAX(0,($AA496+$K497-$O497-$P497)*IF(AND(F497="F",$D$3&lt;&gt;$G$3),((1+$AA$1)^(H497/MIN(G497,365))),((1+$AA$1)^(1/12)))-$U497))</f>
        <v>1920000</v>
      </c>
      <c r="AB497" s="2">
        <f ca="1">IF(MIN($AB$4:AB496)=0,0,MAX(0,($AB496+$K497-$O497-$P497)*IF(AND(F497="F",$D$3&lt;&gt;$G$3),((1+(J497))^(H497/MIN(G497,365))),((1+(J497))^(1/12)))-$U497))</f>
        <v>14308497.778511545</v>
      </c>
      <c r="AC497" s="5"/>
      <c r="AD497" s="5"/>
      <c r="AE497" s="5"/>
      <c r="AF497" s="282">
        <f t="shared" ca="1" si="277"/>
        <v>232411</v>
      </c>
      <c r="AG497" s="282">
        <f t="shared" ca="1" si="278"/>
        <v>1920000</v>
      </c>
      <c r="AH497" s="282">
        <f t="shared" ca="1" si="279"/>
        <v>14308498</v>
      </c>
      <c r="AI497" s="23" t="str">
        <f t="shared" ca="1" si="295"/>
        <v>42-3</v>
      </c>
      <c r="AJ497" s="282">
        <f ca="1">IF(E497&gt;111,,IF(AND(OP!$C$99=1,T497="F"),Z497,IF(AND(OP!$C$99=2,COUNTIF($T$4:T497,"F")=1),OP!$C$97+IF(F497="F",OP!$C$98,0),"")))</f>
        <v>54527</v>
      </c>
      <c r="AK497" s="282">
        <f ca="1">IF(E497&gt;111,,IF(AND(OP!$D$99=1,T497="F"),AA497,IF(AND(OP!$D$99=2,COUNTIF($T$4:T497,"F")=1),OP!$D$97+IF(F497="F",OP!$D$98,0),"")))</f>
        <v>74177</v>
      </c>
      <c r="AL497" s="282">
        <f ca="1">IF(E497&gt;111,,IF(AND(OP!$E$99=1,T497="F"),AB497,IF(AND(OP!$E$99=2,COUNTIF($T$4:T497,"F")=1),OP!$E$97+IF(F497="F",OP!$E$98,0),"")))</f>
        <v>99404</v>
      </c>
      <c r="AM497" s="1">
        <f t="shared" ca="1" si="269"/>
        <v>3</v>
      </c>
      <c r="AN497" s="1" t="e">
        <f ca="1">IF(OR(VLOOKUP($A497,MP,5,0)="月繳"),1,"")</f>
        <v>#N/A</v>
      </c>
      <c r="AO497" s="1">
        <f t="shared" ca="1" si="280"/>
        <v>0</v>
      </c>
      <c r="AP497" s="1" t="str">
        <f ca="1">IF(AND(A497&lt;=OP!$C$120,COUNTIF(PAY,C497)=1),1,"")</f>
        <v/>
      </c>
      <c r="AR497" s="301">
        <f ca="1">IF(繳費報酬率資料!$A$1=1,$AY497+$AZ497,$BF497+$BG497)</f>
        <v>0</v>
      </c>
      <c r="AS497" s="1">
        <f ca="1">IF(C497&lt;&gt;IF($C$3=1,12,$C$3-1),0,IF(繳費報酬率資料!$A$1&lt;&gt;1,VLOOKUP($A497,MP,8,0),IF(AND($A497&gt;=OP!$C$79,$A497&lt;=OP!$C$80),OP!$C$78,)))</f>
        <v>0</v>
      </c>
      <c r="AT497" s="298">
        <f t="shared" ca="1" si="281"/>
        <v>0</v>
      </c>
      <c r="AU497" s="298">
        <f ca="1">IF(AND(A497&lt;=OP!$C$120,COUNTIF(PAY,C497)=1),OP!$C$123,0)</f>
        <v>0</v>
      </c>
      <c r="AV497" s="298">
        <f ca="1">IF(AND(A497&gt;=OP!$C$132,A497&lt;=OP!$C$133,$C$3=C497),OP!$C$135,0)</f>
        <v>0</v>
      </c>
      <c r="AW497" s="180">
        <f t="shared" ca="1" si="282"/>
        <v>0.05</v>
      </c>
      <c r="AX497" s="180">
        <f t="shared" ca="1" si="283"/>
        <v>0.05</v>
      </c>
      <c r="AY497" s="286">
        <f t="shared" ca="1" si="284"/>
        <v>0</v>
      </c>
      <c r="AZ497" s="286">
        <f t="shared" ca="1" si="285"/>
        <v>0</v>
      </c>
      <c r="BA497" s="286">
        <f t="shared" ca="1" si="286"/>
        <v>0</v>
      </c>
      <c r="BB497" s="286">
        <f t="shared" ca="1" si="287"/>
        <v>0</v>
      </c>
      <c r="BC497" s="286">
        <f t="shared" ca="1" si="288"/>
        <v>0</v>
      </c>
      <c r="BD497" s="180">
        <f t="shared" ca="1" si="289"/>
        <v>0.05</v>
      </c>
      <c r="BE497" s="180">
        <f t="shared" ca="1" si="290"/>
        <v>0.05</v>
      </c>
      <c r="BF497" s="286">
        <f t="shared" ca="1" si="291"/>
        <v>0</v>
      </c>
      <c r="BG497" s="286">
        <f t="shared" ca="1" si="292"/>
        <v>0</v>
      </c>
    </row>
    <row r="498" spans="1:59">
      <c r="A498" s="1">
        <f t="shared" ca="1" si="272"/>
        <v>42</v>
      </c>
      <c r="B498" s="1">
        <f t="shared" ca="1" si="265"/>
        <v>147</v>
      </c>
      <c r="C498" s="1">
        <f t="shared" ca="1" si="266"/>
        <v>8</v>
      </c>
      <c r="D498" s="1">
        <f ca="1">MIN($D$3,VLOOKUP(C498,OP!$S$30:$T$41,2))</f>
        <v>2</v>
      </c>
      <c r="E498" s="1">
        <f t="shared" ca="1" si="267"/>
        <v>96</v>
      </c>
      <c r="F498" s="11" t="str">
        <f t="shared" ca="1" si="273"/>
        <v/>
      </c>
      <c r="G498" s="8">
        <f t="shared" ca="1" si="299"/>
        <v>365</v>
      </c>
      <c r="H498" s="8">
        <f t="shared" ca="1" si="274"/>
        <v>31</v>
      </c>
      <c r="I498" s="8" t="str">
        <f t="shared" ca="1" si="271"/>
        <v>428</v>
      </c>
      <c r="J498" s="13">
        <f>IF(繳費報酬率資料!$A$1=1,VALUE(OP!$C$121),VLOOKUP(A498,MP,2,0))</f>
        <v>0.05</v>
      </c>
      <c r="K498" s="14">
        <f ca="1">IF(SUM($K$4:K497,IF(繳費報酬率資料!$A$1=1,$AU498+$AV498,$BB498+$BC498))&gt;OP!$L$58,0,IF(繳費報酬率資料!$A$1=1,$AU498+$AV498,$BB498+$BC498))</f>
        <v>0</v>
      </c>
      <c r="L498" s="2"/>
      <c r="M498" s="2"/>
      <c r="N498" s="2"/>
      <c r="O498" s="261">
        <f t="shared" ca="1" si="275"/>
        <v>0</v>
      </c>
      <c r="P498" s="261">
        <f t="shared" ca="1" si="293"/>
        <v>0</v>
      </c>
      <c r="Q498" s="3">
        <f ca="1">IF(A498&gt;MAX(OP!$R$17:$R$26),0,VLOOKUP(A498,fees,3,FALSE))</f>
        <v>0</v>
      </c>
      <c r="R498" s="200" t="str">
        <f t="shared" ca="1" si="276"/>
        <v/>
      </c>
      <c r="S498" s="9" t="str">
        <f ca="1">IF(COUNTIF(($T$4:T497),"F")&gt;=1,"",IF(OR(C499&lt;&gt;$C$3,E498=""),"",A498))</f>
        <v/>
      </c>
      <c r="T498" s="20" t="str">
        <f t="shared" ca="1" si="268"/>
        <v/>
      </c>
      <c r="U498" s="2">
        <f ca="1">IF(IF(OP!$C$83=1,$Z497,IF(OP!$C$83=2,$AA497,IF(OP!$C$83=3,$AB497,)))+$K498-$O498-$P498-$AS498&lt;OP!$C$142,0,$AS498)</f>
        <v>0</v>
      </c>
      <c r="V498" s="9"/>
      <c r="W498" s="19">
        <f ca="1">MAX(SUM($K$4:K498),0)</f>
        <v>2000000</v>
      </c>
      <c r="X498" s="19"/>
      <c r="Y498" s="19">
        <f t="shared" ca="1" si="294"/>
        <v>1920000</v>
      </c>
      <c r="Z498" s="2">
        <f ca="1">IF(MIN($Z$4:Z497)=0,0,MAX(0,($Z497+$K498-$O498-$P498)*IF(AND(F498="F",$D$3&lt;&gt;$G$3),((1+(-J498))^(H498/MIN(G498,365))),((1+(-J498))^(1/12)))-$U498))</f>
        <v>231419.49783932226</v>
      </c>
      <c r="AA498" s="2">
        <f ca="1">IF(MIN($AA$4:AA497)=0,0,MAX(0,($AA497+$K498-$O498-$P498)*IF(AND(F498="F",$D$3&lt;&gt;$G$3),((1+$AA$1)^(H498/MIN(G498,365))),((1+$AA$1)^(1/12)))-$U498))</f>
        <v>1920000</v>
      </c>
      <c r="AB498" s="2">
        <f ca="1">IF(MIN($AB$4:AB497)=0,0,MAX(0,($AB497+$K498-$O498-$P498)*IF(AND(F498="F",$D$3&lt;&gt;$G$3),((1+(J498))^(H498/MIN(G498,365))),((1+(J498))^(1/12)))-$U498))</f>
        <v>14366792.369619258</v>
      </c>
      <c r="AC498" s="5"/>
      <c r="AD498" s="5"/>
      <c r="AE498" s="5"/>
      <c r="AF498" s="282">
        <f t="shared" ca="1" si="277"/>
        <v>231419</v>
      </c>
      <c r="AG498" s="282">
        <f t="shared" ca="1" si="278"/>
        <v>1920000</v>
      </c>
      <c r="AH498" s="282">
        <f t="shared" ca="1" si="279"/>
        <v>14366792</v>
      </c>
      <c r="AI498" s="23" t="str">
        <f t="shared" ca="1" si="295"/>
        <v>42-4</v>
      </c>
      <c r="AJ498" s="282">
        <f ca="1">IF(E498&gt;111,,IF(AND(OP!$C$99=1,T498="F"),Z498,IF(AND(OP!$C$99=2,COUNTIF($T$4:T498,"F")=1),OP!$C$97+IF(F498="F",OP!$C$98,0),"")))</f>
        <v>54527</v>
      </c>
      <c r="AK498" s="282">
        <f ca="1">IF(E498&gt;111,,IF(AND(OP!$D$99=1,T498="F"),AA498,IF(AND(OP!$D$99=2,COUNTIF($T$4:T498,"F")=1),OP!$D$97+IF(F498="F",OP!$D$98,0),"")))</f>
        <v>74177</v>
      </c>
      <c r="AL498" s="282">
        <f ca="1">IF(E498&gt;111,,IF(AND(OP!$E$99=1,T498="F"),AB498,IF(AND(OP!$E$99=2,COUNTIF($T$4:T498,"F")=1),OP!$E$97+IF(F498="F",OP!$E$98,0),"")))</f>
        <v>99404</v>
      </c>
      <c r="AM498" s="1">
        <f t="shared" ca="1" si="269"/>
        <v>4</v>
      </c>
      <c r="AN498" s="1" t="e">
        <f ca="1">IF(OR(VLOOKUP($A498,MP,5,0)="月繳"),1,"")</f>
        <v>#N/A</v>
      </c>
      <c r="AO498" s="1">
        <f t="shared" ca="1" si="280"/>
        <v>0</v>
      </c>
      <c r="AP498" s="1" t="str">
        <f ca="1">IF(AND(A498&lt;=OP!$C$120,COUNTIF(PAY,C498)=1),1,"")</f>
        <v/>
      </c>
      <c r="AR498" s="301">
        <f ca="1">IF(繳費報酬率資料!$A$1=1,$AY498+$AZ498,$BF498+$BG498)</f>
        <v>0</v>
      </c>
      <c r="AS498" s="1">
        <f ca="1">IF(C498&lt;&gt;IF($C$3=1,12,$C$3-1),0,IF(繳費報酬率資料!$A$1&lt;&gt;1,VLOOKUP($A498,MP,8,0),IF(AND($A498&gt;=OP!$C$79,$A498&lt;=OP!$C$80),OP!$C$78,)))</f>
        <v>0</v>
      </c>
      <c r="AT498" s="298">
        <f t="shared" ca="1" si="281"/>
        <v>0</v>
      </c>
      <c r="AU498" s="298">
        <f ca="1">IF(AND(A498&lt;=OP!$C$120,COUNTIF(PAY,C498)=1),OP!$C$123,0)</f>
        <v>0</v>
      </c>
      <c r="AV498" s="298">
        <f ca="1">IF(AND(A498&gt;=OP!$C$132,A498&lt;=OP!$C$133,$C$3=C498),OP!$C$135,0)</f>
        <v>0</v>
      </c>
      <c r="AW498" s="180">
        <f t="shared" ca="1" si="282"/>
        <v>0.05</v>
      </c>
      <c r="AX498" s="180">
        <f t="shared" ca="1" si="283"/>
        <v>0.05</v>
      </c>
      <c r="AY498" s="286">
        <f t="shared" ca="1" si="284"/>
        <v>0</v>
      </c>
      <c r="AZ498" s="286">
        <f t="shared" ca="1" si="285"/>
        <v>0</v>
      </c>
      <c r="BA498" s="286">
        <f t="shared" ca="1" si="286"/>
        <v>0</v>
      </c>
      <c r="BB498" s="286">
        <f t="shared" ca="1" si="287"/>
        <v>0</v>
      </c>
      <c r="BC498" s="286">
        <f t="shared" ca="1" si="288"/>
        <v>0</v>
      </c>
      <c r="BD498" s="180">
        <f t="shared" ca="1" si="289"/>
        <v>0.05</v>
      </c>
      <c r="BE498" s="180">
        <f t="shared" ca="1" si="290"/>
        <v>0.05</v>
      </c>
      <c r="BF498" s="286">
        <f t="shared" ca="1" si="291"/>
        <v>0</v>
      </c>
      <c r="BG498" s="286">
        <f t="shared" ca="1" si="292"/>
        <v>0</v>
      </c>
    </row>
    <row r="499" spans="1:59">
      <c r="A499" s="1">
        <f t="shared" ca="1" si="272"/>
        <v>42</v>
      </c>
      <c r="B499" s="1">
        <f t="shared" ca="1" si="265"/>
        <v>147</v>
      </c>
      <c r="C499" s="1">
        <f t="shared" ca="1" si="266"/>
        <v>9</v>
      </c>
      <c r="D499" s="1">
        <f ca="1">MIN($D$3,VLOOKUP(C499,OP!$S$30:$T$41,2))</f>
        <v>2</v>
      </c>
      <c r="E499" s="1">
        <f t="shared" ca="1" si="267"/>
        <v>96</v>
      </c>
      <c r="F499" s="11" t="str">
        <f t="shared" ca="1" si="273"/>
        <v/>
      </c>
      <c r="G499" s="8">
        <f t="shared" ca="1" si="299"/>
        <v>365</v>
      </c>
      <c r="H499" s="8">
        <f t="shared" ca="1" si="274"/>
        <v>30</v>
      </c>
      <c r="I499" s="8" t="str">
        <f t="shared" ca="1" si="271"/>
        <v>429</v>
      </c>
      <c r="J499" s="13">
        <f>IF(繳費報酬率資料!$A$1=1,VALUE(OP!$C$121),VLOOKUP(A499,MP,2,0))</f>
        <v>0.05</v>
      </c>
      <c r="K499" s="14">
        <f ca="1">IF(SUM($K$4:K498,IF(繳費報酬率資料!$A$1=1,$AU499+$AV499,$BB499+$BC499))&gt;OP!$L$58,0,IF(繳費報酬率資料!$A$1=1,$AU499+$AV499,$BB499+$BC499))</f>
        <v>0</v>
      </c>
      <c r="L499" s="2"/>
      <c r="M499" s="2"/>
      <c r="N499" s="2"/>
      <c r="O499" s="261">
        <f t="shared" ca="1" si="275"/>
        <v>0</v>
      </c>
      <c r="P499" s="261">
        <f t="shared" ca="1" si="293"/>
        <v>0</v>
      </c>
      <c r="Q499" s="3">
        <f ca="1">IF(A499&gt;MAX(OP!$R$17:$R$26),0,VLOOKUP(A499,fees,3,FALSE))</f>
        <v>0</v>
      </c>
      <c r="R499" s="200" t="str">
        <f t="shared" ca="1" si="276"/>
        <v/>
      </c>
      <c r="S499" s="9" t="str">
        <f ca="1">IF(COUNTIF(($T$4:T498),"F")&gt;=1,"",IF(OR(C500&lt;&gt;$C$3,E499=""),"",A499))</f>
        <v/>
      </c>
      <c r="T499" s="20" t="str">
        <f t="shared" ca="1" si="268"/>
        <v/>
      </c>
      <c r="U499" s="2">
        <f ca="1">IF(IF(OP!$C$83=1,$Z498,IF(OP!$C$83=2,$AA498,IF(OP!$C$83=3,$AB498,)))+$K499-$O499-$P499-$AS499&lt;OP!$C$142,0,$AS499)</f>
        <v>0</v>
      </c>
      <c r="V499" s="9"/>
      <c r="W499" s="19">
        <f ca="1">MAX(SUM($K$4:K499),0)</f>
        <v>2000000</v>
      </c>
      <c r="X499" s="19"/>
      <c r="Y499" s="19">
        <f t="shared" ca="1" si="294"/>
        <v>1920000</v>
      </c>
      <c r="Z499" s="2">
        <f ca="1">IF(MIN($Z$4:Z498)=0,0,MAX(0,($Z498+$K499-$O499-$P499)*IF(AND(F499="F",$D$3&lt;&gt;$G$3),((1+(-J499))^(H499/MIN(G499,365))),((1+(-J499))^(1/12)))-$U499))</f>
        <v>230432.41990969455</v>
      </c>
      <c r="AA499" s="2">
        <f ca="1">IF(MIN($AA$4:AA498)=0,0,MAX(0,($AA498+$K499-$O499-$P499)*IF(AND(F499="F",$D$3&lt;&gt;$G$3),((1+$AA$1)^(H499/MIN(G499,365))),((1+$AA$1)^(1/12)))-$U499))</f>
        <v>1920000</v>
      </c>
      <c r="AB499" s="2">
        <f ca="1">IF(MIN($AB$4:AB498)=0,0,MAX(0,($AB498+$K499-$O499-$P499)*IF(AND(F499="F",$D$3&lt;&gt;$G$3),((1+(J499))^(H499/MIN(G499,365))),((1+(J499))^(1/12)))-$U499))</f>
        <v>14425324.460107062</v>
      </c>
      <c r="AC499" s="5"/>
      <c r="AD499" s="5"/>
      <c r="AE499" s="5"/>
      <c r="AF499" s="282">
        <f t="shared" ca="1" si="277"/>
        <v>230432</v>
      </c>
      <c r="AG499" s="282">
        <f t="shared" ca="1" si="278"/>
        <v>1920000</v>
      </c>
      <c r="AH499" s="282">
        <f t="shared" ca="1" si="279"/>
        <v>14425324</v>
      </c>
      <c r="AI499" s="23" t="str">
        <f t="shared" ca="1" si="295"/>
        <v>42-5</v>
      </c>
      <c r="AJ499" s="282">
        <f ca="1">IF(E499&gt;111,,IF(AND(OP!$C$99=1,T499="F"),Z499,IF(AND(OP!$C$99=2,COUNTIF($T$4:T499,"F")=1),OP!$C$97+IF(F499="F",OP!$C$98,0),"")))</f>
        <v>54527</v>
      </c>
      <c r="AK499" s="282">
        <f ca="1">IF(E499&gt;111,,IF(AND(OP!$D$99=1,T499="F"),AA499,IF(AND(OP!$D$99=2,COUNTIF($T$4:T499,"F")=1),OP!$D$97+IF(F499="F",OP!$D$98,0),"")))</f>
        <v>74177</v>
      </c>
      <c r="AL499" s="282">
        <f ca="1">IF(E499&gt;111,,IF(AND(OP!$E$99=1,T499="F"),AB499,IF(AND(OP!$E$99=2,COUNTIF($T$4:T499,"F")=1),OP!$E$97+IF(F499="F",OP!$E$98,0),"")))</f>
        <v>99404</v>
      </c>
      <c r="AM499" s="1">
        <f t="shared" ca="1" si="269"/>
        <v>5</v>
      </c>
      <c r="AN499" s="1" t="e">
        <f ca="1">IF(OR(VLOOKUP($A499,MP,5,0)="季繳",VLOOKUP($A499,MP,5,0)="月繳"),1,"")</f>
        <v>#N/A</v>
      </c>
      <c r="AO499" s="1">
        <f t="shared" ca="1" si="280"/>
        <v>0</v>
      </c>
      <c r="AP499" s="1" t="str">
        <f ca="1">IF(AND(A499&lt;=OP!$C$120,COUNTIF(PAY,C499)=1),1,"")</f>
        <v/>
      </c>
      <c r="AR499" s="301">
        <f ca="1">IF(繳費報酬率資料!$A$1=1,$AY499+$AZ499,$BF499+$BG499)</f>
        <v>0</v>
      </c>
      <c r="AS499" s="1">
        <f ca="1">IF(C499&lt;&gt;IF($C$3=1,12,$C$3-1),0,IF(繳費報酬率資料!$A$1&lt;&gt;1,VLOOKUP($A499,MP,8,0),IF(AND($A499&gt;=OP!$C$79,$A499&lt;=OP!$C$80),OP!$C$78,)))</f>
        <v>0</v>
      </c>
      <c r="AT499" s="298">
        <f t="shared" ca="1" si="281"/>
        <v>0</v>
      </c>
      <c r="AU499" s="298">
        <f ca="1">IF(AND(A499&lt;=OP!$C$120,COUNTIF(PAY,C499)=1),OP!$C$123,0)</f>
        <v>0</v>
      </c>
      <c r="AV499" s="298">
        <f ca="1">IF(AND(A499&gt;=OP!$C$132,A499&lt;=OP!$C$133,$C$3=C499),OP!$C$135,0)</f>
        <v>0</v>
      </c>
      <c r="AW499" s="180">
        <f t="shared" ca="1" si="282"/>
        <v>0.05</v>
      </c>
      <c r="AX499" s="180">
        <f t="shared" ca="1" si="283"/>
        <v>0.05</v>
      </c>
      <c r="AY499" s="286">
        <f t="shared" ca="1" si="284"/>
        <v>0</v>
      </c>
      <c r="AZ499" s="286">
        <f t="shared" ca="1" si="285"/>
        <v>0</v>
      </c>
      <c r="BA499" s="286">
        <f t="shared" ca="1" si="286"/>
        <v>0</v>
      </c>
      <c r="BB499" s="286">
        <f t="shared" ca="1" si="287"/>
        <v>0</v>
      </c>
      <c r="BC499" s="286">
        <f t="shared" ca="1" si="288"/>
        <v>0</v>
      </c>
      <c r="BD499" s="180">
        <f t="shared" ca="1" si="289"/>
        <v>0.05</v>
      </c>
      <c r="BE499" s="180">
        <f t="shared" ca="1" si="290"/>
        <v>0.05</v>
      </c>
      <c r="BF499" s="286">
        <f t="shared" ca="1" si="291"/>
        <v>0</v>
      </c>
      <c r="BG499" s="286">
        <f t="shared" ca="1" si="292"/>
        <v>0</v>
      </c>
    </row>
    <row r="500" spans="1:59">
      <c r="A500" s="1">
        <f t="shared" ca="1" si="272"/>
        <v>42</v>
      </c>
      <c r="B500" s="1">
        <f t="shared" ca="1" si="265"/>
        <v>147</v>
      </c>
      <c r="C500" s="1">
        <f t="shared" ca="1" si="266"/>
        <v>10</v>
      </c>
      <c r="D500" s="1">
        <f ca="1">MIN($D$3,VLOOKUP(C500,OP!$S$30:$T$41,2))</f>
        <v>2</v>
      </c>
      <c r="E500" s="1">
        <f t="shared" ca="1" si="267"/>
        <v>96</v>
      </c>
      <c r="F500" s="11" t="str">
        <f t="shared" ca="1" si="273"/>
        <v/>
      </c>
      <c r="G500" s="8">
        <f t="shared" ca="1" si="299"/>
        <v>365</v>
      </c>
      <c r="H500" s="8">
        <f t="shared" ca="1" si="274"/>
        <v>31</v>
      </c>
      <c r="I500" s="8" t="str">
        <f t="shared" ca="1" si="271"/>
        <v>4210</v>
      </c>
      <c r="J500" s="13">
        <f>IF(繳費報酬率資料!$A$1=1,VALUE(OP!$C$121),VLOOKUP(A500,MP,2,0))</f>
        <v>0.05</v>
      </c>
      <c r="K500" s="14">
        <f ca="1">IF(SUM($K$4:K499,IF(繳費報酬率資料!$A$1=1,$AU500+$AV500,$BB500+$BC500))&gt;OP!$L$58,0,IF(繳費報酬率資料!$A$1=1,$AU500+$AV500,$BB500+$BC500))</f>
        <v>0</v>
      </c>
      <c r="L500" s="2"/>
      <c r="M500" s="2"/>
      <c r="N500" s="2"/>
      <c r="O500" s="261">
        <f t="shared" ca="1" si="275"/>
        <v>0</v>
      </c>
      <c r="P500" s="261">
        <f t="shared" ca="1" si="293"/>
        <v>0</v>
      </c>
      <c r="Q500" s="3">
        <f ca="1">IF(A500&gt;MAX(OP!$R$17:$R$26),0,VLOOKUP(A500,fees,3,FALSE))</f>
        <v>0</v>
      </c>
      <c r="R500" s="200" t="str">
        <f t="shared" ca="1" si="276"/>
        <v/>
      </c>
      <c r="S500" s="9" t="str">
        <f ca="1">IF(COUNTIF(($T$4:T499),"F")&gt;=1,"",IF(OR(C501&lt;&gt;$C$3,E500=""),"",A500))</f>
        <v/>
      </c>
      <c r="T500" s="20" t="str">
        <f t="shared" ca="1" si="268"/>
        <v/>
      </c>
      <c r="U500" s="2">
        <f ca="1">IF(IF(OP!$C$83=1,$Z499,IF(OP!$C$83=2,$AA499,IF(OP!$C$83=3,$AB499,)))+$K500-$O500-$P500-$AS500&lt;OP!$C$142,0,$AS500)</f>
        <v>0</v>
      </c>
      <c r="V500" s="9"/>
      <c r="W500" s="19">
        <f ca="1">MAX(SUM($K$4:K500),0)</f>
        <v>2000000</v>
      </c>
      <c r="X500" s="19"/>
      <c r="Y500" s="19">
        <f t="shared" ca="1" si="294"/>
        <v>1920000</v>
      </c>
      <c r="Z500" s="2">
        <f ca="1">IF(MIN($Z$4:Z499)=0,0,MAX(0,($Z499+$K500-$O500-$P500)*IF(AND(F500="F",$D$3&lt;&gt;$G$3),((1+(-J500))^(H500/MIN(G500,365))),((1+(-J500))^(1/12)))-$U500))</f>
        <v>229449.55218209498</v>
      </c>
      <c r="AA500" s="2">
        <f ca="1">IF(MIN($AA$4:AA499)=0,0,MAX(0,($AA499+$K500-$O500-$P500)*IF(AND(F500="F",$D$3&lt;&gt;$G$3),((1+$AA$1)^(H500/MIN(G500,365))),((1+$AA$1)^(1/12)))-$U500))</f>
        <v>1920000</v>
      </c>
      <c r="AB500" s="2">
        <f ca="1">IF(MIN($AB$4:AB499)=0,0,MAX(0,($AB499+$K500-$O500-$P500)*IF(AND(F500="F",$D$3&lt;&gt;$G$3),((1+(J500))^(H500/MIN(G500,365))),((1+(J500))^(1/12)))-$U500))</f>
        <v>14484095.017576829</v>
      </c>
      <c r="AC500" s="5"/>
      <c r="AD500" s="5"/>
      <c r="AE500" s="5"/>
      <c r="AF500" s="282">
        <f t="shared" ca="1" si="277"/>
        <v>229450</v>
      </c>
      <c r="AG500" s="282">
        <f t="shared" ca="1" si="278"/>
        <v>1920000</v>
      </c>
      <c r="AH500" s="282">
        <f t="shared" ca="1" si="279"/>
        <v>14484095</v>
      </c>
      <c r="AI500" s="23" t="str">
        <f t="shared" ca="1" si="295"/>
        <v>42-6</v>
      </c>
      <c r="AJ500" s="282">
        <f ca="1">IF(E500&gt;111,,IF(AND(OP!$C$99=1,T500="F"),Z500,IF(AND(OP!$C$99=2,COUNTIF($T$4:T500,"F")=1),OP!$C$97+IF(F500="F",OP!$C$98,0),"")))</f>
        <v>54527</v>
      </c>
      <c r="AK500" s="282">
        <f ca="1">IF(E500&gt;111,,IF(AND(OP!$D$99=1,T500="F"),AA500,IF(AND(OP!$D$99=2,COUNTIF($T$4:T500,"F")=1),OP!$D$97+IF(F500="F",OP!$D$98,0),"")))</f>
        <v>74177</v>
      </c>
      <c r="AL500" s="282">
        <f ca="1">IF(E500&gt;111,,IF(AND(OP!$E$99=1,T500="F"),AB500,IF(AND(OP!$E$99=2,COUNTIF($T$4:T500,"F")=1),OP!$E$97+IF(F500="F",OP!$E$98,0),"")))</f>
        <v>99404</v>
      </c>
      <c r="AM500" s="1">
        <f t="shared" ca="1" si="269"/>
        <v>6</v>
      </c>
      <c r="AN500" s="1" t="e">
        <f ca="1">IF(OR(VLOOKUP($A500,MP,5,0)="月繳"),1,"")</f>
        <v>#N/A</v>
      </c>
      <c r="AO500" s="1">
        <f t="shared" ca="1" si="280"/>
        <v>0</v>
      </c>
      <c r="AP500" s="1" t="str">
        <f ca="1">IF(AND(A500&lt;=OP!$C$120,COUNTIF(PAY,C500)=1),1,"")</f>
        <v/>
      </c>
      <c r="AR500" s="301">
        <f ca="1">IF(繳費報酬率資料!$A$1=1,$AY500+$AZ500,$BF500+$BG500)</f>
        <v>0</v>
      </c>
      <c r="AS500" s="1">
        <f ca="1">IF(C500&lt;&gt;IF($C$3=1,12,$C$3-1),0,IF(繳費報酬率資料!$A$1&lt;&gt;1,VLOOKUP($A500,MP,8,0),IF(AND($A500&gt;=OP!$C$79,$A500&lt;=OP!$C$80),OP!$C$78,)))</f>
        <v>0</v>
      </c>
      <c r="AT500" s="298">
        <f t="shared" ca="1" si="281"/>
        <v>0</v>
      </c>
      <c r="AU500" s="298">
        <f ca="1">IF(AND(A500&lt;=OP!$C$120,COUNTIF(PAY,C500)=1),OP!$C$123,0)</f>
        <v>0</v>
      </c>
      <c r="AV500" s="298">
        <f ca="1">IF(AND(A500&gt;=OP!$C$132,A500&lt;=OP!$C$133,$C$3=C500),OP!$C$135,0)</f>
        <v>0</v>
      </c>
      <c r="AW500" s="180">
        <f t="shared" ca="1" si="282"/>
        <v>0.05</v>
      </c>
      <c r="AX500" s="180">
        <f t="shared" ca="1" si="283"/>
        <v>0.05</v>
      </c>
      <c r="AY500" s="286">
        <f t="shared" ca="1" si="284"/>
        <v>0</v>
      </c>
      <c r="AZ500" s="286">
        <f t="shared" ca="1" si="285"/>
        <v>0</v>
      </c>
      <c r="BA500" s="286">
        <f t="shared" ca="1" si="286"/>
        <v>0</v>
      </c>
      <c r="BB500" s="286">
        <f t="shared" ca="1" si="287"/>
        <v>0</v>
      </c>
      <c r="BC500" s="286">
        <f t="shared" ca="1" si="288"/>
        <v>0</v>
      </c>
      <c r="BD500" s="180">
        <f t="shared" ca="1" si="289"/>
        <v>0.05</v>
      </c>
      <c r="BE500" s="180">
        <f t="shared" ca="1" si="290"/>
        <v>0.05</v>
      </c>
      <c r="BF500" s="286">
        <f t="shared" ca="1" si="291"/>
        <v>0</v>
      </c>
      <c r="BG500" s="286">
        <f t="shared" ca="1" si="292"/>
        <v>0</v>
      </c>
    </row>
    <row r="501" spans="1:59">
      <c r="A501" s="1">
        <f t="shared" ca="1" si="272"/>
        <v>42</v>
      </c>
      <c r="B501" s="1">
        <f t="shared" ca="1" si="265"/>
        <v>147</v>
      </c>
      <c r="C501" s="1">
        <f t="shared" ca="1" si="266"/>
        <v>11</v>
      </c>
      <c r="D501" s="1">
        <f ca="1">MIN($D$3,VLOOKUP(C501,OP!$S$30:$T$41,2))</f>
        <v>2</v>
      </c>
      <c r="E501" s="1">
        <f t="shared" ca="1" si="267"/>
        <v>96</v>
      </c>
      <c r="F501" s="11" t="str">
        <f t="shared" ca="1" si="273"/>
        <v/>
      </c>
      <c r="G501" s="8">
        <f t="shared" ca="1" si="299"/>
        <v>365</v>
      </c>
      <c r="H501" s="8">
        <f t="shared" ca="1" si="274"/>
        <v>30</v>
      </c>
      <c r="I501" s="8" t="str">
        <f t="shared" ca="1" si="271"/>
        <v>4211</v>
      </c>
      <c r="J501" s="13">
        <f>IF(繳費報酬率資料!$A$1=1,VALUE(OP!$C$121),VLOOKUP(A501,MP,2,0))</f>
        <v>0.05</v>
      </c>
      <c r="K501" s="14">
        <f ca="1">IF(SUM($K$4:K500,IF(繳費報酬率資料!$A$1=1,$AU501+$AV501,$BB501+$BC501))&gt;OP!$L$58,0,IF(繳費報酬率資料!$A$1=1,$AU501+$AV501,$BB501+$BC501))</f>
        <v>0</v>
      </c>
      <c r="L501" s="2"/>
      <c r="M501" s="2"/>
      <c r="N501" s="2"/>
      <c r="O501" s="261">
        <f t="shared" ca="1" si="275"/>
        <v>0</v>
      </c>
      <c r="P501" s="261">
        <f t="shared" ca="1" si="293"/>
        <v>0</v>
      </c>
      <c r="Q501" s="3">
        <f ca="1">IF(A501&gt;MAX(OP!$R$17:$R$26),0,VLOOKUP(A501,fees,3,FALSE))</f>
        <v>0</v>
      </c>
      <c r="R501" s="200" t="str">
        <f t="shared" ca="1" si="276"/>
        <v/>
      </c>
      <c r="S501" s="9" t="str">
        <f ca="1">IF(COUNTIF(($T$4:T500),"F")&gt;=1,"",IF(OR(C502&lt;&gt;$C$3,E501=""),"",A501))</f>
        <v/>
      </c>
      <c r="T501" s="20" t="str">
        <f t="shared" ca="1" si="268"/>
        <v/>
      </c>
      <c r="U501" s="2">
        <f ca="1">IF(IF(OP!$C$83=1,$Z500,IF(OP!$C$83=2,$AA500,IF(OP!$C$83=3,$AB500,)))+$K501-$O501-$P501-$AS501&lt;OP!$C$142,0,$AS501)</f>
        <v>0</v>
      </c>
      <c r="V501" s="9"/>
      <c r="W501" s="19">
        <f ca="1">MAX(SUM($K$4:K501),0)</f>
        <v>2000000</v>
      </c>
      <c r="X501" s="19"/>
      <c r="Y501" s="19">
        <f t="shared" ca="1" si="294"/>
        <v>1920000</v>
      </c>
      <c r="Z501" s="2">
        <f ca="1">IF(MIN($Z$4:Z500)=0,0,MAX(0,($Z500+$K501-$O501-$P501)*IF(AND(F501="F",$D$3&lt;&gt;$G$3),((1+(-J501))^(H501/MIN(G501,365))),((1+(-J501))^(1/12)))-$U501))</f>
        <v>228470.8766986698</v>
      </c>
      <c r="AA501" s="2">
        <f ca="1">IF(MIN($AA$4:AA500)=0,0,MAX(0,($AA500+$K501-$O501-$P501)*IF(AND(F501="F",$D$3&lt;&gt;$G$3),((1+$AA$1)^(H501/MIN(G501,365))),((1+$AA$1)^(1/12)))-$U501))</f>
        <v>1920000</v>
      </c>
      <c r="AB501" s="2">
        <f ca="1">IF(MIN($AB$4:AB500)=0,0,MAX(0,($AB500+$K501-$O501-$P501)*IF(AND(F501="F",$D$3&lt;&gt;$G$3),((1+(J501))^(H501/MIN(G501,365))),((1+(J501))^(1/12)))-$U501))</f>
        <v>14543105.013572561</v>
      </c>
      <c r="AC501" s="5"/>
      <c r="AD501" s="5"/>
      <c r="AE501" s="5"/>
      <c r="AF501" s="282">
        <f t="shared" ca="1" si="277"/>
        <v>228471</v>
      </c>
      <c r="AG501" s="282">
        <f t="shared" ca="1" si="278"/>
        <v>1920000</v>
      </c>
      <c r="AH501" s="282">
        <f t="shared" ca="1" si="279"/>
        <v>14543105</v>
      </c>
      <c r="AI501" s="23" t="str">
        <f t="shared" ca="1" si="295"/>
        <v>42-7</v>
      </c>
      <c r="AJ501" s="282">
        <f ca="1">IF(E501&gt;111,,IF(AND(OP!$C$99=1,T501="F"),Z501,IF(AND(OP!$C$99=2,COUNTIF($T$4:T501,"F")=1),OP!$C$97+IF(F501="F",OP!$C$98,0),"")))</f>
        <v>54527</v>
      </c>
      <c r="AK501" s="282">
        <f ca="1">IF(E501&gt;111,,IF(AND(OP!$D$99=1,T501="F"),AA501,IF(AND(OP!$D$99=2,COUNTIF($T$4:T501,"F")=1),OP!$D$97+IF(F501="F",OP!$D$98,0),"")))</f>
        <v>74177</v>
      </c>
      <c r="AL501" s="282">
        <f ca="1">IF(E501&gt;111,,IF(AND(OP!$E$99=1,T501="F"),AB501,IF(AND(OP!$E$99=2,COUNTIF($T$4:T501,"F")=1),OP!$E$97+IF(F501="F",OP!$E$98,0),"")))</f>
        <v>99404</v>
      </c>
      <c r="AM501" s="1">
        <f t="shared" ca="1" si="269"/>
        <v>7</v>
      </c>
      <c r="AN501" s="1" t="e">
        <f ca="1">IF(OR(VLOOKUP($A501,MP,5,0)="月繳"),1,"")</f>
        <v>#N/A</v>
      </c>
      <c r="AO501" s="1">
        <f t="shared" ca="1" si="280"/>
        <v>0</v>
      </c>
      <c r="AP501" s="1" t="str">
        <f ca="1">IF(AND(A501&lt;=OP!$C$120,COUNTIF(PAY,C501)=1),1,"")</f>
        <v/>
      </c>
      <c r="AR501" s="301">
        <f ca="1">IF(繳費報酬率資料!$A$1=1,$AY501+$AZ501,$BF501+$BG501)</f>
        <v>0</v>
      </c>
      <c r="AS501" s="1">
        <f ca="1">IF(C501&lt;&gt;IF($C$3=1,12,$C$3-1),0,IF(繳費報酬率資料!$A$1&lt;&gt;1,VLOOKUP($A501,MP,8,0),IF(AND($A501&gt;=OP!$C$79,$A501&lt;=OP!$C$80),OP!$C$78,)))</f>
        <v>0</v>
      </c>
      <c r="AT501" s="298">
        <f t="shared" ca="1" si="281"/>
        <v>0</v>
      </c>
      <c r="AU501" s="298">
        <f ca="1">IF(AND(A501&lt;=OP!$C$120,COUNTIF(PAY,C501)=1),OP!$C$123,0)</f>
        <v>0</v>
      </c>
      <c r="AV501" s="298">
        <f ca="1">IF(AND(A501&gt;=OP!$C$132,A501&lt;=OP!$C$133,$C$3=C501),OP!$C$135,0)</f>
        <v>0</v>
      </c>
      <c r="AW501" s="180">
        <f t="shared" ca="1" si="282"/>
        <v>0.05</v>
      </c>
      <c r="AX501" s="180">
        <f t="shared" ca="1" si="283"/>
        <v>0.05</v>
      </c>
      <c r="AY501" s="286">
        <f t="shared" ca="1" si="284"/>
        <v>0</v>
      </c>
      <c r="AZ501" s="286">
        <f t="shared" ca="1" si="285"/>
        <v>0</v>
      </c>
      <c r="BA501" s="286">
        <f t="shared" ca="1" si="286"/>
        <v>0</v>
      </c>
      <c r="BB501" s="286">
        <f t="shared" ca="1" si="287"/>
        <v>0</v>
      </c>
      <c r="BC501" s="286">
        <f t="shared" ca="1" si="288"/>
        <v>0</v>
      </c>
      <c r="BD501" s="180">
        <f t="shared" ca="1" si="289"/>
        <v>0.05</v>
      </c>
      <c r="BE501" s="180">
        <f t="shared" ca="1" si="290"/>
        <v>0.05</v>
      </c>
      <c r="BF501" s="286">
        <f t="shared" ca="1" si="291"/>
        <v>0</v>
      </c>
      <c r="BG501" s="286">
        <f t="shared" ca="1" si="292"/>
        <v>0</v>
      </c>
    </row>
    <row r="502" spans="1:59">
      <c r="A502" s="1">
        <f t="shared" ca="1" si="272"/>
        <v>42</v>
      </c>
      <c r="B502" s="1">
        <f t="shared" ca="1" si="265"/>
        <v>147</v>
      </c>
      <c r="C502" s="1">
        <f t="shared" ca="1" si="266"/>
        <v>12</v>
      </c>
      <c r="D502" s="1">
        <f ca="1">MIN($D$3,VLOOKUP(C502,OP!$S$30:$T$41,2))</f>
        <v>2</v>
      </c>
      <c r="E502" s="1">
        <f t="shared" ca="1" si="267"/>
        <v>96</v>
      </c>
      <c r="F502" s="11" t="str">
        <f t="shared" ca="1" si="273"/>
        <v/>
      </c>
      <c r="G502" s="8">
        <f t="shared" ca="1" si="299"/>
        <v>365</v>
      </c>
      <c r="H502" s="8">
        <f t="shared" ca="1" si="274"/>
        <v>31</v>
      </c>
      <c r="I502" s="8" t="str">
        <f t="shared" ca="1" si="271"/>
        <v>4212</v>
      </c>
      <c r="J502" s="13">
        <f>IF(繳費報酬率資料!$A$1=1,VALUE(OP!$C$121),VLOOKUP(A502,MP,2,0))</f>
        <v>0.05</v>
      </c>
      <c r="K502" s="14">
        <f ca="1">IF(SUM($K$4:K501,IF(繳費報酬率資料!$A$1=1,$AU502+$AV502,$BB502+$BC502))&gt;OP!$L$58,0,IF(繳費報酬率資料!$A$1=1,$AU502+$AV502,$BB502+$BC502))</f>
        <v>0</v>
      </c>
      <c r="L502" s="2"/>
      <c r="M502" s="2"/>
      <c r="N502" s="2"/>
      <c r="O502" s="261">
        <f t="shared" ca="1" si="275"/>
        <v>0</v>
      </c>
      <c r="P502" s="261">
        <f t="shared" ca="1" si="293"/>
        <v>0</v>
      </c>
      <c r="Q502" s="3">
        <f ca="1">IF(A502&gt;MAX(OP!$R$17:$R$26),0,VLOOKUP(A502,fees,3,FALSE))</f>
        <v>0</v>
      </c>
      <c r="R502" s="200" t="str">
        <f t="shared" ca="1" si="276"/>
        <v/>
      </c>
      <c r="S502" s="9" t="str">
        <f ca="1">IF(COUNTIF(($T$4:T501),"F")&gt;=1,"",IF(OR(C503&lt;&gt;$C$3,E502=""),"",A502))</f>
        <v/>
      </c>
      <c r="T502" s="20" t="str">
        <f t="shared" ca="1" si="268"/>
        <v/>
      </c>
      <c r="U502" s="2">
        <f ca="1">IF(IF(OP!$C$83=1,$Z501,IF(OP!$C$83=2,$AA501,IF(OP!$C$83=3,$AB501,)))+$K502-$O502-$P502-$AS502&lt;OP!$C$142,0,$AS502)</f>
        <v>0</v>
      </c>
      <c r="V502" s="9"/>
      <c r="W502" s="19">
        <f ca="1">MAX(SUM($K$4:K502),0)</f>
        <v>2000000</v>
      </c>
      <c r="X502" s="19"/>
      <c r="Y502" s="19">
        <f t="shared" ca="1" si="294"/>
        <v>1920000</v>
      </c>
      <c r="Z502" s="2">
        <f ca="1">IF(MIN($Z$4:Z501)=0,0,MAX(0,($Z501+$K502-$O502-$P502)*IF(AND(F502="F",$D$3&lt;&gt;$G$3),((1+(-J502))^(H502/MIN(G502,365))),((1+(-J502))^(1/12)))-$U502))</f>
        <v>227496.37557816121</v>
      </c>
      <c r="AA502" s="2">
        <f ca="1">IF(MIN($AA$4:AA501)=0,0,MAX(0,($AA501+$K502-$O502-$P502)*IF(AND(F502="F",$D$3&lt;&gt;$G$3),((1+$AA$1)^(H502/MIN(G502,365))),((1+$AA$1)^(1/12)))-$U502))</f>
        <v>1920000</v>
      </c>
      <c r="AB502" s="2">
        <f ca="1">IF(MIN($AB$4:AB501)=0,0,MAX(0,($AB501+$K502-$O502-$P502)*IF(AND(F502="F",$D$3&lt;&gt;$G$3),((1+(J502))^(H502/MIN(G502,365))),((1+(J502))^(1/12)))-$U502))</f>
        <v>14602355.423596453</v>
      </c>
      <c r="AC502" s="5"/>
      <c r="AD502" s="5"/>
      <c r="AE502" s="5"/>
      <c r="AF502" s="282">
        <f t="shared" ca="1" si="277"/>
        <v>227496</v>
      </c>
      <c r="AG502" s="282">
        <f t="shared" ca="1" si="278"/>
        <v>1920000</v>
      </c>
      <c r="AH502" s="282">
        <f t="shared" ca="1" si="279"/>
        <v>14602355</v>
      </c>
      <c r="AI502" s="23" t="str">
        <f t="shared" ca="1" si="295"/>
        <v>42-8</v>
      </c>
      <c r="AJ502" s="282">
        <f ca="1">IF(E502&gt;111,,IF(AND(OP!$C$99=1,T502="F"),Z502,IF(AND(OP!$C$99=2,COUNTIF($T$4:T502,"F")=1),OP!$C$97+IF(F502="F",OP!$C$98,0),"")))</f>
        <v>54527</v>
      </c>
      <c r="AK502" s="282">
        <f ca="1">IF(E502&gt;111,,IF(AND(OP!$D$99=1,T502="F"),AA502,IF(AND(OP!$D$99=2,COUNTIF($T$4:T502,"F")=1),OP!$D$97+IF(F502="F",OP!$D$98,0),"")))</f>
        <v>74177</v>
      </c>
      <c r="AL502" s="282">
        <f ca="1">IF(E502&gt;111,,IF(AND(OP!$E$99=1,T502="F"),AB502,IF(AND(OP!$E$99=2,COUNTIF($T$4:T502,"F")=1),OP!$E$97+IF(F502="F",OP!$E$98,0),"")))</f>
        <v>99404</v>
      </c>
      <c r="AM502" s="1">
        <f t="shared" ca="1" si="269"/>
        <v>8</v>
      </c>
      <c r="AN502" s="1" t="e">
        <f ca="1">IF(OR(VLOOKUP($A502,MP,5,0)="半年繳",VLOOKUP($A502,MP,5,0)="季繳",VLOOKUP($A502,MP,5,0)="月繳"),1,"")</f>
        <v>#N/A</v>
      </c>
      <c r="AO502" s="1">
        <f t="shared" ca="1" si="280"/>
        <v>0</v>
      </c>
      <c r="AP502" s="1" t="str">
        <f ca="1">IF(AND(A502&lt;=OP!$C$120,COUNTIF(PAY,C502)=1),1,"")</f>
        <v/>
      </c>
      <c r="AR502" s="301">
        <f ca="1">IF(繳費報酬率資料!$A$1=1,$AY502+$AZ502,$BF502+$BG502)</f>
        <v>0</v>
      </c>
      <c r="AS502" s="1">
        <f ca="1">IF(C502&lt;&gt;IF($C$3=1,12,$C$3-1),0,IF(繳費報酬率資料!$A$1&lt;&gt;1,VLOOKUP($A502,MP,8,0),IF(AND($A502&gt;=OP!$C$79,$A502&lt;=OP!$C$80),OP!$C$78,)))</f>
        <v>0</v>
      </c>
      <c r="AT502" s="298">
        <f t="shared" ca="1" si="281"/>
        <v>0</v>
      </c>
      <c r="AU502" s="298">
        <f ca="1">IF(AND(A502&lt;=OP!$C$120,COUNTIF(PAY,C502)=1),OP!$C$123,0)</f>
        <v>0</v>
      </c>
      <c r="AV502" s="298">
        <f ca="1">IF(AND(A502&gt;=OP!$C$132,A502&lt;=OP!$C$133,$C$3=C502),OP!$C$135,0)</f>
        <v>0</v>
      </c>
      <c r="AW502" s="180">
        <f t="shared" ca="1" si="282"/>
        <v>0.05</v>
      </c>
      <c r="AX502" s="180">
        <f t="shared" ca="1" si="283"/>
        <v>0.05</v>
      </c>
      <c r="AY502" s="286">
        <f t="shared" ca="1" si="284"/>
        <v>0</v>
      </c>
      <c r="AZ502" s="286">
        <f t="shared" ca="1" si="285"/>
        <v>0</v>
      </c>
      <c r="BA502" s="286">
        <f t="shared" ca="1" si="286"/>
        <v>0</v>
      </c>
      <c r="BB502" s="286">
        <f t="shared" ca="1" si="287"/>
        <v>0</v>
      </c>
      <c r="BC502" s="286">
        <f t="shared" ca="1" si="288"/>
        <v>0</v>
      </c>
      <c r="BD502" s="180">
        <f t="shared" ca="1" si="289"/>
        <v>0.05</v>
      </c>
      <c r="BE502" s="180">
        <f t="shared" ca="1" si="290"/>
        <v>0.05</v>
      </c>
      <c r="BF502" s="286">
        <f t="shared" ca="1" si="291"/>
        <v>0</v>
      </c>
      <c r="BG502" s="286">
        <f t="shared" ca="1" si="292"/>
        <v>0</v>
      </c>
    </row>
    <row r="503" spans="1:59">
      <c r="A503" s="1">
        <f t="shared" ca="1" si="272"/>
        <v>42</v>
      </c>
      <c r="B503" s="1">
        <f t="shared" ca="1" si="265"/>
        <v>148</v>
      </c>
      <c r="C503" s="1">
        <f t="shared" ca="1" si="266"/>
        <v>1</v>
      </c>
      <c r="D503" s="1">
        <f ca="1">MIN($D$3,VLOOKUP(C503,OP!$S$30:$T$41,2))</f>
        <v>2</v>
      </c>
      <c r="E503" s="1">
        <f t="shared" ca="1" si="267"/>
        <v>96</v>
      </c>
      <c r="F503" s="11" t="str">
        <f t="shared" ca="1" si="273"/>
        <v/>
      </c>
      <c r="G503" s="8">
        <f t="shared" ca="1" si="299"/>
        <v>365</v>
      </c>
      <c r="H503" s="8">
        <f t="shared" ca="1" si="274"/>
        <v>31</v>
      </c>
      <c r="I503" s="8" t="str">
        <f t="shared" ca="1" si="271"/>
        <v>421</v>
      </c>
      <c r="J503" s="13">
        <f>IF(繳費報酬率資料!$A$1=1,VALUE(OP!$C$121),VLOOKUP(A503,MP,2,0))</f>
        <v>0.05</v>
      </c>
      <c r="K503" s="14">
        <f ca="1">IF(SUM($K$4:K502,IF(繳費報酬率資料!$A$1=1,$AU503+$AV503,$BB503+$BC503))&gt;OP!$L$58,0,IF(繳費報酬率資料!$A$1=1,$AU503+$AV503,$BB503+$BC503))</f>
        <v>0</v>
      </c>
      <c r="L503" s="2"/>
      <c r="M503" s="2"/>
      <c r="N503" s="2"/>
      <c r="O503" s="261">
        <f t="shared" ca="1" si="275"/>
        <v>0</v>
      </c>
      <c r="P503" s="261">
        <f t="shared" ca="1" si="293"/>
        <v>0</v>
      </c>
      <c r="Q503" s="3">
        <f ca="1">IF(A503&gt;MAX(OP!$R$17:$R$26),0,VLOOKUP(A503,fees,3,FALSE))</f>
        <v>0</v>
      </c>
      <c r="R503" s="200" t="str">
        <f t="shared" ca="1" si="276"/>
        <v/>
      </c>
      <c r="S503" s="9" t="str">
        <f ca="1">IF(COUNTIF(($T$4:T502),"F")&gt;=1,"",IF(OR(C504&lt;&gt;$C$3,E503=""),"",A503))</f>
        <v/>
      </c>
      <c r="T503" s="20" t="str">
        <f t="shared" ca="1" si="268"/>
        <v/>
      </c>
      <c r="U503" s="2">
        <f ca="1">IF(IF(OP!$C$83=1,$Z502,IF(OP!$C$83=2,$AA502,IF(OP!$C$83=3,$AB502,)))+$K503-$O503-$P503-$AS503&lt;OP!$C$142,0,$AS503)</f>
        <v>0</v>
      </c>
      <c r="V503" s="9"/>
      <c r="W503" s="19">
        <f ca="1">MAX(SUM($K$4:K503),0)</f>
        <v>2000000</v>
      </c>
      <c r="X503" s="19"/>
      <c r="Y503" s="19">
        <f t="shared" ca="1" si="294"/>
        <v>1920000</v>
      </c>
      <c r="Z503" s="2">
        <f ca="1">IF(MIN($Z$4:Z502)=0,0,MAX(0,($Z502+$K503-$O503-$P503)*IF(AND(F503="F",$D$3&lt;&gt;$G$3),((1+(-J503))^(H503/MIN(G503,365))),((1+(-J503))^(1/12)))-$U503))</f>
        <v>226526.03101558069</v>
      </c>
      <c r="AA503" s="2">
        <f ca="1">IF(MIN($AA$4:AA502)=0,0,MAX(0,($AA502+$K503-$O503-$P503)*IF(AND(F503="F",$D$3&lt;&gt;$G$3),((1+$AA$1)^(H503/MIN(G503,365))),((1+$AA$1)^(1/12)))-$U503))</f>
        <v>1920000</v>
      </c>
      <c r="AB503" s="2">
        <f ca="1">IF(MIN($AB$4:AB502)=0,0,MAX(0,($AB502+$K503-$O503-$P503)*IF(AND(F503="F",$D$3&lt;&gt;$G$3),((1+(J503))^(H503/MIN(G503,365))),((1+(J503))^(1/12)))-$U503))</f>
        <v>14661847.227125013</v>
      </c>
      <c r="AC503" s="5"/>
      <c r="AD503" s="5"/>
      <c r="AE503" s="5"/>
      <c r="AF503" s="282">
        <f t="shared" ca="1" si="277"/>
        <v>226526</v>
      </c>
      <c r="AG503" s="282">
        <f t="shared" ca="1" si="278"/>
        <v>1920000</v>
      </c>
      <c r="AH503" s="282">
        <f t="shared" ca="1" si="279"/>
        <v>14661847</v>
      </c>
      <c r="AI503" s="23" t="str">
        <f t="shared" ca="1" si="295"/>
        <v>42-9</v>
      </c>
      <c r="AJ503" s="282">
        <f ca="1">IF(E503&gt;111,,IF(AND(OP!$C$99=1,T503="F"),Z503,IF(AND(OP!$C$99=2,COUNTIF($T$4:T503,"F")=1),OP!$C$97+IF(F503="F",OP!$C$98,0),"")))</f>
        <v>54527</v>
      </c>
      <c r="AK503" s="282">
        <f ca="1">IF(E503&gt;111,,IF(AND(OP!$D$99=1,T503="F"),AA503,IF(AND(OP!$D$99=2,COUNTIF($T$4:T503,"F")=1),OP!$D$97+IF(F503="F",OP!$D$98,0),"")))</f>
        <v>74177</v>
      </c>
      <c r="AL503" s="282">
        <f ca="1">IF(E503&gt;111,,IF(AND(OP!$E$99=1,T503="F"),AB503,IF(AND(OP!$E$99=2,COUNTIF($T$4:T503,"F")=1),OP!$E$97+IF(F503="F",OP!$E$98,0),"")))</f>
        <v>99404</v>
      </c>
      <c r="AM503" s="1">
        <f t="shared" ca="1" si="269"/>
        <v>9</v>
      </c>
      <c r="AN503" s="1" t="e">
        <f ca="1">IF(OR(VLOOKUP($A503,MP,5,0)="月繳"),1,"")</f>
        <v>#N/A</v>
      </c>
      <c r="AO503" s="1">
        <f t="shared" ca="1" si="280"/>
        <v>0</v>
      </c>
      <c r="AP503" s="1" t="str">
        <f ca="1">IF(AND(A503&lt;=OP!$C$120,COUNTIF(PAY,C503)=1),1,"")</f>
        <v/>
      </c>
      <c r="AR503" s="301">
        <f ca="1">IF(繳費報酬率資料!$A$1=1,$AY503+$AZ503,$BF503+$BG503)</f>
        <v>0</v>
      </c>
      <c r="AS503" s="1">
        <f ca="1">IF(C503&lt;&gt;IF($C$3=1,12,$C$3-1),0,IF(繳費報酬率資料!$A$1&lt;&gt;1,VLOOKUP($A503,MP,8,0),IF(AND($A503&gt;=OP!$C$79,$A503&lt;=OP!$C$80),OP!$C$78,)))</f>
        <v>0</v>
      </c>
      <c r="AT503" s="298">
        <f t="shared" ca="1" si="281"/>
        <v>0</v>
      </c>
      <c r="AU503" s="298">
        <f ca="1">IF(AND(A503&lt;=OP!$C$120,COUNTIF(PAY,C503)=1),OP!$C$123,0)</f>
        <v>0</v>
      </c>
      <c r="AV503" s="298">
        <f ca="1">IF(AND(A503&gt;=OP!$C$132,A503&lt;=OP!$C$133,$C$3=C503),OP!$C$135,0)</f>
        <v>0</v>
      </c>
      <c r="AW503" s="180">
        <f t="shared" ca="1" si="282"/>
        <v>0.05</v>
      </c>
      <c r="AX503" s="180">
        <f t="shared" ca="1" si="283"/>
        <v>0.05</v>
      </c>
      <c r="AY503" s="286">
        <f t="shared" ca="1" si="284"/>
        <v>0</v>
      </c>
      <c r="AZ503" s="286">
        <f t="shared" ca="1" si="285"/>
        <v>0</v>
      </c>
      <c r="BA503" s="286">
        <f t="shared" ca="1" si="286"/>
        <v>0</v>
      </c>
      <c r="BB503" s="286">
        <f t="shared" ca="1" si="287"/>
        <v>0</v>
      </c>
      <c r="BC503" s="286">
        <f t="shared" ca="1" si="288"/>
        <v>0</v>
      </c>
      <c r="BD503" s="180">
        <f t="shared" ca="1" si="289"/>
        <v>0.05</v>
      </c>
      <c r="BE503" s="180">
        <f t="shared" ca="1" si="290"/>
        <v>0.05</v>
      </c>
      <c r="BF503" s="286">
        <f t="shared" ca="1" si="291"/>
        <v>0</v>
      </c>
      <c r="BG503" s="286">
        <f t="shared" ca="1" si="292"/>
        <v>0</v>
      </c>
    </row>
    <row r="504" spans="1:59">
      <c r="A504" s="1">
        <f t="shared" ca="1" si="272"/>
        <v>42</v>
      </c>
      <c r="B504" s="1">
        <f t="shared" ca="1" si="265"/>
        <v>148</v>
      </c>
      <c r="C504" s="1">
        <f t="shared" ca="1" si="266"/>
        <v>2</v>
      </c>
      <c r="D504" s="1">
        <f ca="1">MIN($D$3,VLOOKUP(C504,OP!$S$30:$T$41,2))</f>
        <v>2</v>
      </c>
      <c r="E504" s="1">
        <f t="shared" ca="1" si="267"/>
        <v>96</v>
      </c>
      <c r="F504" s="11" t="str">
        <f t="shared" ca="1" si="273"/>
        <v/>
      </c>
      <c r="G504" s="8">
        <f t="shared" ca="1" si="299"/>
        <v>365</v>
      </c>
      <c r="H504" s="8">
        <f t="shared" ca="1" si="274"/>
        <v>28</v>
      </c>
      <c r="I504" s="8" t="str">
        <f t="shared" ca="1" si="271"/>
        <v>422</v>
      </c>
      <c r="J504" s="13">
        <f>IF(繳費報酬率資料!$A$1=1,VALUE(OP!$C$121),VLOOKUP(A504,MP,2,0))</f>
        <v>0.05</v>
      </c>
      <c r="K504" s="14">
        <f ca="1">IF(SUM($K$4:K503,IF(繳費報酬率資料!$A$1=1,$AU504+$AV504,$BB504+$BC504))&gt;OP!$L$58,0,IF(繳費報酬率資料!$A$1=1,$AU504+$AV504,$BB504+$BC504))</f>
        <v>0</v>
      </c>
      <c r="L504" s="2"/>
      <c r="M504" s="2"/>
      <c r="N504" s="2"/>
      <c r="O504" s="261">
        <f t="shared" ca="1" si="275"/>
        <v>0</v>
      </c>
      <c r="P504" s="261">
        <f t="shared" ca="1" si="293"/>
        <v>0</v>
      </c>
      <c r="Q504" s="3">
        <f ca="1">IF(A504&gt;MAX(OP!$R$17:$R$26),0,VLOOKUP(A504,fees,3,FALSE))</f>
        <v>0</v>
      </c>
      <c r="R504" s="200" t="str">
        <f t="shared" ca="1" si="276"/>
        <v/>
      </c>
      <c r="S504" s="9" t="str">
        <f ca="1">IF(COUNTIF(($T$4:T503),"F")&gt;=1,"",IF(OR(C505&lt;&gt;$C$3,E504=""),"",A504))</f>
        <v/>
      </c>
      <c r="T504" s="20" t="str">
        <f t="shared" ca="1" si="268"/>
        <v/>
      </c>
      <c r="U504" s="2">
        <f ca="1">IF(IF(OP!$C$83=1,$Z503,IF(OP!$C$83=2,$AA503,IF(OP!$C$83=3,$AB503,)))+$K504-$O504-$P504-$AS504&lt;OP!$C$142,0,$AS504)</f>
        <v>0</v>
      </c>
      <c r="V504" s="9"/>
      <c r="W504" s="19">
        <f ca="1">MAX(SUM($K$4:K504),0)</f>
        <v>2000000</v>
      </c>
      <c r="X504" s="19"/>
      <c r="Y504" s="19">
        <f t="shared" ca="1" si="294"/>
        <v>1920000</v>
      </c>
      <c r="Z504" s="2">
        <f ca="1">IF(MIN($Z$4:Z503)=0,0,MAX(0,($Z503+$K504-$O504-$P504)*IF(AND(F504="F",$D$3&lt;&gt;$G$3),((1+(-J504))^(H504/MIN(G504,365))),((1+(-J504))^(1/12)))-$U504))</f>
        <v>225559.82528188365</v>
      </c>
      <c r="AA504" s="2">
        <f ca="1">IF(MIN($AA$4:AA503)=0,0,MAX(0,($AA503+$K504-$O504-$P504)*IF(AND(F504="F",$D$3&lt;&gt;$G$3),((1+$AA$1)^(H504/MIN(G504,365))),((1+$AA$1)^(1/12)))-$U504))</f>
        <v>1920000</v>
      </c>
      <c r="AB504" s="2">
        <f ca="1">IF(MIN($AB$4:AB503)=0,0,MAX(0,($AB503+$K504-$O504-$P504)*IF(AND(F504="F",$D$3&lt;&gt;$G$3),((1+(J504))^(H504/MIN(G504,365))),((1+(J504))^(1/12)))-$U504))</f>
        <v>14721581.407625262</v>
      </c>
      <c r="AC504" s="5"/>
      <c r="AD504" s="5"/>
      <c r="AE504" s="5"/>
      <c r="AF504" s="282">
        <f t="shared" ca="1" si="277"/>
        <v>225560</v>
      </c>
      <c r="AG504" s="282">
        <f t="shared" ca="1" si="278"/>
        <v>1920000</v>
      </c>
      <c r="AH504" s="282">
        <f t="shared" ca="1" si="279"/>
        <v>14721581</v>
      </c>
      <c r="AI504" s="23" t="str">
        <f t="shared" ca="1" si="295"/>
        <v>42-10</v>
      </c>
      <c r="AJ504" s="282">
        <f ca="1">IF(E504&gt;111,,IF(AND(OP!$C$99=1,T504="F"),Z504,IF(AND(OP!$C$99=2,COUNTIF($T$4:T504,"F")=1),OP!$C$97+IF(F504="F",OP!$C$98,0),"")))</f>
        <v>54527</v>
      </c>
      <c r="AK504" s="282">
        <f ca="1">IF(E504&gt;111,,IF(AND(OP!$D$99=1,T504="F"),AA504,IF(AND(OP!$D$99=2,COUNTIF($T$4:T504,"F")=1),OP!$D$97+IF(F504="F",OP!$D$98,0),"")))</f>
        <v>74177</v>
      </c>
      <c r="AL504" s="282">
        <f ca="1">IF(E504&gt;111,,IF(AND(OP!$E$99=1,T504="F"),AB504,IF(AND(OP!$E$99=2,COUNTIF($T$4:T504,"F")=1),OP!$E$97+IF(F504="F",OP!$E$98,0),"")))</f>
        <v>99404</v>
      </c>
      <c r="AM504" s="1">
        <f t="shared" ca="1" si="269"/>
        <v>10</v>
      </c>
      <c r="AN504" s="1" t="e">
        <f ca="1">IF(OR(VLOOKUP($A504,MP,5,0)="月繳"),1,"")</f>
        <v>#N/A</v>
      </c>
      <c r="AO504" s="1">
        <f t="shared" ca="1" si="280"/>
        <v>0</v>
      </c>
      <c r="AP504" s="1" t="str">
        <f ca="1">IF(AND(A504&lt;=OP!$C$120,COUNTIF(PAY,C504)=1),1,"")</f>
        <v/>
      </c>
      <c r="AR504" s="301">
        <f ca="1">IF(繳費報酬率資料!$A$1=1,$AY504+$AZ504,$BF504+$BG504)</f>
        <v>0</v>
      </c>
      <c r="AS504" s="1">
        <f ca="1">IF(C504&lt;&gt;IF($C$3=1,12,$C$3-1),0,IF(繳費報酬率資料!$A$1&lt;&gt;1,VLOOKUP($A504,MP,8,0),IF(AND($A504&gt;=OP!$C$79,$A504&lt;=OP!$C$80),OP!$C$78,)))</f>
        <v>0</v>
      </c>
      <c r="AT504" s="298">
        <f t="shared" ca="1" si="281"/>
        <v>0</v>
      </c>
      <c r="AU504" s="298">
        <f ca="1">IF(AND(A504&lt;=OP!$C$120,COUNTIF(PAY,C504)=1),OP!$C$123,0)</f>
        <v>0</v>
      </c>
      <c r="AV504" s="298">
        <f ca="1">IF(AND(A504&gt;=OP!$C$132,A504&lt;=OP!$C$133,$C$3=C504),OP!$C$135,0)</f>
        <v>0</v>
      </c>
      <c r="AW504" s="180">
        <f t="shared" ca="1" si="282"/>
        <v>0.05</v>
      </c>
      <c r="AX504" s="180">
        <f t="shared" ca="1" si="283"/>
        <v>0.05</v>
      </c>
      <c r="AY504" s="286">
        <f t="shared" ca="1" si="284"/>
        <v>0</v>
      </c>
      <c r="AZ504" s="286">
        <f t="shared" ca="1" si="285"/>
        <v>0</v>
      </c>
      <c r="BA504" s="286">
        <f t="shared" ca="1" si="286"/>
        <v>0</v>
      </c>
      <c r="BB504" s="286">
        <f t="shared" ca="1" si="287"/>
        <v>0</v>
      </c>
      <c r="BC504" s="286">
        <f t="shared" ca="1" si="288"/>
        <v>0</v>
      </c>
      <c r="BD504" s="180">
        <f t="shared" ca="1" si="289"/>
        <v>0.05</v>
      </c>
      <c r="BE504" s="180">
        <f t="shared" ca="1" si="290"/>
        <v>0.05</v>
      </c>
      <c r="BF504" s="286">
        <f t="shared" ca="1" si="291"/>
        <v>0</v>
      </c>
      <c r="BG504" s="286">
        <f t="shared" ca="1" si="292"/>
        <v>0</v>
      </c>
    </row>
    <row r="505" spans="1:59">
      <c r="A505" s="1">
        <f t="shared" ca="1" si="272"/>
        <v>42</v>
      </c>
      <c r="B505" s="1">
        <f t="shared" ca="1" si="265"/>
        <v>148</v>
      </c>
      <c r="C505" s="1">
        <f t="shared" ca="1" si="266"/>
        <v>3</v>
      </c>
      <c r="D505" s="1">
        <f ca="1">MIN($D$3,VLOOKUP(C505,OP!$S$30:$T$41,2))</f>
        <v>2</v>
      </c>
      <c r="E505" s="1">
        <f t="shared" ca="1" si="267"/>
        <v>96</v>
      </c>
      <c r="F505" s="11" t="str">
        <f t="shared" ca="1" si="273"/>
        <v/>
      </c>
      <c r="G505" s="8">
        <f t="shared" ca="1" si="299"/>
        <v>365</v>
      </c>
      <c r="H505" s="8">
        <f t="shared" ca="1" si="274"/>
        <v>31</v>
      </c>
      <c r="I505" s="8" t="str">
        <f t="shared" ca="1" si="271"/>
        <v>423</v>
      </c>
      <c r="J505" s="13">
        <f>IF(繳費報酬率資料!$A$1=1,VALUE(OP!$C$121),VLOOKUP(A505,MP,2,0))</f>
        <v>0.05</v>
      </c>
      <c r="K505" s="14">
        <f ca="1">IF(SUM($K$4:K504,IF(繳費報酬率資料!$A$1=1,$AU505+$AV505,$BB505+$BC505))&gt;OP!$L$58,0,IF(繳費報酬率資料!$A$1=1,$AU505+$AV505,$BB505+$BC505))</f>
        <v>0</v>
      </c>
      <c r="L505" s="2"/>
      <c r="M505" s="2"/>
      <c r="N505" s="2"/>
      <c r="O505" s="261">
        <f t="shared" ca="1" si="275"/>
        <v>0</v>
      </c>
      <c r="P505" s="261">
        <f t="shared" ca="1" si="293"/>
        <v>0</v>
      </c>
      <c r="Q505" s="3">
        <f ca="1">IF(A505&gt;MAX(OP!$R$17:$R$26),0,VLOOKUP(A505,fees,3,FALSE))</f>
        <v>0</v>
      </c>
      <c r="R505" s="200" t="str">
        <f t="shared" ca="1" si="276"/>
        <v/>
      </c>
      <c r="S505" s="9" t="str">
        <f ca="1">IF(COUNTIF(($T$4:T504),"F")&gt;=1,"",IF(OR(C506&lt;&gt;$C$3,E505=""),"",A505))</f>
        <v/>
      </c>
      <c r="T505" s="20" t="str">
        <f t="shared" ca="1" si="268"/>
        <v/>
      </c>
      <c r="U505" s="2">
        <f ca="1">IF(IF(OP!$C$83=1,$Z504,IF(OP!$C$83=2,$AA504,IF(OP!$C$83=3,$AB504,)))+$K505-$O505-$P505-$AS505&lt;OP!$C$142,0,$AS505)</f>
        <v>0</v>
      </c>
      <c r="V505" s="9"/>
      <c r="W505" s="19">
        <f ca="1">MAX(SUM($K$4:K505),0)</f>
        <v>2000000</v>
      </c>
      <c r="X505" s="19"/>
      <c r="Y505" s="19">
        <f t="shared" ca="1" si="294"/>
        <v>1920000</v>
      </c>
      <c r="Z505" s="2">
        <f ca="1">IF(MIN($Z$4:Z504)=0,0,MAX(0,($Z504+$K505-$O505-$P505)*IF(AND(F505="F",$D$3&lt;&gt;$G$3),((1+(-J505))^(H505/MIN(G505,365))),((1+(-J505))^(1/12)))-$U505))</f>
        <v>224597.74072364552</v>
      </c>
      <c r="AA505" s="2">
        <f ca="1">IF(MIN($AA$4:AA504)=0,0,MAX(0,($AA504+$K505-$O505-$P505)*IF(AND(F505="F",$D$3&lt;&gt;$G$3),((1+$AA$1)^(H505/MIN(G505,365))),((1+$AA$1)^(1/12)))-$U505))</f>
        <v>1920000</v>
      </c>
      <c r="AB505" s="2">
        <f ca="1">IF(MIN($AB$4:AB504)=0,0,MAX(0,($AB504+$K505-$O505-$P505)*IF(AND(F505="F",$D$3&lt;&gt;$G$3),((1+(J505))^(H505/MIN(G505,365))),((1+(J505))^(1/12)))-$U505))</f>
        <v>14781558.952570982</v>
      </c>
      <c r="AC505" s="5"/>
      <c r="AD505" s="5"/>
      <c r="AE505" s="5"/>
      <c r="AF505" s="282">
        <f t="shared" ca="1" si="277"/>
        <v>224598</v>
      </c>
      <c r="AG505" s="282">
        <f t="shared" ca="1" si="278"/>
        <v>1920000</v>
      </c>
      <c r="AH505" s="282">
        <f t="shared" ca="1" si="279"/>
        <v>14781559</v>
      </c>
      <c r="AI505" s="23" t="str">
        <f t="shared" ca="1" si="295"/>
        <v>42-11</v>
      </c>
      <c r="AJ505" s="282">
        <f ca="1">IF(E505&gt;111,,IF(AND(OP!$C$99=1,T505="F"),Z505,IF(AND(OP!$C$99=2,COUNTIF($T$4:T505,"F")=1),OP!$C$97+IF(F505="F",OP!$C$98,0),"")))</f>
        <v>54527</v>
      </c>
      <c r="AK505" s="282">
        <f ca="1">IF(E505&gt;111,,IF(AND(OP!$D$99=1,T505="F"),AA505,IF(AND(OP!$D$99=2,COUNTIF($T$4:T505,"F")=1),OP!$D$97+IF(F505="F",OP!$D$98,0),"")))</f>
        <v>74177</v>
      </c>
      <c r="AL505" s="282">
        <f ca="1">IF(E505&gt;111,,IF(AND(OP!$E$99=1,T505="F"),AB505,IF(AND(OP!$E$99=2,COUNTIF($T$4:T505,"F")=1),OP!$E$97+IF(F505="F",OP!$E$98,0),"")))</f>
        <v>99404</v>
      </c>
      <c r="AM505" s="1">
        <f t="shared" ca="1" si="269"/>
        <v>11</v>
      </c>
      <c r="AN505" s="1" t="e">
        <f ca="1">IF(OR(VLOOKUP($A505,MP,5,0)="季繳",VLOOKUP($A505,MP,5,0)="月繳"),1,"")</f>
        <v>#N/A</v>
      </c>
      <c r="AO505" s="1">
        <f t="shared" ca="1" si="280"/>
        <v>0</v>
      </c>
      <c r="AP505" s="1" t="str">
        <f ca="1">IF(AND(A505&lt;=OP!$C$120,COUNTIF(PAY,C505)=1),1,"")</f>
        <v/>
      </c>
      <c r="AR505" s="301">
        <f ca="1">IF(繳費報酬率資料!$A$1=1,$AY505+$AZ505,$BF505+$BG505)</f>
        <v>0</v>
      </c>
      <c r="AS505" s="1">
        <f ca="1">IF(C505&lt;&gt;IF($C$3=1,12,$C$3-1),0,IF(繳費報酬率資料!$A$1&lt;&gt;1,VLOOKUP($A505,MP,8,0),IF(AND($A505&gt;=OP!$C$79,$A505&lt;=OP!$C$80),OP!$C$78,)))</f>
        <v>0</v>
      </c>
      <c r="AT505" s="298">
        <f t="shared" ca="1" si="281"/>
        <v>0</v>
      </c>
      <c r="AU505" s="298">
        <f ca="1">IF(AND(A505&lt;=OP!$C$120,COUNTIF(PAY,C505)=1),OP!$C$123,0)</f>
        <v>0</v>
      </c>
      <c r="AV505" s="298">
        <f ca="1">IF(AND(A505&gt;=OP!$C$132,A505&lt;=OP!$C$133,$C$3=C505),OP!$C$135,0)</f>
        <v>0</v>
      </c>
      <c r="AW505" s="180">
        <f t="shared" ca="1" si="282"/>
        <v>0.05</v>
      </c>
      <c r="AX505" s="180">
        <f t="shared" ca="1" si="283"/>
        <v>0.05</v>
      </c>
      <c r="AY505" s="286">
        <f t="shared" ca="1" si="284"/>
        <v>0</v>
      </c>
      <c r="AZ505" s="286">
        <f t="shared" ca="1" si="285"/>
        <v>0</v>
      </c>
      <c r="BA505" s="286">
        <f t="shared" ca="1" si="286"/>
        <v>0</v>
      </c>
      <c r="BB505" s="286">
        <f t="shared" ca="1" si="287"/>
        <v>0</v>
      </c>
      <c r="BC505" s="286">
        <f t="shared" ca="1" si="288"/>
        <v>0</v>
      </c>
      <c r="BD505" s="180">
        <f t="shared" ca="1" si="289"/>
        <v>0.05</v>
      </c>
      <c r="BE505" s="180">
        <f t="shared" ca="1" si="290"/>
        <v>0.05</v>
      </c>
      <c r="BF505" s="286">
        <f t="shared" ca="1" si="291"/>
        <v>0</v>
      </c>
      <c r="BG505" s="286">
        <f t="shared" ca="1" si="292"/>
        <v>0</v>
      </c>
    </row>
    <row r="506" spans="1:59">
      <c r="A506" s="1">
        <f t="shared" ca="1" si="272"/>
        <v>42</v>
      </c>
      <c r="B506" s="1">
        <f t="shared" ca="1" si="265"/>
        <v>148</v>
      </c>
      <c r="C506" s="1">
        <f t="shared" ca="1" si="266"/>
        <v>4</v>
      </c>
      <c r="D506" s="1">
        <f ca="1">MIN($D$3,VLOOKUP(C506,OP!$S$30:$T$41,2))</f>
        <v>2</v>
      </c>
      <c r="E506" s="1">
        <f t="shared" ca="1" si="267"/>
        <v>96</v>
      </c>
      <c r="F506" s="11" t="str">
        <f t="shared" ca="1" si="273"/>
        <v/>
      </c>
      <c r="G506" s="8">
        <f t="shared" ca="1" si="299"/>
        <v>365</v>
      </c>
      <c r="H506" s="8">
        <f t="shared" ca="1" si="274"/>
        <v>30</v>
      </c>
      <c r="I506" s="8" t="str">
        <f t="shared" ca="1" si="271"/>
        <v>424</v>
      </c>
      <c r="J506" s="13">
        <f>IF(繳費報酬率資料!$A$1=1,VALUE(OP!$C$121),VLOOKUP(A506,MP,2,0))</f>
        <v>0.05</v>
      </c>
      <c r="K506" s="14">
        <f ca="1">IF(SUM($K$4:K505,IF(繳費報酬率資料!$A$1=1,$AU506+$AV506,$BB506+$BC506))&gt;OP!$L$58,0,IF(繳費報酬率資料!$A$1=1,$AU506+$AV506,$BB506+$BC506))</f>
        <v>0</v>
      </c>
      <c r="L506" s="2"/>
      <c r="M506" s="2"/>
      <c r="N506" s="2"/>
      <c r="O506" s="261">
        <f t="shared" ca="1" si="275"/>
        <v>0</v>
      </c>
      <c r="P506" s="261">
        <f t="shared" ca="1" si="293"/>
        <v>0</v>
      </c>
      <c r="Q506" s="3">
        <f ca="1">IF(A506&gt;MAX(OP!$R$17:$R$26),0,VLOOKUP(A506,fees,3,FALSE))</f>
        <v>0</v>
      </c>
      <c r="R506" s="200" t="str">
        <f t="shared" ca="1" si="276"/>
        <v/>
      </c>
      <c r="S506" s="9" t="str">
        <f ca="1">IF(COUNTIF(($T$4:T505),"F")&gt;=1,"",IF(OR(C507&lt;&gt;$C$3,E506=""),"",A506))</f>
        <v/>
      </c>
      <c r="T506" s="20" t="str">
        <f t="shared" ca="1" si="268"/>
        <v/>
      </c>
      <c r="U506" s="2">
        <f ca="1">IF(IF(OP!$C$83=1,$Z505,IF(OP!$C$83=2,$AA505,IF(OP!$C$83=3,$AB505,)))+$K506-$O506-$P506-$AS506&lt;OP!$C$142,0,$AS506)</f>
        <v>0</v>
      </c>
      <c r="V506" s="9"/>
      <c r="W506" s="19">
        <f ca="1">MAX(SUM($K$4:K506),0)</f>
        <v>2000000</v>
      </c>
      <c r="X506" s="19"/>
      <c r="Y506" s="19">
        <f t="shared" ca="1" si="294"/>
        <v>1920000</v>
      </c>
      <c r="Z506" s="2">
        <f ca="1">IF(MIN($Z$4:Z505)=0,0,MAX(0,($Z505+$K506-$O506-$P506)*IF(AND(F506="F",$D$3&lt;&gt;$G$3),((1+(-J506))^(H506/MIN(G506,365))),((1+(-J506))^(1/12)))-$U506))</f>
        <v>223639.75976273927</v>
      </c>
      <c r="AA506" s="2">
        <f ca="1">IF(MIN($AA$4:AA505)=0,0,MAX(0,($AA505+$K506-$O506-$P506)*IF(AND(F506="F",$D$3&lt;&gt;$G$3),((1+$AA$1)^(H506/MIN(G506,365))),((1+$AA$1)^(1/12)))-$U506))</f>
        <v>1920000</v>
      </c>
      <c r="AB506" s="2">
        <f ca="1">IF(MIN($AB$4:AB505)=0,0,MAX(0,($AB505+$K506-$O506-$P506)*IF(AND(F506="F",$D$3&lt;&gt;$G$3),((1+(J506))^(H506/MIN(G506,365))),((1+(J506))^(1/12)))-$U506))</f>
        <v>14841780.853459053</v>
      </c>
      <c r="AC506" s="5"/>
      <c r="AD506" s="5"/>
      <c r="AE506" s="5"/>
      <c r="AF506" s="282">
        <f t="shared" ca="1" si="277"/>
        <v>223640</v>
      </c>
      <c r="AG506" s="282">
        <f t="shared" ca="1" si="278"/>
        <v>1920000</v>
      </c>
      <c r="AH506" s="282">
        <f t="shared" ca="1" si="279"/>
        <v>14841781</v>
      </c>
      <c r="AI506" s="23" t="str">
        <f t="shared" ca="1" si="295"/>
        <v>42-12</v>
      </c>
      <c r="AJ506" s="282">
        <f ca="1">IF(E506&gt;111,,IF(AND(OP!$C$99=1,T506="F"),Z506,IF(AND(OP!$C$99=2,COUNTIF($T$4:T506,"F")=1),OP!$C$97+IF(F506="F",OP!$C$98,0),"")))</f>
        <v>54527</v>
      </c>
      <c r="AK506" s="282">
        <f ca="1">IF(E506&gt;111,,IF(AND(OP!$D$99=1,T506="F"),AA506,IF(AND(OP!$D$99=2,COUNTIF($T$4:T506,"F")=1),OP!$D$97+IF(F506="F",OP!$D$98,0),"")))</f>
        <v>74177</v>
      </c>
      <c r="AL506" s="282">
        <f ca="1">IF(E506&gt;111,,IF(AND(OP!$E$99=1,T506="F"),AB506,IF(AND(OP!$E$99=2,COUNTIF($T$4:T506,"F")=1),OP!$E$97+IF(F506="F",OP!$E$98,0),"")))</f>
        <v>99404</v>
      </c>
      <c r="AM506" s="1">
        <f t="shared" ca="1" si="269"/>
        <v>12</v>
      </c>
      <c r="AN506" s="1" t="e">
        <f ca="1">IF(OR(VLOOKUP($A506,MP,5,0)="月繳"),1,"")</f>
        <v>#N/A</v>
      </c>
      <c r="AO506" s="1">
        <f t="shared" ca="1" si="280"/>
        <v>0</v>
      </c>
      <c r="AP506" s="1" t="str">
        <f ca="1">IF(AND(A506&lt;=OP!$C$120,COUNTIF(PAY,C506)=1),1,"")</f>
        <v/>
      </c>
      <c r="AR506" s="301">
        <f ca="1">IF(繳費報酬率資料!$A$1=1,$AY506+$AZ506,$BF506+$BG506)</f>
        <v>0</v>
      </c>
      <c r="AS506" s="1">
        <f ca="1">IF(C506&lt;&gt;IF($C$3=1,12,$C$3-1),0,IF(繳費報酬率資料!$A$1&lt;&gt;1,VLOOKUP($A506,MP,8,0),IF(AND($A506&gt;=OP!$C$79,$A506&lt;=OP!$C$80),OP!$C$78,)))</f>
        <v>0</v>
      </c>
      <c r="AT506" s="298">
        <f t="shared" ca="1" si="281"/>
        <v>0</v>
      </c>
      <c r="AU506" s="298">
        <f ca="1">IF(AND(A506&lt;=OP!$C$120,COUNTIF(PAY,C506)=1),OP!$C$123,0)</f>
        <v>0</v>
      </c>
      <c r="AV506" s="298">
        <f ca="1">IF(AND(A506&gt;=OP!$C$132,A506&lt;=OP!$C$133,$C$3=C506),OP!$C$135,0)</f>
        <v>0</v>
      </c>
      <c r="AW506" s="180">
        <f t="shared" ca="1" si="282"/>
        <v>0.05</v>
      </c>
      <c r="AX506" s="180">
        <f t="shared" ca="1" si="283"/>
        <v>0.05</v>
      </c>
      <c r="AY506" s="286">
        <f t="shared" ca="1" si="284"/>
        <v>0</v>
      </c>
      <c r="AZ506" s="286">
        <f t="shared" ca="1" si="285"/>
        <v>0</v>
      </c>
      <c r="BA506" s="286">
        <f t="shared" ca="1" si="286"/>
        <v>0</v>
      </c>
      <c r="BB506" s="286">
        <f t="shared" ca="1" si="287"/>
        <v>0</v>
      </c>
      <c r="BC506" s="286">
        <f t="shared" ca="1" si="288"/>
        <v>0</v>
      </c>
      <c r="BD506" s="180">
        <f t="shared" ca="1" si="289"/>
        <v>0.05</v>
      </c>
      <c r="BE506" s="180">
        <f t="shared" ca="1" si="290"/>
        <v>0.05</v>
      </c>
      <c r="BF506" s="286">
        <f t="shared" ca="1" si="291"/>
        <v>0</v>
      </c>
      <c r="BG506" s="286">
        <f t="shared" ca="1" si="292"/>
        <v>0</v>
      </c>
    </row>
    <row r="507" spans="1:59">
      <c r="A507" s="1">
        <f t="shared" ca="1" si="272"/>
        <v>42</v>
      </c>
      <c r="B507" s="1">
        <f t="shared" ca="1" si="265"/>
        <v>148</v>
      </c>
      <c r="C507" s="1">
        <f t="shared" ca="1" si="266"/>
        <v>5</v>
      </c>
      <c r="D507" s="1">
        <f ca="1">MIN($D$3,VLOOKUP(C507,OP!$S$30:$T$41,2))</f>
        <v>2</v>
      </c>
      <c r="E507" s="1">
        <f t="shared" ca="1" si="267"/>
        <v>96</v>
      </c>
      <c r="F507" s="11" t="str">
        <f t="shared" ca="1" si="273"/>
        <v/>
      </c>
      <c r="G507" s="8">
        <f t="shared" ca="1" si="299"/>
        <v>365</v>
      </c>
      <c r="H507" s="8">
        <f t="shared" ca="1" si="274"/>
        <v>31</v>
      </c>
      <c r="I507" s="8" t="str">
        <f t="shared" ca="1" si="271"/>
        <v>425</v>
      </c>
      <c r="J507" s="13">
        <f>IF(繳費報酬率資料!$A$1=1,VALUE(OP!$C$121),VLOOKUP(A507,MP,2,0))</f>
        <v>0.05</v>
      </c>
      <c r="K507" s="14">
        <f ca="1">IF(SUM($K$4:K506,IF(繳費報酬率資料!$A$1=1,$AU507+$AV507,$BB507+$BC507))&gt;OP!$L$58,0,IF(繳費報酬率資料!$A$1=1,$AU507+$AV507,$BB507+$BC507))</f>
        <v>0</v>
      </c>
      <c r="L507" s="2">
        <f ca="1">ROUND(IF(OP!$C$78&lt;(IF(OR($T507="F",$E507&gt;=111),0,Z506+$K507-$O507+IF($C$1=1,OP!$C$78,IF($C508=$C$3,SUM(AC496:AC507,0)))))*5%,0,(OP!$C$78-((IF(OR($T507="F",$E507&gt;=111),0,Z506+$K507-$O507+IF($C$1=1,AC507,IF($C508=$C$3,SUM(AC496:AC507,0)))))*5%))*$Q507),0)</f>
        <v>0</v>
      </c>
      <c r="M507" s="2">
        <f ca="1">ROUND(IF(OP!$C$78&lt;(IF(OR($T507="F",$E507&gt;=111),0,AA506+$K507-$O507+IF($C$1=1,AD507,IF($C508=$C$3,SUM(AD496:AD507,0)))))*5%,0,(OP!$C$78-((IF(OR($T507="F",$E507&gt;=111),0,AA506+$K507-$O507+IF($C$1=1,AD507,IF($C508=$C$3,SUM(AD496:AD507,0)))))*5%))*$Q507),0)</f>
        <v>0</v>
      </c>
      <c r="N507" s="2">
        <f ca="1">ROUND(IF(OP!$C$78&lt;(IF(OR($T507="F",$E507&gt;=111),0,AB506+$K507-$O507+IF($C$1=1,AE507,IF($C508=$C$3,SUM(AE496:AE507,0)))))*5%,0,(OP!$C$78-((IF(OR($T507="F",$E507&gt;=111),0,AB506+$K507-$O507+IF($C$1=1,AE507,IF($C508=$C$3,SUM(AE496:AE507,0)))))*5%))*$Q507),0)</f>
        <v>0</v>
      </c>
      <c r="O507" s="261">
        <f t="shared" ca="1" si="275"/>
        <v>0</v>
      </c>
      <c r="P507" s="261">
        <f t="shared" ca="1" si="293"/>
        <v>0</v>
      </c>
      <c r="Q507" s="3">
        <f ca="1">IF(A507&gt;MAX(OP!$R$17:$R$26),0,VLOOKUP(A507,fees,3,FALSE))</f>
        <v>0</v>
      </c>
      <c r="R507" s="200">
        <f t="shared" ca="1" si="276"/>
        <v>42</v>
      </c>
      <c r="S507" s="9" t="str">
        <f ca="1">IF(COUNTIF(($T$4:T506),"F")&gt;=1,"",IF(OR(C508&lt;&gt;$C$3,E507=""),"",A507))</f>
        <v/>
      </c>
      <c r="T507" s="20" t="str">
        <f t="shared" ca="1" si="268"/>
        <v/>
      </c>
      <c r="U507" s="2">
        <f ca="1">IF(IF(OP!$C$83=1,$Z506,IF(OP!$C$83=2,$AA506,IF(OP!$C$83=3,$AB506,)))+$K507-$O507-$P507-$AS507&lt;OP!$C$142,0,$AS507)</f>
        <v>0</v>
      </c>
      <c r="V507" s="19">
        <f ca="1">SUM(K496:K507)</f>
        <v>0</v>
      </c>
      <c r="W507" s="19">
        <f ca="1">MAX(SUM($K$4:K507),0)</f>
        <v>2000000</v>
      </c>
      <c r="X507" s="19">
        <f ca="1">SUM(O496:P507)</f>
        <v>0</v>
      </c>
      <c r="Y507" s="19">
        <f t="shared" ca="1" si="294"/>
        <v>1920000</v>
      </c>
      <c r="Z507" s="2">
        <f ca="1">IF(MIN($Z$4:Z506)=0,0,MAX(0,($Z506+$K507-$O507-$P507)*IF(AND(F507="F",$D$3&lt;&gt;$G$3),((1+(-J507))^(H507/MIN(G507,365))),((1+(-J507))^(1/12)))-$U507))</f>
        <v>222685.8648960141</v>
      </c>
      <c r="AA507" s="2">
        <f ca="1">IF(MIN($AA$4:AA506)=0,0,MAX(0,($AA506+$K507-$O507-$P507)*IF(AND(F507="F",$D$3&lt;&gt;$G$3),((1+$AA$1)^(H507/MIN(G507,365))),((1+$AA$1)^(1/12)))-$U507))</f>
        <v>1920000</v>
      </c>
      <c r="AB507" s="2">
        <f ca="1">IF(MIN($AB$4:AB506)=0,0,MAX(0,($AB506+$K507-$O507-$P507)*IF(AND(F507="F",$D$3&lt;&gt;$G$3),((1+(J507))^(H507/MIN(G507,365))),((1+(J507))^(1/12)))-$U507))</f>
        <v>14902248.105825827</v>
      </c>
      <c r="AC507" s="5"/>
      <c r="AD507" s="5"/>
      <c r="AE507" s="5"/>
      <c r="AF507" s="282">
        <f t="shared" ca="1" si="277"/>
        <v>222686</v>
      </c>
      <c r="AG507" s="282">
        <f t="shared" ca="1" si="278"/>
        <v>1920000</v>
      </c>
      <c r="AH507" s="282">
        <f t="shared" ca="1" si="279"/>
        <v>14902248</v>
      </c>
      <c r="AI507" s="23" t="str">
        <f t="shared" ca="1" si="295"/>
        <v>43-1</v>
      </c>
      <c r="AJ507" s="282">
        <f ca="1">IF(E507&gt;111,,IF(AND(OP!$C$99=1,T507="F"),Z507,IF(AND(OP!$C$99=2,COUNTIF($T$4:T507,"F")=1),OP!$C$97+IF(F507="F",OP!$C$98,0),"")))</f>
        <v>54527</v>
      </c>
      <c r="AK507" s="282">
        <f ca="1">IF(E507&gt;111,,IF(AND(OP!$D$99=1,T507="F"),AA507,IF(AND(OP!$D$99=2,COUNTIF($T$4:T507,"F")=1),OP!$D$97+IF(F507="F",OP!$D$98,0),"")))</f>
        <v>74177</v>
      </c>
      <c r="AL507" s="282">
        <f ca="1">IF(E507&gt;111,,IF(AND(OP!$E$99=1,T507="F"),AB507,IF(AND(OP!$E$99=2,COUNTIF($T$4:T507,"F")=1),OP!$E$97+IF(F507="F",OP!$E$98,0),"")))</f>
        <v>99404</v>
      </c>
      <c r="AM507" s="1">
        <f t="shared" ca="1" si="269"/>
        <v>1</v>
      </c>
      <c r="AN507" s="1" t="e">
        <f ca="1">IF(OR(VLOOKUP($A507,MP,5,0)="月繳"),1,"")</f>
        <v>#N/A</v>
      </c>
      <c r="AO507" s="1">
        <f t="shared" ca="1" si="280"/>
        <v>0</v>
      </c>
      <c r="AP507" s="1" t="str">
        <f ca="1">IF(AND(A507&lt;=OP!$C$120,COUNTIF(PAY,C507)=1),1,"")</f>
        <v/>
      </c>
      <c r="AR507" s="301">
        <f ca="1">IF(繳費報酬率資料!$A$1=1,$AY507+$AZ507,$BF507+$BG507)</f>
        <v>0</v>
      </c>
      <c r="AS507" s="1">
        <f ca="1">IF(C507&lt;&gt;IF($C$3=1,12,$C$3-1),0,IF(繳費報酬率資料!$A$1&lt;&gt;1,VLOOKUP($A507,MP,8,0),IF(AND($A507&gt;=OP!$C$79,$A507&lt;=OP!$C$80),OP!$C$78,)))</f>
        <v>0</v>
      </c>
      <c r="AT507" s="298">
        <f t="shared" ca="1" si="281"/>
        <v>0</v>
      </c>
      <c r="AU507" s="298">
        <f ca="1">IF(AND(A507&lt;=OP!$C$120,COUNTIF(PAY,C507)=1),OP!$C$123,0)</f>
        <v>0</v>
      </c>
      <c r="AV507" s="298">
        <f ca="1">IF(AND(A507&gt;=OP!$C$132,A507&lt;=OP!$C$133,$C$3=C507),OP!$C$135,0)</f>
        <v>0</v>
      </c>
      <c r="AW507" s="180">
        <f t="shared" ca="1" si="282"/>
        <v>0.05</v>
      </c>
      <c r="AX507" s="180">
        <f t="shared" ca="1" si="283"/>
        <v>0.05</v>
      </c>
      <c r="AY507" s="286">
        <f t="shared" ca="1" si="284"/>
        <v>0</v>
      </c>
      <c r="AZ507" s="286">
        <f t="shared" ca="1" si="285"/>
        <v>0</v>
      </c>
      <c r="BA507" s="286">
        <f t="shared" ca="1" si="286"/>
        <v>0</v>
      </c>
      <c r="BB507" s="286">
        <f t="shared" ca="1" si="287"/>
        <v>0</v>
      </c>
      <c r="BC507" s="286">
        <f t="shared" ca="1" si="288"/>
        <v>0</v>
      </c>
      <c r="BD507" s="180">
        <f t="shared" ca="1" si="289"/>
        <v>0.05</v>
      </c>
      <c r="BE507" s="180">
        <f t="shared" ca="1" si="290"/>
        <v>0.05</v>
      </c>
      <c r="BF507" s="286">
        <f t="shared" ca="1" si="291"/>
        <v>0</v>
      </c>
      <c r="BG507" s="286">
        <f t="shared" ca="1" si="292"/>
        <v>0</v>
      </c>
    </row>
    <row r="508" spans="1:59">
      <c r="A508" s="1">
        <f t="shared" ca="1" si="272"/>
        <v>43</v>
      </c>
      <c r="B508" s="1">
        <f t="shared" ref="B508:B571" ca="1" si="300">IF(C508=1,B507+1,B507)</f>
        <v>148</v>
      </c>
      <c r="C508" s="1">
        <f t="shared" ref="C508:C571" ca="1" si="301">IF(C507=12,1,C507+1)</f>
        <v>6</v>
      </c>
      <c r="D508" s="1">
        <f ca="1">MIN($D$3,VLOOKUP(C508,OP!$S$30:$T$41,2))</f>
        <v>2</v>
      </c>
      <c r="E508" s="1">
        <f t="shared" ref="E508:E571" ca="1" si="302">IF($K$1+A508-1&gt;$D$1,"",$K$1+A508-1)</f>
        <v>97</v>
      </c>
      <c r="F508" s="11" t="str">
        <f t="shared" ca="1" si="273"/>
        <v/>
      </c>
      <c r="G508" s="6">
        <f ca="1">DATEDIF(DATE(B508+1911,C508,D508),DATE(B520+1911,C520,D520),"d")</f>
        <v>366</v>
      </c>
      <c r="H508" s="8">
        <f t="shared" ca="1" si="274"/>
        <v>30</v>
      </c>
      <c r="I508" s="8" t="str">
        <f t="shared" ca="1" si="271"/>
        <v>436</v>
      </c>
      <c r="J508" s="13">
        <f>IF(繳費報酬率資料!$A$1=1,VALUE(OP!$C$121),VLOOKUP(A508,MP,2,0))</f>
        <v>0.05</v>
      </c>
      <c r="K508" s="14">
        <f ca="1">IF(SUM($K$4:K507,IF(繳費報酬率資料!$A$1=1,$AU508+$AV508,$BB508+$BC508))&gt;OP!$L$58,0,IF(繳費報酬率資料!$A$1=1,$AU508+$AV508,$BB508+$BC508))</f>
        <v>0</v>
      </c>
      <c r="L508" s="2"/>
      <c r="M508" s="2"/>
      <c r="N508" s="2"/>
      <c r="O508" s="261">
        <f t="shared" ca="1" si="275"/>
        <v>0</v>
      </c>
      <c r="P508" s="261">
        <f t="shared" ca="1" si="293"/>
        <v>0</v>
      </c>
      <c r="Q508" s="3">
        <f ca="1">IF(A508&gt;MAX(OP!$R$17:$R$26),0,VLOOKUP(A508,fees,3,FALSE))</f>
        <v>0</v>
      </c>
      <c r="R508" s="200" t="str">
        <f t="shared" ca="1" si="276"/>
        <v/>
      </c>
      <c r="S508" s="9" t="str">
        <f ca="1">IF(COUNTIF(($T$4:T507),"F")&gt;=1,"",IF(OR(C509&lt;&gt;$C$3,E508=""),"",A508))</f>
        <v/>
      </c>
      <c r="T508" s="20" t="str">
        <f t="shared" ref="T508:T571" ca="1" si="303">IF(F508&lt;&gt;"","F","")</f>
        <v/>
      </c>
      <c r="U508" s="2">
        <f ca="1">IF(IF(OP!$C$83=1,$Z507,IF(OP!$C$83=2,$AA507,IF(OP!$C$83=3,$AB507,)))+$K508-$O508-$P508-$AS508&lt;OP!$C$142,0,$AS508)</f>
        <v>0</v>
      </c>
      <c r="V508" s="9"/>
      <c r="W508" s="19">
        <f ca="1">MAX(SUM($K$4:K508),0)</f>
        <v>2000000</v>
      </c>
      <c r="X508" s="19"/>
      <c r="Y508" s="19">
        <f t="shared" ca="1" si="294"/>
        <v>1920000</v>
      </c>
      <c r="Z508" s="2">
        <f ca="1">IF(MIN($Z$4:Z507)=0,0,MAX(0,($Z507+$K508-$O508-$P508)*IF(AND(F508="F",$D$3&lt;&gt;$G$3),((1+(-J508))^(H508/MIN(G508,365))),((1+(-J508))^(1/12)))-$U508))</f>
        <v>221736.03869497581</v>
      </c>
      <c r="AA508" s="2">
        <f ca="1">IF(MIN($AA$4:AA507)=0,0,MAX(0,($AA507+$K508-$O508-$P508)*IF(AND(F508="F",$D$3&lt;&gt;$G$3),((1+$AA$1)^(H508/MIN(G508,365))),((1+$AA$1)^(1/12)))-$U508))</f>
        <v>1920000</v>
      </c>
      <c r="AB508" s="2">
        <f ca="1">IF(MIN($AB$4:AB507)=0,0,MAX(0,($AB507+$K508-$O508-$P508)*IF(AND(F508="F",$D$3&lt;&gt;$G$3),((1+(J508))^(H508/MIN(G508,365))),((1+(J508))^(1/12)))-$U508))</f>
        <v>14962961.7092636</v>
      </c>
      <c r="AC508" s="21"/>
      <c r="AD508" s="21"/>
      <c r="AE508" s="21"/>
      <c r="AF508" s="282">
        <f t="shared" ca="1" si="277"/>
        <v>221736</v>
      </c>
      <c r="AG508" s="282">
        <f t="shared" ca="1" si="278"/>
        <v>1920000</v>
      </c>
      <c r="AH508" s="282">
        <f t="shared" ca="1" si="279"/>
        <v>14962962</v>
      </c>
      <c r="AI508" s="23" t="str">
        <f t="shared" ca="1" si="295"/>
        <v>43-2</v>
      </c>
      <c r="AJ508" s="281">
        <f ca="1">IF(E508&gt;111,,IF(AND(OP!$C$99=1,T508="F"),Z508,IF(AND(OP!$C$99=2,COUNTIF($T$4:T508,"F")=1),OP!$C$97+IF(F508="F",OP!$C$98,0),"")))</f>
        <v>54527</v>
      </c>
      <c r="AK508" s="281">
        <f ca="1">IF(E508&gt;111,,IF(AND(OP!$D$99=1,T508="F"),AA508,IF(AND(OP!$D$99=2,COUNTIF($T$4:T508,"F")=1),OP!$D$97+IF(F508="F",OP!$D$98,0),"")))</f>
        <v>74177</v>
      </c>
      <c r="AL508" s="281">
        <f ca="1">IF(E508&gt;111,,IF(AND(OP!$E$99=1,T508="F"),AB508,IF(AND(OP!$E$99=2,COUNTIF($T$4:T508,"F")=1),OP!$E$97+IF(F508="F",OP!$E$98,0),"")))</f>
        <v>99404</v>
      </c>
      <c r="AM508" s="1">
        <f t="shared" ref="AM508:AM571" ca="1" si="304">IF(AND(AK508&lt;&gt;"",AM507=""),1,IF(AND(AK508&lt;&gt;"",AM507&gt;0),IF(AM507=12,1,AM507+1),""))</f>
        <v>2</v>
      </c>
      <c r="AN508" s="1" t="e">
        <f ca="1">IF(OR(VLOOKUP($A508,MP,5,0)="年繳",VLOOKUP($A508,MP,5,0)="半年繳",VLOOKUP($A508,MP,5,0)="季繳",VLOOKUP($A508,MP,5,0)="月繳"),1,"")</f>
        <v>#N/A</v>
      </c>
      <c r="AO508" s="1">
        <f t="shared" ca="1" si="280"/>
        <v>0</v>
      </c>
      <c r="AP508" s="1" t="str">
        <f ca="1">IF(AND(A508&lt;=OP!$C$120,COUNTIF(PAY,C508)=1),1,"")</f>
        <v/>
      </c>
      <c r="AR508" s="301">
        <f ca="1">IF(繳費報酬率資料!$A$1=1,$AY508+$AZ508,$BF508+$BG508)</f>
        <v>0</v>
      </c>
      <c r="AS508" s="1">
        <f ca="1">IF(C508&lt;&gt;IF($C$3=1,12,$C$3-1),0,IF(繳費報酬率資料!$A$1&lt;&gt;1,VLOOKUP($A508,MP,8,0),IF(AND($A508&gt;=OP!$C$79,$A508&lt;=OP!$C$80),OP!$C$78,)))</f>
        <v>0</v>
      </c>
      <c r="AT508" s="298">
        <f t="shared" ca="1" si="281"/>
        <v>0</v>
      </c>
      <c r="AU508" s="298">
        <f ca="1">IF(AND(A508&lt;=OP!$C$120,COUNTIF(PAY,C508)=1),OP!$C$123,0)</f>
        <v>0</v>
      </c>
      <c r="AV508" s="298">
        <f ca="1">IF(AND(A508&gt;=OP!$C$132,A508&lt;=OP!$C$133,$C$3=C508),OP!$C$135,0)</f>
        <v>0</v>
      </c>
      <c r="AW508" s="180">
        <f t="shared" ca="1" si="282"/>
        <v>0.05</v>
      </c>
      <c r="AX508" s="180">
        <f t="shared" ca="1" si="283"/>
        <v>0.05</v>
      </c>
      <c r="AY508" s="286">
        <f t="shared" ca="1" si="284"/>
        <v>0</v>
      </c>
      <c r="AZ508" s="286">
        <f t="shared" ca="1" si="285"/>
        <v>0</v>
      </c>
      <c r="BA508" s="286">
        <f t="shared" ca="1" si="286"/>
        <v>0</v>
      </c>
      <c r="BB508" s="286">
        <f t="shared" ca="1" si="287"/>
        <v>0</v>
      </c>
      <c r="BC508" s="286">
        <f t="shared" ca="1" si="288"/>
        <v>0</v>
      </c>
      <c r="BD508" s="180">
        <f t="shared" ca="1" si="289"/>
        <v>0.05</v>
      </c>
      <c r="BE508" s="180">
        <f t="shared" ca="1" si="290"/>
        <v>0.05</v>
      </c>
      <c r="BF508" s="286">
        <f t="shared" ca="1" si="291"/>
        <v>0</v>
      </c>
      <c r="BG508" s="286">
        <f t="shared" ca="1" si="292"/>
        <v>0</v>
      </c>
    </row>
    <row r="509" spans="1:59">
      <c r="A509" s="1">
        <f t="shared" ca="1" si="272"/>
        <v>43</v>
      </c>
      <c r="B509" s="1">
        <f t="shared" ca="1" si="300"/>
        <v>148</v>
      </c>
      <c r="C509" s="1">
        <f t="shared" ca="1" si="301"/>
        <v>7</v>
      </c>
      <c r="D509" s="1">
        <f ca="1">MIN($D$3,VLOOKUP(C509,OP!$S$30:$T$41,2))</f>
        <v>2</v>
      </c>
      <c r="E509" s="1">
        <f t="shared" ca="1" si="302"/>
        <v>97</v>
      </c>
      <c r="F509" s="11" t="str">
        <f t="shared" ca="1" si="273"/>
        <v/>
      </c>
      <c r="G509" s="8">
        <f t="shared" ref="G509:G519" ca="1" si="305">G508</f>
        <v>366</v>
      </c>
      <c r="H509" s="8">
        <f t="shared" ca="1" si="274"/>
        <v>31</v>
      </c>
      <c r="I509" s="8" t="str">
        <f t="shared" ca="1" si="271"/>
        <v>437</v>
      </c>
      <c r="J509" s="13">
        <f>IF(繳費報酬率資料!$A$1=1,VALUE(OP!$C$121),VLOOKUP(A509,MP,2,0))</f>
        <v>0.05</v>
      </c>
      <c r="K509" s="14">
        <f ca="1">IF(SUM($K$4:K508,IF(繳費報酬率資料!$A$1=1,$AU509+$AV509,$BB509+$BC509))&gt;OP!$L$58,0,IF(繳費報酬率資料!$A$1=1,$AU509+$AV509,$BB509+$BC509))</f>
        <v>0</v>
      </c>
      <c r="L509" s="2"/>
      <c r="M509" s="2"/>
      <c r="N509" s="2"/>
      <c r="O509" s="261">
        <f t="shared" ca="1" si="275"/>
        <v>0</v>
      </c>
      <c r="P509" s="261">
        <f t="shared" ca="1" si="293"/>
        <v>0</v>
      </c>
      <c r="Q509" s="3">
        <f ca="1">IF(A509&gt;MAX(OP!$R$17:$R$26),0,VLOOKUP(A509,fees,3,FALSE))</f>
        <v>0</v>
      </c>
      <c r="R509" s="200" t="str">
        <f t="shared" ca="1" si="276"/>
        <v/>
      </c>
      <c r="S509" s="9" t="str">
        <f ca="1">IF(COUNTIF(($T$4:T508),"F")&gt;=1,"",IF(OR(C510&lt;&gt;$C$3,E509=""),"",A509))</f>
        <v/>
      </c>
      <c r="T509" s="20" t="str">
        <f t="shared" ca="1" si="303"/>
        <v/>
      </c>
      <c r="U509" s="2">
        <f ca="1">IF(IF(OP!$C$83=1,$Z508,IF(OP!$C$83=2,$AA508,IF(OP!$C$83=3,$AB508,)))+$K509-$O509-$P509-$AS509&lt;OP!$C$142,0,$AS509)</f>
        <v>0</v>
      </c>
      <c r="V509" s="9"/>
      <c r="W509" s="19">
        <f ca="1">MAX(SUM($K$4:K509),0)</f>
        <v>2000000</v>
      </c>
      <c r="X509" s="19"/>
      <c r="Y509" s="19">
        <f t="shared" ca="1" si="294"/>
        <v>1920000</v>
      </c>
      <c r="Z509" s="2">
        <f ca="1">IF(MIN($Z$4:Z508)=0,0,MAX(0,($Z508+$K509-$O509-$P509)*IF(AND(F509="F",$D$3&lt;&gt;$G$3),((1+(-J509))^(H509/MIN(G509,365))),((1+(-J509))^(1/12)))-$U509))</f>
        <v>220790.26380546822</v>
      </c>
      <c r="AA509" s="2">
        <f ca="1">IF(MIN($AA$4:AA508)=0,0,MAX(0,($AA508+$K509-$O509-$P509)*IF(AND(F509="F",$D$3&lt;&gt;$G$3),((1+$AA$1)^(H509/MIN(G509,365))),((1+$AA$1)^(1/12)))-$U509))</f>
        <v>1920000</v>
      </c>
      <c r="AB509" s="2">
        <f ca="1">IF(MIN($AB$4:AB508)=0,0,MAX(0,($AB508+$K509-$O509-$P509)*IF(AND(F509="F",$D$3&lt;&gt;$G$3),((1+(J509))^(H509/MIN(G509,365))),((1+(J509))^(1/12)))-$U509))</f>
        <v>15023922.667437131</v>
      </c>
      <c r="AC509" s="5"/>
      <c r="AD509" s="5"/>
      <c r="AE509" s="5"/>
      <c r="AF509" s="282">
        <f t="shared" ca="1" si="277"/>
        <v>220790</v>
      </c>
      <c r="AG509" s="282">
        <f t="shared" ca="1" si="278"/>
        <v>1920000</v>
      </c>
      <c r="AH509" s="282">
        <f t="shared" ca="1" si="279"/>
        <v>15023923</v>
      </c>
      <c r="AI509" s="23" t="str">
        <f t="shared" ca="1" si="295"/>
        <v>43-3</v>
      </c>
      <c r="AJ509" s="282">
        <f ca="1">IF(E509&gt;111,,IF(AND(OP!$C$99=1,T509="F"),Z509,IF(AND(OP!$C$99=2,COUNTIF($T$4:T509,"F")=1),OP!$C$97+IF(F509="F",OP!$C$98,0),"")))</f>
        <v>54527</v>
      </c>
      <c r="AK509" s="282">
        <f ca="1">IF(E509&gt;111,,IF(AND(OP!$D$99=1,T509="F"),AA509,IF(AND(OP!$D$99=2,COUNTIF($T$4:T509,"F")=1),OP!$D$97+IF(F509="F",OP!$D$98,0),"")))</f>
        <v>74177</v>
      </c>
      <c r="AL509" s="282">
        <f ca="1">IF(E509&gt;111,,IF(AND(OP!$E$99=1,T509="F"),AB509,IF(AND(OP!$E$99=2,COUNTIF($T$4:T509,"F")=1),OP!$E$97+IF(F509="F",OP!$E$98,0),"")))</f>
        <v>99404</v>
      </c>
      <c r="AM509" s="1">
        <f t="shared" ca="1" si="304"/>
        <v>3</v>
      </c>
      <c r="AN509" s="1" t="e">
        <f ca="1">IF(OR(VLOOKUP($A509,MP,5,0)="月繳"),1,"")</f>
        <v>#N/A</v>
      </c>
      <c r="AO509" s="1">
        <f t="shared" ca="1" si="280"/>
        <v>0</v>
      </c>
      <c r="AP509" s="1" t="str">
        <f ca="1">IF(AND(A509&lt;=OP!$C$120,COUNTIF(PAY,C509)=1),1,"")</f>
        <v/>
      </c>
      <c r="AR509" s="301">
        <f ca="1">IF(繳費報酬率資料!$A$1=1,$AY509+$AZ509,$BF509+$BG509)</f>
        <v>0</v>
      </c>
      <c r="AS509" s="1">
        <f ca="1">IF(C509&lt;&gt;IF($C$3=1,12,$C$3-1),0,IF(繳費報酬率資料!$A$1&lt;&gt;1,VLOOKUP($A509,MP,8,0),IF(AND($A509&gt;=OP!$C$79,$A509&lt;=OP!$C$80),OP!$C$78,)))</f>
        <v>0</v>
      </c>
      <c r="AT509" s="298">
        <f t="shared" ca="1" si="281"/>
        <v>0</v>
      </c>
      <c r="AU509" s="298">
        <f ca="1">IF(AND(A509&lt;=OP!$C$120,COUNTIF(PAY,C509)=1),OP!$C$123,0)</f>
        <v>0</v>
      </c>
      <c r="AV509" s="298">
        <f ca="1">IF(AND(A509&gt;=OP!$C$132,A509&lt;=OP!$C$133,$C$3=C509),OP!$C$135,0)</f>
        <v>0</v>
      </c>
      <c r="AW509" s="180">
        <f t="shared" ca="1" si="282"/>
        <v>0.05</v>
      </c>
      <c r="AX509" s="180">
        <f t="shared" ca="1" si="283"/>
        <v>0.05</v>
      </c>
      <c r="AY509" s="286">
        <f t="shared" ca="1" si="284"/>
        <v>0</v>
      </c>
      <c r="AZ509" s="286">
        <f t="shared" ca="1" si="285"/>
        <v>0</v>
      </c>
      <c r="BA509" s="286">
        <f t="shared" ca="1" si="286"/>
        <v>0</v>
      </c>
      <c r="BB509" s="286">
        <f t="shared" ca="1" si="287"/>
        <v>0</v>
      </c>
      <c r="BC509" s="286">
        <f t="shared" ca="1" si="288"/>
        <v>0</v>
      </c>
      <c r="BD509" s="180">
        <f t="shared" ca="1" si="289"/>
        <v>0.05</v>
      </c>
      <c r="BE509" s="180">
        <f t="shared" ca="1" si="290"/>
        <v>0.05</v>
      </c>
      <c r="BF509" s="286">
        <f t="shared" ca="1" si="291"/>
        <v>0</v>
      </c>
      <c r="BG509" s="286">
        <f t="shared" ca="1" si="292"/>
        <v>0</v>
      </c>
    </row>
    <row r="510" spans="1:59">
      <c r="A510" s="1">
        <f t="shared" ca="1" si="272"/>
        <v>43</v>
      </c>
      <c r="B510" s="1">
        <f t="shared" ca="1" si="300"/>
        <v>148</v>
      </c>
      <c r="C510" s="1">
        <f t="shared" ca="1" si="301"/>
        <v>8</v>
      </c>
      <c r="D510" s="1">
        <f ca="1">MIN($D$3,VLOOKUP(C510,OP!$S$30:$T$41,2))</f>
        <v>2</v>
      </c>
      <c r="E510" s="1">
        <f t="shared" ca="1" si="302"/>
        <v>97</v>
      </c>
      <c r="F510" s="11" t="str">
        <f t="shared" ca="1" si="273"/>
        <v/>
      </c>
      <c r="G510" s="8">
        <f t="shared" ca="1" si="305"/>
        <v>366</v>
      </c>
      <c r="H510" s="8">
        <f t="shared" ca="1" si="274"/>
        <v>31</v>
      </c>
      <c r="I510" s="8" t="str">
        <f t="shared" ca="1" si="271"/>
        <v>438</v>
      </c>
      <c r="J510" s="13">
        <f>IF(繳費報酬率資料!$A$1=1,VALUE(OP!$C$121),VLOOKUP(A510,MP,2,0))</f>
        <v>0.05</v>
      </c>
      <c r="K510" s="14">
        <f ca="1">IF(SUM($K$4:K509,IF(繳費報酬率資料!$A$1=1,$AU510+$AV510,$BB510+$BC510))&gt;OP!$L$58,0,IF(繳費報酬率資料!$A$1=1,$AU510+$AV510,$BB510+$BC510))</f>
        <v>0</v>
      </c>
      <c r="L510" s="2"/>
      <c r="M510" s="2"/>
      <c r="N510" s="2"/>
      <c r="O510" s="261">
        <f t="shared" ca="1" si="275"/>
        <v>0</v>
      </c>
      <c r="P510" s="261">
        <f t="shared" ca="1" si="293"/>
        <v>0</v>
      </c>
      <c r="Q510" s="3">
        <f ca="1">IF(A510&gt;MAX(OP!$R$17:$R$26),0,VLOOKUP(A510,fees,3,FALSE))</f>
        <v>0</v>
      </c>
      <c r="R510" s="200" t="str">
        <f t="shared" ca="1" si="276"/>
        <v/>
      </c>
      <c r="S510" s="9" t="str">
        <f ca="1">IF(COUNTIF(($T$4:T509),"F")&gt;=1,"",IF(OR(C511&lt;&gt;$C$3,E510=""),"",A510))</f>
        <v/>
      </c>
      <c r="T510" s="20" t="str">
        <f t="shared" ca="1" si="303"/>
        <v/>
      </c>
      <c r="U510" s="2">
        <f ca="1">IF(IF(OP!$C$83=1,$Z509,IF(OP!$C$83=2,$AA509,IF(OP!$C$83=3,$AB509,)))+$K510-$O510-$P510-$AS510&lt;OP!$C$142,0,$AS510)</f>
        <v>0</v>
      </c>
      <c r="V510" s="9"/>
      <c r="W510" s="19">
        <f ca="1">MAX(SUM($K$4:K510),0)</f>
        <v>2000000</v>
      </c>
      <c r="X510" s="19"/>
      <c r="Y510" s="19">
        <f t="shared" ca="1" si="294"/>
        <v>1920000</v>
      </c>
      <c r="Z510" s="2">
        <f ca="1">IF(MIN($Z$4:Z509)=0,0,MAX(0,($Z509+$K510-$O510-$P510)*IF(AND(F510="F",$D$3&lt;&gt;$G$3),((1+(-J510))^(H510/MIN(G510,365))),((1+(-J510))^(1/12)))-$U510))</f>
        <v>219848.52294735619</v>
      </c>
      <c r="AA510" s="2">
        <f ca="1">IF(MIN($AA$4:AA509)=0,0,MAX(0,($AA509+$K510-$O510-$P510)*IF(AND(F510="F",$D$3&lt;&gt;$G$3),((1+$AA$1)^(H510/MIN(G510,365))),((1+$AA$1)^(1/12)))-$U510))</f>
        <v>1920000</v>
      </c>
      <c r="AB510" s="2">
        <f ca="1">IF(MIN($AB$4:AB509)=0,0,MAX(0,($AB509+$K510-$O510-$P510)*IF(AND(F510="F",$D$3&lt;&gt;$G$3),((1+(J510))^(H510/MIN(G510,365))),((1+(J510))^(1/12)))-$U510))</f>
        <v>15085131.988100231</v>
      </c>
      <c r="AC510" s="5"/>
      <c r="AD510" s="5"/>
      <c r="AE510" s="5"/>
      <c r="AF510" s="282">
        <f t="shared" ca="1" si="277"/>
        <v>219849</v>
      </c>
      <c r="AG510" s="282">
        <f t="shared" ca="1" si="278"/>
        <v>1920000</v>
      </c>
      <c r="AH510" s="282">
        <f t="shared" ca="1" si="279"/>
        <v>15085132</v>
      </c>
      <c r="AI510" s="23" t="str">
        <f t="shared" ca="1" si="295"/>
        <v>43-4</v>
      </c>
      <c r="AJ510" s="282">
        <f ca="1">IF(E510&gt;111,,IF(AND(OP!$C$99=1,T510="F"),Z510,IF(AND(OP!$C$99=2,COUNTIF($T$4:T510,"F")=1),OP!$C$97+IF(F510="F",OP!$C$98,0),"")))</f>
        <v>54527</v>
      </c>
      <c r="AK510" s="282">
        <f ca="1">IF(E510&gt;111,,IF(AND(OP!$D$99=1,T510="F"),AA510,IF(AND(OP!$D$99=2,COUNTIF($T$4:T510,"F")=1),OP!$D$97+IF(F510="F",OP!$D$98,0),"")))</f>
        <v>74177</v>
      </c>
      <c r="AL510" s="282">
        <f ca="1">IF(E510&gt;111,,IF(AND(OP!$E$99=1,T510="F"),AB510,IF(AND(OP!$E$99=2,COUNTIF($T$4:T510,"F")=1),OP!$E$97+IF(F510="F",OP!$E$98,0),"")))</f>
        <v>99404</v>
      </c>
      <c r="AM510" s="1">
        <f t="shared" ca="1" si="304"/>
        <v>4</v>
      </c>
      <c r="AN510" s="1" t="e">
        <f ca="1">IF(OR(VLOOKUP($A510,MP,5,0)="月繳"),1,"")</f>
        <v>#N/A</v>
      </c>
      <c r="AO510" s="1">
        <f t="shared" ca="1" si="280"/>
        <v>0</v>
      </c>
      <c r="AP510" s="1" t="str">
        <f ca="1">IF(AND(A510&lt;=OP!$C$120,COUNTIF(PAY,C510)=1),1,"")</f>
        <v/>
      </c>
      <c r="AR510" s="301">
        <f ca="1">IF(繳費報酬率資料!$A$1=1,$AY510+$AZ510,$BF510+$BG510)</f>
        <v>0</v>
      </c>
      <c r="AS510" s="1">
        <f ca="1">IF(C510&lt;&gt;IF($C$3=1,12,$C$3-1),0,IF(繳費報酬率資料!$A$1&lt;&gt;1,VLOOKUP($A510,MP,8,0),IF(AND($A510&gt;=OP!$C$79,$A510&lt;=OP!$C$80),OP!$C$78,)))</f>
        <v>0</v>
      </c>
      <c r="AT510" s="298">
        <f t="shared" ca="1" si="281"/>
        <v>0</v>
      </c>
      <c r="AU510" s="298">
        <f ca="1">IF(AND(A510&lt;=OP!$C$120,COUNTIF(PAY,C510)=1),OP!$C$123,0)</f>
        <v>0</v>
      </c>
      <c r="AV510" s="298">
        <f ca="1">IF(AND(A510&gt;=OP!$C$132,A510&lt;=OP!$C$133,$C$3=C510),OP!$C$135,0)</f>
        <v>0</v>
      </c>
      <c r="AW510" s="180">
        <f t="shared" ca="1" si="282"/>
        <v>0.05</v>
      </c>
      <c r="AX510" s="180">
        <f t="shared" ca="1" si="283"/>
        <v>0.05</v>
      </c>
      <c r="AY510" s="286">
        <f t="shared" ca="1" si="284"/>
        <v>0</v>
      </c>
      <c r="AZ510" s="286">
        <f t="shared" ca="1" si="285"/>
        <v>0</v>
      </c>
      <c r="BA510" s="286">
        <f t="shared" ca="1" si="286"/>
        <v>0</v>
      </c>
      <c r="BB510" s="286">
        <f t="shared" ca="1" si="287"/>
        <v>0</v>
      </c>
      <c r="BC510" s="286">
        <f t="shared" ca="1" si="288"/>
        <v>0</v>
      </c>
      <c r="BD510" s="180">
        <f t="shared" ca="1" si="289"/>
        <v>0.05</v>
      </c>
      <c r="BE510" s="180">
        <f t="shared" ca="1" si="290"/>
        <v>0.05</v>
      </c>
      <c r="BF510" s="286">
        <f t="shared" ca="1" si="291"/>
        <v>0</v>
      </c>
      <c r="BG510" s="286">
        <f t="shared" ca="1" si="292"/>
        <v>0</v>
      </c>
    </row>
    <row r="511" spans="1:59">
      <c r="A511" s="1">
        <f t="shared" ca="1" si="272"/>
        <v>43</v>
      </c>
      <c r="B511" s="1">
        <f t="shared" ca="1" si="300"/>
        <v>148</v>
      </c>
      <c r="C511" s="1">
        <f t="shared" ca="1" si="301"/>
        <v>9</v>
      </c>
      <c r="D511" s="1">
        <f ca="1">MIN($D$3,VLOOKUP(C511,OP!$S$30:$T$41,2))</f>
        <v>2</v>
      </c>
      <c r="E511" s="1">
        <f t="shared" ca="1" si="302"/>
        <v>97</v>
      </c>
      <c r="F511" s="11" t="str">
        <f t="shared" ca="1" si="273"/>
        <v/>
      </c>
      <c r="G511" s="8">
        <f t="shared" ca="1" si="305"/>
        <v>366</v>
      </c>
      <c r="H511" s="8">
        <f t="shared" ca="1" si="274"/>
        <v>30</v>
      </c>
      <c r="I511" s="8" t="str">
        <f t="shared" ca="1" si="271"/>
        <v>439</v>
      </c>
      <c r="J511" s="13">
        <f>IF(繳費報酬率資料!$A$1=1,VALUE(OP!$C$121),VLOOKUP(A511,MP,2,0))</f>
        <v>0.05</v>
      </c>
      <c r="K511" s="14">
        <f ca="1">IF(SUM($K$4:K510,IF(繳費報酬率資料!$A$1=1,$AU511+$AV511,$BB511+$BC511))&gt;OP!$L$58,0,IF(繳費報酬率資料!$A$1=1,$AU511+$AV511,$BB511+$BC511))</f>
        <v>0</v>
      </c>
      <c r="L511" s="2"/>
      <c r="M511" s="2"/>
      <c r="N511" s="2"/>
      <c r="O511" s="261">
        <f t="shared" ca="1" si="275"/>
        <v>0</v>
      </c>
      <c r="P511" s="261">
        <f t="shared" ca="1" si="293"/>
        <v>0</v>
      </c>
      <c r="Q511" s="3">
        <f ca="1">IF(A511&gt;MAX(OP!$R$17:$R$26),0,VLOOKUP(A511,fees,3,FALSE))</f>
        <v>0</v>
      </c>
      <c r="R511" s="200" t="str">
        <f t="shared" ca="1" si="276"/>
        <v/>
      </c>
      <c r="S511" s="9" t="str">
        <f ca="1">IF(COUNTIF(($T$4:T510),"F")&gt;=1,"",IF(OR(C512&lt;&gt;$C$3,E511=""),"",A511))</f>
        <v/>
      </c>
      <c r="T511" s="20" t="str">
        <f t="shared" ca="1" si="303"/>
        <v/>
      </c>
      <c r="U511" s="2">
        <f ca="1">IF(IF(OP!$C$83=1,$Z510,IF(OP!$C$83=2,$AA510,IF(OP!$C$83=3,$AB510,)))+$K511-$O511-$P511-$AS511&lt;OP!$C$142,0,$AS511)</f>
        <v>0</v>
      </c>
      <c r="V511" s="9"/>
      <c r="W511" s="19">
        <f ca="1">MAX(SUM($K$4:K511),0)</f>
        <v>2000000</v>
      </c>
      <c r="X511" s="19"/>
      <c r="Y511" s="19">
        <f t="shared" ca="1" si="294"/>
        <v>1920000</v>
      </c>
      <c r="Z511" s="2">
        <f ca="1">IF(MIN($Z$4:Z510)=0,0,MAX(0,($Z510+$K511-$O511-$P511)*IF(AND(F511="F",$D$3&lt;&gt;$G$3),((1+(-J511))^(H511/MIN(G511,365))),((1+(-J511))^(1/12)))-$U511))</f>
        <v>218910.79891420985</v>
      </c>
      <c r="AA511" s="2">
        <f ca="1">IF(MIN($AA$4:AA510)=0,0,MAX(0,($AA510+$K511-$O511-$P511)*IF(AND(F511="F",$D$3&lt;&gt;$G$3),((1+$AA$1)^(H511/MIN(G511,365))),((1+$AA$1)^(1/12)))-$U511))</f>
        <v>1920000</v>
      </c>
      <c r="AB511" s="2">
        <f ca="1">IF(MIN($AB$4:AB510)=0,0,MAX(0,($AB510+$K511-$O511-$P511)*IF(AND(F511="F",$D$3&lt;&gt;$G$3),((1+(J511))^(H511/MIN(G511,365))),((1+(J511))^(1/12)))-$U511))</f>
        <v>15146590.683112424</v>
      </c>
      <c r="AC511" s="5"/>
      <c r="AD511" s="5"/>
      <c r="AE511" s="5"/>
      <c r="AF511" s="282">
        <f t="shared" ca="1" si="277"/>
        <v>218911</v>
      </c>
      <c r="AG511" s="282">
        <f t="shared" ca="1" si="278"/>
        <v>1920000</v>
      </c>
      <c r="AH511" s="282">
        <f t="shared" ca="1" si="279"/>
        <v>15146591</v>
      </c>
      <c r="AI511" s="23" t="str">
        <f t="shared" ca="1" si="295"/>
        <v>43-5</v>
      </c>
      <c r="AJ511" s="282">
        <f ca="1">IF(E511&gt;111,,IF(AND(OP!$C$99=1,T511="F"),Z511,IF(AND(OP!$C$99=2,COUNTIF($T$4:T511,"F")=1),OP!$C$97+IF(F511="F",OP!$C$98,0),"")))</f>
        <v>54527</v>
      </c>
      <c r="AK511" s="282">
        <f ca="1">IF(E511&gt;111,,IF(AND(OP!$D$99=1,T511="F"),AA511,IF(AND(OP!$D$99=2,COUNTIF($T$4:T511,"F")=1),OP!$D$97+IF(F511="F",OP!$D$98,0),"")))</f>
        <v>74177</v>
      </c>
      <c r="AL511" s="282">
        <f ca="1">IF(E511&gt;111,,IF(AND(OP!$E$99=1,T511="F"),AB511,IF(AND(OP!$E$99=2,COUNTIF($T$4:T511,"F")=1),OP!$E$97+IF(F511="F",OP!$E$98,0),"")))</f>
        <v>99404</v>
      </c>
      <c r="AM511" s="1">
        <f t="shared" ca="1" si="304"/>
        <v>5</v>
      </c>
      <c r="AN511" s="1" t="e">
        <f ca="1">IF(OR(VLOOKUP($A511,MP,5,0)="季繳",VLOOKUP($A511,MP,5,0)="月繳"),1,"")</f>
        <v>#N/A</v>
      </c>
      <c r="AO511" s="1">
        <f t="shared" ca="1" si="280"/>
        <v>0</v>
      </c>
      <c r="AP511" s="1" t="str">
        <f ca="1">IF(AND(A511&lt;=OP!$C$120,COUNTIF(PAY,C511)=1),1,"")</f>
        <v/>
      </c>
      <c r="AR511" s="301">
        <f ca="1">IF(繳費報酬率資料!$A$1=1,$AY511+$AZ511,$BF511+$BG511)</f>
        <v>0</v>
      </c>
      <c r="AS511" s="1">
        <f ca="1">IF(C511&lt;&gt;IF($C$3=1,12,$C$3-1),0,IF(繳費報酬率資料!$A$1&lt;&gt;1,VLOOKUP($A511,MP,8,0),IF(AND($A511&gt;=OP!$C$79,$A511&lt;=OP!$C$80),OP!$C$78,)))</f>
        <v>0</v>
      </c>
      <c r="AT511" s="298">
        <f t="shared" ca="1" si="281"/>
        <v>0</v>
      </c>
      <c r="AU511" s="298">
        <f ca="1">IF(AND(A511&lt;=OP!$C$120,COUNTIF(PAY,C511)=1),OP!$C$123,0)</f>
        <v>0</v>
      </c>
      <c r="AV511" s="298">
        <f ca="1">IF(AND(A511&gt;=OP!$C$132,A511&lt;=OP!$C$133,$C$3=C511),OP!$C$135,0)</f>
        <v>0</v>
      </c>
      <c r="AW511" s="180">
        <f t="shared" ca="1" si="282"/>
        <v>0.05</v>
      </c>
      <c r="AX511" s="180">
        <f t="shared" ca="1" si="283"/>
        <v>0.05</v>
      </c>
      <c r="AY511" s="286">
        <f t="shared" ca="1" si="284"/>
        <v>0</v>
      </c>
      <c r="AZ511" s="286">
        <f t="shared" ca="1" si="285"/>
        <v>0</v>
      </c>
      <c r="BA511" s="286">
        <f t="shared" ca="1" si="286"/>
        <v>0</v>
      </c>
      <c r="BB511" s="286">
        <f t="shared" ca="1" si="287"/>
        <v>0</v>
      </c>
      <c r="BC511" s="286">
        <f t="shared" ca="1" si="288"/>
        <v>0</v>
      </c>
      <c r="BD511" s="180">
        <f t="shared" ca="1" si="289"/>
        <v>0.05</v>
      </c>
      <c r="BE511" s="180">
        <f t="shared" ca="1" si="290"/>
        <v>0.05</v>
      </c>
      <c r="BF511" s="286">
        <f t="shared" ca="1" si="291"/>
        <v>0</v>
      </c>
      <c r="BG511" s="286">
        <f t="shared" ca="1" si="292"/>
        <v>0</v>
      </c>
    </row>
    <row r="512" spans="1:59">
      <c r="A512" s="1">
        <f t="shared" ca="1" si="272"/>
        <v>43</v>
      </c>
      <c r="B512" s="1">
        <f t="shared" ca="1" si="300"/>
        <v>148</v>
      </c>
      <c r="C512" s="1">
        <f t="shared" ca="1" si="301"/>
        <v>10</v>
      </c>
      <c r="D512" s="1">
        <f ca="1">MIN($D$3,VLOOKUP(C512,OP!$S$30:$T$41,2))</f>
        <v>2</v>
      </c>
      <c r="E512" s="1">
        <f t="shared" ca="1" si="302"/>
        <v>97</v>
      </c>
      <c r="F512" s="11" t="str">
        <f t="shared" ca="1" si="273"/>
        <v/>
      </c>
      <c r="G512" s="8">
        <f t="shared" ca="1" si="305"/>
        <v>366</v>
      </c>
      <c r="H512" s="8">
        <f t="shared" ca="1" si="274"/>
        <v>31</v>
      </c>
      <c r="I512" s="8" t="str">
        <f t="shared" ca="1" si="271"/>
        <v>4310</v>
      </c>
      <c r="J512" s="13">
        <f>IF(繳費報酬率資料!$A$1=1,VALUE(OP!$C$121),VLOOKUP(A512,MP,2,0))</f>
        <v>0.05</v>
      </c>
      <c r="K512" s="14">
        <f ca="1">IF(SUM($K$4:K511,IF(繳費報酬率資料!$A$1=1,$AU512+$AV512,$BB512+$BC512))&gt;OP!$L$58,0,IF(繳費報酬率資料!$A$1=1,$AU512+$AV512,$BB512+$BC512))</f>
        <v>0</v>
      </c>
      <c r="L512" s="2"/>
      <c r="M512" s="2"/>
      <c r="N512" s="2"/>
      <c r="O512" s="261">
        <f t="shared" ca="1" si="275"/>
        <v>0</v>
      </c>
      <c r="P512" s="261">
        <f t="shared" ca="1" si="293"/>
        <v>0</v>
      </c>
      <c r="Q512" s="3">
        <f ca="1">IF(A512&gt;MAX(OP!$R$17:$R$26),0,VLOOKUP(A512,fees,3,FALSE))</f>
        <v>0</v>
      </c>
      <c r="R512" s="200" t="str">
        <f t="shared" ca="1" si="276"/>
        <v/>
      </c>
      <c r="S512" s="9" t="str">
        <f ca="1">IF(COUNTIF(($T$4:T511),"F")&gt;=1,"",IF(OR(C513&lt;&gt;$C$3,E512=""),"",A512))</f>
        <v/>
      </c>
      <c r="T512" s="20" t="str">
        <f t="shared" ca="1" si="303"/>
        <v/>
      </c>
      <c r="U512" s="2">
        <f ca="1">IF(IF(OP!$C$83=1,$Z511,IF(OP!$C$83=2,$AA511,IF(OP!$C$83=3,$AB511,)))+$K512-$O512-$P512-$AS512&lt;OP!$C$142,0,$AS512)</f>
        <v>0</v>
      </c>
      <c r="V512" s="9"/>
      <c r="W512" s="19">
        <f ca="1">MAX(SUM($K$4:K512),0)</f>
        <v>2000000</v>
      </c>
      <c r="X512" s="19"/>
      <c r="Y512" s="19">
        <f t="shared" ca="1" si="294"/>
        <v>1920000</v>
      </c>
      <c r="Z512" s="2">
        <f ca="1">IF(MIN($Z$4:Z511)=0,0,MAX(0,($Z511+$K512-$O512-$P512)*IF(AND(F512="F",$D$3&lt;&gt;$G$3),((1+(-J512))^(H512/MIN(G512,365))),((1+(-J512))^(1/12)))-$U512))</f>
        <v>217977.07457299027</v>
      </c>
      <c r="AA512" s="2">
        <f ca="1">IF(MIN($AA$4:AA511)=0,0,MAX(0,($AA511+$K512-$O512-$P512)*IF(AND(F512="F",$D$3&lt;&gt;$G$3),((1+$AA$1)^(H512/MIN(G512,365))),((1+$AA$1)^(1/12)))-$U512))</f>
        <v>1920000</v>
      </c>
      <c r="AB512" s="2">
        <f ca="1">IF(MIN($AB$4:AB511)=0,0,MAX(0,($AB511+$K512-$O512-$P512)*IF(AND(F512="F",$D$3&lt;&gt;$G$3),((1+(J512))^(H512/MIN(G512,365))),((1+(J512))^(1/12)))-$U512))</f>
        <v>15208299.768455679</v>
      </c>
      <c r="AC512" s="5"/>
      <c r="AD512" s="5"/>
      <c r="AE512" s="5"/>
      <c r="AF512" s="282">
        <f t="shared" ca="1" si="277"/>
        <v>217977</v>
      </c>
      <c r="AG512" s="282">
        <f t="shared" ca="1" si="278"/>
        <v>1920000</v>
      </c>
      <c r="AH512" s="282">
        <f t="shared" ca="1" si="279"/>
        <v>15208300</v>
      </c>
      <c r="AI512" s="23" t="str">
        <f t="shared" ca="1" si="295"/>
        <v>43-6</v>
      </c>
      <c r="AJ512" s="282">
        <f ca="1">IF(E512&gt;111,,IF(AND(OP!$C$99=1,T512="F"),Z512,IF(AND(OP!$C$99=2,COUNTIF($T$4:T512,"F")=1),OP!$C$97+IF(F512="F",OP!$C$98,0),"")))</f>
        <v>54527</v>
      </c>
      <c r="AK512" s="282">
        <f ca="1">IF(E512&gt;111,,IF(AND(OP!$D$99=1,T512="F"),AA512,IF(AND(OP!$D$99=2,COUNTIF($T$4:T512,"F")=1),OP!$D$97+IF(F512="F",OP!$D$98,0),"")))</f>
        <v>74177</v>
      </c>
      <c r="AL512" s="282">
        <f ca="1">IF(E512&gt;111,,IF(AND(OP!$E$99=1,T512="F"),AB512,IF(AND(OP!$E$99=2,COUNTIF($T$4:T512,"F")=1),OP!$E$97+IF(F512="F",OP!$E$98,0),"")))</f>
        <v>99404</v>
      </c>
      <c r="AM512" s="1">
        <f t="shared" ca="1" si="304"/>
        <v>6</v>
      </c>
      <c r="AN512" s="1" t="e">
        <f ca="1">IF(OR(VLOOKUP($A512,MP,5,0)="月繳"),1,"")</f>
        <v>#N/A</v>
      </c>
      <c r="AO512" s="1">
        <f t="shared" ca="1" si="280"/>
        <v>0</v>
      </c>
      <c r="AP512" s="1" t="str">
        <f ca="1">IF(AND(A512&lt;=OP!$C$120,COUNTIF(PAY,C512)=1),1,"")</f>
        <v/>
      </c>
      <c r="AR512" s="301">
        <f ca="1">IF(繳費報酬率資料!$A$1=1,$AY512+$AZ512,$BF512+$BG512)</f>
        <v>0</v>
      </c>
      <c r="AS512" s="1">
        <f ca="1">IF(C512&lt;&gt;IF($C$3=1,12,$C$3-1),0,IF(繳費報酬率資料!$A$1&lt;&gt;1,VLOOKUP($A512,MP,8,0),IF(AND($A512&gt;=OP!$C$79,$A512&lt;=OP!$C$80),OP!$C$78,)))</f>
        <v>0</v>
      </c>
      <c r="AT512" s="298">
        <f t="shared" ca="1" si="281"/>
        <v>0</v>
      </c>
      <c r="AU512" s="298">
        <f ca="1">IF(AND(A512&lt;=OP!$C$120,COUNTIF(PAY,C512)=1),OP!$C$123,0)</f>
        <v>0</v>
      </c>
      <c r="AV512" s="298">
        <f ca="1">IF(AND(A512&gt;=OP!$C$132,A512&lt;=OP!$C$133,$C$3=C512),OP!$C$135,0)</f>
        <v>0</v>
      </c>
      <c r="AW512" s="180">
        <f t="shared" ca="1" si="282"/>
        <v>0.05</v>
      </c>
      <c r="AX512" s="180">
        <f t="shared" ca="1" si="283"/>
        <v>0.05</v>
      </c>
      <c r="AY512" s="286">
        <f t="shared" ca="1" si="284"/>
        <v>0</v>
      </c>
      <c r="AZ512" s="286">
        <f t="shared" ca="1" si="285"/>
        <v>0</v>
      </c>
      <c r="BA512" s="286">
        <f t="shared" ca="1" si="286"/>
        <v>0</v>
      </c>
      <c r="BB512" s="286">
        <f t="shared" ca="1" si="287"/>
        <v>0</v>
      </c>
      <c r="BC512" s="286">
        <f t="shared" ca="1" si="288"/>
        <v>0</v>
      </c>
      <c r="BD512" s="180">
        <f t="shared" ca="1" si="289"/>
        <v>0.05</v>
      </c>
      <c r="BE512" s="180">
        <f t="shared" ca="1" si="290"/>
        <v>0.05</v>
      </c>
      <c r="BF512" s="286">
        <f t="shared" ca="1" si="291"/>
        <v>0</v>
      </c>
      <c r="BG512" s="286">
        <f t="shared" ca="1" si="292"/>
        <v>0</v>
      </c>
    </row>
    <row r="513" spans="1:59">
      <c r="A513" s="1">
        <f t="shared" ca="1" si="272"/>
        <v>43</v>
      </c>
      <c r="B513" s="1">
        <f t="shared" ca="1" si="300"/>
        <v>148</v>
      </c>
      <c r="C513" s="1">
        <f t="shared" ca="1" si="301"/>
        <v>11</v>
      </c>
      <c r="D513" s="1">
        <f ca="1">MIN($D$3,VLOOKUP(C513,OP!$S$30:$T$41,2))</f>
        <v>2</v>
      </c>
      <c r="E513" s="1">
        <f t="shared" ca="1" si="302"/>
        <v>97</v>
      </c>
      <c r="F513" s="11" t="str">
        <f t="shared" ca="1" si="273"/>
        <v/>
      </c>
      <c r="G513" s="8">
        <f t="shared" ca="1" si="305"/>
        <v>366</v>
      </c>
      <c r="H513" s="8">
        <f t="shared" ca="1" si="274"/>
        <v>30</v>
      </c>
      <c r="I513" s="8" t="str">
        <f t="shared" ca="1" si="271"/>
        <v>4311</v>
      </c>
      <c r="J513" s="13">
        <f>IF(繳費報酬率資料!$A$1=1,VALUE(OP!$C$121),VLOOKUP(A513,MP,2,0))</f>
        <v>0.05</v>
      </c>
      <c r="K513" s="14">
        <f ca="1">IF(SUM($K$4:K512,IF(繳費報酬率資料!$A$1=1,$AU513+$AV513,$BB513+$BC513))&gt;OP!$L$58,0,IF(繳費報酬率資料!$A$1=1,$AU513+$AV513,$BB513+$BC513))</f>
        <v>0</v>
      </c>
      <c r="L513" s="2"/>
      <c r="M513" s="2"/>
      <c r="N513" s="2"/>
      <c r="O513" s="261">
        <f t="shared" ca="1" si="275"/>
        <v>0</v>
      </c>
      <c r="P513" s="261">
        <f t="shared" ca="1" si="293"/>
        <v>0</v>
      </c>
      <c r="Q513" s="3">
        <f ca="1">IF(A513&gt;MAX(OP!$R$17:$R$26),0,VLOOKUP(A513,fees,3,FALSE))</f>
        <v>0</v>
      </c>
      <c r="R513" s="200" t="str">
        <f t="shared" ca="1" si="276"/>
        <v/>
      </c>
      <c r="S513" s="9" t="str">
        <f ca="1">IF(COUNTIF(($T$4:T512),"F")&gt;=1,"",IF(OR(C514&lt;&gt;$C$3,E513=""),"",A513))</f>
        <v/>
      </c>
      <c r="T513" s="20" t="str">
        <f t="shared" ca="1" si="303"/>
        <v/>
      </c>
      <c r="U513" s="2">
        <f ca="1">IF(IF(OP!$C$83=1,$Z512,IF(OP!$C$83=2,$AA512,IF(OP!$C$83=3,$AB512,)))+$K513-$O513-$P513-$AS513&lt;OP!$C$142,0,$AS513)</f>
        <v>0</v>
      </c>
      <c r="V513" s="9"/>
      <c r="W513" s="19">
        <f ca="1">MAX(SUM($K$4:K513),0)</f>
        <v>2000000</v>
      </c>
      <c r="X513" s="19"/>
      <c r="Y513" s="19">
        <f t="shared" ca="1" si="294"/>
        <v>1920000</v>
      </c>
      <c r="Z513" s="2">
        <f ca="1">IF(MIN($Z$4:Z512)=0,0,MAX(0,($Z512+$K513-$O513-$P513)*IF(AND(F513="F",$D$3&lt;&gt;$G$3),((1+(-J513))^(H513/MIN(G513,365))),((1+(-J513))^(1/12)))-$U513))</f>
        <v>217047.33286373634</v>
      </c>
      <c r="AA513" s="2">
        <f ca="1">IF(MIN($AA$4:AA512)=0,0,MAX(0,($AA512+$K513-$O513-$P513)*IF(AND(F513="F",$D$3&lt;&gt;$G$3),((1+$AA$1)^(H513/MIN(G513,365))),((1+$AA$1)^(1/12)))-$U513))</f>
        <v>1920000</v>
      </c>
      <c r="AB513" s="2">
        <f ca="1">IF(MIN($AB$4:AB512)=0,0,MAX(0,($AB512+$K513-$O513-$P513)*IF(AND(F513="F",$D$3&lt;&gt;$G$3),((1+(J513))^(H513/MIN(G513,365))),((1+(J513))^(1/12)))-$U513))</f>
        <v>15270260.264251197</v>
      </c>
      <c r="AC513" s="5"/>
      <c r="AD513" s="5"/>
      <c r="AE513" s="5"/>
      <c r="AF513" s="282">
        <f t="shared" ca="1" si="277"/>
        <v>217047</v>
      </c>
      <c r="AG513" s="282">
        <f t="shared" ca="1" si="278"/>
        <v>1920000</v>
      </c>
      <c r="AH513" s="282">
        <f t="shared" ca="1" si="279"/>
        <v>15270260</v>
      </c>
      <c r="AI513" s="23" t="str">
        <f t="shared" ca="1" si="295"/>
        <v>43-7</v>
      </c>
      <c r="AJ513" s="282">
        <f ca="1">IF(E513&gt;111,,IF(AND(OP!$C$99=1,T513="F"),Z513,IF(AND(OP!$C$99=2,COUNTIF($T$4:T513,"F")=1),OP!$C$97+IF(F513="F",OP!$C$98,0),"")))</f>
        <v>54527</v>
      </c>
      <c r="AK513" s="282">
        <f ca="1">IF(E513&gt;111,,IF(AND(OP!$D$99=1,T513="F"),AA513,IF(AND(OP!$D$99=2,COUNTIF($T$4:T513,"F")=1),OP!$D$97+IF(F513="F",OP!$D$98,0),"")))</f>
        <v>74177</v>
      </c>
      <c r="AL513" s="282">
        <f ca="1">IF(E513&gt;111,,IF(AND(OP!$E$99=1,T513="F"),AB513,IF(AND(OP!$E$99=2,COUNTIF($T$4:T513,"F")=1),OP!$E$97+IF(F513="F",OP!$E$98,0),"")))</f>
        <v>99404</v>
      </c>
      <c r="AM513" s="1">
        <f t="shared" ca="1" si="304"/>
        <v>7</v>
      </c>
      <c r="AN513" s="1" t="e">
        <f ca="1">IF(OR(VLOOKUP($A513,MP,5,0)="月繳"),1,"")</f>
        <v>#N/A</v>
      </c>
      <c r="AO513" s="1">
        <f t="shared" ca="1" si="280"/>
        <v>0</v>
      </c>
      <c r="AP513" s="1" t="str">
        <f ca="1">IF(AND(A513&lt;=OP!$C$120,COUNTIF(PAY,C513)=1),1,"")</f>
        <v/>
      </c>
      <c r="AR513" s="301">
        <f ca="1">IF(繳費報酬率資料!$A$1=1,$AY513+$AZ513,$BF513+$BG513)</f>
        <v>0</v>
      </c>
      <c r="AS513" s="1">
        <f ca="1">IF(C513&lt;&gt;IF($C$3=1,12,$C$3-1),0,IF(繳費報酬率資料!$A$1&lt;&gt;1,VLOOKUP($A513,MP,8,0),IF(AND($A513&gt;=OP!$C$79,$A513&lt;=OP!$C$80),OP!$C$78,)))</f>
        <v>0</v>
      </c>
      <c r="AT513" s="298">
        <f t="shared" ca="1" si="281"/>
        <v>0</v>
      </c>
      <c r="AU513" s="298">
        <f ca="1">IF(AND(A513&lt;=OP!$C$120,COUNTIF(PAY,C513)=1),OP!$C$123,0)</f>
        <v>0</v>
      </c>
      <c r="AV513" s="298">
        <f ca="1">IF(AND(A513&gt;=OP!$C$132,A513&lt;=OP!$C$133,$C$3=C513),OP!$C$135,0)</f>
        <v>0</v>
      </c>
      <c r="AW513" s="180">
        <f t="shared" ca="1" si="282"/>
        <v>0.05</v>
      </c>
      <c r="AX513" s="180">
        <f t="shared" ca="1" si="283"/>
        <v>0.05</v>
      </c>
      <c r="AY513" s="286">
        <f t="shared" ca="1" si="284"/>
        <v>0</v>
      </c>
      <c r="AZ513" s="286">
        <f t="shared" ca="1" si="285"/>
        <v>0</v>
      </c>
      <c r="BA513" s="286">
        <f t="shared" ca="1" si="286"/>
        <v>0</v>
      </c>
      <c r="BB513" s="286">
        <f t="shared" ca="1" si="287"/>
        <v>0</v>
      </c>
      <c r="BC513" s="286">
        <f t="shared" ca="1" si="288"/>
        <v>0</v>
      </c>
      <c r="BD513" s="180">
        <f t="shared" ca="1" si="289"/>
        <v>0.05</v>
      </c>
      <c r="BE513" s="180">
        <f t="shared" ca="1" si="290"/>
        <v>0.05</v>
      </c>
      <c r="BF513" s="286">
        <f t="shared" ca="1" si="291"/>
        <v>0</v>
      </c>
      <c r="BG513" s="286">
        <f t="shared" ca="1" si="292"/>
        <v>0</v>
      </c>
    </row>
    <row r="514" spans="1:59">
      <c r="A514" s="1">
        <f t="shared" ca="1" si="272"/>
        <v>43</v>
      </c>
      <c r="B514" s="1">
        <f t="shared" ca="1" si="300"/>
        <v>148</v>
      </c>
      <c r="C514" s="1">
        <f t="shared" ca="1" si="301"/>
        <v>12</v>
      </c>
      <c r="D514" s="1">
        <f ca="1">MIN($D$3,VLOOKUP(C514,OP!$S$30:$T$41,2))</f>
        <v>2</v>
      </c>
      <c r="E514" s="1">
        <f t="shared" ca="1" si="302"/>
        <v>97</v>
      </c>
      <c r="F514" s="11" t="str">
        <f t="shared" ca="1" si="273"/>
        <v/>
      </c>
      <c r="G514" s="8">
        <f t="shared" ca="1" si="305"/>
        <v>366</v>
      </c>
      <c r="H514" s="8">
        <f t="shared" ca="1" si="274"/>
        <v>31</v>
      </c>
      <c r="I514" s="8" t="str">
        <f t="shared" ca="1" si="271"/>
        <v>4312</v>
      </c>
      <c r="J514" s="13">
        <f>IF(繳費報酬率資料!$A$1=1,VALUE(OP!$C$121),VLOOKUP(A514,MP,2,0))</f>
        <v>0.05</v>
      </c>
      <c r="K514" s="14">
        <f ca="1">IF(SUM($K$4:K513,IF(繳費報酬率資料!$A$1=1,$AU514+$AV514,$BB514+$BC514))&gt;OP!$L$58,0,IF(繳費報酬率資料!$A$1=1,$AU514+$AV514,$BB514+$BC514))</f>
        <v>0</v>
      </c>
      <c r="L514" s="2"/>
      <c r="M514" s="2"/>
      <c r="N514" s="2"/>
      <c r="O514" s="261">
        <f t="shared" ca="1" si="275"/>
        <v>0</v>
      </c>
      <c r="P514" s="261">
        <f t="shared" ca="1" si="293"/>
        <v>0</v>
      </c>
      <c r="Q514" s="3">
        <f ca="1">IF(A514&gt;MAX(OP!$R$17:$R$26),0,VLOOKUP(A514,fees,3,FALSE))</f>
        <v>0</v>
      </c>
      <c r="R514" s="200" t="str">
        <f t="shared" ca="1" si="276"/>
        <v/>
      </c>
      <c r="S514" s="9" t="str">
        <f ca="1">IF(COUNTIF(($T$4:T513),"F")&gt;=1,"",IF(OR(C515&lt;&gt;$C$3,E514=""),"",A514))</f>
        <v/>
      </c>
      <c r="T514" s="20" t="str">
        <f t="shared" ca="1" si="303"/>
        <v/>
      </c>
      <c r="U514" s="2">
        <f ca="1">IF(IF(OP!$C$83=1,$Z513,IF(OP!$C$83=2,$AA513,IF(OP!$C$83=3,$AB513,)))+$K514-$O514-$P514-$AS514&lt;OP!$C$142,0,$AS514)</f>
        <v>0</v>
      </c>
      <c r="V514" s="9"/>
      <c r="W514" s="19">
        <f ca="1">MAX(SUM($K$4:K514),0)</f>
        <v>2000000</v>
      </c>
      <c r="X514" s="19"/>
      <c r="Y514" s="19">
        <f t="shared" ca="1" si="294"/>
        <v>1920000</v>
      </c>
      <c r="Z514" s="2">
        <f ca="1">IF(MIN($Z$4:Z513)=0,0,MAX(0,($Z513+$K514-$O514-$P514)*IF(AND(F514="F",$D$3&lt;&gt;$G$3),((1+(-J514))^(H514/MIN(G514,365))),((1+(-J514))^(1/12)))-$U514))</f>
        <v>216121.55679925319</v>
      </c>
      <c r="AA514" s="2">
        <f ca="1">IF(MIN($AA$4:AA513)=0,0,MAX(0,($AA513+$K514-$O514-$P514)*IF(AND(F514="F",$D$3&lt;&gt;$G$3),((1+$AA$1)^(H514/MIN(G514,365))),((1+$AA$1)^(1/12)))-$U514))</f>
        <v>1920000</v>
      </c>
      <c r="AB514" s="2">
        <f ca="1">IF(MIN($AB$4:AB513)=0,0,MAX(0,($AB513+$K514-$O514-$P514)*IF(AND(F514="F",$D$3&lt;&gt;$G$3),((1+(J514))^(H514/MIN(G514,365))),((1+(J514))^(1/12)))-$U514))</f>
        <v>15332473.194776284</v>
      </c>
      <c r="AC514" s="5"/>
      <c r="AD514" s="5"/>
      <c r="AE514" s="5"/>
      <c r="AF514" s="282">
        <f t="shared" ca="1" si="277"/>
        <v>216122</v>
      </c>
      <c r="AG514" s="282">
        <f t="shared" ca="1" si="278"/>
        <v>1920000</v>
      </c>
      <c r="AH514" s="282">
        <f t="shared" ca="1" si="279"/>
        <v>15332473</v>
      </c>
      <c r="AI514" s="23" t="str">
        <f t="shared" ca="1" si="295"/>
        <v>43-8</v>
      </c>
      <c r="AJ514" s="282">
        <f ca="1">IF(E514&gt;111,,IF(AND(OP!$C$99=1,T514="F"),Z514,IF(AND(OP!$C$99=2,COUNTIF($T$4:T514,"F")=1),OP!$C$97+IF(F514="F",OP!$C$98,0),"")))</f>
        <v>54527</v>
      </c>
      <c r="AK514" s="282">
        <f ca="1">IF(E514&gt;111,,IF(AND(OP!$D$99=1,T514="F"),AA514,IF(AND(OP!$D$99=2,COUNTIF($T$4:T514,"F")=1),OP!$D$97+IF(F514="F",OP!$D$98,0),"")))</f>
        <v>74177</v>
      </c>
      <c r="AL514" s="282">
        <f ca="1">IF(E514&gt;111,,IF(AND(OP!$E$99=1,T514="F"),AB514,IF(AND(OP!$E$99=2,COUNTIF($T$4:T514,"F")=1),OP!$E$97+IF(F514="F",OP!$E$98,0),"")))</f>
        <v>99404</v>
      </c>
      <c r="AM514" s="1">
        <f t="shared" ca="1" si="304"/>
        <v>8</v>
      </c>
      <c r="AN514" s="1" t="e">
        <f ca="1">IF(OR(VLOOKUP($A514,MP,5,0)="半年繳",VLOOKUP($A514,MP,5,0)="季繳",VLOOKUP($A514,MP,5,0)="月繳"),1,"")</f>
        <v>#N/A</v>
      </c>
      <c r="AO514" s="1">
        <f t="shared" ca="1" si="280"/>
        <v>0</v>
      </c>
      <c r="AP514" s="1" t="str">
        <f ca="1">IF(AND(A514&lt;=OP!$C$120,COUNTIF(PAY,C514)=1),1,"")</f>
        <v/>
      </c>
      <c r="AR514" s="301">
        <f ca="1">IF(繳費報酬率資料!$A$1=1,$AY514+$AZ514,$BF514+$BG514)</f>
        <v>0</v>
      </c>
      <c r="AS514" s="1">
        <f ca="1">IF(C514&lt;&gt;IF($C$3=1,12,$C$3-1),0,IF(繳費報酬率資料!$A$1&lt;&gt;1,VLOOKUP($A514,MP,8,0),IF(AND($A514&gt;=OP!$C$79,$A514&lt;=OP!$C$80),OP!$C$78,)))</f>
        <v>0</v>
      </c>
      <c r="AT514" s="298">
        <f t="shared" ca="1" si="281"/>
        <v>0</v>
      </c>
      <c r="AU514" s="298">
        <f ca="1">IF(AND(A514&lt;=OP!$C$120,COUNTIF(PAY,C514)=1),OP!$C$123,0)</f>
        <v>0</v>
      </c>
      <c r="AV514" s="298">
        <f ca="1">IF(AND(A514&gt;=OP!$C$132,A514&lt;=OP!$C$133,$C$3=C514),OP!$C$135,0)</f>
        <v>0</v>
      </c>
      <c r="AW514" s="180">
        <f t="shared" ca="1" si="282"/>
        <v>0.05</v>
      </c>
      <c r="AX514" s="180">
        <f t="shared" ca="1" si="283"/>
        <v>0.05</v>
      </c>
      <c r="AY514" s="286">
        <f t="shared" ca="1" si="284"/>
        <v>0</v>
      </c>
      <c r="AZ514" s="286">
        <f t="shared" ca="1" si="285"/>
        <v>0</v>
      </c>
      <c r="BA514" s="286">
        <f t="shared" ca="1" si="286"/>
        <v>0</v>
      </c>
      <c r="BB514" s="286">
        <f t="shared" ca="1" si="287"/>
        <v>0</v>
      </c>
      <c r="BC514" s="286">
        <f t="shared" ca="1" si="288"/>
        <v>0</v>
      </c>
      <c r="BD514" s="180">
        <f t="shared" ca="1" si="289"/>
        <v>0.05</v>
      </c>
      <c r="BE514" s="180">
        <f t="shared" ca="1" si="290"/>
        <v>0.05</v>
      </c>
      <c r="BF514" s="286">
        <f t="shared" ca="1" si="291"/>
        <v>0</v>
      </c>
      <c r="BG514" s="286">
        <f t="shared" ca="1" si="292"/>
        <v>0</v>
      </c>
    </row>
    <row r="515" spans="1:59">
      <c r="A515" s="1">
        <f t="shared" ca="1" si="272"/>
        <v>43</v>
      </c>
      <c r="B515" s="1">
        <f t="shared" ca="1" si="300"/>
        <v>149</v>
      </c>
      <c r="C515" s="1">
        <f t="shared" ca="1" si="301"/>
        <v>1</v>
      </c>
      <c r="D515" s="1">
        <f ca="1">MIN($D$3,VLOOKUP(C515,OP!$S$30:$T$41,2))</f>
        <v>2</v>
      </c>
      <c r="E515" s="1">
        <f t="shared" ca="1" si="302"/>
        <v>97</v>
      </c>
      <c r="F515" s="11" t="str">
        <f t="shared" ca="1" si="273"/>
        <v/>
      </c>
      <c r="G515" s="8">
        <f t="shared" ca="1" si="305"/>
        <v>366</v>
      </c>
      <c r="H515" s="8">
        <f t="shared" ca="1" si="274"/>
        <v>31</v>
      </c>
      <c r="I515" s="8" t="str">
        <f t="shared" ca="1" si="271"/>
        <v>431</v>
      </c>
      <c r="J515" s="13">
        <f>IF(繳費報酬率資料!$A$1=1,VALUE(OP!$C$121),VLOOKUP(A515,MP,2,0))</f>
        <v>0.05</v>
      </c>
      <c r="K515" s="14">
        <f ca="1">IF(SUM($K$4:K514,IF(繳費報酬率資料!$A$1=1,$AU515+$AV515,$BB515+$BC515))&gt;OP!$L$58,0,IF(繳費報酬率資料!$A$1=1,$AU515+$AV515,$BB515+$BC515))</f>
        <v>0</v>
      </c>
      <c r="L515" s="2"/>
      <c r="M515" s="2"/>
      <c r="N515" s="2"/>
      <c r="O515" s="261">
        <f t="shared" ca="1" si="275"/>
        <v>0</v>
      </c>
      <c r="P515" s="261">
        <f t="shared" ca="1" si="293"/>
        <v>0</v>
      </c>
      <c r="Q515" s="3">
        <f ca="1">IF(A515&gt;MAX(OP!$R$17:$R$26),0,VLOOKUP(A515,fees,3,FALSE))</f>
        <v>0</v>
      </c>
      <c r="R515" s="200" t="str">
        <f t="shared" ca="1" si="276"/>
        <v/>
      </c>
      <c r="S515" s="9" t="str">
        <f ca="1">IF(COUNTIF(($T$4:T514),"F")&gt;=1,"",IF(OR(C516&lt;&gt;$C$3,E515=""),"",A515))</f>
        <v/>
      </c>
      <c r="T515" s="20" t="str">
        <f t="shared" ca="1" si="303"/>
        <v/>
      </c>
      <c r="U515" s="2">
        <f ca="1">IF(IF(OP!$C$83=1,$Z514,IF(OP!$C$83=2,$AA514,IF(OP!$C$83=3,$AB514,)))+$K515-$O515-$P515-$AS515&lt;OP!$C$142,0,$AS515)</f>
        <v>0</v>
      </c>
      <c r="V515" s="9"/>
      <c r="W515" s="19">
        <f ca="1">MAX(SUM($K$4:K515),0)</f>
        <v>2000000</v>
      </c>
      <c r="X515" s="19"/>
      <c r="Y515" s="19">
        <f t="shared" ca="1" si="294"/>
        <v>1920000</v>
      </c>
      <c r="Z515" s="2">
        <f ca="1">IF(MIN($Z$4:Z514)=0,0,MAX(0,($Z514+$K515-$O515-$P515)*IF(AND(F515="F",$D$3&lt;&gt;$G$3),((1+(-J515))^(H515/MIN(G515,365))),((1+(-J515))^(1/12)))-$U515))</f>
        <v>215199.7294648017</v>
      </c>
      <c r="AA515" s="2">
        <f ca="1">IF(MIN($AA$4:AA514)=0,0,MAX(0,($AA514+$K515-$O515-$P515)*IF(AND(F515="F",$D$3&lt;&gt;$G$3),((1+$AA$1)^(H515/MIN(G515,365))),((1+$AA$1)^(1/12)))-$U515))</f>
        <v>1920000</v>
      </c>
      <c r="AB515" s="2">
        <f ca="1">IF(MIN($AB$4:AB514)=0,0,MAX(0,($AB514+$K515-$O515-$P515)*IF(AND(F515="F",$D$3&lt;&gt;$G$3),((1+(J515))^(H515/MIN(G515,365))),((1+(J515))^(1/12)))-$U515))</f>
        <v>15394939.588481272</v>
      </c>
      <c r="AC515" s="5"/>
      <c r="AD515" s="5"/>
      <c r="AE515" s="5"/>
      <c r="AF515" s="282">
        <f t="shared" ca="1" si="277"/>
        <v>215200</v>
      </c>
      <c r="AG515" s="282">
        <f t="shared" ca="1" si="278"/>
        <v>1920000</v>
      </c>
      <c r="AH515" s="282">
        <f t="shared" ca="1" si="279"/>
        <v>15394940</v>
      </c>
      <c r="AI515" s="23" t="str">
        <f t="shared" ca="1" si="295"/>
        <v>43-9</v>
      </c>
      <c r="AJ515" s="282">
        <f ca="1">IF(E515&gt;111,,IF(AND(OP!$C$99=1,T515="F"),Z515,IF(AND(OP!$C$99=2,COUNTIF($T$4:T515,"F")=1),OP!$C$97+IF(F515="F",OP!$C$98,0),"")))</f>
        <v>54527</v>
      </c>
      <c r="AK515" s="282">
        <f ca="1">IF(E515&gt;111,,IF(AND(OP!$D$99=1,T515="F"),AA515,IF(AND(OP!$D$99=2,COUNTIF($T$4:T515,"F")=1),OP!$D$97+IF(F515="F",OP!$D$98,0),"")))</f>
        <v>74177</v>
      </c>
      <c r="AL515" s="282">
        <f ca="1">IF(E515&gt;111,,IF(AND(OP!$E$99=1,T515="F"),AB515,IF(AND(OP!$E$99=2,COUNTIF($T$4:T515,"F")=1),OP!$E$97+IF(F515="F",OP!$E$98,0),"")))</f>
        <v>99404</v>
      </c>
      <c r="AM515" s="1">
        <f t="shared" ca="1" si="304"/>
        <v>9</v>
      </c>
      <c r="AN515" s="1" t="e">
        <f ca="1">IF(OR(VLOOKUP($A515,MP,5,0)="月繳"),1,"")</f>
        <v>#N/A</v>
      </c>
      <c r="AO515" s="1">
        <f t="shared" ca="1" si="280"/>
        <v>0</v>
      </c>
      <c r="AP515" s="1" t="str">
        <f ca="1">IF(AND(A515&lt;=OP!$C$120,COUNTIF(PAY,C515)=1),1,"")</f>
        <v/>
      </c>
      <c r="AR515" s="301">
        <f ca="1">IF(繳費報酬率資料!$A$1=1,$AY515+$AZ515,$BF515+$BG515)</f>
        <v>0</v>
      </c>
      <c r="AS515" s="1">
        <f ca="1">IF(C515&lt;&gt;IF($C$3=1,12,$C$3-1),0,IF(繳費報酬率資料!$A$1&lt;&gt;1,VLOOKUP($A515,MP,8,0),IF(AND($A515&gt;=OP!$C$79,$A515&lt;=OP!$C$80),OP!$C$78,)))</f>
        <v>0</v>
      </c>
      <c r="AT515" s="298">
        <f t="shared" ca="1" si="281"/>
        <v>0</v>
      </c>
      <c r="AU515" s="298">
        <f ca="1">IF(AND(A515&lt;=OP!$C$120,COUNTIF(PAY,C515)=1),OP!$C$123,0)</f>
        <v>0</v>
      </c>
      <c r="AV515" s="298">
        <f ca="1">IF(AND(A515&gt;=OP!$C$132,A515&lt;=OP!$C$133,$C$3=C515),OP!$C$135,0)</f>
        <v>0</v>
      </c>
      <c r="AW515" s="180">
        <f t="shared" ca="1" si="282"/>
        <v>0.05</v>
      </c>
      <c r="AX515" s="180">
        <f t="shared" ca="1" si="283"/>
        <v>0.05</v>
      </c>
      <c r="AY515" s="286">
        <f t="shared" ca="1" si="284"/>
        <v>0</v>
      </c>
      <c r="AZ515" s="286">
        <f t="shared" ca="1" si="285"/>
        <v>0</v>
      </c>
      <c r="BA515" s="286">
        <f t="shared" ca="1" si="286"/>
        <v>0</v>
      </c>
      <c r="BB515" s="286">
        <f t="shared" ca="1" si="287"/>
        <v>0</v>
      </c>
      <c r="BC515" s="286">
        <f t="shared" ca="1" si="288"/>
        <v>0</v>
      </c>
      <c r="BD515" s="180">
        <f t="shared" ca="1" si="289"/>
        <v>0.05</v>
      </c>
      <c r="BE515" s="180">
        <f t="shared" ca="1" si="290"/>
        <v>0.05</v>
      </c>
      <c r="BF515" s="286">
        <f t="shared" ca="1" si="291"/>
        <v>0</v>
      </c>
      <c r="BG515" s="286">
        <f t="shared" ca="1" si="292"/>
        <v>0</v>
      </c>
    </row>
    <row r="516" spans="1:59">
      <c r="A516" s="1">
        <f t="shared" ca="1" si="272"/>
        <v>43</v>
      </c>
      <c r="B516" s="1">
        <f t="shared" ca="1" si="300"/>
        <v>149</v>
      </c>
      <c r="C516" s="1">
        <f t="shared" ca="1" si="301"/>
        <v>2</v>
      </c>
      <c r="D516" s="1">
        <f ca="1">MIN($D$3,VLOOKUP(C516,OP!$S$30:$T$41,2))</f>
        <v>2</v>
      </c>
      <c r="E516" s="1">
        <f t="shared" ca="1" si="302"/>
        <v>97</v>
      </c>
      <c r="F516" s="11" t="str">
        <f t="shared" ca="1" si="273"/>
        <v/>
      </c>
      <c r="G516" s="8">
        <f t="shared" ca="1" si="305"/>
        <v>366</v>
      </c>
      <c r="H516" s="8">
        <f t="shared" ca="1" si="274"/>
        <v>29</v>
      </c>
      <c r="I516" s="8" t="str">
        <f t="shared" ref="I516:I579" ca="1" si="306">A516&amp;C516</f>
        <v>432</v>
      </c>
      <c r="J516" s="13">
        <f>IF(繳費報酬率資料!$A$1=1,VALUE(OP!$C$121),VLOOKUP(A516,MP,2,0))</f>
        <v>0.05</v>
      </c>
      <c r="K516" s="14">
        <f ca="1">IF(SUM($K$4:K515,IF(繳費報酬率資料!$A$1=1,$AU516+$AV516,$BB516+$BC516))&gt;OP!$L$58,0,IF(繳費報酬率資料!$A$1=1,$AU516+$AV516,$BB516+$BC516))</f>
        <v>0</v>
      </c>
      <c r="L516" s="2"/>
      <c r="M516" s="2"/>
      <c r="N516" s="2"/>
      <c r="O516" s="261">
        <f t="shared" ca="1" si="275"/>
        <v>0</v>
      </c>
      <c r="P516" s="261">
        <f t="shared" ca="1" si="293"/>
        <v>0</v>
      </c>
      <c r="Q516" s="3">
        <f ca="1">IF(A516&gt;MAX(OP!$R$17:$R$26),0,VLOOKUP(A516,fees,3,FALSE))</f>
        <v>0</v>
      </c>
      <c r="R516" s="200" t="str">
        <f t="shared" ca="1" si="276"/>
        <v/>
      </c>
      <c r="S516" s="9" t="str">
        <f ca="1">IF(COUNTIF(($T$4:T515),"F")&gt;=1,"",IF(OR(C517&lt;&gt;$C$3,E516=""),"",A516))</f>
        <v/>
      </c>
      <c r="T516" s="20" t="str">
        <f t="shared" ca="1" si="303"/>
        <v/>
      </c>
      <c r="U516" s="2">
        <f ca="1">IF(IF(OP!$C$83=1,$Z515,IF(OP!$C$83=2,$AA515,IF(OP!$C$83=3,$AB515,)))+$K516-$O516-$P516-$AS516&lt;OP!$C$142,0,$AS516)</f>
        <v>0</v>
      </c>
      <c r="V516" s="9"/>
      <c r="W516" s="19">
        <f ca="1">MAX(SUM($K$4:K516),0)</f>
        <v>2000000</v>
      </c>
      <c r="X516" s="19"/>
      <c r="Y516" s="19">
        <f t="shared" ca="1" si="294"/>
        <v>1920000</v>
      </c>
      <c r="Z516" s="2">
        <f ca="1">IF(MIN($Z$4:Z515)=0,0,MAX(0,($Z515+$K516-$O516-$P516)*IF(AND(F516="F",$D$3&lt;&gt;$G$3),((1+(-J516))^(H516/MIN(G516,365))),((1+(-J516))^(1/12)))-$U516))</f>
        <v>214281.83401778952</v>
      </c>
      <c r="AA516" s="2">
        <f ca="1">IF(MIN($AA$4:AA515)=0,0,MAX(0,($AA515+$K516-$O516-$P516)*IF(AND(F516="F",$D$3&lt;&gt;$G$3),((1+$AA$1)^(H516/MIN(G516,365))),((1+$AA$1)^(1/12)))-$U516))</f>
        <v>1920000</v>
      </c>
      <c r="AB516" s="2">
        <f ca="1">IF(MIN($AB$4:AB515)=0,0,MAX(0,($AB515+$K516-$O516-$P516)*IF(AND(F516="F",$D$3&lt;&gt;$G$3),((1+(J516))^(H516/MIN(G516,365))),((1+(J516))^(1/12)))-$U516))</f>
        <v>15457660.478006532</v>
      </c>
      <c r="AC516" s="5"/>
      <c r="AD516" s="5"/>
      <c r="AE516" s="5"/>
      <c r="AF516" s="282">
        <f t="shared" ca="1" si="277"/>
        <v>214282</v>
      </c>
      <c r="AG516" s="282">
        <f t="shared" ca="1" si="278"/>
        <v>1920000</v>
      </c>
      <c r="AH516" s="282">
        <f t="shared" ca="1" si="279"/>
        <v>15457660</v>
      </c>
      <c r="AI516" s="23" t="str">
        <f t="shared" ca="1" si="295"/>
        <v>43-10</v>
      </c>
      <c r="AJ516" s="282">
        <f ca="1">IF(E516&gt;111,,IF(AND(OP!$C$99=1,T516="F"),Z516,IF(AND(OP!$C$99=2,COUNTIF($T$4:T516,"F")=1),OP!$C$97+IF(F516="F",OP!$C$98,0),"")))</f>
        <v>54527</v>
      </c>
      <c r="AK516" s="282">
        <f ca="1">IF(E516&gt;111,,IF(AND(OP!$D$99=1,T516="F"),AA516,IF(AND(OP!$D$99=2,COUNTIF($T$4:T516,"F")=1),OP!$D$97+IF(F516="F",OP!$D$98,0),"")))</f>
        <v>74177</v>
      </c>
      <c r="AL516" s="282">
        <f ca="1">IF(E516&gt;111,,IF(AND(OP!$E$99=1,T516="F"),AB516,IF(AND(OP!$E$99=2,COUNTIF($T$4:T516,"F")=1),OP!$E$97+IF(F516="F",OP!$E$98,0),"")))</f>
        <v>99404</v>
      </c>
      <c r="AM516" s="1">
        <f t="shared" ca="1" si="304"/>
        <v>10</v>
      </c>
      <c r="AN516" s="1" t="e">
        <f ca="1">IF(OR(VLOOKUP($A516,MP,5,0)="月繳"),1,"")</f>
        <v>#N/A</v>
      </c>
      <c r="AO516" s="1">
        <f t="shared" ca="1" si="280"/>
        <v>0</v>
      </c>
      <c r="AP516" s="1" t="str">
        <f ca="1">IF(AND(A516&lt;=OP!$C$120,COUNTIF(PAY,C516)=1),1,"")</f>
        <v/>
      </c>
      <c r="AR516" s="301">
        <f ca="1">IF(繳費報酬率資料!$A$1=1,$AY516+$AZ516,$BF516+$BG516)</f>
        <v>0</v>
      </c>
      <c r="AS516" s="1">
        <f ca="1">IF(C516&lt;&gt;IF($C$3=1,12,$C$3-1),0,IF(繳費報酬率資料!$A$1&lt;&gt;1,VLOOKUP($A516,MP,8,0),IF(AND($A516&gt;=OP!$C$79,$A516&lt;=OP!$C$80),OP!$C$78,)))</f>
        <v>0</v>
      </c>
      <c r="AT516" s="298">
        <f t="shared" ca="1" si="281"/>
        <v>0</v>
      </c>
      <c r="AU516" s="298">
        <f ca="1">IF(AND(A516&lt;=OP!$C$120,COUNTIF(PAY,C516)=1),OP!$C$123,0)</f>
        <v>0</v>
      </c>
      <c r="AV516" s="298">
        <f ca="1">IF(AND(A516&gt;=OP!$C$132,A516&lt;=OP!$C$133,$C$3=C516),OP!$C$135,0)</f>
        <v>0</v>
      </c>
      <c r="AW516" s="180">
        <f t="shared" ca="1" si="282"/>
        <v>0.05</v>
      </c>
      <c r="AX516" s="180">
        <f t="shared" ca="1" si="283"/>
        <v>0.05</v>
      </c>
      <c r="AY516" s="286">
        <f t="shared" ca="1" si="284"/>
        <v>0</v>
      </c>
      <c r="AZ516" s="286">
        <f t="shared" ca="1" si="285"/>
        <v>0</v>
      </c>
      <c r="BA516" s="286">
        <f t="shared" ca="1" si="286"/>
        <v>0</v>
      </c>
      <c r="BB516" s="286">
        <f t="shared" ca="1" si="287"/>
        <v>0</v>
      </c>
      <c r="BC516" s="286">
        <f t="shared" ca="1" si="288"/>
        <v>0</v>
      </c>
      <c r="BD516" s="180">
        <f t="shared" ca="1" si="289"/>
        <v>0.05</v>
      </c>
      <c r="BE516" s="180">
        <f t="shared" ca="1" si="290"/>
        <v>0.05</v>
      </c>
      <c r="BF516" s="286">
        <f t="shared" ca="1" si="291"/>
        <v>0</v>
      </c>
      <c r="BG516" s="286">
        <f t="shared" ca="1" si="292"/>
        <v>0</v>
      </c>
    </row>
    <row r="517" spans="1:59">
      <c r="A517" s="1">
        <f t="shared" ref="A517:A580" ca="1" si="307">IF(C517=$C$4,A516+1,A516)</f>
        <v>43</v>
      </c>
      <c r="B517" s="1">
        <f t="shared" ca="1" si="300"/>
        <v>149</v>
      </c>
      <c r="C517" s="1">
        <f t="shared" ca="1" si="301"/>
        <v>3</v>
      </c>
      <c r="D517" s="1">
        <f ca="1">MIN($D$3,VLOOKUP(C517,OP!$S$30:$T$41,2))</f>
        <v>2</v>
      </c>
      <c r="E517" s="1">
        <f t="shared" ca="1" si="302"/>
        <v>97</v>
      </c>
      <c r="F517" s="11" t="str">
        <f t="shared" ref="F517:F580" ca="1" si="308">IF(AND(DATE($E$3+1911,$F$3,$G$3)&gt;DATE(B517+1911,C517,D517),DATE($E$3+1911,$F$3,$G$3)&lt;=DATE(B518+1911,C518,D518)),"F","")</f>
        <v/>
      </c>
      <c r="G517" s="8">
        <f t="shared" ca="1" si="305"/>
        <v>366</v>
      </c>
      <c r="H517" s="8">
        <f t="shared" ref="H517:H580" ca="1" si="309">DATEDIF(DATE(B517+1911,C517,D517),IF(F517="F",DATE($E$3+1911,$F$3,$G$3),DATE(B518+1911,C518,D518)),"d")</f>
        <v>31</v>
      </c>
      <c r="I517" s="8" t="str">
        <f t="shared" ca="1" si="306"/>
        <v>433</v>
      </c>
      <c r="J517" s="13">
        <f>IF(繳費報酬率資料!$A$1=1,VALUE(OP!$C$121),VLOOKUP(A517,MP,2,0))</f>
        <v>0.05</v>
      </c>
      <c r="K517" s="14">
        <f ca="1">IF(SUM($K$4:K516,IF(繳費報酬率資料!$A$1=1,$AU517+$AV517,$BB517+$BC517))&gt;OP!$L$58,0,IF(繳費報酬率資料!$A$1=1,$AU517+$AV517,$BB517+$BC517))</f>
        <v>0</v>
      </c>
      <c r="L517" s="2"/>
      <c r="M517" s="2"/>
      <c r="N517" s="2"/>
      <c r="O517" s="261">
        <f t="shared" ref="O517:O580" ca="1" si="310">IF(K517=0,0,$AR517)</f>
        <v>0</v>
      </c>
      <c r="P517" s="261">
        <f t="shared" ca="1" si="293"/>
        <v>0</v>
      </c>
      <c r="Q517" s="3">
        <f ca="1">IF(A517&gt;MAX(OP!$R$17:$R$26),0,VLOOKUP(A517,fees,3,FALSE))</f>
        <v>0</v>
      </c>
      <c r="R517" s="200" t="str">
        <f t="shared" ref="R517:R580" ca="1" si="311">IF(OR(C518&lt;&gt;$C$3,E517=""),"",A517)</f>
        <v/>
      </c>
      <c r="S517" s="9" t="str">
        <f ca="1">IF(COUNTIF(($T$4:T516),"F")&gt;=1,"",IF(OR(C518&lt;&gt;$C$3,E517=""),"",A517))</f>
        <v/>
      </c>
      <c r="T517" s="20" t="str">
        <f t="shared" ca="1" si="303"/>
        <v/>
      </c>
      <c r="U517" s="2">
        <f ca="1">IF(IF(OP!$C$83=1,$Z516,IF(OP!$C$83=2,$AA516,IF(OP!$C$83=3,$AB516,)))+$K517-$O517-$P517-$AS517&lt;OP!$C$142,0,$AS517)</f>
        <v>0</v>
      </c>
      <c r="V517" s="9"/>
      <c r="W517" s="19">
        <f ca="1">MAX(SUM($K$4:K517),0)</f>
        <v>2000000</v>
      </c>
      <c r="X517" s="19"/>
      <c r="Y517" s="19">
        <f t="shared" ca="1" si="294"/>
        <v>1920000</v>
      </c>
      <c r="Z517" s="2">
        <f ca="1">IF(MIN($Z$4:Z516)=0,0,MAX(0,($Z516+$K517-$O517-$P517)*IF(AND(F517="F",$D$3&lt;&gt;$G$3),((1+(-J517))^(H517/MIN(G517,365))),((1+(-J517))^(1/12)))-$U517))</f>
        <v>213367.8536874633</v>
      </c>
      <c r="AA517" s="2">
        <f ca="1">IF(MIN($AA$4:AA516)=0,0,MAX(0,($AA516+$K517-$O517-$P517)*IF(AND(F517="F",$D$3&lt;&gt;$G$3),((1+$AA$1)^(H517/MIN(G517,365))),((1+$AA$1)^(1/12)))-$U517))</f>
        <v>1920000</v>
      </c>
      <c r="AB517" s="2">
        <f ca="1">IF(MIN($AB$4:AB516)=0,0,MAX(0,($AB516+$K517-$O517-$P517)*IF(AND(F517="F",$D$3&lt;&gt;$G$3),((1+(J517))^(H517/MIN(G517,365))),((1+(J517))^(1/12)))-$U517))</f>
        <v>15520636.90019954</v>
      </c>
      <c r="AC517" s="5"/>
      <c r="AD517" s="5"/>
      <c r="AE517" s="5"/>
      <c r="AF517" s="282">
        <f t="shared" ref="AF517:AF580" ca="1" si="312">ROUND(Z517*(1-$Q517),$AF$1)</f>
        <v>213368</v>
      </c>
      <c r="AG517" s="282">
        <f t="shared" ref="AG517:AG580" ca="1" si="313">ROUND(AA517*(1-$Q517),$AF$1)</f>
        <v>1920000</v>
      </c>
      <c r="AH517" s="282">
        <f t="shared" ref="AH517:AH580" ca="1" si="314">ROUND(AB517*(1-$Q517),$AF$1)</f>
        <v>15520637</v>
      </c>
      <c r="AI517" s="23" t="str">
        <f t="shared" ca="1" si="295"/>
        <v>43-11</v>
      </c>
      <c r="AJ517" s="282">
        <f ca="1">IF(E517&gt;111,,IF(AND(OP!$C$99=1,T517="F"),Z517,IF(AND(OP!$C$99=2,COUNTIF($T$4:T517,"F")=1),OP!$C$97+IF(F517="F",OP!$C$98,0),"")))</f>
        <v>54527</v>
      </c>
      <c r="AK517" s="282">
        <f ca="1">IF(E517&gt;111,,IF(AND(OP!$D$99=1,T517="F"),AA517,IF(AND(OP!$D$99=2,COUNTIF($T$4:T517,"F")=1),OP!$D$97+IF(F517="F",OP!$D$98,0),"")))</f>
        <v>74177</v>
      </c>
      <c r="AL517" s="282">
        <f ca="1">IF(E517&gt;111,,IF(AND(OP!$E$99=1,T517="F"),AB517,IF(AND(OP!$E$99=2,COUNTIF($T$4:T517,"F")=1),OP!$E$97+IF(F517="F",OP!$E$98,0),"")))</f>
        <v>99404</v>
      </c>
      <c r="AM517" s="1">
        <f t="shared" ca="1" si="304"/>
        <v>11</v>
      </c>
      <c r="AN517" s="1" t="e">
        <f ca="1">IF(OR(VLOOKUP($A517,MP,5,0)="季繳",VLOOKUP($A517,MP,5,0)="月繳"),1,"")</f>
        <v>#N/A</v>
      </c>
      <c r="AO517" s="1">
        <f t="shared" ref="AO517:AO580" ca="1" si="315">IF(ISNA(VLOOKUP(A517,MP,2,0)),,IF(C517=$C$3,ROUND(VLOOKUP(A517,MP,4,0),0),0)+IF(AN517=1,ROUND(VLOOKUP(A517,MP,6,0),0),0))</f>
        <v>0</v>
      </c>
      <c r="AP517" s="1" t="str">
        <f ca="1">IF(AND(A517&lt;=OP!$C$120,COUNTIF(PAY,C517)=1),1,"")</f>
        <v/>
      </c>
      <c r="AR517" s="301">
        <f ca="1">IF(繳費報酬率資料!$A$1=1,$AY517+$AZ517,$BF517+$BG517)</f>
        <v>0</v>
      </c>
      <c r="AS517" s="1">
        <f ca="1">IF(C517&lt;&gt;IF($C$3=1,12,$C$3-1),0,IF(繳費報酬率資料!$A$1&lt;&gt;1,VLOOKUP($A517,MP,8,0),IF(AND($A517&gt;=OP!$C$79,$A517&lt;=OP!$C$80),OP!$C$78,)))</f>
        <v>0</v>
      </c>
      <c r="AT517" s="298">
        <f t="shared" ref="AT517:AT580" ca="1" si="316">AU517+AV517</f>
        <v>0</v>
      </c>
      <c r="AU517" s="298">
        <f ca="1">IF(AND(A517&lt;=OP!$C$120,COUNTIF(PAY,C517)=1),OP!$C$123,0)</f>
        <v>0</v>
      </c>
      <c r="AV517" s="298">
        <f ca="1">IF(AND(A517&gt;=OP!$C$132,A517&lt;=OP!$C$133,$C$3=C517),OP!$C$135,0)</f>
        <v>0</v>
      </c>
      <c r="AW517" s="180">
        <f t="shared" ref="AW517:AW580" ca="1" si="317">HLOOKUP(IF($AU517&lt;$AY$1,1,IF(AND($AU517&gt;=$AY$1,$AU517&lt;$AZ$1),2,IF(AND($AU517&gt;=$AZ$1,$AU517&lt;$BA$1),3,IF(AND($AU517&gt;=$BA$1),4,1)))),PR,2,0)</f>
        <v>0.05</v>
      </c>
      <c r="AX517" s="180">
        <f t="shared" ref="AX517:AX580" ca="1" si="318">HLOOKUP(IF($AV517&lt;$AY$1,1,IF(AND($AV517&gt;=$AY$1,$AV517&lt;$AZ$1),2,IF(AND($AV517&gt;=$AZ$1,$AV517&lt;$BA$1),3,IF(AND($AV517&gt;=$BA$1),4,1)))),PR,2,0)</f>
        <v>0.05</v>
      </c>
      <c r="AY517" s="286">
        <f t="shared" ref="AY517:AY580" ca="1" si="319">ROUND(AU517*AW517,0)</f>
        <v>0</v>
      </c>
      <c r="AZ517" s="286">
        <f t="shared" ref="AZ517:AZ580" ca="1" si="320">ROUND(AV517*AX517,0)</f>
        <v>0</v>
      </c>
      <c r="BA517" s="286">
        <f t="shared" ref="BA517:BA580" ca="1" si="321">BB517+BC517</f>
        <v>0</v>
      </c>
      <c r="BB517" s="286">
        <f t="shared" ref="BB517:BB580" ca="1" si="322">IF(ISNA(VLOOKUP(A517,MP,2,0)),,IF(C517=$C$3,ROUND(VLOOKUP(A517,MP,6,0),0),0))</f>
        <v>0</v>
      </c>
      <c r="BC517" s="286">
        <f t="shared" ref="BC517:BC580" ca="1" si="323">IF(ISNA(VLOOKUP(A517,MP,4,0)),,IF(AND(C517=$C$3,AN517=1),ROUND(VLOOKUP(A517,MP,4,0),0),0))</f>
        <v>0</v>
      </c>
      <c r="BD517" s="180">
        <f t="shared" ref="BD517:BD580" ca="1" si="324">HLOOKUP(IF($BB517&lt;$AY$1,1,IF(AND($BB517&gt;=$AY$1,$BB517&lt;$AZ$1),2,IF(AND($BB517&gt;=$AZ$1,$BB517&lt;$BA$1),3,IF(AND($BB517&gt;=$BA$1),4,1)))),PR,2,0)</f>
        <v>0.05</v>
      </c>
      <c r="BE517" s="180">
        <f t="shared" ref="BE517:BE580" ca="1" si="325">HLOOKUP(IF($BC517&lt;$AY$1,1,IF(AND($BC517&gt;=$AY$1,$BC517&lt;$AZ$1),2,IF(AND($BC517&gt;=$AZ$1,$BC517&lt;$BA$1),3,IF(AND($BC517&gt;=$BA$1),4,1)))),PR,2,0)</f>
        <v>0.05</v>
      </c>
      <c r="BF517" s="286">
        <f t="shared" ref="BF517:BF580" ca="1" si="326">ROUND(BB517*BD517,0)</f>
        <v>0</v>
      </c>
      <c r="BG517" s="286">
        <f t="shared" ref="BG517:BG580" ca="1" si="327">ROUND(BC517*BE517,0)</f>
        <v>0</v>
      </c>
    </row>
    <row r="518" spans="1:59">
      <c r="A518" s="1">
        <f t="shared" ca="1" si="307"/>
        <v>43</v>
      </c>
      <c r="B518" s="1">
        <f t="shared" ca="1" si="300"/>
        <v>149</v>
      </c>
      <c r="C518" s="1">
        <f t="shared" ca="1" si="301"/>
        <v>4</v>
      </c>
      <c r="D518" s="1">
        <f ca="1">MIN($D$3,VLOOKUP(C518,OP!$S$30:$T$41,2))</f>
        <v>2</v>
      </c>
      <c r="E518" s="1">
        <f t="shared" ca="1" si="302"/>
        <v>97</v>
      </c>
      <c r="F518" s="11" t="str">
        <f t="shared" ca="1" si="308"/>
        <v/>
      </c>
      <c r="G518" s="8">
        <f t="shared" ca="1" si="305"/>
        <v>366</v>
      </c>
      <c r="H518" s="8">
        <f t="shared" ca="1" si="309"/>
        <v>30</v>
      </c>
      <c r="I518" s="8" t="str">
        <f t="shared" ca="1" si="306"/>
        <v>434</v>
      </c>
      <c r="J518" s="13">
        <f>IF(繳費報酬率資料!$A$1=1,VALUE(OP!$C$121),VLOOKUP(A518,MP,2,0))</f>
        <v>0.05</v>
      </c>
      <c r="K518" s="14">
        <f ca="1">IF(SUM($K$4:K517,IF(繳費報酬率資料!$A$1=1,$AU518+$AV518,$BB518+$BC518))&gt;OP!$L$58,0,IF(繳費報酬率資料!$A$1=1,$AU518+$AV518,$BB518+$BC518))</f>
        <v>0</v>
      </c>
      <c r="L518" s="2"/>
      <c r="M518" s="2"/>
      <c r="N518" s="2"/>
      <c r="O518" s="261">
        <f t="shared" ca="1" si="310"/>
        <v>0</v>
      </c>
      <c r="P518" s="261">
        <f t="shared" ref="P518:P581" ca="1" si="328">IF(MAX(Z517:AB517)=0,0,P517)</f>
        <v>0</v>
      </c>
      <c r="Q518" s="3">
        <f ca="1">IF(A518&gt;MAX(OP!$R$17:$R$26),0,VLOOKUP(A518,fees,3,FALSE))</f>
        <v>0</v>
      </c>
      <c r="R518" s="200" t="str">
        <f t="shared" ca="1" si="311"/>
        <v/>
      </c>
      <c r="S518" s="9" t="str">
        <f ca="1">IF(COUNTIF(($T$4:T517),"F")&gt;=1,"",IF(OR(C519&lt;&gt;$C$3,E518=""),"",A518))</f>
        <v/>
      </c>
      <c r="T518" s="20" t="str">
        <f t="shared" ca="1" si="303"/>
        <v/>
      </c>
      <c r="U518" s="2">
        <f ca="1">IF(IF(OP!$C$83=1,$Z517,IF(OP!$C$83=2,$AA517,IF(OP!$C$83=3,$AB517,)))+$K518-$O518-$P518-$AS518&lt;OP!$C$142,0,$AS518)</f>
        <v>0</v>
      </c>
      <c r="V518" s="9"/>
      <c r="W518" s="19">
        <f ca="1">MAX(SUM($K$4:K518),0)</f>
        <v>2000000</v>
      </c>
      <c r="X518" s="19"/>
      <c r="Y518" s="19">
        <f t="shared" ref="Y518:Y581" ca="1" si="329">Y517+K518-O518</f>
        <v>1920000</v>
      </c>
      <c r="Z518" s="2">
        <f ca="1">IF(MIN($Z$4:Z517)=0,0,MAX(0,($Z517+$K518-$O518-$P518)*IF(AND(F518="F",$D$3&lt;&gt;$G$3),((1+(-J518))^(H518/MIN(G518,365))),((1+(-J518))^(1/12)))-$U518))</f>
        <v>212457.77177460236</v>
      </c>
      <c r="AA518" s="2">
        <f ca="1">IF(MIN($AA$4:AA517)=0,0,MAX(0,($AA517+$K518-$O518-$P518)*IF(AND(F518="F",$D$3&lt;&gt;$G$3),((1+$AA$1)^(H518/MIN(G518,365))),((1+$AA$1)^(1/12)))-$U518))</f>
        <v>1920000</v>
      </c>
      <c r="AB518" s="2">
        <f ca="1">IF(MIN($AB$4:AB517)=0,0,MAX(0,($AB517+$K518-$O518-$P518)*IF(AND(F518="F",$D$3&lt;&gt;$G$3),((1+(J518))^(H518/MIN(G518,365))),((1+(J518))^(1/12)))-$U518))</f>
        <v>15583869.896132013</v>
      </c>
      <c r="AC518" s="5"/>
      <c r="AD518" s="5"/>
      <c r="AE518" s="5"/>
      <c r="AF518" s="282">
        <f t="shared" ca="1" si="312"/>
        <v>212458</v>
      </c>
      <c r="AG518" s="282">
        <f t="shared" ca="1" si="313"/>
        <v>1920000</v>
      </c>
      <c r="AH518" s="282">
        <f t="shared" ca="1" si="314"/>
        <v>15583870</v>
      </c>
      <c r="AI518" s="23" t="str">
        <f t="shared" ca="1" si="295"/>
        <v>43-12</v>
      </c>
      <c r="AJ518" s="282">
        <f ca="1">IF(E518&gt;111,,IF(AND(OP!$C$99=1,T518="F"),Z518,IF(AND(OP!$C$99=2,COUNTIF($T$4:T518,"F")=1),OP!$C$97+IF(F518="F",OP!$C$98,0),"")))</f>
        <v>54527</v>
      </c>
      <c r="AK518" s="282">
        <f ca="1">IF(E518&gt;111,,IF(AND(OP!$D$99=1,T518="F"),AA518,IF(AND(OP!$D$99=2,COUNTIF($T$4:T518,"F")=1),OP!$D$97+IF(F518="F",OP!$D$98,0),"")))</f>
        <v>74177</v>
      </c>
      <c r="AL518" s="282">
        <f ca="1">IF(E518&gt;111,,IF(AND(OP!$E$99=1,T518="F"),AB518,IF(AND(OP!$E$99=2,COUNTIF($T$4:T518,"F")=1),OP!$E$97+IF(F518="F",OP!$E$98,0),"")))</f>
        <v>99404</v>
      </c>
      <c r="AM518" s="1">
        <f t="shared" ca="1" si="304"/>
        <v>12</v>
      </c>
      <c r="AN518" s="1" t="e">
        <f ca="1">IF(OR(VLOOKUP($A518,MP,5,0)="月繳"),1,"")</f>
        <v>#N/A</v>
      </c>
      <c r="AO518" s="1">
        <f t="shared" ca="1" si="315"/>
        <v>0</v>
      </c>
      <c r="AP518" s="1" t="str">
        <f ca="1">IF(AND(A518&lt;=OP!$C$120,COUNTIF(PAY,C518)=1),1,"")</f>
        <v/>
      </c>
      <c r="AR518" s="301">
        <f ca="1">IF(繳費報酬率資料!$A$1=1,$AY518+$AZ518,$BF518+$BG518)</f>
        <v>0</v>
      </c>
      <c r="AS518" s="1">
        <f ca="1">IF(C518&lt;&gt;IF($C$3=1,12,$C$3-1),0,IF(繳費報酬率資料!$A$1&lt;&gt;1,VLOOKUP($A518,MP,8,0),IF(AND($A518&gt;=OP!$C$79,$A518&lt;=OP!$C$80),OP!$C$78,)))</f>
        <v>0</v>
      </c>
      <c r="AT518" s="298">
        <f t="shared" ca="1" si="316"/>
        <v>0</v>
      </c>
      <c r="AU518" s="298">
        <f ca="1">IF(AND(A518&lt;=OP!$C$120,COUNTIF(PAY,C518)=1),OP!$C$123,0)</f>
        <v>0</v>
      </c>
      <c r="AV518" s="298">
        <f ca="1">IF(AND(A518&gt;=OP!$C$132,A518&lt;=OP!$C$133,$C$3=C518),OP!$C$135,0)</f>
        <v>0</v>
      </c>
      <c r="AW518" s="180">
        <f t="shared" ca="1" si="317"/>
        <v>0.05</v>
      </c>
      <c r="AX518" s="180">
        <f t="shared" ca="1" si="318"/>
        <v>0.05</v>
      </c>
      <c r="AY518" s="286">
        <f t="shared" ca="1" si="319"/>
        <v>0</v>
      </c>
      <c r="AZ518" s="286">
        <f t="shared" ca="1" si="320"/>
        <v>0</v>
      </c>
      <c r="BA518" s="286">
        <f t="shared" ca="1" si="321"/>
        <v>0</v>
      </c>
      <c r="BB518" s="286">
        <f t="shared" ca="1" si="322"/>
        <v>0</v>
      </c>
      <c r="BC518" s="286">
        <f t="shared" ca="1" si="323"/>
        <v>0</v>
      </c>
      <c r="BD518" s="180">
        <f t="shared" ca="1" si="324"/>
        <v>0.05</v>
      </c>
      <c r="BE518" s="180">
        <f t="shared" ca="1" si="325"/>
        <v>0.05</v>
      </c>
      <c r="BF518" s="286">
        <f t="shared" ca="1" si="326"/>
        <v>0</v>
      </c>
      <c r="BG518" s="286">
        <f t="shared" ca="1" si="327"/>
        <v>0</v>
      </c>
    </row>
    <row r="519" spans="1:59">
      <c r="A519" s="1">
        <f t="shared" ca="1" si="307"/>
        <v>43</v>
      </c>
      <c r="B519" s="1">
        <f t="shared" ca="1" si="300"/>
        <v>149</v>
      </c>
      <c r="C519" s="1">
        <f t="shared" ca="1" si="301"/>
        <v>5</v>
      </c>
      <c r="D519" s="1">
        <f ca="1">MIN($D$3,VLOOKUP(C519,OP!$S$30:$T$41,2))</f>
        <v>2</v>
      </c>
      <c r="E519" s="1">
        <f t="shared" ca="1" si="302"/>
        <v>97</v>
      </c>
      <c r="F519" s="11" t="str">
        <f t="shared" ca="1" si="308"/>
        <v/>
      </c>
      <c r="G519" s="8">
        <f t="shared" ca="1" si="305"/>
        <v>366</v>
      </c>
      <c r="H519" s="8">
        <f t="shared" ca="1" si="309"/>
        <v>31</v>
      </c>
      <c r="I519" s="8" t="str">
        <f t="shared" ca="1" si="306"/>
        <v>435</v>
      </c>
      <c r="J519" s="13">
        <f>IF(繳費報酬率資料!$A$1=1,VALUE(OP!$C$121),VLOOKUP(A519,MP,2,0))</f>
        <v>0.05</v>
      </c>
      <c r="K519" s="14">
        <f ca="1">IF(SUM($K$4:K518,IF(繳費報酬率資料!$A$1=1,$AU519+$AV519,$BB519+$BC519))&gt;OP!$L$58,0,IF(繳費報酬率資料!$A$1=1,$AU519+$AV519,$BB519+$BC519))</f>
        <v>0</v>
      </c>
      <c r="L519" s="2">
        <f ca="1">ROUND(IF(OP!$C$78&lt;(IF(OR($T519="F",$E519&gt;=111),0,Z518+$K519-$O519+IF($C$1=1,OP!$C$78,IF($C520=$C$3,SUM(AC508:AC519,0)))))*5%,0,(OP!$C$78-((IF(OR($T519="F",$E519&gt;=111),0,Z518+$K519-$O519+IF($C$1=1,AC519,IF($C520=$C$3,SUM(AC508:AC519,0)))))*5%))*$Q519),0)</f>
        <v>0</v>
      </c>
      <c r="M519" s="2">
        <f ca="1">ROUND(IF(OP!$C$78&lt;(IF(OR($T519="F",$E519&gt;=111),0,AA518+$K519-$O519+IF($C$1=1,AD519,IF($C520=$C$3,SUM(AD508:AD519,0)))))*5%,0,(OP!$C$78-((IF(OR($T519="F",$E519&gt;=111),0,AA518+$K519-$O519+IF($C$1=1,AD519,IF($C520=$C$3,SUM(AD508:AD519,0)))))*5%))*$Q519),0)</f>
        <v>0</v>
      </c>
      <c r="N519" s="2">
        <f ca="1">ROUND(IF(OP!$C$78&lt;(IF(OR($T519="F",$E519&gt;=111),0,AB518+$K519-$O519+IF($C$1=1,AE519,IF($C520=$C$3,SUM(AE508:AE519,0)))))*5%,0,(OP!$C$78-((IF(OR($T519="F",$E519&gt;=111),0,AB518+$K519-$O519+IF($C$1=1,AE519,IF($C520=$C$3,SUM(AE508:AE519,0)))))*5%))*$Q519),0)</f>
        <v>0</v>
      </c>
      <c r="O519" s="261">
        <f t="shared" ca="1" si="310"/>
        <v>0</v>
      </c>
      <c r="P519" s="261">
        <f t="shared" ca="1" si="328"/>
        <v>0</v>
      </c>
      <c r="Q519" s="3">
        <f ca="1">IF(A519&gt;MAX(OP!$R$17:$R$26),0,VLOOKUP(A519,fees,3,FALSE))</f>
        <v>0</v>
      </c>
      <c r="R519" s="200">
        <f t="shared" ca="1" si="311"/>
        <v>43</v>
      </c>
      <c r="S519" s="9" t="str">
        <f ca="1">IF(COUNTIF(($T$4:T518),"F")&gt;=1,"",IF(OR(C520&lt;&gt;$C$3,E519=""),"",A519))</f>
        <v/>
      </c>
      <c r="T519" s="20" t="str">
        <f t="shared" ca="1" si="303"/>
        <v/>
      </c>
      <c r="U519" s="2">
        <f ca="1">IF(IF(OP!$C$83=1,$Z518,IF(OP!$C$83=2,$AA518,IF(OP!$C$83=3,$AB518,)))+$K519-$O519-$P519-$AS519&lt;OP!$C$142,0,$AS519)</f>
        <v>0</v>
      </c>
      <c r="V519" s="19">
        <f ca="1">SUM(K508:K519)</f>
        <v>0</v>
      </c>
      <c r="W519" s="19">
        <f ca="1">MAX(SUM($K$4:K519),0)</f>
        <v>2000000</v>
      </c>
      <c r="X519" s="19">
        <f ca="1">SUM(O508:P519)</f>
        <v>0</v>
      </c>
      <c r="Y519" s="19">
        <f t="shared" ca="1" si="329"/>
        <v>1920000</v>
      </c>
      <c r="Z519" s="2">
        <f ca="1">IF(MIN($Z$4:Z518)=0,0,MAX(0,($Z518+$K519-$O519-$P519)*IF(AND(F519="F",$D$3&lt;&gt;$G$3),((1+(-J519))^(H519/MIN(G519,365))),((1+(-J519))^(1/12)))-$U519))</f>
        <v>211551.57165121345</v>
      </c>
      <c r="AA519" s="2">
        <f ca="1">IF(MIN($AA$4:AA518)=0,0,MAX(0,($AA518+$K519-$O519-$P519)*IF(AND(F519="F",$D$3&lt;&gt;$G$3),((1+$AA$1)^(H519/MIN(G519,365))),((1+$AA$1)^(1/12)))-$U519))</f>
        <v>1920000</v>
      </c>
      <c r="AB519" s="2">
        <f ca="1">IF(MIN($AB$4:AB518)=0,0,MAX(0,($AB518+$K519-$O519-$P519)*IF(AND(F519="F",$D$3&lt;&gt;$G$3),((1+(J519))^(H519/MIN(G519,365))),((1+(J519))^(1/12)))-$U519))</f>
        <v>15647360.511117125</v>
      </c>
      <c r="AC519" s="5"/>
      <c r="AD519" s="5"/>
      <c r="AE519" s="5"/>
      <c r="AF519" s="282">
        <f t="shared" ca="1" si="312"/>
        <v>211552</v>
      </c>
      <c r="AG519" s="282">
        <f t="shared" ca="1" si="313"/>
        <v>1920000</v>
      </c>
      <c r="AH519" s="282">
        <f t="shared" ca="1" si="314"/>
        <v>15647361</v>
      </c>
      <c r="AI519" s="23" t="str">
        <f t="shared" ca="1" si="295"/>
        <v>44-1</v>
      </c>
      <c r="AJ519" s="282">
        <f ca="1">IF(E519&gt;111,,IF(AND(OP!$C$99=1,T519="F"),Z519,IF(AND(OP!$C$99=2,COUNTIF($T$4:T519,"F")=1),OP!$C$97+IF(F519="F",OP!$C$98,0),"")))</f>
        <v>54527</v>
      </c>
      <c r="AK519" s="282">
        <f ca="1">IF(E519&gt;111,,IF(AND(OP!$D$99=1,T519="F"),AA519,IF(AND(OP!$D$99=2,COUNTIF($T$4:T519,"F")=1),OP!$D$97+IF(F519="F",OP!$D$98,0),"")))</f>
        <v>74177</v>
      </c>
      <c r="AL519" s="282">
        <f ca="1">IF(E519&gt;111,,IF(AND(OP!$E$99=1,T519="F"),AB519,IF(AND(OP!$E$99=2,COUNTIF($T$4:T519,"F")=1),OP!$E$97+IF(F519="F",OP!$E$98,0),"")))</f>
        <v>99404</v>
      </c>
      <c r="AM519" s="1">
        <f t="shared" ca="1" si="304"/>
        <v>1</v>
      </c>
      <c r="AN519" s="1" t="e">
        <f ca="1">IF(OR(VLOOKUP($A519,MP,5,0)="月繳"),1,"")</f>
        <v>#N/A</v>
      </c>
      <c r="AO519" s="1">
        <f t="shared" ca="1" si="315"/>
        <v>0</v>
      </c>
      <c r="AP519" s="1" t="str">
        <f ca="1">IF(AND(A519&lt;=OP!$C$120,COUNTIF(PAY,C519)=1),1,"")</f>
        <v/>
      </c>
      <c r="AR519" s="301">
        <f ca="1">IF(繳費報酬率資料!$A$1=1,$AY519+$AZ519,$BF519+$BG519)</f>
        <v>0</v>
      </c>
      <c r="AS519" s="1">
        <f ca="1">IF(C519&lt;&gt;IF($C$3=1,12,$C$3-1),0,IF(繳費報酬率資料!$A$1&lt;&gt;1,VLOOKUP($A519,MP,8,0),IF(AND($A519&gt;=OP!$C$79,$A519&lt;=OP!$C$80),OP!$C$78,)))</f>
        <v>0</v>
      </c>
      <c r="AT519" s="298">
        <f t="shared" ca="1" si="316"/>
        <v>0</v>
      </c>
      <c r="AU519" s="298">
        <f ca="1">IF(AND(A519&lt;=OP!$C$120,COUNTIF(PAY,C519)=1),OP!$C$123,0)</f>
        <v>0</v>
      </c>
      <c r="AV519" s="298">
        <f ca="1">IF(AND(A519&gt;=OP!$C$132,A519&lt;=OP!$C$133,$C$3=C519),OP!$C$135,0)</f>
        <v>0</v>
      </c>
      <c r="AW519" s="180">
        <f t="shared" ca="1" si="317"/>
        <v>0.05</v>
      </c>
      <c r="AX519" s="180">
        <f t="shared" ca="1" si="318"/>
        <v>0.05</v>
      </c>
      <c r="AY519" s="286">
        <f t="shared" ca="1" si="319"/>
        <v>0</v>
      </c>
      <c r="AZ519" s="286">
        <f t="shared" ca="1" si="320"/>
        <v>0</v>
      </c>
      <c r="BA519" s="286">
        <f t="shared" ca="1" si="321"/>
        <v>0</v>
      </c>
      <c r="BB519" s="286">
        <f t="shared" ca="1" si="322"/>
        <v>0</v>
      </c>
      <c r="BC519" s="286">
        <f t="shared" ca="1" si="323"/>
        <v>0</v>
      </c>
      <c r="BD519" s="180">
        <f t="shared" ca="1" si="324"/>
        <v>0.05</v>
      </c>
      <c r="BE519" s="180">
        <f t="shared" ca="1" si="325"/>
        <v>0.05</v>
      </c>
      <c r="BF519" s="286">
        <f t="shared" ca="1" si="326"/>
        <v>0</v>
      </c>
      <c r="BG519" s="286">
        <f t="shared" ca="1" si="327"/>
        <v>0</v>
      </c>
    </row>
    <row r="520" spans="1:59">
      <c r="A520" s="1">
        <f t="shared" ca="1" si="307"/>
        <v>44</v>
      </c>
      <c r="B520" s="1">
        <f t="shared" ca="1" si="300"/>
        <v>149</v>
      </c>
      <c r="C520" s="1">
        <f t="shared" ca="1" si="301"/>
        <v>6</v>
      </c>
      <c r="D520" s="1">
        <f ca="1">MIN($D$3,VLOOKUP(C520,OP!$S$30:$T$41,2))</f>
        <v>2</v>
      </c>
      <c r="E520" s="1">
        <f t="shared" ca="1" si="302"/>
        <v>98</v>
      </c>
      <c r="F520" s="11" t="str">
        <f t="shared" ca="1" si="308"/>
        <v/>
      </c>
      <c r="G520" s="6">
        <f ca="1">DATEDIF(DATE(B520+1911,C520,D520),DATE(B532+1911,C532,D532),"d")</f>
        <v>365</v>
      </c>
      <c r="H520" s="8">
        <f t="shared" ca="1" si="309"/>
        <v>30</v>
      </c>
      <c r="I520" s="8" t="str">
        <f t="shared" ca="1" si="306"/>
        <v>446</v>
      </c>
      <c r="J520" s="13">
        <f>IF(繳費報酬率資料!$A$1=1,VALUE(OP!$C$121),VLOOKUP(A520,MP,2,0))</f>
        <v>0.05</v>
      </c>
      <c r="K520" s="14">
        <f ca="1">IF(SUM($K$4:K519,IF(繳費報酬率資料!$A$1=1,$AU520+$AV520,$BB520+$BC520))&gt;OP!$L$58,0,IF(繳費報酬率資料!$A$1=1,$AU520+$AV520,$BB520+$BC520))</f>
        <v>0</v>
      </c>
      <c r="L520" s="2"/>
      <c r="M520" s="2"/>
      <c r="N520" s="2"/>
      <c r="O520" s="261">
        <f t="shared" ca="1" si="310"/>
        <v>0</v>
      </c>
      <c r="P520" s="261">
        <f t="shared" ca="1" si="328"/>
        <v>0</v>
      </c>
      <c r="Q520" s="3">
        <f ca="1">IF(A520&gt;MAX(OP!$R$17:$R$26),0,VLOOKUP(A520,fees,3,FALSE))</f>
        <v>0</v>
      </c>
      <c r="R520" s="200" t="str">
        <f t="shared" ca="1" si="311"/>
        <v/>
      </c>
      <c r="S520" s="9" t="str">
        <f ca="1">IF(COUNTIF(($T$4:T519),"F")&gt;=1,"",IF(OR(C521&lt;&gt;$C$3,E520=""),"",A520))</f>
        <v/>
      </c>
      <c r="T520" s="20" t="str">
        <f t="shared" ca="1" si="303"/>
        <v/>
      </c>
      <c r="U520" s="2">
        <f ca="1">IF(IF(OP!$C$83=1,$Z519,IF(OP!$C$83=2,$AA519,IF(OP!$C$83=3,$AB519,)))+$K520-$O520-$P520-$AS520&lt;OP!$C$142,0,$AS520)</f>
        <v>0</v>
      </c>
      <c r="V520" s="9"/>
      <c r="W520" s="19">
        <f ca="1">MAX(SUM($K$4:K520),0)</f>
        <v>2000000</v>
      </c>
      <c r="X520" s="19"/>
      <c r="Y520" s="19">
        <f t="shared" ca="1" si="329"/>
        <v>1920000</v>
      </c>
      <c r="Z520" s="2">
        <f ca="1">IF(MIN($Z$4:Z519)=0,0,MAX(0,($Z519+$K520-$O520-$P520)*IF(AND(F520="F",$D$3&lt;&gt;$G$3),((1+(-J520))^(H520/MIN(G520,365))),((1+(-J520))^(1/12)))-$U520))</f>
        <v>210649.23676022707</v>
      </c>
      <c r="AA520" s="2">
        <f ca="1">IF(MIN($AA$4:AA519)=0,0,MAX(0,($AA519+$K520-$O520-$P520)*IF(AND(F520="F",$D$3&lt;&gt;$G$3),((1+$AA$1)^(H520/MIN(G520,365))),((1+$AA$1)^(1/12)))-$U520))</f>
        <v>1920000</v>
      </c>
      <c r="AB520" s="2">
        <f ca="1">IF(MIN($AB$4:AB519)=0,0,MAX(0,($AB519+$K520-$O520-$P520)*IF(AND(F520="F",$D$3&lt;&gt;$G$3),((1+(J520))^(H520/MIN(G520,365))),((1+(J520))^(1/12)))-$U520))</f>
        <v>15711109.794726787</v>
      </c>
      <c r="AC520" s="21"/>
      <c r="AD520" s="21"/>
      <c r="AE520" s="21"/>
      <c r="AF520" s="282">
        <f t="shared" ca="1" si="312"/>
        <v>210649</v>
      </c>
      <c r="AG520" s="282">
        <f t="shared" ca="1" si="313"/>
        <v>1920000</v>
      </c>
      <c r="AH520" s="282">
        <f t="shared" ca="1" si="314"/>
        <v>15711110</v>
      </c>
      <c r="AI520" s="23" t="str">
        <f t="shared" ca="1" si="295"/>
        <v>44-2</v>
      </c>
      <c r="AJ520" s="281">
        <f ca="1">IF(E520&gt;111,,IF(AND(OP!$C$99=1,T520="F"),Z520,IF(AND(OP!$C$99=2,COUNTIF($T$4:T520,"F")=1),OP!$C$97+IF(F520="F",OP!$C$98,0),"")))</f>
        <v>54527</v>
      </c>
      <c r="AK520" s="281">
        <f ca="1">IF(E520&gt;111,,IF(AND(OP!$D$99=1,T520="F"),AA520,IF(AND(OP!$D$99=2,COUNTIF($T$4:T520,"F")=1),OP!$D$97+IF(F520="F",OP!$D$98,0),"")))</f>
        <v>74177</v>
      </c>
      <c r="AL520" s="281">
        <f ca="1">IF(E520&gt;111,,IF(AND(OP!$E$99=1,T520="F"),AB520,IF(AND(OP!$E$99=2,COUNTIF($T$4:T520,"F")=1),OP!$E$97+IF(F520="F",OP!$E$98,0),"")))</f>
        <v>99404</v>
      </c>
      <c r="AM520" s="1">
        <f t="shared" ca="1" si="304"/>
        <v>2</v>
      </c>
      <c r="AN520" s="1" t="e">
        <f ca="1">IF(OR(VLOOKUP($A520,MP,5,0)="年繳",VLOOKUP($A520,MP,5,0)="半年繳",VLOOKUP($A520,MP,5,0)="季繳",VLOOKUP($A520,MP,5,0)="月繳"),1,"")</f>
        <v>#N/A</v>
      </c>
      <c r="AO520" s="1">
        <f t="shared" ca="1" si="315"/>
        <v>0</v>
      </c>
      <c r="AP520" s="1" t="str">
        <f ca="1">IF(AND(A520&lt;=OP!$C$120,COUNTIF(PAY,C520)=1),1,"")</f>
        <v/>
      </c>
      <c r="AR520" s="301">
        <f ca="1">IF(繳費報酬率資料!$A$1=1,$AY520+$AZ520,$BF520+$BG520)</f>
        <v>0</v>
      </c>
      <c r="AS520" s="1">
        <f ca="1">IF(C520&lt;&gt;IF($C$3=1,12,$C$3-1),0,IF(繳費報酬率資料!$A$1&lt;&gt;1,VLOOKUP($A520,MP,8,0),IF(AND($A520&gt;=OP!$C$79,$A520&lt;=OP!$C$80),OP!$C$78,)))</f>
        <v>0</v>
      </c>
      <c r="AT520" s="298">
        <f t="shared" ca="1" si="316"/>
        <v>0</v>
      </c>
      <c r="AU520" s="298">
        <f ca="1">IF(AND(A520&lt;=OP!$C$120,COUNTIF(PAY,C520)=1),OP!$C$123,0)</f>
        <v>0</v>
      </c>
      <c r="AV520" s="298">
        <f ca="1">IF(AND(A520&gt;=OP!$C$132,A520&lt;=OP!$C$133,$C$3=C520),OP!$C$135,0)</f>
        <v>0</v>
      </c>
      <c r="AW520" s="180">
        <f t="shared" ca="1" si="317"/>
        <v>0.05</v>
      </c>
      <c r="AX520" s="180">
        <f t="shared" ca="1" si="318"/>
        <v>0.05</v>
      </c>
      <c r="AY520" s="286">
        <f t="shared" ca="1" si="319"/>
        <v>0</v>
      </c>
      <c r="AZ520" s="286">
        <f t="shared" ca="1" si="320"/>
        <v>0</v>
      </c>
      <c r="BA520" s="286">
        <f t="shared" ca="1" si="321"/>
        <v>0</v>
      </c>
      <c r="BB520" s="286">
        <f t="shared" ca="1" si="322"/>
        <v>0</v>
      </c>
      <c r="BC520" s="286">
        <f t="shared" ca="1" si="323"/>
        <v>0</v>
      </c>
      <c r="BD520" s="180">
        <f t="shared" ca="1" si="324"/>
        <v>0.05</v>
      </c>
      <c r="BE520" s="180">
        <f t="shared" ca="1" si="325"/>
        <v>0.05</v>
      </c>
      <c r="BF520" s="286">
        <f t="shared" ca="1" si="326"/>
        <v>0</v>
      </c>
      <c r="BG520" s="286">
        <f t="shared" ca="1" si="327"/>
        <v>0</v>
      </c>
    </row>
    <row r="521" spans="1:59">
      <c r="A521" s="1">
        <f t="shared" ca="1" si="307"/>
        <v>44</v>
      </c>
      <c r="B521" s="1">
        <f t="shared" ca="1" si="300"/>
        <v>149</v>
      </c>
      <c r="C521" s="1">
        <f t="shared" ca="1" si="301"/>
        <v>7</v>
      </c>
      <c r="D521" s="1">
        <f ca="1">MIN($D$3,VLOOKUP(C521,OP!$S$30:$T$41,2))</f>
        <v>2</v>
      </c>
      <c r="E521" s="1">
        <f t="shared" ca="1" si="302"/>
        <v>98</v>
      </c>
      <c r="F521" s="11" t="str">
        <f t="shared" ca="1" si="308"/>
        <v/>
      </c>
      <c r="G521" s="8">
        <f t="shared" ref="G521:G531" ca="1" si="330">G520</f>
        <v>365</v>
      </c>
      <c r="H521" s="8">
        <f t="shared" ca="1" si="309"/>
        <v>31</v>
      </c>
      <c r="I521" s="8" t="str">
        <f t="shared" ca="1" si="306"/>
        <v>447</v>
      </c>
      <c r="J521" s="13">
        <f>IF(繳費報酬率資料!$A$1=1,VALUE(OP!$C$121),VLOOKUP(A521,MP,2,0))</f>
        <v>0.05</v>
      </c>
      <c r="K521" s="14">
        <f ca="1">IF(SUM($K$4:K520,IF(繳費報酬率資料!$A$1=1,$AU521+$AV521,$BB521+$BC521))&gt;OP!$L$58,0,IF(繳費報酬率資料!$A$1=1,$AU521+$AV521,$BB521+$BC521))</f>
        <v>0</v>
      </c>
      <c r="L521" s="2"/>
      <c r="M521" s="2"/>
      <c r="N521" s="2"/>
      <c r="O521" s="261">
        <f t="shared" ca="1" si="310"/>
        <v>0</v>
      </c>
      <c r="P521" s="261">
        <f t="shared" ca="1" si="328"/>
        <v>0</v>
      </c>
      <c r="Q521" s="3">
        <f ca="1">IF(A521&gt;MAX(OP!$R$17:$R$26),0,VLOOKUP(A521,fees,3,FALSE))</f>
        <v>0</v>
      </c>
      <c r="R521" s="200" t="str">
        <f t="shared" ca="1" si="311"/>
        <v/>
      </c>
      <c r="S521" s="9" t="str">
        <f ca="1">IF(COUNTIF(($T$4:T520),"F")&gt;=1,"",IF(OR(C522&lt;&gt;$C$3,E521=""),"",A521))</f>
        <v/>
      </c>
      <c r="T521" s="20" t="str">
        <f t="shared" ca="1" si="303"/>
        <v/>
      </c>
      <c r="U521" s="2">
        <f ca="1">IF(IF(OP!$C$83=1,$Z520,IF(OP!$C$83=2,$AA520,IF(OP!$C$83=3,$AB520,)))+$K521-$O521-$P521-$AS521&lt;OP!$C$142,0,$AS521)</f>
        <v>0</v>
      </c>
      <c r="V521" s="9"/>
      <c r="W521" s="19">
        <f ca="1">MAX(SUM($K$4:K521),0)</f>
        <v>2000000</v>
      </c>
      <c r="X521" s="19"/>
      <c r="Y521" s="19">
        <f t="shared" ca="1" si="329"/>
        <v>1920000</v>
      </c>
      <c r="Z521" s="2">
        <f ca="1">IF(MIN($Z$4:Z520)=0,0,MAX(0,($Z520+$K521-$O521-$P521)*IF(AND(F521="F",$D$3&lt;&gt;$G$3),((1+(-J521))^(H521/MIN(G521,365))),((1+(-J521))^(1/12)))-$U521))</f>
        <v>209750.75061519485</v>
      </c>
      <c r="AA521" s="2">
        <f ca="1">IF(MIN($AA$4:AA520)=0,0,MAX(0,($AA520+$K521-$O521-$P521)*IF(AND(F521="F",$D$3&lt;&gt;$G$3),((1+$AA$1)^(H521/MIN(G521,365))),((1+$AA$1)^(1/12)))-$U521))</f>
        <v>1920000</v>
      </c>
      <c r="AB521" s="2">
        <f ca="1">IF(MIN($AB$4:AB520)=0,0,MAX(0,($AB520+$K521-$O521-$P521)*IF(AND(F521="F",$D$3&lt;&gt;$G$3),((1+(J521))^(H521/MIN(G521,365))),((1+(J521))^(1/12)))-$U521))</f>
        <v>15775118.800808994</v>
      </c>
      <c r="AC521" s="5"/>
      <c r="AD521" s="5"/>
      <c r="AE521" s="5"/>
      <c r="AF521" s="282">
        <f t="shared" ca="1" si="312"/>
        <v>209751</v>
      </c>
      <c r="AG521" s="282">
        <f t="shared" ca="1" si="313"/>
        <v>1920000</v>
      </c>
      <c r="AH521" s="282">
        <f t="shared" ca="1" si="314"/>
        <v>15775119</v>
      </c>
      <c r="AI521" s="23" t="str">
        <f t="shared" ca="1" si="295"/>
        <v>44-3</v>
      </c>
      <c r="AJ521" s="282">
        <f ca="1">IF(E521&gt;111,,IF(AND(OP!$C$99=1,T521="F"),Z521,IF(AND(OP!$C$99=2,COUNTIF($T$4:T521,"F")=1),OP!$C$97+IF(F521="F",OP!$C$98,0),"")))</f>
        <v>54527</v>
      </c>
      <c r="AK521" s="282">
        <f ca="1">IF(E521&gt;111,,IF(AND(OP!$D$99=1,T521="F"),AA521,IF(AND(OP!$D$99=2,COUNTIF($T$4:T521,"F")=1),OP!$D$97+IF(F521="F",OP!$D$98,0),"")))</f>
        <v>74177</v>
      </c>
      <c r="AL521" s="282">
        <f ca="1">IF(E521&gt;111,,IF(AND(OP!$E$99=1,T521="F"),AB521,IF(AND(OP!$E$99=2,COUNTIF($T$4:T521,"F")=1),OP!$E$97+IF(F521="F",OP!$E$98,0),"")))</f>
        <v>99404</v>
      </c>
      <c r="AM521" s="1">
        <f t="shared" ca="1" si="304"/>
        <v>3</v>
      </c>
      <c r="AN521" s="1" t="e">
        <f ca="1">IF(OR(VLOOKUP($A521,MP,5,0)="月繳"),1,"")</f>
        <v>#N/A</v>
      </c>
      <c r="AO521" s="1">
        <f t="shared" ca="1" si="315"/>
        <v>0</v>
      </c>
      <c r="AP521" s="1" t="str">
        <f ca="1">IF(AND(A521&lt;=OP!$C$120,COUNTIF(PAY,C521)=1),1,"")</f>
        <v/>
      </c>
      <c r="AR521" s="301">
        <f ca="1">IF(繳費報酬率資料!$A$1=1,$AY521+$AZ521,$BF521+$BG521)</f>
        <v>0</v>
      </c>
      <c r="AS521" s="1">
        <f ca="1">IF(C521&lt;&gt;IF($C$3=1,12,$C$3-1),0,IF(繳費報酬率資料!$A$1&lt;&gt;1,VLOOKUP($A521,MP,8,0),IF(AND($A521&gt;=OP!$C$79,$A521&lt;=OP!$C$80),OP!$C$78,)))</f>
        <v>0</v>
      </c>
      <c r="AT521" s="298">
        <f t="shared" ca="1" si="316"/>
        <v>0</v>
      </c>
      <c r="AU521" s="298">
        <f ca="1">IF(AND(A521&lt;=OP!$C$120,COUNTIF(PAY,C521)=1),OP!$C$123,0)</f>
        <v>0</v>
      </c>
      <c r="AV521" s="298">
        <f ca="1">IF(AND(A521&gt;=OP!$C$132,A521&lt;=OP!$C$133,$C$3=C521),OP!$C$135,0)</f>
        <v>0</v>
      </c>
      <c r="AW521" s="180">
        <f t="shared" ca="1" si="317"/>
        <v>0.05</v>
      </c>
      <c r="AX521" s="180">
        <f t="shared" ca="1" si="318"/>
        <v>0.05</v>
      </c>
      <c r="AY521" s="286">
        <f t="shared" ca="1" si="319"/>
        <v>0</v>
      </c>
      <c r="AZ521" s="286">
        <f t="shared" ca="1" si="320"/>
        <v>0</v>
      </c>
      <c r="BA521" s="286">
        <f t="shared" ca="1" si="321"/>
        <v>0</v>
      </c>
      <c r="BB521" s="286">
        <f t="shared" ca="1" si="322"/>
        <v>0</v>
      </c>
      <c r="BC521" s="286">
        <f t="shared" ca="1" si="323"/>
        <v>0</v>
      </c>
      <c r="BD521" s="180">
        <f t="shared" ca="1" si="324"/>
        <v>0.05</v>
      </c>
      <c r="BE521" s="180">
        <f t="shared" ca="1" si="325"/>
        <v>0.05</v>
      </c>
      <c r="BF521" s="286">
        <f t="shared" ca="1" si="326"/>
        <v>0</v>
      </c>
      <c r="BG521" s="286">
        <f t="shared" ca="1" si="327"/>
        <v>0</v>
      </c>
    </row>
    <row r="522" spans="1:59">
      <c r="A522" s="1">
        <f t="shared" ca="1" si="307"/>
        <v>44</v>
      </c>
      <c r="B522" s="1">
        <f t="shared" ca="1" si="300"/>
        <v>149</v>
      </c>
      <c r="C522" s="1">
        <f t="shared" ca="1" si="301"/>
        <v>8</v>
      </c>
      <c r="D522" s="1">
        <f ca="1">MIN($D$3,VLOOKUP(C522,OP!$S$30:$T$41,2))</f>
        <v>2</v>
      </c>
      <c r="E522" s="1">
        <f t="shared" ca="1" si="302"/>
        <v>98</v>
      </c>
      <c r="F522" s="11" t="str">
        <f t="shared" ca="1" si="308"/>
        <v/>
      </c>
      <c r="G522" s="8">
        <f t="shared" ca="1" si="330"/>
        <v>365</v>
      </c>
      <c r="H522" s="8">
        <f t="shared" ca="1" si="309"/>
        <v>31</v>
      </c>
      <c r="I522" s="8" t="str">
        <f t="shared" ca="1" si="306"/>
        <v>448</v>
      </c>
      <c r="J522" s="13">
        <f>IF(繳費報酬率資料!$A$1=1,VALUE(OP!$C$121),VLOOKUP(A522,MP,2,0))</f>
        <v>0.05</v>
      </c>
      <c r="K522" s="14">
        <f ca="1">IF(SUM($K$4:K521,IF(繳費報酬率資料!$A$1=1,$AU522+$AV522,$BB522+$BC522))&gt;OP!$L$58,0,IF(繳費報酬率資料!$A$1=1,$AU522+$AV522,$BB522+$BC522))</f>
        <v>0</v>
      </c>
      <c r="L522" s="2"/>
      <c r="M522" s="2"/>
      <c r="N522" s="2"/>
      <c r="O522" s="261">
        <f t="shared" ca="1" si="310"/>
        <v>0</v>
      </c>
      <c r="P522" s="261">
        <f t="shared" ca="1" si="328"/>
        <v>0</v>
      </c>
      <c r="Q522" s="3">
        <f ca="1">IF(A522&gt;MAX(OP!$R$17:$R$26),0,VLOOKUP(A522,fees,3,FALSE))</f>
        <v>0</v>
      </c>
      <c r="R522" s="200" t="str">
        <f t="shared" ca="1" si="311"/>
        <v/>
      </c>
      <c r="S522" s="9" t="str">
        <f ca="1">IF(COUNTIF(($T$4:T521),"F")&gt;=1,"",IF(OR(C523&lt;&gt;$C$3,E522=""),"",A522))</f>
        <v/>
      </c>
      <c r="T522" s="20" t="str">
        <f t="shared" ca="1" si="303"/>
        <v/>
      </c>
      <c r="U522" s="2">
        <f ca="1">IF(IF(OP!$C$83=1,$Z521,IF(OP!$C$83=2,$AA521,IF(OP!$C$83=3,$AB521,)))+$K522-$O522-$P522-$AS522&lt;OP!$C$142,0,$AS522)</f>
        <v>0</v>
      </c>
      <c r="V522" s="9"/>
      <c r="W522" s="19">
        <f ca="1">MAX(SUM($K$4:K522),0)</f>
        <v>2000000</v>
      </c>
      <c r="X522" s="19"/>
      <c r="Y522" s="19">
        <f t="shared" ca="1" si="329"/>
        <v>1920000</v>
      </c>
      <c r="Z522" s="2">
        <f ca="1">IF(MIN($Z$4:Z521)=0,0,MAX(0,($Z521+$K522-$O522-$P522)*IF(AND(F522="F",$D$3&lt;&gt;$G$3),((1+(-J522))^(H522/MIN(G522,365))),((1+(-J522))^(1/12)))-$U522))</f>
        <v>208856.09679998842</v>
      </c>
      <c r="AA522" s="2">
        <f ca="1">IF(MIN($AA$4:AA521)=0,0,MAX(0,($AA521+$K522-$O522-$P522)*IF(AND(F522="F",$D$3&lt;&gt;$G$3),((1+$AA$1)^(H522/MIN(G522,365))),((1+$AA$1)^(1/12)))-$U522))</f>
        <v>1920000</v>
      </c>
      <c r="AB522" s="2">
        <f ca="1">IF(MIN($AB$4:AB521)=0,0,MAX(0,($AB521+$K522-$O522-$P522)*IF(AND(F522="F",$D$3&lt;&gt;$G$3),((1+(J522))^(H522/MIN(G522,365))),((1+(J522))^(1/12)))-$U522))</f>
        <v>15839388.587505247</v>
      </c>
      <c r="AC522" s="5"/>
      <c r="AD522" s="5"/>
      <c r="AE522" s="5"/>
      <c r="AF522" s="282">
        <f t="shared" ca="1" si="312"/>
        <v>208856</v>
      </c>
      <c r="AG522" s="282">
        <f t="shared" ca="1" si="313"/>
        <v>1920000</v>
      </c>
      <c r="AH522" s="282">
        <f t="shared" ca="1" si="314"/>
        <v>15839389</v>
      </c>
      <c r="AI522" s="23" t="str">
        <f t="shared" ca="1" si="295"/>
        <v>44-4</v>
      </c>
      <c r="AJ522" s="282">
        <f ca="1">IF(E522&gt;111,,IF(AND(OP!$C$99=1,T522="F"),Z522,IF(AND(OP!$C$99=2,COUNTIF($T$4:T522,"F")=1),OP!$C$97+IF(F522="F",OP!$C$98,0),"")))</f>
        <v>54527</v>
      </c>
      <c r="AK522" s="282">
        <f ca="1">IF(E522&gt;111,,IF(AND(OP!$D$99=1,T522="F"),AA522,IF(AND(OP!$D$99=2,COUNTIF($T$4:T522,"F")=1),OP!$D$97+IF(F522="F",OP!$D$98,0),"")))</f>
        <v>74177</v>
      </c>
      <c r="AL522" s="282">
        <f ca="1">IF(E522&gt;111,,IF(AND(OP!$E$99=1,T522="F"),AB522,IF(AND(OP!$E$99=2,COUNTIF($T$4:T522,"F")=1),OP!$E$97+IF(F522="F",OP!$E$98,0),"")))</f>
        <v>99404</v>
      </c>
      <c r="AM522" s="1">
        <f t="shared" ca="1" si="304"/>
        <v>4</v>
      </c>
      <c r="AN522" s="1" t="e">
        <f ca="1">IF(OR(VLOOKUP($A522,MP,5,0)="月繳"),1,"")</f>
        <v>#N/A</v>
      </c>
      <c r="AO522" s="1">
        <f t="shared" ca="1" si="315"/>
        <v>0</v>
      </c>
      <c r="AP522" s="1" t="str">
        <f ca="1">IF(AND(A522&lt;=OP!$C$120,COUNTIF(PAY,C522)=1),1,"")</f>
        <v/>
      </c>
      <c r="AR522" s="301">
        <f ca="1">IF(繳費報酬率資料!$A$1=1,$AY522+$AZ522,$BF522+$BG522)</f>
        <v>0</v>
      </c>
      <c r="AS522" s="1">
        <f ca="1">IF(C522&lt;&gt;IF($C$3=1,12,$C$3-1),0,IF(繳費報酬率資料!$A$1&lt;&gt;1,VLOOKUP($A522,MP,8,0),IF(AND($A522&gt;=OP!$C$79,$A522&lt;=OP!$C$80),OP!$C$78,)))</f>
        <v>0</v>
      </c>
      <c r="AT522" s="298">
        <f t="shared" ca="1" si="316"/>
        <v>0</v>
      </c>
      <c r="AU522" s="298">
        <f ca="1">IF(AND(A522&lt;=OP!$C$120,COUNTIF(PAY,C522)=1),OP!$C$123,0)</f>
        <v>0</v>
      </c>
      <c r="AV522" s="298">
        <f ca="1">IF(AND(A522&gt;=OP!$C$132,A522&lt;=OP!$C$133,$C$3=C522),OP!$C$135,0)</f>
        <v>0</v>
      </c>
      <c r="AW522" s="180">
        <f t="shared" ca="1" si="317"/>
        <v>0.05</v>
      </c>
      <c r="AX522" s="180">
        <f t="shared" ca="1" si="318"/>
        <v>0.05</v>
      </c>
      <c r="AY522" s="286">
        <f t="shared" ca="1" si="319"/>
        <v>0</v>
      </c>
      <c r="AZ522" s="286">
        <f t="shared" ca="1" si="320"/>
        <v>0</v>
      </c>
      <c r="BA522" s="286">
        <f t="shared" ca="1" si="321"/>
        <v>0</v>
      </c>
      <c r="BB522" s="286">
        <f t="shared" ca="1" si="322"/>
        <v>0</v>
      </c>
      <c r="BC522" s="286">
        <f t="shared" ca="1" si="323"/>
        <v>0</v>
      </c>
      <c r="BD522" s="180">
        <f t="shared" ca="1" si="324"/>
        <v>0.05</v>
      </c>
      <c r="BE522" s="180">
        <f t="shared" ca="1" si="325"/>
        <v>0.05</v>
      </c>
      <c r="BF522" s="286">
        <f t="shared" ca="1" si="326"/>
        <v>0</v>
      </c>
      <c r="BG522" s="286">
        <f t="shared" ca="1" si="327"/>
        <v>0</v>
      </c>
    </row>
    <row r="523" spans="1:59">
      <c r="A523" s="1">
        <f t="shared" ca="1" si="307"/>
        <v>44</v>
      </c>
      <c r="B523" s="1">
        <f t="shared" ca="1" si="300"/>
        <v>149</v>
      </c>
      <c r="C523" s="1">
        <f t="shared" ca="1" si="301"/>
        <v>9</v>
      </c>
      <c r="D523" s="1">
        <f ca="1">MIN($D$3,VLOOKUP(C523,OP!$S$30:$T$41,2))</f>
        <v>2</v>
      </c>
      <c r="E523" s="1">
        <f t="shared" ca="1" si="302"/>
        <v>98</v>
      </c>
      <c r="F523" s="11" t="str">
        <f t="shared" ca="1" si="308"/>
        <v/>
      </c>
      <c r="G523" s="8">
        <f t="shared" ca="1" si="330"/>
        <v>365</v>
      </c>
      <c r="H523" s="8">
        <f t="shared" ca="1" si="309"/>
        <v>30</v>
      </c>
      <c r="I523" s="8" t="str">
        <f t="shared" ca="1" si="306"/>
        <v>449</v>
      </c>
      <c r="J523" s="13">
        <f>IF(繳費報酬率資料!$A$1=1,VALUE(OP!$C$121),VLOOKUP(A523,MP,2,0))</f>
        <v>0.05</v>
      </c>
      <c r="K523" s="14">
        <f ca="1">IF(SUM($K$4:K522,IF(繳費報酬率資料!$A$1=1,$AU523+$AV523,$BB523+$BC523))&gt;OP!$L$58,0,IF(繳費報酬率資料!$A$1=1,$AU523+$AV523,$BB523+$BC523))</f>
        <v>0</v>
      </c>
      <c r="L523" s="2"/>
      <c r="M523" s="2"/>
      <c r="N523" s="2"/>
      <c r="O523" s="261">
        <f t="shared" ca="1" si="310"/>
        <v>0</v>
      </c>
      <c r="P523" s="261">
        <f t="shared" ca="1" si="328"/>
        <v>0</v>
      </c>
      <c r="Q523" s="3">
        <f ca="1">IF(A523&gt;MAX(OP!$R$17:$R$26),0,VLOOKUP(A523,fees,3,FALSE))</f>
        <v>0</v>
      </c>
      <c r="R523" s="200" t="str">
        <f t="shared" ca="1" si="311"/>
        <v/>
      </c>
      <c r="S523" s="9" t="str">
        <f ca="1">IF(COUNTIF(($T$4:T522),"F")&gt;=1,"",IF(OR(C524&lt;&gt;$C$3,E523=""),"",A523))</f>
        <v/>
      </c>
      <c r="T523" s="20" t="str">
        <f t="shared" ca="1" si="303"/>
        <v/>
      </c>
      <c r="U523" s="2">
        <f ca="1">IF(IF(OP!$C$83=1,$Z522,IF(OP!$C$83=2,$AA522,IF(OP!$C$83=3,$AB522,)))+$K523-$O523-$P523-$AS523&lt;OP!$C$142,0,$AS523)</f>
        <v>0</v>
      </c>
      <c r="V523" s="9"/>
      <c r="W523" s="19">
        <f ca="1">MAX(SUM($K$4:K523),0)</f>
        <v>2000000</v>
      </c>
      <c r="X523" s="19"/>
      <c r="Y523" s="19">
        <f t="shared" ca="1" si="329"/>
        <v>1920000</v>
      </c>
      <c r="Z523" s="2">
        <f ca="1">IF(MIN($Z$4:Z522)=0,0,MAX(0,($Z522+$K523-$O523-$P523)*IF(AND(F523="F",$D$3&lt;&gt;$G$3),((1+(-J523))^(H523/MIN(G523,365))),((1+(-J523))^(1/12)))-$U523))</f>
        <v>207965.2589684994</v>
      </c>
      <c r="AA523" s="2">
        <f ca="1">IF(MIN($AA$4:AA522)=0,0,MAX(0,($AA522+$K523-$O523-$P523)*IF(AND(F523="F",$D$3&lt;&gt;$G$3),((1+$AA$1)^(H523/MIN(G523,365))),((1+$AA$1)^(1/12)))-$U523))</f>
        <v>1920000</v>
      </c>
      <c r="AB523" s="2">
        <f ca="1">IF(MIN($AB$4:AB522)=0,0,MAX(0,($AB522+$K523-$O523-$P523)*IF(AND(F523="F",$D$3&lt;&gt;$G$3),((1+(J523))^(H523/MIN(G523,365))),((1+(J523))^(1/12)))-$U523))</f>
        <v>15903920.217268052</v>
      </c>
      <c r="AC523" s="5"/>
      <c r="AD523" s="5"/>
      <c r="AE523" s="5"/>
      <c r="AF523" s="282">
        <f t="shared" ca="1" si="312"/>
        <v>207965</v>
      </c>
      <c r="AG523" s="282">
        <f t="shared" ca="1" si="313"/>
        <v>1920000</v>
      </c>
      <c r="AH523" s="282">
        <f t="shared" ca="1" si="314"/>
        <v>15903920</v>
      </c>
      <c r="AI523" s="23" t="str">
        <f t="shared" ca="1" si="295"/>
        <v>44-5</v>
      </c>
      <c r="AJ523" s="282">
        <f ca="1">IF(E523&gt;111,,IF(AND(OP!$C$99=1,T523="F"),Z523,IF(AND(OP!$C$99=2,COUNTIF($T$4:T523,"F")=1),OP!$C$97+IF(F523="F",OP!$C$98,0),"")))</f>
        <v>54527</v>
      </c>
      <c r="AK523" s="282">
        <f ca="1">IF(E523&gt;111,,IF(AND(OP!$D$99=1,T523="F"),AA523,IF(AND(OP!$D$99=2,COUNTIF($T$4:T523,"F")=1),OP!$D$97+IF(F523="F",OP!$D$98,0),"")))</f>
        <v>74177</v>
      </c>
      <c r="AL523" s="282">
        <f ca="1">IF(E523&gt;111,,IF(AND(OP!$E$99=1,T523="F"),AB523,IF(AND(OP!$E$99=2,COUNTIF($T$4:T523,"F")=1),OP!$E$97+IF(F523="F",OP!$E$98,0),"")))</f>
        <v>99404</v>
      </c>
      <c r="AM523" s="1">
        <f t="shared" ca="1" si="304"/>
        <v>5</v>
      </c>
      <c r="AN523" s="1" t="e">
        <f ca="1">IF(OR(VLOOKUP($A523,MP,5,0)="季繳",VLOOKUP($A523,MP,5,0)="月繳"),1,"")</f>
        <v>#N/A</v>
      </c>
      <c r="AO523" s="1">
        <f t="shared" ca="1" si="315"/>
        <v>0</v>
      </c>
      <c r="AP523" s="1" t="str">
        <f ca="1">IF(AND(A523&lt;=OP!$C$120,COUNTIF(PAY,C523)=1),1,"")</f>
        <v/>
      </c>
      <c r="AR523" s="301">
        <f ca="1">IF(繳費報酬率資料!$A$1=1,$AY523+$AZ523,$BF523+$BG523)</f>
        <v>0</v>
      </c>
      <c r="AS523" s="1">
        <f ca="1">IF(C523&lt;&gt;IF($C$3=1,12,$C$3-1),0,IF(繳費報酬率資料!$A$1&lt;&gt;1,VLOOKUP($A523,MP,8,0),IF(AND($A523&gt;=OP!$C$79,$A523&lt;=OP!$C$80),OP!$C$78,)))</f>
        <v>0</v>
      </c>
      <c r="AT523" s="298">
        <f t="shared" ca="1" si="316"/>
        <v>0</v>
      </c>
      <c r="AU523" s="298">
        <f ca="1">IF(AND(A523&lt;=OP!$C$120,COUNTIF(PAY,C523)=1),OP!$C$123,0)</f>
        <v>0</v>
      </c>
      <c r="AV523" s="298">
        <f ca="1">IF(AND(A523&gt;=OP!$C$132,A523&lt;=OP!$C$133,$C$3=C523),OP!$C$135,0)</f>
        <v>0</v>
      </c>
      <c r="AW523" s="180">
        <f t="shared" ca="1" si="317"/>
        <v>0.05</v>
      </c>
      <c r="AX523" s="180">
        <f t="shared" ca="1" si="318"/>
        <v>0.05</v>
      </c>
      <c r="AY523" s="286">
        <f t="shared" ca="1" si="319"/>
        <v>0</v>
      </c>
      <c r="AZ523" s="286">
        <f t="shared" ca="1" si="320"/>
        <v>0</v>
      </c>
      <c r="BA523" s="286">
        <f t="shared" ca="1" si="321"/>
        <v>0</v>
      </c>
      <c r="BB523" s="286">
        <f t="shared" ca="1" si="322"/>
        <v>0</v>
      </c>
      <c r="BC523" s="286">
        <f t="shared" ca="1" si="323"/>
        <v>0</v>
      </c>
      <c r="BD523" s="180">
        <f t="shared" ca="1" si="324"/>
        <v>0.05</v>
      </c>
      <c r="BE523" s="180">
        <f t="shared" ca="1" si="325"/>
        <v>0.05</v>
      </c>
      <c r="BF523" s="286">
        <f t="shared" ca="1" si="326"/>
        <v>0</v>
      </c>
      <c r="BG523" s="286">
        <f t="shared" ca="1" si="327"/>
        <v>0</v>
      </c>
    </row>
    <row r="524" spans="1:59">
      <c r="A524" s="1">
        <f t="shared" ca="1" si="307"/>
        <v>44</v>
      </c>
      <c r="B524" s="1">
        <f t="shared" ca="1" si="300"/>
        <v>149</v>
      </c>
      <c r="C524" s="1">
        <f t="shared" ca="1" si="301"/>
        <v>10</v>
      </c>
      <c r="D524" s="1">
        <f ca="1">MIN($D$3,VLOOKUP(C524,OP!$S$30:$T$41,2))</f>
        <v>2</v>
      </c>
      <c r="E524" s="1">
        <f t="shared" ca="1" si="302"/>
        <v>98</v>
      </c>
      <c r="F524" s="11" t="str">
        <f t="shared" ca="1" si="308"/>
        <v/>
      </c>
      <c r="G524" s="8">
        <f t="shared" ca="1" si="330"/>
        <v>365</v>
      </c>
      <c r="H524" s="8">
        <f t="shared" ca="1" si="309"/>
        <v>31</v>
      </c>
      <c r="I524" s="8" t="str">
        <f t="shared" ca="1" si="306"/>
        <v>4410</v>
      </c>
      <c r="J524" s="13">
        <f>IF(繳費報酬率資料!$A$1=1,VALUE(OP!$C$121),VLOOKUP(A524,MP,2,0))</f>
        <v>0.05</v>
      </c>
      <c r="K524" s="14">
        <f ca="1">IF(SUM($K$4:K523,IF(繳費報酬率資料!$A$1=1,$AU524+$AV524,$BB524+$BC524))&gt;OP!$L$58,0,IF(繳費報酬率資料!$A$1=1,$AU524+$AV524,$BB524+$BC524))</f>
        <v>0</v>
      </c>
      <c r="L524" s="2"/>
      <c r="M524" s="2"/>
      <c r="N524" s="2"/>
      <c r="O524" s="261">
        <f t="shared" ca="1" si="310"/>
        <v>0</v>
      </c>
      <c r="P524" s="261">
        <f t="shared" ca="1" si="328"/>
        <v>0</v>
      </c>
      <c r="Q524" s="3">
        <f ca="1">IF(A524&gt;MAX(OP!$R$17:$R$26),0,VLOOKUP(A524,fees,3,FALSE))</f>
        <v>0</v>
      </c>
      <c r="R524" s="200" t="str">
        <f t="shared" ca="1" si="311"/>
        <v/>
      </c>
      <c r="S524" s="9" t="str">
        <f ca="1">IF(COUNTIF(($T$4:T523),"F")&gt;=1,"",IF(OR(C525&lt;&gt;$C$3,E524=""),"",A524))</f>
        <v/>
      </c>
      <c r="T524" s="20" t="str">
        <f t="shared" ca="1" si="303"/>
        <v/>
      </c>
      <c r="U524" s="2">
        <f ca="1">IF(IF(OP!$C$83=1,$Z523,IF(OP!$C$83=2,$AA523,IF(OP!$C$83=3,$AB523,)))+$K524-$O524-$P524-$AS524&lt;OP!$C$142,0,$AS524)</f>
        <v>0</v>
      </c>
      <c r="V524" s="9"/>
      <c r="W524" s="19">
        <f ca="1">MAX(SUM($K$4:K524),0)</f>
        <v>2000000</v>
      </c>
      <c r="X524" s="19"/>
      <c r="Y524" s="19">
        <f t="shared" ca="1" si="329"/>
        <v>1920000</v>
      </c>
      <c r="Z524" s="2">
        <f ca="1">IF(MIN($Z$4:Z523)=0,0,MAX(0,($Z523+$K524-$O524-$P524)*IF(AND(F524="F",$D$3&lt;&gt;$G$3),((1+(-J524))^(H524/MIN(G524,365))),((1+(-J524))^(1/12)))-$U524))</f>
        <v>207078.2208443408</v>
      </c>
      <c r="AA524" s="2">
        <f ca="1">IF(MIN($AA$4:AA523)=0,0,MAX(0,($AA523+$K524-$O524-$P524)*IF(AND(F524="F",$D$3&lt;&gt;$G$3),((1+$AA$1)^(H524/MIN(G524,365))),((1+$AA$1)^(1/12)))-$U524))</f>
        <v>1920000</v>
      </c>
      <c r="AB524" s="2">
        <f ca="1">IF(MIN($AB$4:AB523)=0,0,MAX(0,($AB523+$K524-$O524-$P524)*IF(AND(F524="F",$D$3&lt;&gt;$G$3),((1+(J524))^(H524/MIN(G524,365))),((1+(J524))^(1/12)))-$U524))</f>
        <v>15968714.756878469</v>
      </c>
      <c r="AC524" s="5"/>
      <c r="AD524" s="5"/>
      <c r="AE524" s="5"/>
      <c r="AF524" s="282">
        <f t="shared" ca="1" si="312"/>
        <v>207078</v>
      </c>
      <c r="AG524" s="282">
        <f t="shared" ca="1" si="313"/>
        <v>1920000</v>
      </c>
      <c r="AH524" s="282">
        <f t="shared" ca="1" si="314"/>
        <v>15968715</v>
      </c>
      <c r="AI524" s="23" t="str">
        <f t="shared" ref="AI524:AI587" ca="1" si="331">IF($G$3=D525,A525,A524)&amp;"-"&amp;AM524</f>
        <v>44-6</v>
      </c>
      <c r="AJ524" s="282">
        <f ca="1">IF(E524&gt;111,,IF(AND(OP!$C$99=1,T524="F"),Z524,IF(AND(OP!$C$99=2,COUNTIF($T$4:T524,"F")=1),OP!$C$97+IF(F524="F",OP!$C$98,0),"")))</f>
        <v>54527</v>
      </c>
      <c r="AK524" s="282">
        <f ca="1">IF(E524&gt;111,,IF(AND(OP!$D$99=1,T524="F"),AA524,IF(AND(OP!$D$99=2,COUNTIF($T$4:T524,"F")=1),OP!$D$97+IF(F524="F",OP!$D$98,0),"")))</f>
        <v>74177</v>
      </c>
      <c r="AL524" s="282">
        <f ca="1">IF(E524&gt;111,,IF(AND(OP!$E$99=1,T524="F"),AB524,IF(AND(OP!$E$99=2,COUNTIF($T$4:T524,"F")=1),OP!$E$97+IF(F524="F",OP!$E$98,0),"")))</f>
        <v>99404</v>
      </c>
      <c r="AM524" s="1">
        <f t="shared" ca="1" si="304"/>
        <v>6</v>
      </c>
      <c r="AN524" s="1" t="e">
        <f ca="1">IF(OR(VLOOKUP($A524,MP,5,0)="月繳"),1,"")</f>
        <v>#N/A</v>
      </c>
      <c r="AO524" s="1">
        <f t="shared" ca="1" si="315"/>
        <v>0</v>
      </c>
      <c r="AP524" s="1" t="str">
        <f ca="1">IF(AND(A524&lt;=OP!$C$120,COUNTIF(PAY,C524)=1),1,"")</f>
        <v/>
      </c>
      <c r="AR524" s="301">
        <f ca="1">IF(繳費報酬率資料!$A$1=1,$AY524+$AZ524,$BF524+$BG524)</f>
        <v>0</v>
      </c>
      <c r="AS524" s="1">
        <f ca="1">IF(C524&lt;&gt;IF($C$3=1,12,$C$3-1),0,IF(繳費報酬率資料!$A$1&lt;&gt;1,VLOOKUP($A524,MP,8,0),IF(AND($A524&gt;=OP!$C$79,$A524&lt;=OP!$C$80),OP!$C$78,)))</f>
        <v>0</v>
      </c>
      <c r="AT524" s="298">
        <f t="shared" ca="1" si="316"/>
        <v>0</v>
      </c>
      <c r="AU524" s="298">
        <f ca="1">IF(AND(A524&lt;=OP!$C$120,COUNTIF(PAY,C524)=1),OP!$C$123,0)</f>
        <v>0</v>
      </c>
      <c r="AV524" s="298">
        <f ca="1">IF(AND(A524&gt;=OP!$C$132,A524&lt;=OP!$C$133,$C$3=C524),OP!$C$135,0)</f>
        <v>0</v>
      </c>
      <c r="AW524" s="180">
        <f t="shared" ca="1" si="317"/>
        <v>0.05</v>
      </c>
      <c r="AX524" s="180">
        <f t="shared" ca="1" si="318"/>
        <v>0.05</v>
      </c>
      <c r="AY524" s="286">
        <f t="shared" ca="1" si="319"/>
        <v>0</v>
      </c>
      <c r="AZ524" s="286">
        <f t="shared" ca="1" si="320"/>
        <v>0</v>
      </c>
      <c r="BA524" s="286">
        <f t="shared" ca="1" si="321"/>
        <v>0</v>
      </c>
      <c r="BB524" s="286">
        <f t="shared" ca="1" si="322"/>
        <v>0</v>
      </c>
      <c r="BC524" s="286">
        <f t="shared" ca="1" si="323"/>
        <v>0</v>
      </c>
      <c r="BD524" s="180">
        <f t="shared" ca="1" si="324"/>
        <v>0.05</v>
      </c>
      <c r="BE524" s="180">
        <f t="shared" ca="1" si="325"/>
        <v>0.05</v>
      </c>
      <c r="BF524" s="286">
        <f t="shared" ca="1" si="326"/>
        <v>0</v>
      </c>
      <c r="BG524" s="286">
        <f t="shared" ca="1" si="327"/>
        <v>0</v>
      </c>
    </row>
    <row r="525" spans="1:59">
      <c r="A525" s="1">
        <f t="shared" ca="1" si="307"/>
        <v>44</v>
      </c>
      <c r="B525" s="1">
        <f t="shared" ca="1" si="300"/>
        <v>149</v>
      </c>
      <c r="C525" s="1">
        <f t="shared" ca="1" si="301"/>
        <v>11</v>
      </c>
      <c r="D525" s="1">
        <f ca="1">MIN($D$3,VLOOKUP(C525,OP!$S$30:$T$41,2))</f>
        <v>2</v>
      </c>
      <c r="E525" s="1">
        <f t="shared" ca="1" si="302"/>
        <v>98</v>
      </c>
      <c r="F525" s="11" t="str">
        <f t="shared" ca="1" si="308"/>
        <v/>
      </c>
      <c r="G525" s="8">
        <f t="shared" ca="1" si="330"/>
        <v>365</v>
      </c>
      <c r="H525" s="8">
        <f t="shared" ca="1" si="309"/>
        <v>30</v>
      </c>
      <c r="I525" s="8" t="str">
        <f t="shared" ca="1" si="306"/>
        <v>4411</v>
      </c>
      <c r="J525" s="13">
        <f>IF(繳費報酬率資料!$A$1=1,VALUE(OP!$C$121),VLOOKUP(A525,MP,2,0))</f>
        <v>0.05</v>
      </c>
      <c r="K525" s="14">
        <f ca="1">IF(SUM($K$4:K524,IF(繳費報酬率資料!$A$1=1,$AU525+$AV525,$BB525+$BC525))&gt;OP!$L$58,0,IF(繳費報酬率資料!$A$1=1,$AU525+$AV525,$BB525+$BC525))</f>
        <v>0</v>
      </c>
      <c r="L525" s="2"/>
      <c r="M525" s="2"/>
      <c r="N525" s="2"/>
      <c r="O525" s="261">
        <f t="shared" ca="1" si="310"/>
        <v>0</v>
      </c>
      <c r="P525" s="261">
        <f t="shared" ca="1" si="328"/>
        <v>0</v>
      </c>
      <c r="Q525" s="3">
        <f ca="1">IF(A525&gt;MAX(OP!$R$17:$R$26),0,VLOOKUP(A525,fees,3,FALSE))</f>
        <v>0</v>
      </c>
      <c r="R525" s="200" t="str">
        <f t="shared" ca="1" si="311"/>
        <v/>
      </c>
      <c r="S525" s="9" t="str">
        <f ca="1">IF(COUNTIF(($T$4:T524),"F")&gt;=1,"",IF(OR(C526&lt;&gt;$C$3,E525=""),"",A525))</f>
        <v/>
      </c>
      <c r="T525" s="20" t="str">
        <f t="shared" ca="1" si="303"/>
        <v/>
      </c>
      <c r="U525" s="2">
        <f ca="1">IF(IF(OP!$C$83=1,$Z524,IF(OP!$C$83=2,$AA524,IF(OP!$C$83=3,$AB524,)))+$K525-$O525-$P525-$AS525&lt;OP!$C$142,0,$AS525)</f>
        <v>0</v>
      </c>
      <c r="V525" s="9"/>
      <c r="W525" s="19">
        <f ca="1">MAX(SUM($K$4:K525),0)</f>
        <v>2000000</v>
      </c>
      <c r="X525" s="19"/>
      <c r="Y525" s="19">
        <f t="shared" ca="1" si="329"/>
        <v>1920000</v>
      </c>
      <c r="Z525" s="2">
        <f ca="1">IF(MIN($Z$4:Z524)=0,0,MAX(0,($Z524+$K525-$O525-$P525)*IF(AND(F525="F",$D$3&lt;&gt;$G$3),((1+(-J525))^(H525/MIN(G525,365))),((1+(-J525))^(1/12)))-$U525))</f>
        <v>206194.9662205496</v>
      </c>
      <c r="AA525" s="2">
        <f ca="1">IF(MIN($AA$4:AA524)=0,0,MAX(0,($AA524+$K525-$O525-$P525)*IF(AND(F525="F",$D$3&lt;&gt;$G$3),((1+$AA$1)^(H525/MIN(G525,365))),((1+$AA$1)^(1/12)))-$U525))</f>
        <v>1920000</v>
      </c>
      <c r="AB525" s="2">
        <f ca="1">IF(MIN($AB$4:AB524)=0,0,MAX(0,($AB524+$K525-$O525-$P525)*IF(AND(F525="F",$D$3&lt;&gt;$G$3),((1+(J525))^(H525/MIN(G525,365))),((1+(J525))^(1/12)))-$U525))</f>
        <v>16033773.277463764</v>
      </c>
      <c r="AC525" s="5"/>
      <c r="AD525" s="5"/>
      <c r="AE525" s="5"/>
      <c r="AF525" s="282">
        <f t="shared" ca="1" si="312"/>
        <v>206195</v>
      </c>
      <c r="AG525" s="282">
        <f t="shared" ca="1" si="313"/>
        <v>1920000</v>
      </c>
      <c r="AH525" s="282">
        <f t="shared" ca="1" si="314"/>
        <v>16033773</v>
      </c>
      <c r="AI525" s="23" t="str">
        <f t="shared" ca="1" si="331"/>
        <v>44-7</v>
      </c>
      <c r="AJ525" s="282">
        <f ca="1">IF(E525&gt;111,,IF(AND(OP!$C$99=1,T525="F"),Z525,IF(AND(OP!$C$99=2,COUNTIF($T$4:T525,"F")=1),OP!$C$97+IF(F525="F",OP!$C$98,0),"")))</f>
        <v>54527</v>
      </c>
      <c r="AK525" s="282">
        <f ca="1">IF(E525&gt;111,,IF(AND(OP!$D$99=1,T525="F"),AA525,IF(AND(OP!$D$99=2,COUNTIF($T$4:T525,"F")=1),OP!$D$97+IF(F525="F",OP!$D$98,0),"")))</f>
        <v>74177</v>
      </c>
      <c r="AL525" s="282">
        <f ca="1">IF(E525&gt;111,,IF(AND(OP!$E$99=1,T525="F"),AB525,IF(AND(OP!$E$99=2,COUNTIF($T$4:T525,"F")=1),OP!$E$97+IF(F525="F",OP!$E$98,0),"")))</f>
        <v>99404</v>
      </c>
      <c r="AM525" s="1">
        <f t="shared" ca="1" si="304"/>
        <v>7</v>
      </c>
      <c r="AN525" s="1" t="e">
        <f ca="1">IF(OR(VLOOKUP($A525,MP,5,0)="月繳"),1,"")</f>
        <v>#N/A</v>
      </c>
      <c r="AO525" s="1">
        <f t="shared" ca="1" si="315"/>
        <v>0</v>
      </c>
      <c r="AP525" s="1" t="str">
        <f ca="1">IF(AND(A525&lt;=OP!$C$120,COUNTIF(PAY,C525)=1),1,"")</f>
        <v/>
      </c>
      <c r="AR525" s="301">
        <f ca="1">IF(繳費報酬率資料!$A$1=1,$AY525+$AZ525,$BF525+$BG525)</f>
        <v>0</v>
      </c>
      <c r="AS525" s="1">
        <f ca="1">IF(C525&lt;&gt;IF($C$3=1,12,$C$3-1),0,IF(繳費報酬率資料!$A$1&lt;&gt;1,VLOOKUP($A525,MP,8,0),IF(AND($A525&gt;=OP!$C$79,$A525&lt;=OP!$C$80),OP!$C$78,)))</f>
        <v>0</v>
      </c>
      <c r="AT525" s="298">
        <f t="shared" ca="1" si="316"/>
        <v>0</v>
      </c>
      <c r="AU525" s="298">
        <f ca="1">IF(AND(A525&lt;=OP!$C$120,COUNTIF(PAY,C525)=1),OP!$C$123,0)</f>
        <v>0</v>
      </c>
      <c r="AV525" s="298">
        <f ca="1">IF(AND(A525&gt;=OP!$C$132,A525&lt;=OP!$C$133,$C$3=C525),OP!$C$135,0)</f>
        <v>0</v>
      </c>
      <c r="AW525" s="180">
        <f t="shared" ca="1" si="317"/>
        <v>0.05</v>
      </c>
      <c r="AX525" s="180">
        <f t="shared" ca="1" si="318"/>
        <v>0.05</v>
      </c>
      <c r="AY525" s="286">
        <f t="shared" ca="1" si="319"/>
        <v>0</v>
      </c>
      <c r="AZ525" s="286">
        <f t="shared" ca="1" si="320"/>
        <v>0</v>
      </c>
      <c r="BA525" s="286">
        <f t="shared" ca="1" si="321"/>
        <v>0</v>
      </c>
      <c r="BB525" s="286">
        <f t="shared" ca="1" si="322"/>
        <v>0</v>
      </c>
      <c r="BC525" s="286">
        <f t="shared" ca="1" si="323"/>
        <v>0</v>
      </c>
      <c r="BD525" s="180">
        <f t="shared" ca="1" si="324"/>
        <v>0.05</v>
      </c>
      <c r="BE525" s="180">
        <f t="shared" ca="1" si="325"/>
        <v>0.05</v>
      </c>
      <c r="BF525" s="286">
        <f t="shared" ca="1" si="326"/>
        <v>0</v>
      </c>
      <c r="BG525" s="286">
        <f t="shared" ca="1" si="327"/>
        <v>0</v>
      </c>
    </row>
    <row r="526" spans="1:59">
      <c r="A526" s="1">
        <f t="shared" ca="1" si="307"/>
        <v>44</v>
      </c>
      <c r="B526" s="1">
        <f t="shared" ca="1" si="300"/>
        <v>149</v>
      </c>
      <c r="C526" s="1">
        <f t="shared" ca="1" si="301"/>
        <v>12</v>
      </c>
      <c r="D526" s="1">
        <f ca="1">MIN($D$3,VLOOKUP(C526,OP!$S$30:$T$41,2))</f>
        <v>2</v>
      </c>
      <c r="E526" s="1">
        <f t="shared" ca="1" si="302"/>
        <v>98</v>
      </c>
      <c r="F526" s="11" t="str">
        <f t="shared" ca="1" si="308"/>
        <v/>
      </c>
      <c r="G526" s="8">
        <f t="shared" ca="1" si="330"/>
        <v>365</v>
      </c>
      <c r="H526" s="8">
        <f t="shared" ca="1" si="309"/>
        <v>31</v>
      </c>
      <c r="I526" s="8" t="str">
        <f t="shared" ca="1" si="306"/>
        <v>4412</v>
      </c>
      <c r="J526" s="13">
        <f>IF(繳費報酬率資料!$A$1=1,VALUE(OP!$C$121),VLOOKUP(A526,MP,2,0))</f>
        <v>0.05</v>
      </c>
      <c r="K526" s="14">
        <f ca="1">IF(SUM($K$4:K525,IF(繳費報酬率資料!$A$1=1,$AU526+$AV526,$BB526+$BC526))&gt;OP!$L$58,0,IF(繳費報酬率資料!$A$1=1,$AU526+$AV526,$BB526+$BC526))</f>
        <v>0</v>
      </c>
      <c r="L526" s="2"/>
      <c r="M526" s="2"/>
      <c r="N526" s="2"/>
      <c r="O526" s="261">
        <f t="shared" ca="1" si="310"/>
        <v>0</v>
      </c>
      <c r="P526" s="261">
        <f t="shared" ca="1" si="328"/>
        <v>0</v>
      </c>
      <c r="Q526" s="3">
        <f ca="1">IF(A526&gt;MAX(OP!$R$17:$R$26),0,VLOOKUP(A526,fees,3,FALSE))</f>
        <v>0</v>
      </c>
      <c r="R526" s="200" t="str">
        <f t="shared" ca="1" si="311"/>
        <v/>
      </c>
      <c r="S526" s="9" t="str">
        <f ca="1">IF(COUNTIF(($T$4:T525),"F")&gt;=1,"",IF(OR(C527&lt;&gt;$C$3,E526=""),"",A526))</f>
        <v/>
      </c>
      <c r="T526" s="20" t="str">
        <f t="shared" ca="1" si="303"/>
        <v/>
      </c>
      <c r="U526" s="2">
        <f ca="1">IF(IF(OP!$C$83=1,$Z525,IF(OP!$C$83=2,$AA525,IF(OP!$C$83=3,$AB525,)))+$K526-$O526-$P526-$AS526&lt;OP!$C$142,0,$AS526)</f>
        <v>0</v>
      </c>
      <c r="V526" s="9"/>
      <c r="W526" s="19">
        <f ca="1">MAX(SUM($K$4:K526),0)</f>
        <v>2000000</v>
      </c>
      <c r="X526" s="19"/>
      <c r="Y526" s="19">
        <f t="shared" ca="1" si="329"/>
        <v>1920000</v>
      </c>
      <c r="Z526" s="2">
        <f ca="1">IF(MIN($Z$4:Z525)=0,0,MAX(0,($Z525+$K526-$O526-$P526)*IF(AND(F526="F",$D$3&lt;&gt;$G$3),((1+(-J526))^(H526/MIN(G526,365))),((1+(-J526))^(1/12)))-$U526))</f>
        <v>205315.4789592906</v>
      </c>
      <c r="AA526" s="2">
        <f ca="1">IF(MIN($AA$4:AA525)=0,0,MAX(0,($AA525+$K526-$O526-$P526)*IF(AND(F526="F",$D$3&lt;&gt;$G$3),((1+$AA$1)^(H526/MIN(G526,365))),((1+$AA$1)^(1/12)))-$U526))</f>
        <v>1920000</v>
      </c>
      <c r="AB526" s="2">
        <f ca="1">IF(MIN($AB$4:AB525)=0,0,MAX(0,($AB525+$K526-$O526-$P526)*IF(AND(F526="F",$D$3&lt;&gt;$G$3),((1+(J526))^(H526/MIN(G526,365))),((1+(J526))^(1/12)))-$U526))</f>
        <v>16099096.854515104</v>
      </c>
      <c r="AC526" s="5"/>
      <c r="AD526" s="5"/>
      <c r="AE526" s="5"/>
      <c r="AF526" s="282">
        <f t="shared" ca="1" si="312"/>
        <v>205315</v>
      </c>
      <c r="AG526" s="282">
        <f t="shared" ca="1" si="313"/>
        <v>1920000</v>
      </c>
      <c r="AH526" s="282">
        <f t="shared" ca="1" si="314"/>
        <v>16099097</v>
      </c>
      <c r="AI526" s="23" t="str">
        <f t="shared" ca="1" si="331"/>
        <v>44-8</v>
      </c>
      <c r="AJ526" s="282">
        <f ca="1">IF(E526&gt;111,,IF(AND(OP!$C$99=1,T526="F"),Z526,IF(AND(OP!$C$99=2,COUNTIF($T$4:T526,"F")=1),OP!$C$97+IF(F526="F",OP!$C$98,0),"")))</f>
        <v>54527</v>
      </c>
      <c r="AK526" s="282">
        <f ca="1">IF(E526&gt;111,,IF(AND(OP!$D$99=1,T526="F"),AA526,IF(AND(OP!$D$99=2,COUNTIF($T$4:T526,"F")=1),OP!$D$97+IF(F526="F",OP!$D$98,0),"")))</f>
        <v>74177</v>
      </c>
      <c r="AL526" s="282">
        <f ca="1">IF(E526&gt;111,,IF(AND(OP!$E$99=1,T526="F"),AB526,IF(AND(OP!$E$99=2,COUNTIF($T$4:T526,"F")=1),OP!$E$97+IF(F526="F",OP!$E$98,0),"")))</f>
        <v>99404</v>
      </c>
      <c r="AM526" s="1">
        <f t="shared" ca="1" si="304"/>
        <v>8</v>
      </c>
      <c r="AN526" s="1" t="e">
        <f ca="1">IF(OR(VLOOKUP($A526,MP,5,0)="半年繳",VLOOKUP($A526,MP,5,0)="季繳",VLOOKUP($A526,MP,5,0)="月繳"),1,"")</f>
        <v>#N/A</v>
      </c>
      <c r="AO526" s="1">
        <f t="shared" ca="1" si="315"/>
        <v>0</v>
      </c>
      <c r="AP526" s="1" t="str">
        <f ca="1">IF(AND(A526&lt;=OP!$C$120,COUNTIF(PAY,C526)=1),1,"")</f>
        <v/>
      </c>
      <c r="AR526" s="301">
        <f ca="1">IF(繳費報酬率資料!$A$1=1,$AY526+$AZ526,$BF526+$BG526)</f>
        <v>0</v>
      </c>
      <c r="AS526" s="1">
        <f ca="1">IF(C526&lt;&gt;IF($C$3=1,12,$C$3-1),0,IF(繳費報酬率資料!$A$1&lt;&gt;1,VLOOKUP($A526,MP,8,0),IF(AND($A526&gt;=OP!$C$79,$A526&lt;=OP!$C$80),OP!$C$78,)))</f>
        <v>0</v>
      </c>
      <c r="AT526" s="298">
        <f t="shared" ca="1" si="316"/>
        <v>0</v>
      </c>
      <c r="AU526" s="298">
        <f ca="1">IF(AND(A526&lt;=OP!$C$120,COUNTIF(PAY,C526)=1),OP!$C$123,0)</f>
        <v>0</v>
      </c>
      <c r="AV526" s="298">
        <f ca="1">IF(AND(A526&gt;=OP!$C$132,A526&lt;=OP!$C$133,$C$3=C526),OP!$C$135,0)</f>
        <v>0</v>
      </c>
      <c r="AW526" s="180">
        <f t="shared" ca="1" si="317"/>
        <v>0.05</v>
      </c>
      <c r="AX526" s="180">
        <f t="shared" ca="1" si="318"/>
        <v>0.05</v>
      </c>
      <c r="AY526" s="286">
        <f t="shared" ca="1" si="319"/>
        <v>0</v>
      </c>
      <c r="AZ526" s="286">
        <f t="shared" ca="1" si="320"/>
        <v>0</v>
      </c>
      <c r="BA526" s="286">
        <f t="shared" ca="1" si="321"/>
        <v>0</v>
      </c>
      <c r="BB526" s="286">
        <f t="shared" ca="1" si="322"/>
        <v>0</v>
      </c>
      <c r="BC526" s="286">
        <f t="shared" ca="1" si="323"/>
        <v>0</v>
      </c>
      <c r="BD526" s="180">
        <f t="shared" ca="1" si="324"/>
        <v>0.05</v>
      </c>
      <c r="BE526" s="180">
        <f t="shared" ca="1" si="325"/>
        <v>0.05</v>
      </c>
      <c r="BF526" s="286">
        <f t="shared" ca="1" si="326"/>
        <v>0</v>
      </c>
      <c r="BG526" s="286">
        <f t="shared" ca="1" si="327"/>
        <v>0</v>
      </c>
    </row>
    <row r="527" spans="1:59">
      <c r="A527" s="1">
        <f t="shared" ca="1" si="307"/>
        <v>44</v>
      </c>
      <c r="B527" s="1">
        <f t="shared" ca="1" si="300"/>
        <v>150</v>
      </c>
      <c r="C527" s="1">
        <f t="shared" ca="1" si="301"/>
        <v>1</v>
      </c>
      <c r="D527" s="1">
        <f ca="1">MIN($D$3,VLOOKUP(C527,OP!$S$30:$T$41,2))</f>
        <v>2</v>
      </c>
      <c r="E527" s="1">
        <f t="shared" ca="1" si="302"/>
        <v>98</v>
      </c>
      <c r="F527" s="11" t="str">
        <f t="shared" ca="1" si="308"/>
        <v/>
      </c>
      <c r="G527" s="8">
        <f t="shared" ca="1" si="330"/>
        <v>365</v>
      </c>
      <c r="H527" s="8">
        <f t="shared" ca="1" si="309"/>
        <v>31</v>
      </c>
      <c r="I527" s="8" t="str">
        <f t="shared" ca="1" si="306"/>
        <v>441</v>
      </c>
      <c r="J527" s="13">
        <f>IF(繳費報酬率資料!$A$1=1,VALUE(OP!$C$121),VLOOKUP(A527,MP,2,0))</f>
        <v>0.05</v>
      </c>
      <c r="K527" s="14">
        <f ca="1">IF(SUM($K$4:K526,IF(繳費報酬率資料!$A$1=1,$AU527+$AV527,$BB527+$BC527))&gt;OP!$L$58,0,IF(繳費報酬率資料!$A$1=1,$AU527+$AV527,$BB527+$BC527))</f>
        <v>0</v>
      </c>
      <c r="L527" s="2"/>
      <c r="M527" s="2"/>
      <c r="N527" s="2"/>
      <c r="O527" s="261">
        <f t="shared" ca="1" si="310"/>
        <v>0</v>
      </c>
      <c r="P527" s="261">
        <f t="shared" ca="1" si="328"/>
        <v>0</v>
      </c>
      <c r="Q527" s="3">
        <f ca="1">IF(A527&gt;MAX(OP!$R$17:$R$26),0,VLOOKUP(A527,fees,3,FALSE))</f>
        <v>0</v>
      </c>
      <c r="R527" s="200" t="str">
        <f t="shared" ca="1" si="311"/>
        <v/>
      </c>
      <c r="S527" s="9" t="str">
        <f ca="1">IF(COUNTIF(($T$4:T526),"F")&gt;=1,"",IF(OR(C528&lt;&gt;$C$3,E527=""),"",A527))</f>
        <v/>
      </c>
      <c r="T527" s="20" t="str">
        <f t="shared" ca="1" si="303"/>
        <v/>
      </c>
      <c r="U527" s="2">
        <f ca="1">IF(IF(OP!$C$83=1,$Z526,IF(OP!$C$83=2,$AA526,IF(OP!$C$83=3,$AB526,)))+$K527-$O527-$P527-$AS527&lt;OP!$C$142,0,$AS527)</f>
        <v>0</v>
      </c>
      <c r="V527" s="9"/>
      <c r="W527" s="19">
        <f ca="1">MAX(SUM($K$4:K527),0)</f>
        <v>2000000</v>
      </c>
      <c r="X527" s="19"/>
      <c r="Y527" s="19">
        <f t="shared" ca="1" si="329"/>
        <v>1920000</v>
      </c>
      <c r="Z527" s="2">
        <f ca="1">IF(MIN($Z$4:Z526)=0,0,MAX(0,($Z526+$K527-$O527-$P527)*IF(AND(F527="F",$D$3&lt;&gt;$G$3),((1+(-J527))^(H527/MIN(G527,365))),((1+(-J527))^(1/12)))-$U527))</f>
        <v>204439.74299156168</v>
      </c>
      <c r="AA527" s="2">
        <f ca="1">IF(MIN($AA$4:AA526)=0,0,MAX(0,($AA526+$K527-$O527-$P527)*IF(AND(F527="F",$D$3&lt;&gt;$G$3),((1+$AA$1)^(H527/MIN(G527,365))),((1+$AA$1)^(1/12)))-$U527))</f>
        <v>1920000</v>
      </c>
      <c r="AB527" s="2">
        <f ca="1">IF(MIN($AB$4:AB526)=0,0,MAX(0,($AB526+$K527-$O527-$P527)*IF(AND(F527="F",$D$3&lt;&gt;$G$3),((1+(J527))^(H527/MIN(G527,365))),((1+(J527))^(1/12)))-$U527))</f>
        <v>16164686.567905342</v>
      </c>
      <c r="AC527" s="5"/>
      <c r="AD527" s="5"/>
      <c r="AE527" s="5"/>
      <c r="AF527" s="282">
        <f t="shared" ca="1" si="312"/>
        <v>204440</v>
      </c>
      <c r="AG527" s="282">
        <f t="shared" ca="1" si="313"/>
        <v>1920000</v>
      </c>
      <c r="AH527" s="282">
        <f t="shared" ca="1" si="314"/>
        <v>16164687</v>
      </c>
      <c r="AI527" s="23" t="str">
        <f t="shared" ca="1" si="331"/>
        <v>44-9</v>
      </c>
      <c r="AJ527" s="282">
        <f ca="1">IF(E527&gt;111,,IF(AND(OP!$C$99=1,T527="F"),Z527,IF(AND(OP!$C$99=2,COUNTIF($T$4:T527,"F")=1),OP!$C$97+IF(F527="F",OP!$C$98,0),"")))</f>
        <v>54527</v>
      </c>
      <c r="AK527" s="282">
        <f ca="1">IF(E527&gt;111,,IF(AND(OP!$D$99=1,T527="F"),AA527,IF(AND(OP!$D$99=2,COUNTIF($T$4:T527,"F")=1),OP!$D$97+IF(F527="F",OP!$D$98,0),"")))</f>
        <v>74177</v>
      </c>
      <c r="AL527" s="282">
        <f ca="1">IF(E527&gt;111,,IF(AND(OP!$E$99=1,T527="F"),AB527,IF(AND(OP!$E$99=2,COUNTIF($T$4:T527,"F")=1),OP!$E$97+IF(F527="F",OP!$E$98,0),"")))</f>
        <v>99404</v>
      </c>
      <c r="AM527" s="1">
        <f t="shared" ca="1" si="304"/>
        <v>9</v>
      </c>
      <c r="AN527" s="1" t="e">
        <f ca="1">IF(OR(VLOOKUP($A527,MP,5,0)="月繳"),1,"")</f>
        <v>#N/A</v>
      </c>
      <c r="AO527" s="1">
        <f t="shared" ca="1" si="315"/>
        <v>0</v>
      </c>
      <c r="AP527" s="1" t="str">
        <f ca="1">IF(AND(A527&lt;=OP!$C$120,COUNTIF(PAY,C527)=1),1,"")</f>
        <v/>
      </c>
      <c r="AR527" s="301">
        <f ca="1">IF(繳費報酬率資料!$A$1=1,$AY527+$AZ527,$BF527+$BG527)</f>
        <v>0</v>
      </c>
      <c r="AS527" s="1">
        <f ca="1">IF(C527&lt;&gt;IF($C$3=1,12,$C$3-1),0,IF(繳費報酬率資料!$A$1&lt;&gt;1,VLOOKUP($A527,MP,8,0),IF(AND($A527&gt;=OP!$C$79,$A527&lt;=OP!$C$80),OP!$C$78,)))</f>
        <v>0</v>
      </c>
      <c r="AT527" s="298">
        <f t="shared" ca="1" si="316"/>
        <v>0</v>
      </c>
      <c r="AU527" s="298">
        <f ca="1">IF(AND(A527&lt;=OP!$C$120,COUNTIF(PAY,C527)=1),OP!$C$123,0)</f>
        <v>0</v>
      </c>
      <c r="AV527" s="298">
        <f ca="1">IF(AND(A527&gt;=OP!$C$132,A527&lt;=OP!$C$133,$C$3=C527),OP!$C$135,0)</f>
        <v>0</v>
      </c>
      <c r="AW527" s="180">
        <f t="shared" ca="1" si="317"/>
        <v>0.05</v>
      </c>
      <c r="AX527" s="180">
        <f t="shared" ca="1" si="318"/>
        <v>0.05</v>
      </c>
      <c r="AY527" s="286">
        <f t="shared" ca="1" si="319"/>
        <v>0</v>
      </c>
      <c r="AZ527" s="286">
        <f t="shared" ca="1" si="320"/>
        <v>0</v>
      </c>
      <c r="BA527" s="286">
        <f t="shared" ca="1" si="321"/>
        <v>0</v>
      </c>
      <c r="BB527" s="286">
        <f t="shared" ca="1" si="322"/>
        <v>0</v>
      </c>
      <c r="BC527" s="286">
        <f t="shared" ca="1" si="323"/>
        <v>0</v>
      </c>
      <c r="BD527" s="180">
        <f t="shared" ca="1" si="324"/>
        <v>0.05</v>
      </c>
      <c r="BE527" s="180">
        <f t="shared" ca="1" si="325"/>
        <v>0.05</v>
      </c>
      <c r="BF527" s="286">
        <f t="shared" ca="1" si="326"/>
        <v>0</v>
      </c>
      <c r="BG527" s="286">
        <f t="shared" ca="1" si="327"/>
        <v>0</v>
      </c>
    </row>
    <row r="528" spans="1:59">
      <c r="A528" s="1">
        <f t="shared" ca="1" si="307"/>
        <v>44</v>
      </c>
      <c r="B528" s="1">
        <f t="shared" ca="1" si="300"/>
        <v>150</v>
      </c>
      <c r="C528" s="1">
        <f t="shared" ca="1" si="301"/>
        <v>2</v>
      </c>
      <c r="D528" s="1">
        <f ca="1">MIN($D$3,VLOOKUP(C528,OP!$S$30:$T$41,2))</f>
        <v>2</v>
      </c>
      <c r="E528" s="1">
        <f t="shared" ca="1" si="302"/>
        <v>98</v>
      </c>
      <c r="F528" s="11" t="str">
        <f t="shared" ca="1" si="308"/>
        <v/>
      </c>
      <c r="G528" s="8">
        <f t="shared" ca="1" si="330"/>
        <v>365</v>
      </c>
      <c r="H528" s="8">
        <f t="shared" ca="1" si="309"/>
        <v>28</v>
      </c>
      <c r="I528" s="8" t="str">
        <f t="shared" ca="1" si="306"/>
        <v>442</v>
      </c>
      <c r="J528" s="13">
        <f>IF(繳費報酬率資料!$A$1=1,VALUE(OP!$C$121),VLOOKUP(A528,MP,2,0))</f>
        <v>0.05</v>
      </c>
      <c r="K528" s="14">
        <f ca="1">IF(SUM($K$4:K527,IF(繳費報酬率資料!$A$1=1,$AU528+$AV528,$BB528+$BC528))&gt;OP!$L$58,0,IF(繳費報酬率資料!$A$1=1,$AU528+$AV528,$BB528+$BC528))</f>
        <v>0</v>
      </c>
      <c r="L528" s="2"/>
      <c r="M528" s="2"/>
      <c r="N528" s="2"/>
      <c r="O528" s="261">
        <f t="shared" ca="1" si="310"/>
        <v>0</v>
      </c>
      <c r="P528" s="261">
        <f t="shared" ca="1" si="328"/>
        <v>0</v>
      </c>
      <c r="Q528" s="3">
        <f ca="1">IF(A528&gt;MAX(OP!$R$17:$R$26),0,VLOOKUP(A528,fees,3,FALSE))</f>
        <v>0</v>
      </c>
      <c r="R528" s="200" t="str">
        <f t="shared" ca="1" si="311"/>
        <v/>
      </c>
      <c r="S528" s="9" t="str">
        <f ca="1">IF(COUNTIF(($T$4:T527),"F")&gt;=1,"",IF(OR(C529&lt;&gt;$C$3,E528=""),"",A528))</f>
        <v/>
      </c>
      <c r="T528" s="20" t="str">
        <f t="shared" ca="1" si="303"/>
        <v/>
      </c>
      <c r="U528" s="2">
        <f ca="1">IF(IF(OP!$C$83=1,$Z527,IF(OP!$C$83=2,$AA527,IF(OP!$C$83=3,$AB527,)))+$K528-$O528-$P528-$AS528&lt;OP!$C$142,0,$AS528)</f>
        <v>0</v>
      </c>
      <c r="V528" s="9"/>
      <c r="W528" s="19">
        <f ca="1">MAX(SUM($K$4:K528),0)</f>
        <v>2000000</v>
      </c>
      <c r="X528" s="19"/>
      <c r="Y528" s="19">
        <f t="shared" ca="1" si="329"/>
        <v>1920000</v>
      </c>
      <c r="Z528" s="2">
        <f ca="1">IF(MIN($Z$4:Z527)=0,0,MAX(0,($Z527+$K528-$O528-$P528)*IF(AND(F528="F",$D$3&lt;&gt;$G$3),((1+(-J528))^(H528/MIN(G528,365))),((1+(-J528))^(1/12)))-$U528))</f>
        <v>203567.74231690011</v>
      </c>
      <c r="AA528" s="2">
        <f ca="1">IF(MIN($AA$4:AA527)=0,0,MAX(0,($AA527+$K528-$O528-$P528)*IF(AND(F528="F",$D$3&lt;&gt;$G$3),((1+$AA$1)^(H528/MIN(G528,365))),((1+$AA$1)^(1/12)))-$U528))</f>
        <v>1920000</v>
      </c>
      <c r="AB528" s="2">
        <f ca="1">IF(MIN($AB$4:AB527)=0,0,MAX(0,($AB527+$K528-$O528-$P528)*IF(AND(F528="F",$D$3&lt;&gt;$G$3),((1+(J528))^(H528/MIN(G528,365))),((1+(J528))^(1/12)))-$U528))</f>
        <v>16230543.501906866</v>
      </c>
      <c r="AC528" s="5"/>
      <c r="AD528" s="5"/>
      <c r="AE528" s="5"/>
      <c r="AF528" s="282">
        <f t="shared" ca="1" si="312"/>
        <v>203568</v>
      </c>
      <c r="AG528" s="282">
        <f t="shared" ca="1" si="313"/>
        <v>1920000</v>
      </c>
      <c r="AH528" s="282">
        <f t="shared" ca="1" si="314"/>
        <v>16230544</v>
      </c>
      <c r="AI528" s="23" t="str">
        <f t="shared" ca="1" si="331"/>
        <v>44-10</v>
      </c>
      <c r="AJ528" s="282">
        <f ca="1">IF(E528&gt;111,,IF(AND(OP!$C$99=1,T528="F"),Z528,IF(AND(OP!$C$99=2,COUNTIF($T$4:T528,"F")=1),OP!$C$97+IF(F528="F",OP!$C$98,0),"")))</f>
        <v>54527</v>
      </c>
      <c r="AK528" s="282">
        <f ca="1">IF(E528&gt;111,,IF(AND(OP!$D$99=1,T528="F"),AA528,IF(AND(OP!$D$99=2,COUNTIF($T$4:T528,"F")=1),OP!$D$97+IF(F528="F",OP!$D$98,0),"")))</f>
        <v>74177</v>
      </c>
      <c r="AL528" s="282">
        <f ca="1">IF(E528&gt;111,,IF(AND(OP!$E$99=1,T528="F"),AB528,IF(AND(OP!$E$99=2,COUNTIF($T$4:T528,"F")=1),OP!$E$97+IF(F528="F",OP!$E$98,0),"")))</f>
        <v>99404</v>
      </c>
      <c r="AM528" s="1">
        <f t="shared" ca="1" si="304"/>
        <v>10</v>
      </c>
      <c r="AN528" s="1" t="e">
        <f ca="1">IF(OR(VLOOKUP($A528,MP,5,0)="月繳"),1,"")</f>
        <v>#N/A</v>
      </c>
      <c r="AO528" s="1">
        <f t="shared" ca="1" si="315"/>
        <v>0</v>
      </c>
      <c r="AP528" s="1" t="str">
        <f ca="1">IF(AND(A528&lt;=OP!$C$120,COUNTIF(PAY,C528)=1),1,"")</f>
        <v/>
      </c>
      <c r="AR528" s="301">
        <f ca="1">IF(繳費報酬率資料!$A$1=1,$AY528+$AZ528,$BF528+$BG528)</f>
        <v>0</v>
      </c>
      <c r="AS528" s="1">
        <f ca="1">IF(C528&lt;&gt;IF($C$3=1,12,$C$3-1),0,IF(繳費報酬率資料!$A$1&lt;&gt;1,VLOOKUP($A528,MP,8,0),IF(AND($A528&gt;=OP!$C$79,$A528&lt;=OP!$C$80),OP!$C$78,)))</f>
        <v>0</v>
      </c>
      <c r="AT528" s="298">
        <f t="shared" ca="1" si="316"/>
        <v>0</v>
      </c>
      <c r="AU528" s="298">
        <f ca="1">IF(AND(A528&lt;=OP!$C$120,COUNTIF(PAY,C528)=1),OP!$C$123,0)</f>
        <v>0</v>
      </c>
      <c r="AV528" s="298">
        <f ca="1">IF(AND(A528&gt;=OP!$C$132,A528&lt;=OP!$C$133,$C$3=C528),OP!$C$135,0)</f>
        <v>0</v>
      </c>
      <c r="AW528" s="180">
        <f t="shared" ca="1" si="317"/>
        <v>0.05</v>
      </c>
      <c r="AX528" s="180">
        <f t="shared" ca="1" si="318"/>
        <v>0.05</v>
      </c>
      <c r="AY528" s="286">
        <f t="shared" ca="1" si="319"/>
        <v>0</v>
      </c>
      <c r="AZ528" s="286">
        <f t="shared" ca="1" si="320"/>
        <v>0</v>
      </c>
      <c r="BA528" s="286">
        <f t="shared" ca="1" si="321"/>
        <v>0</v>
      </c>
      <c r="BB528" s="286">
        <f t="shared" ca="1" si="322"/>
        <v>0</v>
      </c>
      <c r="BC528" s="286">
        <f t="shared" ca="1" si="323"/>
        <v>0</v>
      </c>
      <c r="BD528" s="180">
        <f t="shared" ca="1" si="324"/>
        <v>0.05</v>
      </c>
      <c r="BE528" s="180">
        <f t="shared" ca="1" si="325"/>
        <v>0.05</v>
      </c>
      <c r="BF528" s="286">
        <f t="shared" ca="1" si="326"/>
        <v>0</v>
      </c>
      <c r="BG528" s="286">
        <f t="shared" ca="1" si="327"/>
        <v>0</v>
      </c>
    </row>
    <row r="529" spans="1:59">
      <c r="A529" s="1">
        <f t="shared" ca="1" si="307"/>
        <v>44</v>
      </c>
      <c r="B529" s="1">
        <f t="shared" ca="1" si="300"/>
        <v>150</v>
      </c>
      <c r="C529" s="1">
        <f t="shared" ca="1" si="301"/>
        <v>3</v>
      </c>
      <c r="D529" s="1">
        <f ca="1">MIN($D$3,VLOOKUP(C529,OP!$S$30:$T$41,2))</f>
        <v>2</v>
      </c>
      <c r="E529" s="1">
        <f t="shared" ca="1" si="302"/>
        <v>98</v>
      </c>
      <c r="F529" s="11" t="str">
        <f t="shared" ca="1" si="308"/>
        <v/>
      </c>
      <c r="G529" s="8">
        <f t="shared" ca="1" si="330"/>
        <v>365</v>
      </c>
      <c r="H529" s="8">
        <f t="shared" ca="1" si="309"/>
        <v>31</v>
      </c>
      <c r="I529" s="8" t="str">
        <f t="shared" ca="1" si="306"/>
        <v>443</v>
      </c>
      <c r="J529" s="13">
        <f>IF(繳費報酬率資料!$A$1=1,VALUE(OP!$C$121),VLOOKUP(A529,MP,2,0))</f>
        <v>0.05</v>
      </c>
      <c r="K529" s="14">
        <f ca="1">IF(SUM($K$4:K528,IF(繳費報酬率資料!$A$1=1,$AU529+$AV529,$BB529+$BC529))&gt;OP!$L$58,0,IF(繳費報酬率資料!$A$1=1,$AU529+$AV529,$BB529+$BC529))</f>
        <v>0</v>
      </c>
      <c r="L529" s="2"/>
      <c r="M529" s="2"/>
      <c r="N529" s="2"/>
      <c r="O529" s="261">
        <f t="shared" ca="1" si="310"/>
        <v>0</v>
      </c>
      <c r="P529" s="261">
        <f t="shared" ca="1" si="328"/>
        <v>0</v>
      </c>
      <c r="Q529" s="3">
        <f ca="1">IF(A529&gt;MAX(OP!$R$17:$R$26),0,VLOOKUP(A529,fees,3,FALSE))</f>
        <v>0</v>
      </c>
      <c r="R529" s="200" t="str">
        <f t="shared" ca="1" si="311"/>
        <v/>
      </c>
      <c r="S529" s="9" t="str">
        <f ca="1">IF(COUNTIF(($T$4:T528),"F")&gt;=1,"",IF(OR(C530&lt;&gt;$C$3,E529=""),"",A529))</f>
        <v/>
      </c>
      <c r="T529" s="20" t="str">
        <f t="shared" ca="1" si="303"/>
        <v/>
      </c>
      <c r="U529" s="2">
        <f ca="1">IF(IF(OP!$C$83=1,$Z528,IF(OP!$C$83=2,$AA528,IF(OP!$C$83=3,$AB528,)))+$K529-$O529-$P529-$AS529&lt;OP!$C$142,0,$AS529)</f>
        <v>0</v>
      </c>
      <c r="V529" s="9"/>
      <c r="W529" s="19">
        <f ca="1">MAX(SUM($K$4:K529),0)</f>
        <v>2000000</v>
      </c>
      <c r="X529" s="19"/>
      <c r="Y529" s="19">
        <f t="shared" ca="1" si="329"/>
        <v>1920000</v>
      </c>
      <c r="Z529" s="2">
        <f ca="1">IF(MIN($Z$4:Z528)=0,0,MAX(0,($Z528+$K529-$O529-$P529)*IF(AND(F529="F",$D$3&lt;&gt;$G$3),((1+(-J529))^(H529/MIN(G529,365))),((1+(-J529))^(1/12)))-$U529))</f>
        <v>202699.46100309023</v>
      </c>
      <c r="AA529" s="2">
        <f ca="1">IF(MIN($AA$4:AA528)=0,0,MAX(0,($AA528+$K529-$O529-$P529)*IF(AND(F529="F",$D$3&lt;&gt;$G$3),((1+$AA$1)^(H529/MIN(G529,365))),((1+$AA$1)^(1/12)))-$U529))</f>
        <v>1920000</v>
      </c>
      <c r="AB529" s="2">
        <f ca="1">IF(MIN($AB$4:AB528)=0,0,MAX(0,($AB528+$K529-$O529-$P529)*IF(AND(F529="F",$D$3&lt;&gt;$G$3),((1+(J529))^(H529/MIN(G529,365))),((1+(J529))^(1/12)))-$U529))</f>
        <v>16296668.745209524</v>
      </c>
      <c r="AC529" s="5"/>
      <c r="AD529" s="5"/>
      <c r="AE529" s="5"/>
      <c r="AF529" s="282">
        <f t="shared" ca="1" si="312"/>
        <v>202699</v>
      </c>
      <c r="AG529" s="282">
        <f t="shared" ca="1" si="313"/>
        <v>1920000</v>
      </c>
      <c r="AH529" s="282">
        <f t="shared" ca="1" si="314"/>
        <v>16296669</v>
      </c>
      <c r="AI529" s="23" t="str">
        <f t="shared" ca="1" si="331"/>
        <v>44-11</v>
      </c>
      <c r="AJ529" s="282">
        <f ca="1">IF(E529&gt;111,,IF(AND(OP!$C$99=1,T529="F"),Z529,IF(AND(OP!$C$99=2,COUNTIF($T$4:T529,"F")=1),OP!$C$97+IF(F529="F",OP!$C$98,0),"")))</f>
        <v>54527</v>
      </c>
      <c r="AK529" s="282">
        <f ca="1">IF(E529&gt;111,,IF(AND(OP!$D$99=1,T529="F"),AA529,IF(AND(OP!$D$99=2,COUNTIF($T$4:T529,"F")=1),OP!$D$97+IF(F529="F",OP!$D$98,0),"")))</f>
        <v>74177</v>
      </c>
      <c r="AL529" s="282">
        <f ca="1">IF(E529&gt;111,,IF(AND(OP!$E$99=1,T529="F"),AB529,IF(AND(OP!$E$99=2,COUNTIF($T$4:T529,"F")=1),OP!$E$97+IF(F529="F",OP!$E$98,0),"")))</f>
        <v>99404</v>
      </c>
      <c r="AM529" s="1">
        <f t="shared" ca="1" si="304"/>
        <v>11</v>
      </c>
      <c r="AN529" s="1" t="e">
        <f ca="1">IF(OR(VLOOKUP($A529,MP,5,0)="季繳",VLOOKUP($A529,MP,5,0)="月繳"),1,"")</f>
        <v>#N/A</v>
      </c>
      <c r="AO529" s="1">
        <f t="shared" ca="1" si="315"/>
        <v>0</v>
      </c>
      <c r="AP529" s="1" t="str">
        <f ca="1">IF(AND(A529&lt;=OP!$C$120,COUNTIF(PAY,C529)=1),1,"")</f>
        <v/>
      </c>
      <c r="AR529" s="301">
        <f ca="1">IF(繳費報酬率資料!$A$1=1,$AY529+$AZ529,$BF529+$BG529)</f>
        <v>0</v>
      </c>
      <c r="AS529" s="1">
        <f ca="1">IF(C529&lt;&gt;IF($C$3=1,12,$C$3-1),0,IF(繳費報酬率資料!$A$1&lt;&gt;1,VLOOKUP($A529,MP,8,0),IF(AND($A529&gt;=OP!$C$79,$A529&lt;=OP!$C$80),OP!$C$78,)))</f>
        <v>0</v>
      </c>
      <c r="AT529" s="298">
        <f t="shared" ca="1" si="316"/>
        <v>0</v>
      </c>
      <c r="AU529" s="298">
        <f ca="1">IF(AND(A529&lt;=OP!$C$120,COUNTIF(PAY,C529)=1),OP!$C$123,0)</f>
        <v>0</v>
      </c>
      <c r="AV529" s="298">
        <f ca="1">IF(AND(A529&gt;=OP!$C$132,A529&lt;=OP!$C$133,$C$3=C529),OP!$C$135,0)</f>
        <v>0</v>
      </c>
      <c r="AW529" s="180">
        <f t="shared" ca="1" si="317"/>
        <v>0.05</v>
      </c>
      <c r="AX529" s="180">
        <f t="shared" ca="1" si="318"/>
        <v>0.05</v>
      </c>
      <c r="AY529" s="286">
        <f t="shared" ca="1" si="319"/>
        <v>0</v>
      </c>
      <c r="AZ529" s="286">
        <f t="shared" ca="1" si="320"/>
        <v>0</v>
      </c>
      <c r="BA529" s="286">
        <f t="shared" ca="1" si="321"/>
        <v>0</v>
      </c>
      <c r="BB529" s="286">
        <f t="shared" ca="1" si="322"/>
        <v>0</v>
      </c>
      <c r="BC529" s="286">
        <f t="shared" ca="1" si="323"/>
        <v>0</v>
      </c>
      <c r="BD529" s="180">
        <f t="shared" ca="1" si="324"/>
        <v>0.05</v>
      </c>
      <c r="BE529" s="180">
        <f t="shared" ca="1" si="325"/>
        <v>0.05</v>
      </c>
      <c r="BF529" s="286">
        <f t="shared" ca="1" si="326"/>
        <v>0</v>
      </c>
      <c r="BG529" s="286">
        <f t="shared" ca="1" si="327"/>
        <v>0</v>
      </c>
    </row>
    <row r="530" spans="1:59">
      <c r="A530" s="1">
        <f t="shared" ca="1" si="307"/>
        <v>44</v>
      </c>
      <c r="B530" s="1">
        <f t="shared" ca="1" si="300"/>
        <v>150</v>
      </c>
      <c r="C530" s="1">
        <f t="shared" ca="1" si="301"/>
        <v>4</v>
      </c>
      <c r="D530" s="1">
        <f ca="1">MIN($D$3,VLOOKUP(C530,OP!$S$30:$T$41,2))</f>
        <v>2</v>
      </c>
      <c r="E530" s="1">
        <f t="shared" ca="1" si="302"/>
        <v>98</v>
      </c>
      <c r="F530" s="11" t="str">
        <f t="shared" ca="1" si="308"/>
        <v/>
      </c>
      <c r="G530" s="8">
        <f t="shared" ca="1" si="330"/>
        <v>365</v>
      </c>
      <c r="H530" s="8">
        <f t="shared" ca="1" si="309"/>
        <v>30</v>
      </c>
      <c r="I530" s="8" t="str">
        <f t="shared" ca="1" si="306"/>
        <v>444</v>
      </c>
      <c r="J530" s="13">
        <f>IF(繳費報酬率資料!$A$1=1,VALUE(OP!$C$121),VLOOKUP(A530,MP,2,0))</f>
        <v>0.05</v>
      </c>
      <c r="K530" s="14">
        <f ca="1">IF(SUM($K$4:K529,IF(繳費報酬率資料!$A$1=1,$AU530+$AV530,$BB530+$BC530))&gt;OP!$L$58,0,IF(繳費報酬率資料!$A$1=1,$AU530+$AV530,$BB530+$BC530))</f>
        <v>0</v>
      </c>
      <c r="L530" s="2"/>
      <c r="M530" s="2"/>
      <c r="N530" s="2"/>
      <c r="O530" s="261">
        <f t="shared" ca="1" si="310"/>
        <v>0</v>
      </c>
      <c r="P530" s="261">
        <f t="shared" ca="1" si="328"/>
        <v>0</v>
      </c>
      <c r="Q530" s="3">
        <f ca="1">IF(A530&gt;MAX(OP!$R$17:$R$26),0,VLOOKUP(A530,fees,3,FALSE))</f>
        <v>0</v>
      </c>
      <c r="R530" s="200" t="str">
        <f t="shared" ca="1" si="311"/>
        <v/>
      </c>
      <c r="S530" s="9" t="str">
        <f ca="1">IF(COUNTIF(($T$4:T529),"F")&gt;=1,"",IF(OR(C531&lt;&gt;$C$3,E530=""),"",A530))</f>
        <v/>
      </c>
      <c r="T530" s="20" t="str">
        <f t="shared" ca="1" si="303"/>
        <v/>
      </c>
      <c r="U530" s="2">
        <f ca="1">IF(IF(OP!$C$83=1,$Z529,IF(OP!$C$83=2,$AA529,IF(OP!$C$83=3,$AB529,)))+$K530-$O530-$P530-$AS530&lt;OP!$C$142,0,$AS530)</f>
        <v>0</v>
      </c>
      <c r="V530" s="9"/>
      <c r="W530" s="19">
        <f ca="1">MAX(SUM($K$4:K530),0)</f>
        <v>2000000</v>
      </c>
      <c r="X530" s="19"/>
      <c r="Y530" s="19">
        <f t="shared" ca="1" si="329"/>
        <v>1920000</v>
      </c>
      <c r="Z530" s="2">
        <f ca="1">IF(MIN($Z$4:Z529)=0,0,MAX(0,($Z529+$K530-$O530-$P530)*IF(AND(F530="F",$D$3&lt;&gt;$G$3),((1+(-J530))^(H530/MIN(G530,365))),((1+(-J530))^(1/12)))-$U530))</f>
        <v>201834.88318587231</v>
      </c>
      <c r="AA530" s="2">
        <f ca="1">IF(MIN($AA$4:AA529)=0,0,MAX(0,($AA529+$K530-$O530-$P530)*IF(AND(F530="F",$D$3&lt;&gt;$G$3),((1+$AA$1)^(H530/MIN(G530,365))),((1+$AA$1)^(1/12)))-$U530))</f>
        <v>1920000</v>
      </c>
      <c r="AB530" s="2">
        <f ca="1">IF(MIN($AB$4:AB529)=0,0,MAX(0,($AB529+$K530-$O530-$P530)*IF(AND(F530="F",$D$3&lt;&gt;$G$3),((1+(J530))^(H530/MIN(G530,365))),((1+(J530))^(1/12)))-$U530))</f>
        <v>16363063.390938621</v>
      </c>
      <c r="AC530" s="5"/>
      <c r="AD530" s="5"/>
      <c r="AE530" s="5"/>
      <c r="AF530" s="282">
        <f t="shared" ca="1" si="312"/>
        <v>201835</v>
      </c>
      <c r="AG530" s="282">
        <f t="shared" ca="1" si="313"/>
        <v>1920000</v>
      </c>
      <c r="AH530" s="282">
        <f t="shared" ca="1" si="314"/>
        <v>16363063</v>
      </c>
      <c r="AI530" s="23" t="str">
        <f t="shared" ca="1" si="331"/>
        <v>44-12</v>
      </c>
      <c r="AJ530" s="282">
        <f ca="1">IF(E530&gt;111,,IF(AND(OP!$C$99=1,T530="F"),Z530,IF(AND(OP!$C$99=2,COUNTIF($T$4:T530,"F")=1),OP!$C$97+IF(F530="F",OP!$C$98,0),"")))</f>
        <v>54527</v>
      </c>
      <c r="AK530" s="282">
        <f ca="1">IF(E530&gt;111,,IF(AND(OP!$D$99=1,T530="F"),AA530,IF(AND(OP!$D$99=2,COUNTIF($T$4:T530,"F")=1),OP!$D$97+IF(F530="F",OP!$D$98,0),"")))</f>
        <v>74177</v>
      </c>
      <c r="AL530" s="282">
        <f ca="1">IF(E530&gt;111,,IF(AND(OP!$E$99=1,T530="F"),AB530,IF(AND(OP!$E$99=2,COUNTIF($T$4:T530,"F")=1),OP!$E$97+IF(F530="F",OP!$E$98,0),"")))</f>
        <v>99404</v>
      </c>
      <c r="AM530" s="1">
        <f t="shared" ca="1" si="304"/>
        <v>12</v>
      </c>
      <c r="AN530" s="1" t="e">
        <f ca="1">IF(OR(VLOOKUP($A530,MP,5,0)="月繳"),1,"")</f>
        <v>#N/A</v>
      </c>
      <c r="AO530" s="1">
        <f t="shared" ca="1" si="315"/>
        <v>0</v>
      </c>
      <c r="AP530" s="1" t="str">
        <f ca="1">IF(AND(A530&lt;=OP!$C$120,COUNTIF(PAY,C530)=1),1,"")</f>
        <v/>
      </c>
      <c r="AR530" s="301">
        <f ca="1">IF(繳費報酬率資料!$A$1=1,$AY530+$AZ530,$BF530+$BG530)</f>
        <v>0</v>
      </c>
      <c r="AS530" s="1">
        <f ca="1">IF(C530&lt;&gt;IF($C$3=1,12,$C$3-1),0,IF(繳費報酬率資料!$A$1&lt;&gt;1,VLOOKUP($A530,MP,8,0),IF(AND($A530&gt;=OP!$C$79,$A530&lt;=OP!$C$80),OP!$C$78,)))</f>
        <v>0</v>
      </c>
      <c r="AT530" s="298">
        <f t="shared" ca="1" si="316"/>
        <v>0</v>
      </c>
      <c r="AU530" s="298">
        <f ca="1">IF(AND(A530&lt;=OP!$C$120,COUNTIF(PAY,C530)=1),OP!$C$123,0)</f>
        <v>0</v>
      </c>
      <c r="AV530" s="298">
        <f ca="1">IF(AND(A530&gt;=OP!$C$132,A530&lt;=OP!$C$133,$C$3=C530),OP!$C$135,0)</f>
        <v>0</v>
      </c>
      <c r="AW530" s="180">
        <f t="shared" ca="1" si="317"/>
        <v>0.05</v>
      </c>
      <c r="AX530" s="180">
        <f t="shared" ca="1" si="318"/>
        <v>0.05</v>
      </c>
      <c r="AY530" s="286">
        <f t="shared" ca="1" si="319"/>
        <v>0</v>
      </c>
      <c r="AZ530" s="286">
        <f t="shared" ca="1" si="320"/>
        <v>0</v>
      </c>
      <c r="BA530" s="286">
        <f t="shared" ca="1" si="321"/>
        <v>0</v>
      </c>
      <c r="BB530" s="286">
        <f t="shared" ca="1" si="322"/>
        <v>0</v>
      </c>
      <c r="BC530" s="286">
        <f t="shared" ca="1" si="323"/>
        <v>0</v>
      </c>
      <c r="BD530" s="180">
        <f t="shared" ca="1" si="324"/>
        <v>0.05</v>
      </c>
      <c r="BE530" s="180">
        <f t="shared" ca="1" si="325"/>
        <v>0.05</v>
      </c>
      <c r="BF530" s="286">
        <f t="shared" ca="1" si="326"/>
        <v>0</v>
      </c>
      <c r="BG530" s="286">
        <f t="shared" ca="1" si="327"/>
        <v>0</v>
      </c>
    </row>
    <row r="531" spans="1:59">
      <c r="A531" s="1">
        <f t="shared" ca="1" si="307"/>
        <v>44</v>
      </c>
      <c r="B531" s="1">
        <f t="shared" ca="1" si="300"/>
        <v>150</v>
      </c>
      <c r="C531" s="1">
        <f t="shared" ca="1" si="301"/>
        <v>5</v>
      </c>
      <c r="D531" s="1">
        <f ca="1">MIN($D$3,VLOOKUP(C531,OP!$S$30:$T$41,2))</f>
        <v>2</v>
      </c>
      <c r="E531" s="1">
        <f t="shared" ca="1" si="302"/>
        <v>98</v>
      </c>
      <c r="F531" s="11" t="str">
        <f t="shared" ca="1" si="308"/>
        <v/>
      </c>
      <c r="G531" s="8">
        <f t="shared" ca="1" si="330"/>
        <v>365</v>
      </c>
      <c r="H531" s="8">
        <f t="shared" ca="1" si="309"/>
        <v>31</v>
      </c>
      <c r="I531" s="8" t="str">
        <f t="shared" ca="1" si="306"/>
        <v>445</v>
      </c>
      <c r="J531" s="13">
        <f>IF(繳費報酬率資料!$A$1=1,VALUE(OP!$C$121),VLOOKUP(A531,MP,2,0))</f>
        <v>0.05</v>
      </c>
      <c r="K531" s="14">
        <f ca="1">IF(SUM($K$4:K530,IF(繳費報酬率資料!$A$1=1,$AU531+$AV531,$BB531+$BC531))&gt;OP!$L$58,0,IF(繳費報酬率資料!$A$1=1,$AU531+$AV531,$BB531+$BC531))</f>
        <v>0</v>
      </c>
      <c r="L531" s="2">
        <f ca="1">ROUND(IF(OP!$C$78&lt;(IF(OR($T531="F",$E531&gt;=111),0,Z530+$K531-$O531+IF($C$1=1,OP!$C$78,IF($C532=$C$3,SUM(AC520:AC531,0)))))*5%,0,(OP!$C$78-((IF(OR($T531="F",$E531&gt;=111),0,Z530+$K531-$O531+IF($C$1=1,AC531,IF($C532=$C$3,SUM(AC520:AC531,0)))))*5%))*$Q531),0)</f>
        <v>0</v>
      </c>
      <c r="M531" s="2">
        <f ca="1">ROUND(IF(OP!$C$78&lt;(IF(OR($T531="F",$E531&gt;=111),0,AA530+$K531-$O531+IF($C$1=1,AD531,IF($C532=$C$3,SUM(AD520:AD531,0)))))*5%,0,(OP!$C$78-((IF(OR($T531="F",$E531&gt;=111),0,AA530+$K531-$O531+IF($C$1=1,AD531,IF($C532=$C$3,SUM(AD520:AD531,0)))))*5%))*$Q531),0)</f>
        <v>0</v>
      </c>
      <c r="N531" s="2">
        <f ca="1">ROUND(IF(OP!$C$78&lt;(IF(OR($T531="F",$E531&gt;=111),0,AB530+$K531-$O531+IF($C$1=1,AE531,IF($C532=$C$3,SUM(AE520:AE531,0)))))*5%,0,(OP!$C$78-((IF(OR($T531="F",$E531&gt;=111),0,AB530+$K531-$O531+IF($C$1=1,AE531,IF($C532=$C$3,SUM(AE520:AE531,0)))))*5%))*$Q531),0)</f>
        <v>0</v>
      </c>
      <c r="O531" s="261">
        <f t="shared" ca="1" si="310"/>
        <v>0</v>
      </c>
      <c r="P531" s="261">
        <f t="shared" ca="1" si="328"/>
        <v>0</v>
      </c>
      <c r="Q531" s="3">
        <f ca="1">IF(A531&gt;MAX(OP!$R$17:$R$26),0,VLOOKUP(A531,fees,3,FALSE))</f>
        <v>0</v>
      </c>
      <c r="R531" s="200">
        <f t="shared" ca="1" si="311"/>
        <v>44</v>
      </c>
      <c r="S531" s="9" t="str">
        <f ca="1">IF(COUNTIF(($T$4:T530),"F")&gt;=1,"",IF(OR(C532&lt;&gt;$C$3,E531=""),"",A531))</f>
        <v/>
      </c>
      <c r="T531" s="20" t="str">
        <f t="shared" ca="1" si="303"/>
        <v/>
      </c>
      <c r="U531" s="2">
        <f ca="1">IF(IF(OP!$C$83=1,$Z530,IF(OP!$C$83=2,$AA530,IF(OP!$C$83=3,$AB530,)))+$K531-$O531-$P531-$AS531&lt;OP!$C$142,0,$AS531)</f>
        <v>0</v>
      </c>
      <c r="V531" s="19">
        <f ca="1">SUM(K520:K531)</f>
        <v>0</v>
      </c>
      <c r="W531" s="19">
        <f ca="1">MAX(SUM($K$4:K531),0)</f>
        <v>2000000</v>
      </c>
      <c r="X531" s="19">
        <f ca="1">SUM(O520:P531)</f>
        <v>0</v>
      </c>
      <c r="Y531" s="19">
        <f t="shared" ca="1" si="329"/>
        <v>1920000</v>
      </c>
      <c r="Z531" s="2">
        <f ca="1">IF(MIN($Z$4:Z530)=0,0,MAX(0,($Z530+$K531-$O531-$P531)*IF(AND(F531="F",$D$3&lt;&gt;$G$3),((1+(-J531))^(H531/MIN(G531,365))),((1+(-J531))^(1/12)))-$U531))</f>
        <v>200973.99306865284</v>
      </c>
      <c r="AA531" s="2">
        <f ca="1">IF(MIN($AA$4:AA530)=0,0,MAX(0,($AA530+$K531-$O531-$P531)*IF(AND(F531="F",$D$3&lt;&gt;$G$3),((1+$AA$1)^(H531/MIN(G531,365))),((1+$AA$1)^(1/12)))-$U531))</f>
        <v>1920000</v>
      </c>
      <c r="AB531" s="2">
        <f ca="1">IF(MIN($AB$4:AB530)=0,0,MAX(0,($AB530+$K531-$O531-$P531)*IF(AND(F531="F",$D$3&lt;&gt;$G$3),((1+(J531))^(H531/MIN(G531,365))),((1+(J531))^(1/12)))-$U531))</f>
        <v>16429728.536672989</v>
      </c>
      <c r="AC531" s="5"/>
      <c r="AD531" s="5"/>
      <c r="AE531" s="5"/>
      <c r="AF531" s="282">
        <f t="shared" ca="1" si="312"/>
        <v>200974</v>
      </c>
      <c r="AG531" s="282">
        <f t="shared" ca="1" si="313"/>
        <v>1920000</v>
      </c>
      <c r="AH531" s="282">
        <f t="shared" ca="1" si="314"/>
        <v>16429729</v>
      </c>
      <c r="AI531" s="23" t="str">
        <f t="shared" ca="1" si="331"/>
        <v>45-1</v>
      </c>
      <c r="AJ531" s="282">
        <f ca="1">IF(E531&gt;111,,IF(AND(OP!$C$99=1,T531="F"),Z531,IF(AND(OP!$C$99=2,COUNTIF($T$4:T531,"F")=1),OP!$C$97+IF(F531="F",OP!$C$98,0),"")))</f>
        <v>54527</v>
      </c>
      <c r="AK531" s="282">
        <f ca="1">IF(E531&gt;111,,IF(AND(OP!$D$99=1,T531="F"),AA531,IF(AND(OP!$D$99=2,COUNTIF($T$4:T531,"F")=1),OP!$D$97+IF(F531="F",OP!$D$98,0),"")))</f>
        <v>74177</v>
      </c>
      <c r="AL531" s="282">
        <f ca="1">IF(E531&gt;111,,IF(AND(OP!$E$99=1,T531="F"),AB531,IF(AND(OP!$E$99=2,COUNTIF($T$4:T531,"F")=1),OP!$E$97+IF(F531="F",OP!$E$98,0),"")))</f>
        <v>99404</v>
      </c>
      <c r="AM531" s="1">
        <f t="shared" ca="1" si="304"/>
        <v>1</v>
      </c>
      <c r="AN531" s="1" t="e">
        <f ca="1">IF(OR(VLOOKUP($A531,MP,5,0)="月繳"),1,"")</f>
        <v>#N/A</v>
      </c>
      <c r="AO531" s="1">
        <f t="shared" ca="1" si="315"/>
        <v>0</v>
      </c>
      <c r="AP531" s="1" t="str">
        <f ca="1">IF(AND(A531&lt;=OP!$C$120,COUNTIF(PAY,C531)=1),1,"")</f>
        <v/>
      </c>
      <c r="AR531" s="301">
        <f ca="1">IF(繳費報酬率資料!$A$1=1,$AY531+$AZ531,$BF531+$BG531)</f>
        <v>0</v>
      </c>
      <c r="AS531" s="1">
        <f ca="1">IF(C531&lt;&gt;IF($C$3=1,12,$C$3-1),0,IF(繳費報酬率資料!$A$1&lt;&gt;1,VLOOKUP($A531,MP,8,0),IF(AND($A531&gt;=OP!$C$79,$A531&lt;=OP!$C$80),OP!$C$78,)))</f>
        <v>0</v>
      </c>
      <c r="AT531" s="298">
        <f t="shared" ca="1" si="316"/>
        <v>0</v>
      </c>
      <c r="AU531" s="298">
        <f ca="1">IF(AND(A531&lt;=OP!$C$120,COUNTIF(PAY,C531)=1),OP!$C$123,0)</f>
        <v>0</v>
      </c>
      <c r="AV531" s="298">
        <f ca="1">IF(AND(A531&gt;=OP!$C$132,A531&lt;=OP!$C$133,$C$3=C531),OP!$C$135,0)</f>
        <v>0</v>
      </c>
      <c r="AW531" s="180">
        <f t="shared" ca="1" si="317"/>
        <v>0.05</v>
      </c>
      <c r="AX531" s="180">
        <f t="shared" ca="1" si="318"/>
        <v>0.05</v>
      </c>
      <c r="AY531" s="286">
        <f t="shared" ca="1" si="319"/>
        <v>0</v>
      </c>
      <c r="AZ531" s="286">
        <f t="shared" ca="1" si="320"/>
        <v>0</v>
      </c>
      <c r="BA531" s="286">
        <f t="shared" ca="1" si="321"/>
        <v>0</v>
      </c>
      <c r="BB531" s="286">
        <f t="shared" ca="1" si="322"/>
        <v>0</v>
      </c>
      <c r="BC531" s="286">
        <f t="shared" ca="1" si="323"/>
        <v>0</v>
      </c>
      <c r="BD531" s="180">
        <f t="shared" ca="1" si="324"/>
        <v>0.05</v>
      </c>
      <c r="BE531" s="180">
        <f t="shared" ca="1" si="325"/>
        <v>0.05</v>
      </c>
      <c r="BF531" s="286">
        <f t="shared" ca="1" si="326"/>
        <v>0</v>
      </c>
      <c r="BG531" s="286">
        <f t="shared" ca="1" si="327"/>
        <v>0</v>
      </c>
    </row>
    <row r="532" spans="1:59">
      <c r="A532" s="1">
        <f t="shared" ca="1" si="307"/>
        <v>45</v>
      </c>
      <c r="B532" s="1">
        <f t="shared" ca="1" si="300"/>
        <v>150</v>
      </c>
      <c r="C532" s="1">
        <f t="shared" ca="1" si="301"/>
        <v>6</v>
      </c>
      <c r="D532" s="1">
        <f ca="1">MIN($D$3,VLOOKUP(C532,OP!$S$30:$T$41,2))</f>
        <v>2</v>
      </c>
      <c r="E532" s="1">
        <f t="shared" ca="1" si="302"/>
        <v>99</v>
      </c>
      <c r="F532" s="11" t="str">
        <f t="shared" ca="1" si="308"/>
        <v/>
      </c>
      <c r="G532" s="6">
        <f ca="1">DATEDIF(DATE(B532+1911,C532,D532),DATE(B544+1911,C544,D544),"d")</f>
        <v>365</v>
      </c>
      <c r="H532" s="8">
        <f t="shared" ca="1" si="309"/>
        <v>30</v>
      </c>
      <c r="I532" s="8" t="str">
        <f t="shared" ca="1" si="306"/>
        <v>456</v>
      </c>
      <c r="J532" s="13">
        <f>IF(繳費報酬率資料!$A$1=1,VALUE(OP!$C$121),VLOOKUP(A532,MP,2,0))</f>
        <v>0.05</v>
      </c>
      <c r="K532" s="14">
        <f ca="1">IF(SUM($K$4:K531,IF(繳費報酬率資料!$A$1=1,$AU532+$AV532,$BB532+$BC532))&gt;OP!$L$58,0,IF(繳費報酬率資料!$A$1=1,$AU532+$AV532,$BB532+$BC532))</f>
        <v>0</v>
      </c>
      <c r="L532" s="2"/>
      <c r="M532" s="2"/>
      <c r="N532" s="2"/>
      <c r="O532" s="261">
        <f t="shared" ca="1" si="310"/>
        <v>0</v>
      </c>
      <c r="P532" s="261">
        <f t="shared" ca="1" si="328"/>
        <v>0</v>
      </c>
      <c r="Q532" s="3">
        <f ca="1">IF(A532&gt;MAX(OP!$R$17:$R$26),0,VLOOKUP(A532,fees,3,FALSE))</f>
        <v>0</v>
      </c>
      <c r="R532" s="200" t="str">
        <f t="shared" ca="1" si="311"/>
        <v/>
      </c>
      <c r="S532" s="9" t="str">
        <f ca="1">IF(COUNTIF(($T$4:T531),"F")&gt;=1,"",IF(OR(C533&lt;&gt;$C$3,E532=""),"",A532))</f>
        <v/>
      </c>
      <c r="T532" s="20" t="str">
        <f t="shared" ca="1" si="303"/>
        <v/>
      </c>
      <c r="U532" s="2">
        <f ca="1">IF(IF(OP!$C$83=1,$Z531,IF(OP!$C$83=2,$AA531,IF(OP!$C$83=3,$AB531,)))+$K532-$O532-$P532-$AS532&lt;OP!$C$142,0,$AS532)</f>
        <v>0</v>
      </c>
      <c r="V532" s="9"/>
      <c r="W532" s="19">
        <f ca="1">MAX(SUM($K$4:K532),0)</f>
        <v>2000000</v>
      </c>
      <c r="X532" s="19"/>
      <c r="Y532" s="19">
        <f t="shared" ca="1" si="329"/>
        <v>1920000</v>
      </c>
      <c r="Z532" s="2">
        <f ca="1">IF(MIN($Z$4:Z531)=0,0,MAX(0,($Z531+$K532-$O532-$P532)*IF(AND(F532="F",$D$3&lt;&gt;$G$3),((1+(-J532))^(H532/MIN(G532,365))),((1+(-J532))^(1/12)))-$U532))</f>
        <v>200116.77492221576</v>
      </c>
      <c r="AA532" s="2">
        <f ca="1">IF(MIN($AA$4:AA531)=0,0,MAX(0,($AA531+$K532-$O532-$P532)*IF(AND(F532="F",$D$3&lt;&gt;$G$3),((1+$AA$1)^(H532/MIN(G532,365))),((1+$AA$1)^(1/12)))-$U532))</f>
        <v>1920000</v>
      </c>
      <c r="AB532" s="2">
        <f ca="1">IF(MIN($AB$4:AB531)=0,0,MAX(0,($AB531+$K532-$O532-$P532)*IF(AND(F532="F",$D$3&lt;&gt;$G$3),((1+(J532))^(H532/MIN(G532,365))),((1+(J532))^(1/12)))-$U532))</f>
        <v>16496665.284463134</v>
      </c>
      <c r="AC532" s="21"/>
      <c r="AD532" s="21"/>
      <c r="AE532" s="21"/>
      <c r="AF532" s="282">
        <f t="shared" ca="1" si="312"/>
        <v>200117</v>
      </c>
      <c r="AG532" s="282">
        <f t="shared" ca="1" si="313"/>
        <v>1920000</v>
      </c>
      <c r="AH532" s="282">
        <f t="shared" ca="1" si="314"/>
        <v>16496665</v>
      </c>
      <c r="AI532" s="23" t="str">
        <f t="shared" ca="1" si="331"/>
        <v>45-2</v>
      </c>
      <c r="AJ532" s="281">
        <f ca="1">IF(E532&gt;111,,IF(AND(OP!$C$99=1,T532="F"),Z532,IF(AND(OP!$C$99=2,COUNTIF($T$4:T532,"F")=1),OP!$C$97+IF(F532="F",OP!$C$98,0),"")))</f>
        <v>54527</v>
      </c>
      <c r="AK532" s="281">
        <f ca="1">IF(E532&gt;111,,IF(AND(OP!$D$99=1,T532="F"),AA532,IF(AND(OP!$D$99=2,COUNTIF($T$4:T532,"F")=1),OP!$D$97+IF(F532="F",OP!$D$98,0),"")))</f>
        <v>74177</v>
      </c>
      <c r="AL532" s="281">
        <f ca="1">IF(E532&gt;111,,IF(AND(OP!$E$99=1,T532="F"),AB532,IF(AND(OP!$E$99=2,COUNTIF($T$4:T532,"F")=1),OP!$E$97+IF(F532="F",OP!$E$98,0),"")))</f>
        <v>99404</v>
      </c>
      <c r="AM532" s="1">
        <f t="shared" ca="1" si="304"/>
        <v>2</v>
      </c>
      <c r="AN532" s="1" t="e">
        <f ca="1">IF(OR(VLOOKUP($A532,MP,5,0)="年繳",VLOOKUP($A532,MP,5,0)="半年繳",VLOOKUP($A532,MP,5,0)="季繳",VLOOKUP($A532,MP,5,0)="月繳"),1,"")</f>
        <v>#N/A</v>
      </c>
      <c r="AO532" s="1">
        <f t="shared" ca="1" si="315"/>
        <v>0</v>
      </c>
      <c r="AP532" s="1" t="str">
        <f ca="1">IF(AND(A532&lt;=OP!$C$120,COUNTIF(PAY,C532)=1),1,"")</f>
        <v/>
      </c>
      <c r="AR532" s="301">
        <f ca="1">IF(繳費報酬率資料!$A$1=1,$AY532+$AZ532,$BF532+$BG532)</f>
        <v>0</v>
      </c>
      <c r="AS532" s="1">
        <f ca="1">IF(C532&lt;&gt;IF($C$3=1,12,$C$3-1),0,IF(繳費報酬率資料!$A$1&lt;&gt;1,VLOOKUP($A532,MP,8,0),IF(AND($A532&gt;=OP!$C$79,$A532&lt;=OP!$C$80),OP!$C$78,)))</f>
        <v>0</v>
      </c>
      <c r="AT532" s="298">
        <f t="shared" ca="1" si="316"/>
        <v>0</v>
      </c>
      <c r="AU532" s="298">
        <f ca="1">IF(AND(A532&lt;=OP!$C$120,COUNTIF(PAY,C532)=1),OP!$C$123,0)</f>
        <v>0</v>
      </c>
      <c r="AV532" s="298">
        <f ca="1">IF(AND(A532&gt;=OP!$C$132,A532&lt;=OP!$C$133,$C$3=C532),OP!$C$135,0)</f>
        <v>0</v>
      </c>
      <c r="AW532" s="180">
        <f t="shared" ca="1" si="317"/>
        <v>0.05</v>
      </c>
      <c r="AX532" s="180">
        <f t="shared" ca="1" si="318"/>
        <v>0.05</v>
      </c>
      <c r="AY532" s="286">
        <f t="shared" ca="1" si="319"/>
        <v>0</v>
      </c>
      <c r="AZ532" s="286">
        <f t="shared" ca="1" si="320"/>
        <v>0</v>
      </c>
      <c r="BA532" s="286">
        <f t="shared" ca="1" si="321"/>
        <v>0</v>
      </c>
      <c r="BB532" s="286">
        <f t="shared" ca="1" si="322"/>
        <v>0</v>
      </c>
      <c r="BC532" s="286">
        <f t="shared" ca="1" si="323"/>
        <v>0</v>
      </c>
      <c r="BD532" s="180">
        <f t="shared" ca="1" si="324"/>
        <v>0.05</v>
      </c>
      <c r="BE532" s="180">
        <f t="shared" ca="1" si="325"/>
        <v>0.05</v>
      </c>
      <c r="BF532" s="286">
        <f t="shared" ca="1" si="326"/>
        <v>0</v>
      </c>
      <c r="BG532" s="286">
        <f t="shared" ca="1" si="327"/>
        <v>0</v>
      </c>
    </row>
    <row r="533" spans="1:59">
      <c r="A533" s="1">
        <f t="shared" ca="1" si="307"/>
        <v>45</v>
      </c>
      <c r="B533" s="1">
        <f t="shared" ca="1" si="300"/>
        <v>150</v>
      </c>
      <c r="C533" s="1">
        <f t="shared" ca="1" si="301"/>
        <v>7</v>
      </c>
      <c r="D533" s="1">
        <f ca="1">MIN($D$3,VLOOKUP(C533,OP!$S$30:$T$41,2))</f>
        <v>2</v>
      </c>
      <c r="E533" s="1">
        <f t="shared" ca="1" si="302"/>
        <v>99</v>
      </c>
      <c r="F533" s="11" t="str">
        <f t="shared" ca="1" si="308"/>
        <v/>
      </c>
      <c r="G533" s="8">
        <f t="shared" ref="G533:G543" ca="1" si="332">G532</f>
        <v>365</v>
      </c>
      <c r="H533" s="8">
        <f t="shared" ca="1" si="309"/>
        <v>31</v>
      </c>
      <c r="I533" s="8" t="str">
        <f t="shared" ca="1" si="306"/>
        <v>457</v>
      </c>
      <c r="J533" s="13">
        <f>IF(繳費報酬率資料!$A$1=1,VALUE(OP!$C$121),VLOOKUP(A533,MP,2,0))</f>
        <v>0.05</v>
      </c>
      <c r="K533" s="14">
        <f ca="1">IF(SUM($K$4:K532,IF(繳費報酬率資料!$A$1=1,$AU533+$AV533,$BB533+$BC533))&gt;OP!$L$58,0,IF(繳費報酬率資料!$A$1=1,$AU533+$AV533,$BB533+$BC533))</f>
        <v>0</v>
      </c>
      <c r="L533" s="2"/>
      <c r="M533" s="2"/>
      <c r="N533" s="2"/>
      <c r="O533" s="261">
        <f t="shared" ca="1" si="310"/>
        <v>0</v>
      </c>
      <c r="P533" s="261">
        <f t="shared" ca="1" si="328"/>
        <v>0</v>
      </c>
      <c r="Q533" s="3">
        <f ca="1">IF(A533&gt;MAX(OP!$R$17:$R$26),0,VLOOKUP(A533,fees,3,FALSE))</f>
        <v>0</v>
      </c>
      <c r="R533" s="200" t="str">
        <f t="shared" ca="1" si="311"/>
        <v/>
      </c>
      <c r="S533" s="9" t="str">
        <f ca="1">IF(COUNTIF(($T$4:T532),"F")&gt;=1,"",IF(OR(C534&lt;&gt;$C$3,E533=""),"",A533))</f>
        <v/>
      </c>
      <c r="T533" s="20" t="str">
        <f t="shared" ca="1" si="303"/>
        <v/>
      </c>
      <c r="U533" s="2">
        <f ca="1">IF(IF(OP!$C$83=1,$Z532,IF(OP!$C$83=2,$AA532,IF(OP!$C$83=3,$AB532,)))+$K533-$O533-$P533-$AS533&lt;OP!$C$142,0,$AS533)</f>
        <v>0</v>
      </c>
      <c r="V533" s="9"/>
      <c r="W533" s="19">
        <f ca="1">MAX(SUM($K$4:K533),0)</f>
        <v>2000000</v>
      </c>
      <c r="X533" s="19"/>
      <c r="Y533" s="19">
        <f t="shared" ca="1" si="329"/>
        <v>1920000</v>
      </c>
      <c r="Z533" s="2">
        <f ca="1">IF(MIN($Z$4:Z532)=0,0,MAX(0,($Z532+$K533-$O533-$P533)*IF(AND(F533="F",$D$3&lt;&gt;$G$3),((1+(-J533))^(H533/MIN(G533,365))),((1+(-J533))^(1/12)))-$U533))</f>
        <v>199263.21308443515</v>
      </c>
      <c r="AA533" s="2">
        <f ca="1">IF(MIN($AA$4:AA532)=0,0,MAX(0,($AA532+$K533-$O533-$P533)*IF(AND(F533="F",$D$3&lt;&gt;$G$3),((1+$AA$1)^(H533/MIN(G533,365))),((1+$AA$1)^(1/12)))-$U533))</f>
        <v>1920000</v>
      </c>
      <c r="AB533" s="2">
        <f ca="1">IF(MIN($AB$4:AB532)=0,0,MAX(0,($AB532+$K533-$O533-$P533)*IF(AND(F533="F",$D$3&lt;&gt;$G$3),((1+(J533))^(H533/MIN(G533,365))),((1+(J533))^(1/12)))-$U533))</f>
        <v>16563874.74084945</v>
      </c>
      <c r="AC533" s="5"/>
      <c r="AD533" s="5"/>
      <c r="AE533" s="5"/>
      <c r="AF533" s="282">
        <f t="shared" ca="1" si="312"/>
        <v>199263</v>
      </c>
      <c r="AG533" s="282">
        <f t="shared" ca="1" si="313"/>
        <v>1920000</v>
      </c>
      <c r="AH533" s="282">
        <f t="shared" ca="1" si="314"/>
        <v>16563875</v>
      </c>
      <c r="AI533" s="23" t="str">
        <f t="shared" ca="1" si="331"/>
        <v>45-3</v>
      </c>
      <c r="AJ533" s="282">
        <f ca="1">IF(E533&gt;111,,IF(AND(OP!$C$99=1,T533="F"),Z533,IF(AND(OP!$C$99=2,COUNTIF($T$4:T533,"F")=1),OP!$C$97+IF(F533="F",OP!$C$98,0),"")))</f>
        <v>54527</v>
      </c>
      <c r="AK533" s="282">
        <f ca="1">IF(E533&gt;111,,IF(AND(OP!$D$99=1,T533="F"),AA533,IF(AND(OP!$D$99=2,COUNTIF($T$4:T533,"F")=1),OP!$D$97+IF(F533="F",OP!$D$98,0),"")))</f>
        <v>74177</v>
      </c>
      <c r="AL533" s="282">
        <f ca="1">IF(E533&gt;111,,IF(AND(OP!$E$99=1,T533="F"),AB533,IF(AND(OP!$E$99=2,COUNTIF($T$4:T533,"F")=1),OP!$E$97+IF(F533="F",OP!$E$98,0),"")))</f>
        <v>99404</v>
      </c>
      <c r="AM533" s="1">
        <f t="shared" ca="1" si="304"/>
        <v>3</v>
      </c>
      <c r="AN533" s="1" t="e">
        <f ca="1">IF(OR(VLOOKUP($A533,MP,5,0)="月繳"),1,"")</f>
        <v>#N/A</v>
      </c>
      <c r="AO533" s="1">
        <f t="shared" ca="1" si="315"/>
        <v>0</v>
      </c>
      <c r="AP533" s="1" t="str">
        <f ca="1">IF(AND(A533&lt;=OP!$C$120,COUNTIF(PAY,C533)=1),1,"")</f>
        <v/>
      </c>
      <c r="AR533" s="301">
        <f ca="1">IF(繳費報酬率資料!$A$1=1,$AY533+$AZ533,$BF533+$BG533)</f>
        <v>0</v>
      </c>
      <c r="AS533" s="1">
        <f ca="1">IF(C533&lt;&gt;IF($C$3=1,12,$C$3-1),0,IF(繳費報酬率資料!$A$1&lt;&gt;1,VLOOKUP($A533,MP,8,0),IF(AND($A533&gt;=OP!$C$79,$A533&lt;=OP!$C$80),OP!$C$78,)))</f>
        <v>0</v>
      </c>
      <c r="AT533" s="298">
        <f t="shared" ca="1" si="316"/>
        <v>0</v>
      </c>
      <c r="AU533" s="298">
        <f ca="1">IF(AND(A533&lt;=OP!$C$120,COUNTIF(PAY,C533)=1),OP!$C$123,0)</f>
        <v>0</v>
      </c>
      <c r="AV533" s="298">
        <f ca="1">IF(AND(A533&gt;=OP!$C$132,A533&lt;=OP!$C$133,$C$3=C533),OP!$C$135,0)</f>
        <v>0</v>
      </c>
      <c r="AW533" s="180">
        <f t="shared" ca="1" si="317"/>
        <v>0.05</v>
      </c>
      <c r="AX533" s="180">
        <f t="shared" ca="1" si="318"/>
        <v>0.05</v>
      </c>
      <c r="AY533" s="286">
        <f t="shared" ca="1" si="319"/>
        <v>0</v>
      </c>
      <c r="AZ533" s="286">
        <f t="shared" ca="1" si="320"/>
        <v>0</v>
      </c>
      <c r="BA533" s="286">
        <f t="shared" ca="1" si="321"/>
        <v>0</v>
      </c>
      <c r="BB533" s="286">
        <f t="shared" ca="1" si="322"/>
        <v>0</v>
      </c>
      <c r="BC533" s="286">
        <f t="shared" ca="1" si="323"/>
        <v>0</v>
      </c>
      <c r="BD533" s="180">
        <f t="shared" ca="1" si="324"/>
        <v>0.05</v>
      </c>
      <c r="BE533" s="180">
        <f t="shared" ca="1" si="325"/>
        <v>0.05</v>
      </c>
      <c r="BF533" s="286">
        <f t="shared" ca="1" si="326"/>
        <v>0</v>
      </c>
      <c r="BG533" s="286">
        <f t="shared" ca="1" si="327"/>
        <v>0</v>
      </c>
    </row>
    <row r="534" spans="1:59">
      <c r="A534" s="1">
        <f t="shared" ca="1" si="307"/>
        <v>45</v>
      </c>
      <c r="B534" s="1">
        <f t="shared" ca="1" si="300"/>
        <v>150</v>
      </c>
      <c r="C534" s="1">
        <f t="shared" ca="1" si="301"/>
        <v>8</v>
      </c>
      <c r="D534" s="1">
        <f ca="1">MIN($D$3,VLOOKUP(C534,OP!$S$30:$T$41,2))</f>
        <v>2</v>
      </c>
      <c r="E534" s="1">
        <f t="shared" ca="1" si="302"/>
        <v>99</v>
      </c>
      <c r="F534" s="11" t="str">
        <f t="shared" ca="1" si="308"/>
        <v/>
      </c>
      <c r="G534" s="8">
        <f t="shared" ca="1" si="332"/>
        <v>365</v>
      </c>
      <c r="H534" s="8">
        <f t="shared" ca="1" si="309"/>
        <v>31</v>
      </c>
      <c r="I534" s="8" t="str">
        <f t="shared" ca="1" si="306"/>
        <v>458</v>
      </c>
      <c r="J534" s="13">
        <f>IF(繳費報酬率資料!$A$1=1,VALUE(OP!$C$121),VLOOKUP(A534,MP,2,0))</f>
        <v>0.05</v>
      </c>
      <c r="K534" s="14">
        <f ca="1">IF(SUM($K$4:K533,IF(繳費報酬率資料!$A$1=1,$AU534+$AV534,$BB534+$BC534))&gt;OP!$L$58,0,IF(繳費報酬率資料!$A$1=1,$AU534+$AV534,$BB534+$BC534))</f>
        <v>0</v>
      </c>
      <c r="L534" s="2"/>
      <c r="M534" s="2"/>
      <c r="N534" s="2"/>
      <c r="O534" s="261">
        <f t="shared" ca="1" si="310"/>
        <v>0</v>
      </c>
      <c r="P534" s="261">
        <f t="shared" ca="1" si="328"/>
        <v>0</v>
      </c>
      <c r="Q534" s="3">
        <f ca="1">IF(A534&gt;MAX(OP!$R$17:$R$26),0,VLOOKUP(A534,fees,3,FALSE))</f>
        <v>0</v>
      </c>
      <c r="R534" s="200" t="str">
        <f t="shared" ca="1" si="311"/>
        <v/>
      </c>
      <c r="S534" s="9" t="str">
        <f ca="1">IF(COUNTIF(($T$4:T533),"F")&gt;=1,"",IF(OR(C535&lt;&gt;$C$3,E534=""),"",A534))</f>
        <v/>
      </c>
      <c r="T534" s="20" t="str">
        <f t="shared" ca="1" si="303"/>
        <v/>
      </c>
      <c r="U534" s="2">
        <f ca="1">IF(IF(OP!$C$83=1,$Z533,IF(OP!$C$83=2,$AA533,IF(OP!$C$83=3,$AB533,)))+$K534-$O534-$P534-$AS534&lt;OP!$C$142,0,$AS534)</f>
        <v>0</v>
      </c>
      <c r="V534" s="9"/>
      <c r="W534" s="19">
        <f ca="1">MAX(SUM($K$4:K534),0)</f>
        <v>2000000</v>
      </c>
      <c r="X534" s="19"/>
      <c r="Y534" s="19">
        <f t="shared" ca="1" si="329"/>
        <v>1920000</v>
      </c>
      <c r="Z534" s="2">
        <f ca="1">IF(MIN($Z$4:Z533)=0,0,MAX(0,($Z533+$K534-$O534-$P534)*IF(AND(F534="F",$D$3&lt;&gt;$G$3),((1+(-J534))^(H534/MIN(G534,365))),((1+(-J534))^(1/12)))-$U534))</f>
        <v>198413.29195998903</v>
      </c>
      <c r="AA534" s="2">
        <f ca="1">IF(MIN($AA$4:AA533)=0,0,MAX(0,($AA533+$K534-$O534-$P534)*IF(AND(F534="F",$D$3&lt;&gt;$G$3),((1+$AA$1)^(H534/MIN(G534,365))),((1+$AA$1)^(1/12)))-$U534))</f>
        <v>1920000</v>
      </c>
      <c r="AB534" s="2">
        <f ca="1">IF(MIN($AB$4:AB533)=0,0,MAX(0,($AB533+$K534-$O534-$P534)*IF(AND(F534="F",$D$3&lt;&gt;$G$3),((1+(J534))^(H534/MIN(G534,365))),((1+(J534))^(1/12)))-$U534))</f>
        <v>16631358.016880518</v>
      </c>
      <c r="AC534" s="5"/>
      <c r="AD534" s="5"/>
      <c r="AE534" s="5"/>
      <c r="AF534" s="282">
        <f t="shared" ca="1" si="312"/>
        <v>198413</v>
      </c>
      <c r="AG534" s="282">
        <f t="shared" ca="1" si="313"/>
        <v>1920000</v>
      </c>
      <c r="AH534" s="282">
        <f t="shared" ca="1" si="314"/>
        <v>16631358</v>
      </c>
      <c r="AI534" s="23" t="str">
        <f t="shared" ca="1" si="331"/>
        <v>45-4</v>
      </c>
      <c r="AJ534" s="282">
        <f ca="1">IF(E534&gt;111,,IF(AND(OP!$C$99=1,T534="F"),Z534,IF(AND(OP!$C$99=2,COUNTIF($T$4:T534,"F")=1),OP!$C$97+IF(F534="F",OP!$C$98,0),"")))</f>
        <v>54527</v>
      </c>
      <c r="AK534" s="282">
        <f ca="1">IF(E534&gt;111,,IF(AND(OP!$D$99=1,T534="F"),AA534,IF(AND(OP!$D$99=2,COUNTIF($T$4:T534,"F")=1),OP!$D$97+IF(F534="F",OP!$D$98,0),"")))</f>
        <v>74177</v>
      </c>
      <c r="AL534" s="282">
        <f ca="1">IF(E534&gt;111,,IF(AND(OP!$E$99=1,T534="F"),AB534,IF(AND(OP!$E$99=2,COUNTIF($T$4:T534,"F")=1),OP!$E$97+IF(F534="F",OP!$E$98,0),"")))</f>
        <v>99404</v>
      </c>
      <c r="AM534" s="1">
        <f t="shared" ca="1" si="304"/>
        <v>4</v>
      </c>
      <c r="AN534" s="1" t="e">
        <f ca="1">IF(OR(VLOOKUP($A534,MP,5,0)="月繳"),1,"")</f>
        <v>#N/A</v>
      </c>
      <c r="AO534" s="1">
        <f t="shared" ca="1" si="315"/>
        <v>0</v>
      </c>
      <c r="AP534" s="1" t="str">
        <f ca="1">IF(AND(A534&lt;=OP!$C$120,COUNTIF(PAY,C534)=1),1,"")</f>
        <v/>
      </c>
      <c r="AR534" s="301">
        <f ca="1">IF(繳費報酬率資料!$A$1=1,$AY534+$AZ534,$BF534+$BG534)</f>
        <v>0</v>
      </c>
      <c r="AS534" s="1">
        <f ca="1">IF(C534&lt;&gt;IF($C$3=1,12,$C$3-1),0,IF(繳費報酬率資料!$A$1&lt;&gt;1,VLOOKUP($A534,MP,8,0),IF(AND($A534&gt;=OP!$C$79,$A534&lt;=OP!$C$80),OP!$C$78,)))</f>
        <v>0</v>
      </c>
      <c r="AT534" s="298">
        <f t="shared" ca="1" si="316"/>
        <v>0</v>
      </c>
      <c r="AU534" s="298">
        <f ca="1">IF(AND(A534&lt;=OP!$C$120,COUNTIF(PAY,C534)=1),OP!$C$123,0)</f>
        <v>0</v>
      </c>
      <c r="AV534" s="298">
        <f ca="1">IF(AND(A534&gt;=OP!$C$132,A534&lt;=OP!$C$133,$C$3=C534),OP!$C$135,0)</f>
        <v>0</v>
      </c>
      <c r="AW534" s="180">
        <f t="shared" ca="1" si="317"/>
        <v>0.05</v>
      </c>
      <c r="AX534" s="180">
        <f t="shared" ca="1" si="318"/>
        <v>0.05</v>
      </c>
      <c r="AY534" s="286">
        <f t="shared" ca="1" si="319"/>
        <v>0</v>
      </c>
      <c r="AZ534" s="286">
        <f t="shared" ca="1" si="320"/>
        <v>0</v>
      </c>
      <c r="BA534" s="286">
        <f t="shared" ca="1" si="321"/>
        <v>0</v>
      </c>
      <c r="BB534" s="286">
        <f t="shared" ca="1" si="322"/>
        <v>0</v>
      </c>
      <c r="BC534" s="286">
        <f t="shared" ca="1" si="323"/>
        <v>0</v>
      </c>
      <c r="BD534" s="180">
        <f t="shared" ca="1" si="324"/>
        <v>0.05</v>
      </c>
      <c r="BE534" s="180">
        <f t="shared" ca="1" si="325"/>
        <v>0.05</v>
      </c>
      <c r="BF534" s="286">
        <f t="shared" ca="1" si="326"/>
        <v>0</v>
      </c>
      <c r="BG534" s="286">
        <f t="shared" ca="1" si="327"/>
        <v>0</v>
      </c>
    </row>
    <row r="535" spans="1:59">
      <c r="A535" s="1">
        <f t="shared" ca="1" si="307"/>
        <v>45</v>
      </c>
      <c r="B535" s="1">
        <f t="shared" ca="1" si="300"/>
        <v>150</v>
      </c>
      <c r="C535" s="1">
        <f t="shared" ca="1" si="301"/>
        <v>9</v>
      </c>
      <c r="D535" s="1">
        <f ca="1">MIN($D$3,VLOOKUP(C535,OP!$S$30:$T$41,2))</f>
        <v>2</v>
      </c>
      <c r="E535" s="1">
        <f t="shared" ca="1" si="302"/>
        <v>99</v>
      </c>
      <c r="F535" s="11" t="str">
        <f t="shared" ca="1" si="308"/>
        <v/>
      </c>
      <c r="G535" s="8">
        <f t="shared" ca="1" si="332"/>
        <v>365</v>
      </c>
      <c r="H535" s="8">
        <f t="shared" ca="1" si="309"/>
        <v>30</v>
      </c>
      <c r="I535" s="8" t="str">
        <f t="shared" ca="1" si="306"/>
        <v>459</v>
      </c>
      <c r="J535" s="13">
        <f>IF(繳費報酬率資料!$A$1=1,VALUE(OP!$C$121),VLOOKUP(A535,MP,2,0))</f>
        <v>0.05</v>
      </c>
      <c r="K535" s="14">
        <f ca="1">IF(SUM($K$4:K534,IF(繳費報酬率資料!$A$1=1,$AU535+$AV535,$BB535+$BC535))&gt;OP!$L$58,0,IF(繳費報酬率資料!$A$1=1,$AU535+$AV535,$BB535+$BC535))</f>
        <v>0</v>
      </c>
      <c r="L535" s="2"/>
      <c r="M535" s="2"/>
      <c r="N535" s="2"/>
      <c r="O535" s="261">
        <f t="shared" ca="1" si="310"/>
        <v>0</v>
      </c>
      <c r="P535" s="261">
        <f t="shared" ca="1" si="328"/>
        <v>0</v>
      </c>
      <c r="Q535" s="3">
        <f ca="1">IF(A535&gt;MAX(OP!$R$17:$R$26),0,VLOOKUP(A535,fees,3,FALSE))</f>
        <v>0</v>
      </c>
      <c r="R535" s="200" t="str">
        <f t="shared" ca="1" si="311"/>
        <v/>
      </c>
      <c r="S535" s="9" t="str">
        <f ca="1">IF(COUNTIF(($T$4:T534),"F")&gt;=1,"",IF(OR(C536&lt;&gt;$C$3,E535=""),"",A535))</f>
        <v/>
      </c>
      <c r="T535" s="20" t="str">
        <f t="shared" ca="1" si="303"/>
        <v/>
      </c>
      <c r="U535" s="2">
        <f ca="1">IF(IF(OP!$C$83=1,$Z534,IF(OP!$C$83=2,$AA534,IF(OP!$C$83=3,$AB534,)))+$K535-$O535-$P535-$AS535&lt;OP!$C$142,0,$AS535)</f>
        <v>0</v>
      </c>
      <c r="V535" s="9"/>
      <c r="W535" s="19">
        <f ca="1">MAX(SUM($K$4:K535),0)</f>
        <v>2000000</v>
      </c>
      <c r="X535" s="19"/>
      <c r="Y535" s="19">
        <f t="shared" ca="1" si="329"/>
        <v>1920000</v>
      </c>
      <c r="Z535" s="2">
        <f ca="1">IF(MIN($Z$4:Z534)=0,0,MAX(0,($Z534+$K535-$O535-$P535)*IF(AND(F535="F",$D$3&lt;&gt;$G$3),((1+(-J535))^(H535/MIN(G535,365))),((1+(-J535))^(1/12)))-$U535))</f>
        <v>197566.99602007447</v>
      </c>
      <c r="AA535" s="2">
        <f ca="1">IF(MIN($AA$4:AA534)=0,0,MAX(0,($AA534+$K535-$O535-$P535)*IF(AND(F535="F",$D$3&lt;&gt;$G$3),((1+$AA$1)^(H535/MIN(G535,365))),((1+$AA$1)^(1/12)))-$U535))</f>
        <v>1920000</v>
      </c>
      <c r="AB535" s="2">
        <f ca="1">IF(MIN($AB$4:AB534)=0,0,MAX(0,($AB534+$K535-$O535-$P535)*IF(AND(F535="F",$D$3&lt;&gt;$G$3),((1+(J535))^(H535/MIN(G535,365))),((1+(J535))^(1/12)))-$U535))</f>
        <v>16699116.228131462</v>
      </c>
      <c r="AC535" s="5"/>
      <c r="AD535" s="5"/>
      <c r="AE535" s="5"/>
      <c r="AF535" s="282">
        <f t="shared" ca="1" si="312"/>
        <v>197567</v>
      </c>
      <c r="AG535" s="282">
        <f t="shared" ca="1" si="313"/>
        <v>1920000</v>
      </c>
      <c r="AH535" s="282">
        <f t="shared" ca="1" si="314"/>
        <v>16699116</v>
      </c>
      <c r="AI535" s="23" t="str">
        <f t="shared" ca="1" si="331"/>
        <v>45-5</v>
      </c>
      <c r="AJ535" s="282">
        <f ca="1">IF(E535&gt;111,,IF(AND(OP!$C$99=1,T535="F"),Z535,IF(AND(OP!$C$99=2,COUNTIF($T$4:T535,"F")=1),OP!$C$97+IF(F535="F",OP!$C$98,0),"")))</f>
        <v>54527</v>
      </c>
      <c r="AK535" s="282">
        <f ca="1">IF(E535&gt;111,,IF(AND(OP!$D$99=1,T535="F"),AA535,IF(AND(OP!$D$99=2,COUNTIF($T$4:T535,"F")=1),OP!$D$97+IF(F535="F",OP!$D$98,0),"")))</f>
        <v>74177</v>
      </c>
      <c r="AL535" s="282">
        <f ca="1">IF(E535&gt;111,,IF(AND(OP!$E$99=1,T535="F"),AB535,IF(AND(OP!$E$99=2,COUNTIF($T$4:T535,"F")=1),OP!$E$97+IF(F535="F",OP!$E$98,0),"")))</f>
        <v>99404</v>
      </c>
      <c r="AM535" s="1">
        <f t="shared" ca="1" si="304"/>
        <v>5</v>
      </c>
      <c r="AN535" s="1" t="e">
        <f ca="1">IF(OR(VLOOKUP($A535,MP,5,0)="季繳",VLOOKUP($A535,MP,5,0)="月繳"),1,"")</f>
        <v>#N/A</v>
      </c>
      <c r="AO535" s="1">
        <f t="shared" ca="1" si="315"/>
        <v>0</v>
      </c>
      <c r="AP535" s="1" t="str">
        <f ca="1">IF(AND(A535&lt;=OP!$C$120,COUNTIF(PAY,C535)=1),1,"")</f>
        <v/>
      </c>
      <c r="AR535" s="301">
        <f ca="1">IF(繳費報酬率資料!$A$1=1,$AY535+$AZ535,$BF535+$BG535)</f>
        <v>0</v>
      </c>
      <c r="AS535" s="1">
        <f ca="1">IF(C535&lt;&gt;IF($C$3=1,12,$C$3-1),0,IF(繳費報酬率資料!$A$1&lt;&gt;1,VLOOKUP($A535,MP,8,0),IF(AND($A535&gt;=OP!$C$79,$A535&lt;=OP!$C$80),OP!$C$78,)))</f>
        <v>0</v>
      </c>
      <c r="AT535" s="298">
        <f t="shared" ca="1" si="316"/>
        <v>0</v>
      </c>
      <c r="AU535" s="298">
        <f ca="1">IF(AND(A535&lt;=OP!$C$120,COUNTIF(PAY,C535)=1),OP!$C$123,0)</f>
        <v>0</v>
      </c>
      <c r="AV535" s="298">
        <f ca="1">IF(AND(A535&gt;=OP!$C$132,A535&lt;=OP!$C$133,$C$3=C535),OP!$C$135,0)</f>
        <v>0</v>
      </c>
      <c r="AW535" s="180">
        <f t="shared" ca="1" si="317"/>
        <v>0.05</v>
      </c>
      <c r="AX535" s="180">
        <f t="shared" ca="1" si="318"/>
        <v>0.05</v>
      </c>
      <c r="AY535" s="286">
        <f t="shared" ca="1" si="319"/>
        <v>0</v>
      </c>
      <c r="AZ535" s="286">
        <f t="shared" ca="1" si="320"/>
        <v>0</v>
      </c>
      <c r="BA535" s="286">
        <f t="shared" ca="1" si="321"/>
        <v>0</v>
      </c>
      <c r="BB535" s="286">
        <f t="shared" ca="1" si="322"/>
        <v>0</v>
      </c>
      <c r="BC535" s="286">
        <f t="shared" ca="1" si="323"/>
        <v>0</v>
      </c>
      <c r="BD535" s="180">
        <f t="shared" ca="1" si="324"/>
        <v>0.05</v>
      </c>
      <c r="BE535" s="180">
        <f t="shared" ca="1" si="325"/>
        <v>0.05</v>
      </c>
      <c r="BF535" s="286">
        <f t="shared" ca="1" si="326"/>
        <v>0</v>
      </c>
      <c r="BG535" s="286">
        <f t="shared" ca="1" si="327"/>
        <v>0</v>
      </c>
    </row>
    <row r="536" spans="1:59">
      <c r="A536" s="1">
        <f t="shared" ca="1" si="307"/>
        <v>45</v>
      </c>
      <c r="B536" s="1">
        <f t="shared" ca="1" si="300"/>
        <v>150</v>
      </c>
      <c r="C536" s="1">
        <f t="shared" ca="1" si="301"/>
        <v>10</v>
      </c>
      <c r="D536" s="1">
        <f ca="1">MIN($D$3,VLOOKUP(C536,OP!$S$30:$T$41,2))</f>
        <v>2</v>
      </c>
      <c r="E536" s="1">
        <f t="shared" ca="1" si="302"/>
        <v>99</v>
      </c>
      <c r="F536" s="11" t="str">
        <f t="shared" ca="1" si="308"/>
        <v/>
      </c>
      <c r="G536" s="8">
        <f t="shared" ca="1" si="332"/>
        <v>365</v>
      </c>
      <c r="H536" s="8">
        <f t="shared" ca="1" si="309"/>
        <v>31</v>
      </c>
      <c r="I536" s="8" t="str">
        <f t="shared" ca="1" si="306"/>
        <v>4510</v>
      </c>
      <c r="J536" s="13">
        <f>IF(繳費報酬率資料!$A$1=1,VALUE(OP!$C$121),VLOOKUP(A536,MP,2,0))</f>
        <v>0.05</v>
      </c>
      <c r="K536" s="14">
        <f ca="1">IF(SUM($K$4:K535,IF(繳費報酬率資料!$A$1=1,$AU536+$AV536,$BB536+$BC536))&gt;OP!$L$58,0,IF(繳費報酬率資料!$A$1=1,$AU536+$AV536,$BB536+$BC536))</f>
        <v>0</v>
      </c>
      <c r="L536" s="2"/>
      <c r="M536" s="2"/>
      <c r="N536" s="2"/>
      <c r="O536" s="261">
        <f t="shared" ca="1" si="310"/>
        <v>0</v>
      </c>
      <c r="P536" s="261">
        <f t="shared" ca="1" si="328"/>
        <v>0</v>
      </c>
      <c r="Q536" s="3">
        <f ca="1">IF(A536&gt;MAX(OP!$R$17:$R$26),0,VLOOKUP(A536,fees,3,FALSE))</f>
        <v>0</v>
      </c>
      <c r="R536" s="200" t="str">
        <f t="shared" ca="1" si="311"/>
        <v/>
      </c>
      <c r="S536" s="9" t="str">
        <f ca="1">IF(COUNTIF(($T$4:T535),"F")&gt;=1,"",IF(OR(C537&lt;&gt;$C$3,E536=""),"",A536))</f>
        <v/>
      </c>
      <c r="T536" s="20" t="str">
        <f t="shared" ca="1" si="303"/>
        <v/>
      </c>
      <c r="U536" s="2">
        <f ca="1">IF(IF(OP!$C$83=1,$Z535,IF(OP!$C$83=2,$AA535,IF(OP!$C$83=3,$AB535,)))+$K536-$O536-$P536-$AS536&lt;OP!$C$142,0,$AS536)</f>
        <v>0</v>
      </c>
      <c r="V536" s="9"/>
      <c r="W536" s="19">
        <f ca="1">MAX(SUM($K$4:K536),0)</f>
        <v>2000000</v>
      </c>
      <c r="X536" s="19"/>
      <c r="Y536" s="19">
        <f t="shared" ca="1" si="329"/>
        <v>1920000</v>
      </c>
      <c r="Z536" s="2">
        <f ca="1">IF(MIN($Z$4:Z535)=0,0,MAX(0,($Z535+$K536-$O536-$P536)*IF(AND(F536="F",$D$3&lt;&gt;$G$3),((1+(-J536))^(H536/MIN(G536,365))),((1+(-J536))^(1/12)))-$U536))</f>
        <v>196724.30980212378</v>
      </c>
      <c r="AA536" s="2">
        <f ca="1">IF(MIN($AA$4:AA535)=0,0,MAX(0,($AA535+$K536-$O536-$P536)*IF(AND(F536="F",$D$3&lt;&gt;$G$3),((1+$AA$1)^(H536/MIN(G536,365))),((1+$AA$1)^(1/12)))-$U536))</f>
        <v>1920000</v>
      </c>
      <c r="AB536" s="2">
        <f ca="1">IF(MIN($AB$4:AB535)=0,0,MAX(0,($AB535+$K536-$O536-$P536)*IF(AND(F536="F",$D$3&lt;&gt;$G$3),((1+(J536))^(H536/MIN(G536,365))),((1+(J536))^(1/12)))-$U536))</f>
        <v>16767150.4947224</v>
      </c>
      <c r="AC536" s="5"/>
      <c r="AD536" s="5"/>
      <c r="AE536" s="5"/>
      <c r="AF536" s="282">
        <f t="shared" ca="1" si="312"/>
        <v>196724</v>
      </c>
      <c r="AG536" s="282">
        <f t="shared" ca="1" si="313"/>
        <v>1920000</v>
      </c>
      <c r="AH536" s="282">
        <f t="shared" ca="1" si="314"/>
        <v>16767150</v>
      </c>
      <c r="AI536" s="23" t="str">
        <f t="shared" ca="1" si="331"/>
        <v>45-6</v>
      </c>
      <c r="AJ536" s="282">
        <f ca="1">IF(E536&gt;111,,IF(AND(OP!$C$99=1,T536="F"),Z536,IF(AND(OP!$C$99=2,COUNTIF($T$4:T536,"F")=1),OP!$C$97+IF(F536="F",OP!$C$98,0),"")))</f>
        <v>54527</v>
      </c>
      <c r="AK536" s="282">
        <f ca="1">IF(E536&gt;111,,IF(AND(OP!$D$99=1,T536="F"),AA536,IF(AND(OP!$D$99=2,COUNTIF($T$4:T536,"F")=1),OP!$D$97+IF(F536="F",OP!$D$98,0),"")))</f>
        <v>74177</v>
      </c>
      <c r="AL536" s="282">
        <f ca="1">IF(E536&gt;111,,IF(AND(OP!$E$99=1,T536="F"),AB536,IF(AND(OP!$E$99=2,COUNTIF($T$4:T536,"F")=1),OP!$E$97+IF(F536="F",OP!$E$98,0),"")))</f>
        <v>99404</v>
      </c>
      <c r="AM536" s="1">
        <f t="shared" ca="1" si="304"/>
        <v>6</v>
      </c>
      <c r="AN536" s="1" t="e">
        <f ca="1">IF(OR(VLOOKUP($A536,MP,5,0)="月繳"),1,"")</f>
        <v>#N/A</v>
      </c>
      <c r="AO536" s="1">
        <f t="shared" ca="1" si="315"/>
        <v>0</v>
      </c>
      <c r="AP536" s="1" t="str">
        <f ca="1">IF(AND(A536&lt;=OP!$C$120,COUNTIF(PAY,C536)=1),1,"")</f>
        <v/>
      </c>
      <c r="AR536" s="301">
        <f ca="1">IF(繳費報酬率資料!$A$1=1,$AY536+$AZ536,$BF536+$BG536)</f>
        <v>0</v>
      </c>
      <c r="AS536" s="1">
        <f ca="1">IF(C536&lt;&gt;IF($C$3=1,12,$C$3-1),0,IF(繳費報酬率資料!$A$1&lt;&gt;1,VLOOKUP($A536,MP,8,0),IF(AND($A536&gt;=OP!$C$79,$A536&lt;=OP!$C$80),OP!$C$78,)))</f>
        <v>0</v>
      </c>
      <c r="AT536" s="298">
        <f t="shared" ca="1" si="316"/>
        <v>0</v>
      </c>
      <c r="AU536" s="298">
        <f ca="1">IF(AND(A536&lt;=OP!$C$120,COUNTIF(PAY,C536)=1),OP!$C$123,0)</f>
        <v>0</v>
      </c>
      <c r="AV536" s="298">
        <f ca="1">IF(AND(A536&gt;=OP!$C$132,A536&lt;=OP!$C$133,$C$3=C536),OP!$C$135,0)</f>
        <v>0</v>
      </c>
      <c r="AW536" s="180">
        <f t="shared" ca="1" si="317"/>
        <v>0.05</v>
      </c>
      <c r="AX536" s="180">
        <f t="shared" ca="1" si="318"/>
        <v>0.05</v>
      </c>
      <c r="AY536" s="286">
        <f t="shared" ca="1" si="319"/>
        <v>0</v>
      </c>
      <c r="AZ536" s="286">
        <f t="shared" ca="1" si="320"/>
        <v>0</v>
      </c>
      <c r="BA536" s="286">
        <f t="shared" ca="1" si="321"/>
        <v>0</v>
      </c>
      <c r="BB536" s="286">
        <f t="shared" ca="1" si="322"/>
        <v>0</v>
      </c>
      <c r="BC536" s="286">
        <f t="shared" ca="1" si="323"/>
        <v>0</v>
      </c>
      <c r="BD536" s="180">
        <f t="shared" ca="1" si="324"/>
        <v>0.05</v>
      </c>
      <c r="BE536" s="180">
        <f t="shared" ca="1" si="325"/>
        <v>0.05</v>
      </c>
      <c r="BF536" s="286">
        <f t="shared" ca="1" si="326"/>
        <v>0</v>
      </c>
      <c r="BG536" s="286">
        <f t="shared" ca="1" si="327"/>
        <v>0</v>
      </c>
    </row>
    <row r="537" spans="1:59">
      <c r="A537" s="1">
        <f t="shared" ca="1" si="307"/>
        <v>45</v>
      </c>
      <c r="B537" s="1">
        <f t="shared" ca="1" si="300"/>
        <v>150</v>
      </c>
      <c r="C537" s="1">
        <f t="shared" ca="1" si="301"/>
        <v>11</v>
      </c>
      <c r="D537" s="1">
        <f ca="1">MIN($D$3,VLOOKUP(C537,OP!$S$30:$T$41,2))</f>
        <v>2</v>
      </c>
      <c r="E537" s="1">
        <f t="shared" ca="1" si="302"/>
        <v>99</v>
      </c>
      <c r="F537" s="11" t="str">
        <f t="shared" ca="1" si="308"/>
        <v/>
      </c>
      <c r="G537" s="8">
        <f t="shared" ca="1" si="332"/>
        <v>365</v>
      </c>
      <c r="H537" s="8">
        <f t="shared" ca="1" si="309"/>
        <v>30</v>
      </c>
      <c r="I537" s="8" t="str">
        <f t="shared" ca="1" si="306"/>
        <v>4511</v>
      </c>
      <c r="J537" s="13">
        <f>IF(繳費報酬率資料!$A$1=1,VALUE(OP!$C$121),VLOOKUP(A537,MP,2,0))</f>
        <v>0.05</v>
      </c>
      <c r="K537" s="14">
        <f ca="1">IF(SUM($K$4:K536,IF(繳費報酬率資料!$A$1=1,$AU537+$AV537,$BB537+$BC537))&gt;OP!$L$58,0,IF(繳費報酬率資料!$A$1=1,$AU537+$AV537,$BB537+$BC537))</f>
        <v>0</v>
      </c>
      <c r="L537" s="2"/>
      <c r="M537" s="2"/>
      <c r="N537" s="2"/>
      <c r="O537" s="261">
        <f t="shared" ca="1" si="310"/>
        <v>0</v>
      </c>
      <c r="P537" s="261">
        <f t="shared" ca="1" si="328"/>
        <v>0</v>
      </c>
      <c r="Q537" s="3">
        <f ca="1">IF(A537&gt;MAX(OP!$R$17:$R$26),0,VLOOKUP(A537,fees,3,FALSE))</f>
        <v>0</v>
      </c>
      <c r="R537" s="200" t="str">
        <f t="shared" ca="1" si="311"/>
        <v/>
      </c>
      <c r="S537" s="9" t="str">
        <f ca="1">IF(COUNTIF(($T$4:T536),"F")&gt;=1,"",IF(OR(C538&lt;&gt;$C$3,E537=""),"",A537))</f>
        <v/>
      </c>
      <c r="T537" s="20" t="str">
        <f t="shared" ca="1" si="303"/>
        <v/>
      </c>
      <c r="U537" s="2">
        <f ca="1">IF(IF(OP!$C$83=1,$Z536,IF(OP!$C$83=2,$AA536,IF(OP!$C$83=3,$AB536,)))+$K537-$O537-$P537-$AS537&lt;OP!$C$142,0,$AS537)</f>
        <v>0</v>
      </c>
      <c r="V537" s="9"/>
      <c r="W537" s="19">
        <f ca="1">MAX(SUM($K$4:K537),0)</f>
        <v>2000000</v>
      </c>
      <c r="X537" s="19"/>
      <c r="Y537" s="19">
        <f t="shared" ca="1" si="329"/>
        <v>1920000</v>
      </c>
      <c r="Z537" s="2">
        <f ca="1">IF(MIN($Z$4:Z536)=0,0,MAX(0,($Z536+$K537-$O537-$P537)*IF(AND(F537="F",$D$3&lt;&gt;$G$3),((1+(-J537))^(H537/MIN(G537,365))),((1+(-J537))^(1/12)))-$U537))</f>
        <v>195885.21790952212</v>
      </c>
      <c r="AA537" s="2">
        <f ca="1">IF(MIN($AA$4:AA536)=0,0,MAX(0,($AA536+$K537-$O537-$P537)*IF(AND(F537="F",$D$3&lt;&gt;$G$3),((1+$AA$1)^(H537/MIN(G537,365))),((1+$AA$1)^(1/12)))-$U537))</f>
        <v>1920000</v>
      </c>
      <c r="AB537" s="2">
        <f ca="1">IF(MIN($AB$4:AB536)=0,0,MAX(0,($AB536+$K537-$O537-$P537)*IF(AND(F537="F",$D$3&lt;&gt;$G$3),((1+(J537))^(H537/MIN(G537,365))),((1+(J537))^(1/12)))-$U537))</f>
        <v>16835461.94133696</v>
      </c>
      <c r="AC537" s="5"/>
      <c r="AD537" s="5"/>
      <c r="AE537" s="5"/>
      <c r="AF537" s="282">
        <f t="shared" ca="1" si="312"/>
        <v>195885</v>
      </c>
      <c r="AG537" s="282">
        <f t="shared" ca="1" si="313"/>
        <v>1920000</v>
      </c>
      <c r="AH537" s="282">
        <f t="shared" ca="1" si="314"/>
        <v>16835462</v>
      </c>
      <c r="AI537" s="23" t="str">
        <f t="shared" ca="1" si="331"/>
        <v>45-7</v>
      </c>
      <c r="AJ537" s="282">
        <f ca="1">IF(E537&gt;111,,IF(AND(OP!$C$99=1,T537="F"),Z537,IF(AND(OP!$C$99=2,COUNTIF($T$4:T537,"F")=1),OP!$C$97+IF(F537="F",OP!$C$98,0),"")))</f>
        <v>54527</v>
      </c>
      <c r="AK537" s="282">
        <f ca="1">IF(E537&gt;111,,IF(AND(OP!$D$99=1,T537="F"),AA537,IF(AND(OP!$D$99=2,COUNTIF($T$4:T537,"F")=1),OP!$D$97+IF(F537="F",OP!$D$98,0),"")))</f>
        <v>74177</v>
      </c>
      <c r="AL537" s="282">
        <f ca="1">IF(E537&gt;111,,IF(AND(OP!$E$99=1,T537="F"),AB537,IF(AND(OP!$E$99=2,COUNTIF($T$4:T537,"F")=1),OP!$E$97+IF(F537="F",OP!$E$98,0),"")))</f>
        <v>99404</v>
      </c>
      <c r="AM537" s="1">
        <f t="shared" ca="1" si="304"/>
        <v>7</v>
      </c>
      <c r="AN537" s="1" t="e">
        <f ca="1">IF(OR(VLOOKUP($A537,MP,5,0)="月繳"),1,"")</f>
        <v>#N/A</v>
      </c>
      <c r="AO537" s="1">
        <f t="shared" ca="1" si="315"/>
        <v>0</v>
      </c>
      <c r="AP537" s="1" t="str">
        <f ca="1">IF(AND(A537&lt;=OP!$C$120,COUNTIF(PAY,C537)=1),1,"")</f>
        <v/>
      </c>
      <c r="AR537" s="301">
        <f ca="1">IF(繳費報酬率資料!$A$1=1,$AY537+$AZ537,$BF537+$BG537)</f>
        <v>0</v>
      </c>
      <c r="AS537" s="1">
        <f ca="1">IF(C537&lt;&gt;IF($C$3=1,12,$C$3-1),0,IF(繳費報酬率資料!$A$1&lt;&gt;1,VLOOKUP($A537,MP,8,0),IF(AND($A537&gt;=OP!$C$79,$A537&lt;=OP!$C$80),OP!$C$78,)))</f>
        <v>0</v>
      </c>
      <c r="AT537" s="298">
        <f t="shared" ca="1" si="316"/>
        <v>0</v>
      </c>
      <c r="AU537" s="298">
        <f ca="1">IF(AND(A537&lt;=OP!$C$120,COUNTIF(PAY,C537)=1),OP!$C$123,0)</f>
        <v>0</v>
      </c>
      <c r="AV537" s="298">
        <f ca="1">IF(AND(A537&gt;=OP!$C$132,A537&lt;=OP!$C$133,$C$3=C537),OP!$C$135,0)</f>
        <v>0</v>
      </c>
      <c r="AW537" s="180">
        <f t="shared" ca="1" si="317"/>
        <v>0.05</v>
      </c>
      <c r="AX537" s="180">
        <f t="shared" ca="1" si="318"/>
        <v>0.05</v>
      </c>
      <c r="AY537" s="286">
        <f t="shared" ca="1" si="319"/>
        <v>0</v>
      </c>
      <c r="AZ537" s="286">
        <f t="shared" ca="1" si="320"/>
        <v>0</v>
      </c>
      <c r="BA537" s="286">
        <f t="shared" ca="1" si="321"/>
        <v>0</v>
      </c>
      <c r="BB537" s="286">
        <f t="shared" ca="1" si="322"/>
        <v>0</v>
      </c>
      <c r="BC537" s="286">
        <f t="shared" ca="1" si="323"/>
        <v>0</v>
      </c>
      <c r="BD537" s="180">
        <f t="shared" ca="1" si="324"/>
        <v>0.05</v>
      </c>
      <c r="BE537" s="180">
        <f t="shared" ca="1" si="325"/>
        <v>0.05</v>
      </c>
      <c r="BF537" s="286">
        <f t="shared" ca="1" si="326"/>
        <v>0</v>
      </c>
      <c r="BG537" s="286">
        <f t="shared" ca="1" si="327"/>
        <v>0</v>
      </c>
    </row>
    <row r="538" spans="1:59">
      <c r="A538" s="1">
        <f t="shared" ca="1" si="307"/>
        <v>45</v>
      </c>
      <c r="B538" s="1">
        <f t="shared" ca="1" si="300"/>
        <v>150</v>
      </c>
      <c r="C538" s="1">
        <f t="shared" ca="1" si="301"/>
        <v>12</v>
      </c>
      <c r="D538" s="1">
        <f ca="1">MIN($D$3,VLOOKUP(C538,OP!$S$30:$T$41,2))</f>
        <v>2</v>
      </c>
      <c r="E538" s="1">
        <f t="shared" ca="1" si="302"/>
        <v>99</v>
      </c>
      <c r="F538" s="11" t="str">
        <f t="shared" ca="1" si="308"/>
        <v/>
      </c>
      <c r="G538" s="8">
        <f t="shared" ca="1" si="332"/>
        <v>365</v>
      </c>
      <c r="H538" s="8">
        <f t="shared" ca="1" si="309"/>
        <v>31</v>
      </c>
      <c r="I538" s="8" t="str">
        <f t="shared" ca="1" si="306"/>
        <v>4512</v>
      </c>
      <c r="J538" s="13">
        <f>IF(繳費報酬率資料!$A$1=1,VALUE(OP!$C$121),VLOOKUP(A538,MP,2,0))</f>
        <v>0.05</v>
      </c>
      <c r="K538" s="14">
        <f ca="1">IF(SUM($K$4:K537,IF(繳費報酬率資料!$A$1=1,$AU538+$AV538,$BB538+$BC538))&gt;OP!$L$58,0,IF(繳費報酬率資料!$A$1=1,$AU538+$AV538,$BB538+$BC538))</f>
        <v>0</v>
      </c>
      <c r="L538" s="2"/>
      <c r="M538" s="2"/>
      <c r="N538" s="2"/>
      <c r="O538" s="261">
        <f t="shared" ca="1" si="310"/>
        <v>0</v>
      </c>
      <c r="P538" s="261">
        <f t="shared" ca="1" si="328"/>
        <v>0</v>
      </c>
      <c r="Q538" s="3">
        <f ca="1">IF(A538&gt;MAX(OP!$R$17:$R$26),0,VLOOKUP(A538,fees,3,FALSE))</f>
        <v>0</v>
      </c>
      <c r="R538" s="200" t="str">
        <f t="shared" ca="1" si="311"/>
        <v/>
      </c>
      <c r="S538" s="9" t="str">
        <f ca="1">IF(COUNTIF(($T$4:T537),"F")&gt;=1,"",IF(OR(C539&lt;&gt;$C$3,E538=""),"",A538))</f>
        <v/>
      </c>
      <c r="T538" s="20" t="str">
        <f t="shared" ca="1" si="303"/>
        <v/>
      </c>
      <c r="U538" s="2">
        <f ca="1">IF(IF(OP!$C$83=1,$Z537,IF(OP!$C$83=2,$AA537,IF(OP!$C$83=3,$AB537,)))+$K538-$O538-$P538-$AS538&lt;OP!$C$142,0,$AS538)</f>
        <v>0</v>
      </c>
      <c r="V538" s="9"/>
      <c r="W538" s="19">
        <f ca="1">MAX(SUM($K$4:K538),0)</f>
        <v>2000000</v>
      </c>
      <c r="X538" s="19"/>
      <c r="Y538" s="19">
        <f t="shared" ca="1" si="329"/>
        <v>1920000</v>
      </c>
      <c r="Z538" s="2">
        <f ca="1">IF(MIN($Z$4:Z537)=0,0,MAX(0,($Z537+$K538-$O538-$P538)*IF(AND(F538="F",$D$3&lt;&gt;$G$3),((1+(-J538))^(H538/MIN(G538,365))),((1+(-J538))^(1/12)))-$U538))</f>
        <v>195049.70501132609</v>
      </c>
      <c r="AA538" s="2">
        <f ca="1">IF(MIN($AA$4:AA537)=0,0,MAX(0,($AA537+$K538-$O538-$P538)*IF(AND(F538="F",$D$3&lt;&gt;$G$3),((1+$AA$1)^(H538/MIN(G538,365))),((1+$AA$1)^(1/12)))-$U538))</f>
        <v>1920000</v>
      </c>
      <c r="AB538" s="2">
        <f ca="1">IF(MIN($AB$4:AB537)=0,0,MAX(0,($AB537+$K538-$O538-$P538)*IF(AND(F538="F",$D$3&lt;&gt;$G$3),((1+(J538))^(H538/MIN(G538,365))),((1+(J538))^(1/12)))-$U538))</f>
        <v>16904051.697240867</v>
      </c>
      <c r="AC538" s="5"/>
      <c r="AD538" s="5"/>
      <c r="AE538" s="5"/>
      <c r="AF538" s="282">
        <f t="shared" ca="1" si="312"/>
        <v>195050</v>
      </c>
      <c r="AG538" s="282">
        <f t="shared" ca="1" si="313"/>
        <v>1920000</v>
      </c>
      <c r="AH538" s="282">
        <f t="shared" ca="1" si="314"/>
        <v>16904052</v>
      </c>
      <c r="AI538" s="23" t="str">
        <f t="shared" ca="1" si="331"/>
        <v>45-8</v>
      </c>
      <c r="AJ538" s="282">
        <f ca="1">IF(E538&gt;111,,IF(AND(OP!$C$99=1,T538="F"),Z538,IF(AND(OP!$C$99=2,COUNTIF($T$4:T538,"F")=1),OP!$C$97+IF(F538="F",OP!$C$98,0),"")))</f>
        <v>54527</v>
      </c>
      <c r="AK538" s="282">
        <f ca="1">IF(E538&gt;111,,IF(AND(OP!$D$99=1,T538="F"),AA538,IF(AND(OP!$D$99=2,COUNTIF($T$4:T538,"F")=1),OP!$D$97+IF(F538="F",OP!$D$98,0),"")))</f>
        <v>74177</v>
      </c>
      <c r="AL538" s="282">
        <f ca="1">IF(E538&gt;111,,IF(AND(OP!$E$99=1,T538="F"),AB538,IF(AND(OP!$E$99=2,COUNTIF($T$4:T538,"F")=1),OP!$E$97+IF(F538="F",OP!$E$98,0),"")))</f>
        <v>99404</v>
      </c>
      <c r="AM538" s="1">
        <f t="shared" ca="1" si="304"/>
        <v>8</v>
      </c>
      <c r="AN538" s="1" t="e">
        <f ca="1">IF(OR(VLOOKUP($A538,MP,5,0)="半年繳",VLOOKUP($A538,MP,5,0)="季繳",VLOOKUP($A538,MP,5,0)="月繳"),1,"")</f>
        <v>#N/A</v>
      </c>
      <c r="AO538" s="1">
        <f t="shared" ca="1" si="315"/>
        <v>0</v>
      </c>
      <c r="AP538" s="1" t="str">
        <f ca="1">IF(AND(A538&lt;=OP!$C$120,COUNTIF(PAY,C538)=1),1,"")</f>
        <v/>
      </c>
      <c r="AR538" s="301">
        <f ca="1">IF(繳費報酬率資料!$A$1=1,$AY538+$AZ538,$BF538+$BG538)</f>
        <v>0</v>
      </c>
      <c r="AS538" s="1">
        <f ca="1">IF(C538&lt;&gt;IF($C$3=1,12,$C$3-1),0,IF(繳費報酬率資料!$A$1&lt;&gt;1,VLOOKUP($A538,MP,8,0),IF(AND($A538&gt;=OP!$C$79,$A538&lt;=OP!$C$80),OP!$C$78,)))</f>
        <v>0</v>
      </c>
      <c r="AT538" s="298">
        <f t="shared" ca="1" si="316"/>
        <v>0</v>
      </c>
      <c r="AU538" s="298">
        <f ca="1">IF(AND(A538&lt;=OP!$C$120,COUNTIF(PAY,C538)=1),OP!$C$123,0)</f>
        <v>0</v>
      </c>
      <c r="AV538" s="298">
        <f ca="1">IF(AND(A538&gt;=OP!$C$132,A538&lt;=OP!$C$133,$C$3=C538),OP!$C$135,0)</f>
        <v>0</v>
      </c>
      <c r="AW538" s="180">
        <f t="shared" ca="1" si="317"/>
        <v>0.05</v>
      </c>
      <c r="AX538" s="180">
        <f t="shared" ca="1" si="318"/>
        <v>0.05</v>
      </c>
      <c r="AY538" s="286">
        <f t="shared" ca="1" si="319"/>
        <v>0</v>
      </c>
      <c r="AZ538" s="286">
        <f t="shared" ca="1" si="320"/>
        <v>0</v>
      </c>
      <c r="BA538" s="286">
        <f t="shared" ca="1" si="321"/>
        <v>0</v>
      </c>
      <c r="BB538" s="286">
        <f t="shared" ca="1" si="322"/>
        <v>0</v>
      </c>
      <c r="BC538" s="286">
        <f t="shared" ca="1" si="323"/>
        <v>0</v>
      </c>
      <c r="BD538" s="180">
        <f t="shared" ca="1" si="324"/>
        <v>0.05</v>
      </c>
      <c r="BE538" s="180">
        <f t="shared" ca="1" si="325"/>
        <v>0.05</v>
      </c>
      <c r="BF538" s="286">
        <f t="shared" ca="1" si="326"/>
        <v>0</v>
      </c>
      <c r="BG538" s="286">
        <f t="shared" ca="1" si="327"/>
        <v>0</v>
      </c>
    </row>
    <row r="539" spans="1:59">
      <c r="A539" s="1">
        <f t="shared" ca="1" si="307"/>
        <v>45</v>
      </c>
      <c r="B539" s="1">
        <f t="shared" ca="1" si="300"/>
        <v>151</v>
      </c>
      <c r="C539" s="1">
        <f t="shared" ca="1" si="301"/>
        <v>1</v>
      </c>
      <c r="D539" s="1">
        <f ca="1">MIN($D$3,VLOOKUP(C539,OP!$S$30:$T$41,2))</f>
        <v>2</v>
      </c>
      <c r="E539" s="1">
        <f t="shared" ca="1" si="302"/>
        <v>99</v>
      </c>
      <c r="F539" s="11" t="str">
        <f t="shared" ca="1" si="308"/>
        <v/>
      </c>
      <c r="G539" s="8">
        <f t="shared" ca="1" si="332"/>
        <v>365</v>
      </c>
      <c r="H539" s="8">
        <f t="shared" ca="1" si="309"/>
        <v>31</v>
      </c>
      <c r="I539" s="8" t="str">
        <f t="shared" ca="1" si="306"/>
        <v>451</v>
      </c>
      <c r="J539" s="13">
        <f>IF(繳費報酬率資料!$A$1=1,VALUE(OP!$C$121),VLOOKUP(A539,MP,2,0))</f>
        <v>0.05</v>
      </c>
      <c r="K539" s="14">
        <f ca="1">IF(SUM($K$4:K538,IF(繳費報酬率資料!$A$1=1,$AU539+$AV539,$BB539+$BC539))&gt;OP!$L$58,0,IF(繳費報酬率資料!$A$1=1,$AU539+$AV539,$BB539+$BC539))</f>
        <v>0</v>
      </c>
      <c r="L539" s="2"/>
      <c r="M539" s="2"/>
      <c r="N539" s="2"/>
      <c r="O539" s="261">
        <f t="shared" ca="1" si="310"/>
        <v>0</v>
      </c>
      <c r="P539" s="261">
        <f t="shared" ca="1" si="328"/>
        <v>0</v>
      </c>
      <c r="Q539" s="3">
        <f ca="1">IF(A539&gt;MAX(OP!$R$17:$R$26),0,VLOOKUP(A539,fees,3,FALSE))</f>
        <v>0</v>
      </c>
      <c r="R539" s="200" t="str">
        <f t="shared" ca="1" si="311"/>
        <v/>
      </c>
      <c r="S539" s="9" t="str">
        <f ca="1">IF(COUNTIF(($T$4:T538),"F")&gt;=1,"",IF(OR(C540&lt;&gt;$C$3,E539=""),"",A539))</f>
        <v/>
      </c>
      <c r="T539" s="20" t="str">
        <f t="shared" ca="1" si="303"/>
        <v/>
      </c>
      <c r="U539" s="2">
        <f ca="1">IF(IF(OP!$C$83=1,$Z538,IF(OP!$C$83=2,$AA538,IF(OP!$C$83=3,$AB538,)))+$K539-$O539-$P539-$AS539&lt;OP!$C$142,0,$AS539)</f>
        <v>0</v>
      </c>
      <c r="V539" s="9"/>
      <c r="W539" s="19">
        <f ca="1">MAX(SUM($K$4:K539),0)</f>
        <v>2000000</v>
      </c>
      <c r="X539" s="19"/>
      <c r="Y539" s="19">
        <f t="shared" ca="1" si="329"/>
        <v>1920000</v>
      </c>
      <c r="Z539" s="2">
        <f ca="1">IF(MIN($Z$4:Z538)=0,0,MAX(0,($Z538+$K539-$O539-$P539)*IF(AND(F539="F",$D$3&lt;&gt;$G$3),((1+(-J539))^(H539/MIN(G539,365))),((1+(-J539))^(1/12)))-$U539))</f>
        <v>194217.75584198363</v>
      </c>
      <c r="AA539" s="2">
        <f ca="1">IF(MIN($AA$4:AA538)=0,0,MAX(0,($AA538+$K539-$O539-$P539)*IF(AND(F539="F",$D$3&lt;&gt;$G$3),((1+$AA$1)^(H539/MIN(G539,365))),((1+$AA$1)^(1/12)))-$U539))</f>
        <v>1920000</v>
      </c>
      <c r="AB539" s="2">
        <f ca="1">IF(MIN($AB$4:AB538)=0,0,MAX(0,($AB538+$K539-$O539-$P539)*IF(AND(F539="F",$D$3&lt;&gt;$G$3),((1+(J539))^(H539/MIN(G539,365))),((1+(J539))^(1/12)))-$U539))</f>
        <v>16972920.896300618</v>
      </c>
      <c r="AC539" s="5"/>
      <c r="AD539" s="5"/>
      <c r="AE539" s="5"/>
      <c r="AF539" s="282">
        <f t="shared" ca="1" si="312"/>
        <v>194218</v>
      </c>
      <c r="AG539" s="282">
        <f t="shared" ca="1" si="313"/>
        <v>1920000</v>
      </c>
      <c r="AH539" s="282">
        <f t="shared" ca="1" si="314"/>
        <v>16972921</v>
      </c>
      <c r="AI539" s="23" t="str">
        <f t="shared" ca="1" si="331"/>
        <v>45-9</v>
      </c>
      <c r="AJ539" s="282">
        <f ca="1">IF(E539&gt;111,,IF(AND(OP!$C$99=1,T539="F"),Z539,IF(AND(OP!$C$99=2,COUNTIF($T$4:T539,"F")=1),OP!$C$97+IF(F539="F",OP!$C$98,0),"")))</f>
        <v>54527</v>
      </c>
      <c r="AK539" s="282">
        <f ca="1">IF(E539&gt;111,,IF(AND(OP!$D$99=1,T539="F"),AA539,IF(AND(OP!$D$99=2,COUNTIF($T$4:T539,"F")=1),OP!$D$97+IF(F539="F",OP!$D$98,0),"")))</f>
        <v>74177</v>
      </c>
      <c r="AL539" s="282">
        <f ca="1">IF(E539&gt;111,,IF(AND(OP!$E$99=1,T539="F"),AB539,IF(AND(OP!$E$99=2,COUNTIF($T$4:T539,"F")=1),OP!$E$97+IF(F539="F",OP!$E$98,0),"")))</f>
        <v>99404</v>
      </c>
      <c r="AM539" s="1">
        <f t="shared" ca="1" si="304"/>
        <v>9</v>
      </c>
      <c r="AN539" s="1" t="e">
        <f ca="1">IF(OR(VLOOKUP($A539,MP,5,0)="月繳"),1,"")</f>
        <v>#N/A</v>
      </c>
      <c r="AO539" s="1">
        <f t="shared" ca="1" si="315"/>
        <v>0</v>
      </c>
      <c r="AP539" s="1" t="str">
        <f ca="1">IF(AND(A539&lt;=OP!$C$120,COUNTIF(PAY,C539)=1),1,"")</f>
        <v/>
      </c>
      <c r="AR539" s="301">
        <f ca="1">IF(繳費報酬率資料!$A$1=1,$AY539+$AZ539,$BF539+$BG539)</f>
        <v>0</v>
      </c>
      <c r="AS539" s="1">
        <f ca="1">IF(C539&lt;&gt;IF($C$3=1,12,$C$3-1),0,IF(繳費報酬率資料!$A$1&lt;&gt;1,VLOOKUP($A539,MP,8,0),IF(AND($A539&gt;=OP!$C$79,$A539&lt;=OP!$C$80),OP!$C$78,)))</f>
        <v>0</v>
      </c>
      <c r="AT539" s="298">
        <f t="shared" ca="1" si="316"/>
        <v>0</v>
      </c>
      <c r="AU539" s="298">
        <f ca="1">IF(AND(A539&lt;=OP!$C$120,COUNTIF(PAY,C539)=1),OP!$C$123,0)</f>
        <v>0</v>
      </c>
      <c r="AV539" s="298">
        <f ca="1">IF(AND(A539&gt;=OP!$C$132,A539&lt;=OP!$C$133,$C$3=C539),OP!$C$135,0)</f>
        <v>0</v>
      </c>
      <c r="AW539" s="180">
        <f t="shared" ca="1" si="317"/>
        <v>0.05</v>
      </c>
      <c r="AX539" s="180">
        <f t="shared" ca="1" si="318"/>
        <v>0.05</v>
      </c>
      <c r="AY539" s="286">
        <f t="shared" ca="1" si="319"/>
        <v>0</v>
      </c>
      <c r="AZ539" s="286">
        <f t="shared" ca="1" si="320"/>
        <v>0</v>
      </c>
      <c r="BA539" s="286">
        <f t="shared" ca="1" si="321"/>
        <v>0</v>
      </c>
      <c r="BB539" s="286">
        <f t="shared" ca="1" si="322"/>
        <v>0</v>
      </c>
      <c r="BC539" s="286">
        <f t="shared" ca="1" si="323"/>
        <v>0</v>
      </c>
      <c r="BD539" s="180">
        <f t="shared" ca="1" si="324"/>
        <v>0.05</v>
      </c>
      <c r="BE539" s="180">
        <f t="shared" ca="1" si="325"/>
        <v>0.05</v>
      </c>
      <c r="BF539" s="286">
        <f t="shared" ca="1" si="326"/>
        <v>0</v>
      </c>
      <c r="BG539" s="286">
        <f t="shared" ca="1" si="327"/>
        <v>0</v>
      </c>
    </row>
    <row r="540" spans="1:59">
      <c r="A540" s="1">
        <f t="shared" ca="1" si="307"/>
        <v>45</v>
      </c>
      <c r="B540" s="1">
        <f t="shared" ca="1" si="300"/>
        <v>151</v>
      </c>
      <c r="C540" s="1">
        <f t="shared" ca="1" si="301"/>
        <v>2</v>
      </c>
      <c r="D540" s="1">
        <f ca="1">MIN($D$3,VLOOKUP(C540,OP!$S$30:$T$41,2))</f>
        <v>2</v>
      </c>
      <c r="E540" s="1">
        <f t="shared" ca="1" si="302"/>
        <v>99</v>
      </c>
      <c r="F540" s="11" t="str">
        <f t="shared" ca="1" si="308"/>
        <v/>
      </c>
      <c r="G540" s="8">
        <f t="shared" ca="1" si="332"/>
        <v>365</v>
      </c>
      <c r="H540" s="8">
        <f t="shared" ca="1" si="309"/>
        <v>28</v>
      </c>
      <c r="I540" s="8" t="str">
        <f t="shared" ca="1" si="306"/>
        <v>452</v>
      </c>
      <c r="J540" s="13">
        <f>IF(繳費報酬率資料!$A$1=1,VALUE(OP!$C$121),VLOOKUP(A540,MP,2,0))</f>
        <v>0.05</v>
      </c>
      <c r="K540" s="14">
        <f ca="1">IF(SUM($K$4:K539,IF(繳費報酬率資料!$A$1=1,$AU540+$AV540,$BB540+$BC540))&gt;OP!$L$58,0,IF(繳費報酬率資料!$A$1=1,$AU540+$AV540,$BB540+$BC540))</f>
        <v>0</v>
      </c>
      <c r="L540" s="2"/>
      <c r="M540" s="2"/>
      <c r="N540" s="2"/>
      <c r="O540" s="261">
        <f t="shared" ca="1" si="310"/>
        <v>0</v>
      </c>
      <c r="P540" s="261">
        <f t="shared" ca="1" si="328"/>
        <v>0</v>
      </c>
      <c r="Q540" s="3">
        <f ca="1">IF(A540&gt;MAX(OP!$R$17:$R$26),0,VLOOKUP(A540,fees,3,FALSE))</f>
        <v>0</v>
      </c>
      <c r="R540" s="200" t="str">
        <f t="shared" ca="1" si="311"/>
        <v/>
      </c>
      <c r="S540" s="9" t="str">
        <f ca="1">IF(COUNTIF(($T$4:T539),"F")&gt;=1,"",IF(OR(C541&lt;&gt;$C$3,E540=""),"",A540))</f>
        <v/>
      </c>
      <c r="T540" s="20" t="str">
        <f t="shared" ca="1" si="303"/>
        <v/>
      </c>
      <c r="U540" s="2">
        <f ca="1">IF(IF(OP!$C$83=1,$Z539,IF(OP!$C$83=2,$AA539,IF(OP!$C$83=3,$AB539,)))+$K540-$O540-$P540-$AS540&lt;OP!$C$142,0,$AS540)</f>
        <v>0</v>
      </c>
      <c r="V540" s="9"/>
      <c r="W540" s="19">
        <f ca="1">MAX(SUM($K$4:K540),0)</f>
        <v>2000000</v>
      </c>
      <c r="X540" s="19"/>
      <c r="Y540" s="19">
        <f t="shared" ca="1" si="329"/>
        <v>1920000</v>
      </c>
      <c r="Z540" s="2">
        <f ca="1">IF(MIN($Z$4:Z539)=0,0,MAX(0,($Z539+$K540-$O540-$P540)*IF(AND(F540="F",$D$3&lt;&gt;$G$3),((1+(-J540))^(H540/MIN(G540,365))),((1+(-J540))^(1/12)))-$U540))</f>
        <v>193389.35520105512</v>
      </c>
      <c r="AA540" s="2">
        <f ca="1">IF(MIN($AA$4:AA539)=0,0,MAX(0,($AA539+$K540-$O540-$P540)*IF(AND(F540="F",$D$3&lt;&gt;$G$3),((1+$AA$1)^(H540/MIN(G540,365))),((1+$AA$1)^(1/12)))-$U540))</f>
        <v>1920000</v>
      </c>
      <c r="AB540" s="2">
        <f ca="1">IF(MIN($AB$4:AB539)=0,0,MAX(0,($AB539+$K540-$O540-$P540)*IF(AND(F540="F",$D$3&lt;&gt;$G$3),((1+(J540))^(H540/MIN(G540,365))),((1+(J540))^(1/12)))-$U540))</f>
        <v>17042070.677002218</v>
      </c>
      <c r="AC540" s="5"/>
      <c r="AD540" s="5"/>
      <c r="AE540" s="5"/>
      <c r="AF540" s="282">
        <f t="shared" ca="1" si="312"/>
        <v>193389</v>
      </c>
      <c r="AG540" s="282">
        <f t="shared" ca="1" si="313"/>
        <v>1920000</v>
      </c>
      <c r="AH540" s="282">
        <f t="shared" ca="1" si="314"/>
        <v>17042071</v>
      </c>
      <c r="AI540" s="23" t="str">
        <f t="shared" ca="1" si="331"/>
        <v>45-10</v>
      </c>
      <c r="AJ540" s="282">
        <f ca="1">IF(E540&gt;111,,IF(AND(OP!$C$99=1,T540="F"),Z540,IF(AND(OP!$C$99=2,COUNTIF($T$4:T540,"F")=1),OP!$C$97+IF(F540="F",OP!$C$98,0),"")))</f>
        <v>54527</v>
      </c>
      <c r="AK540" s="282">
        <f ca="1">IF(E540&gt;111,,IF(AND(OP!$D$99=1,T540="F"),AA540,IF(AND(OP!$D$99=2,COUNTIF($T$4:T540,"F")=1),OP!$D$97+IF(F540="F",OP!$D$98,0),"")))</f>
        <v>74177</v>
      </c>
      <c r="AL540" s="282">
        <f ca="1">IF(E540&gt;111,,IF(AND(OP!$E$99=1,T540="F"),AB540,IF(AND(OP!$E$99=2,COUNTIF($T$4:T540,"F")=1),OP!$E$97+IF(F540="F",OP!$E$98,0),"")))</f>
        <v>99404</v>
      </c>
      <c r="AM540" s="1">
        <f t="shared" ca="1" si="304"/>
        <v>10</v>
      </c>
      <c r="AN540" s="1" t="e">
        <f ca="1">IF(OR(VLOOKUP($A540,MP,5,0)="月繳"),1,"")</f>
        <v>#N/A</v>
      </c>
      <c r="AO540" s="1">
        <f t="shared" ca="1" si="315"/>
        <v>0</v>
      </c>
      <c r="AP540" s="1" t="str">
        <f ca="1">IF(AND(A540&lt;=OP!$C$120,COUNTIF(PAY,C540)=1),1,"")</f>
        <v/>
      </c>
      <c r="AR540" s="301">
        <f ca="1">IF(繳費報酬率資料!$A$1=1,$AY540+$AZ540,$BF540+$BG540)</f>
        <v>0</v>
      </c>
      <c r="AS540" s="1">
        <f ca="1">IF(C540&lt;&gt;IF($C$3=1,12,$C$3-1),0,IF(繳費報酬率資料!$A$1&lt;&gt;1,VLOOKUP($A540,MP,8,0),IF(AND($A540&gt;=OP!$C$79,$A540&lt;=OP!$C$80),OP!$C$78,)))</f>
        <v>0</v>
      </c>
      <c r="AT540" s="298">
        <f t="shared" ca="1" si="316"/>
        <v>0</v>
      </c>
      <c r="AU540" s="298">
        <f ca="1">IF(AND(A540&lt;=OP!$C$120,COUNTIF(PAY,C540)=1),OP!$C$123,0)</f>
        <v>0</v>
      </c>
      <c r="AV540" s="298">
        <f ca="1">IF(AND(A540&gt;=OP!$C$132,A540&lt;=OP!$C$133,$C$3=C540),OP!$C$135,0)</f>
        <v>0</v>
      </c>
      <c r="AW540" s="180">
        <f t="shared" ca="1" si="317"/>
        <v>0.05</v>
      </c>
      <c r="AX540" s="180">
        <f t="shared" ca="1" si="318"/>
        <v>0.05</v>
      </c>
      <c r="AY540" s="286">
        <f t="shared" ca="1" si="319"/>
        <v>0</v>
      </c>
      <c r="AZ540" s="286">
        <f t="shared" ca="1" si="320"/>
        <v>0</v>
      </c>
      <c r="BA540" s="286">
        <f t="shared" ca="1" si="321"/>
        <v>0</v>
      </c>
      <c r="BB540" s="286">
        <f t="shared" ca="1" si="322"/>
        <v>0</v>
      </c>
      <c r="BC540" s="286">
        <f t="shared" ca="1" si="323"/>
        <v>0</v>
      </c>
      <c r="BD540" s="180">
        <f t="shared" ca="1" si="324"/>
        <v>0.05</v>
      </c>
      <c r="BE540" s="180">
        <f t="shared" ca="1" si="325"/>
        <v>0.05</v>
      </c>
      <c r="BF540" s="286">
        <f t="shared" ca="1" si="326"/>
        <v>0</v>
      </c>
      <c r="BG540" s="286">
        <f t="shared" ca="1" si="327"/>
        <v>0</v>
      </c>
    </row>
    <row r="541" spans="1:59">
      <c r="A541" s="1">
        <f t="shared" ca="1" si="307"/>
        <v>45</v>
      </c>
      <c r="B541" s="1">
        <f t="shared" ca="1" si="300"/>
        <v>151</v>
      </c>
      <c r="C541" s="1">
        <f t="shared" ca="1" si="301"/>
        <v>3</v>
      </c>
      <c r="D541" s="1">
        <f ca="1">MIN($D$3,VLOOKUP(C541,OP!$S$30:$T$41,2))</f>
        <v>2</v>
      </c>
      <c r="E541" s="1">
        <f t="shared" ca="1" si="302"/>
        <v>99</v>
      </c>
      <c r="F541" s="11" t="str">
        <f t="shared" ca="1" si="308"/>
        <v/>
      </c>
      <c r="G541" s="8">
        <f t="shared" ca="1" si="332"/>
        <v>365</v>
      </c>
      <c r="H541" s="8">
        <f t="shared" ca="1" si="309"/>
        <v>31</v>
      </c>
      <c r="I541" s="8" t="str">
        <f t="shared" ca="1" si="306"/>
        <v>453</v>
      </c>
      <c r="J541" s="13">
        <f>IF(繳費報酬率資料!$A$1=1,VALUE(OP!$C$121),VLOOKUP(A541,MP,2,0))</f>
        <v>0.05</v>
      </c>
      <c r="K541" s="14">
        <f ca="1">IF(SUM($K$4:K540,IF(繳費報酬率資料!$A$1=1,$AU541+$AV541,$BB541+$BC541))&gt;OP!$L$58,0,IF(繳費報酬率資料!$A$1=1,$AU541+$AV541,$BB541+$BC541))</f>
        <v>0</v>
      </c>
      <c r="L541" s="2"/>
      <c r="M541" s="2"/>
      <c r="N541" s="2"/>
      <c r="O541" s="261">
        <f t="shared" ca="1" si="310"/>
        <v>0</v>
      </c>
      <c r="P541" s="261">
        <f t="shared" ca="1" si="328"/>
        <v>0</v>
      </c>
      <c r="Q541" s="3">
        <f ca="1">IF(A541&gt;MAX(OP!$R$17:$R$26),0,VLOOKUP(A541,fees,3,FALSE))</f>
        <v>0</v>
      </c>
      <c r="R541" s="200" t="str">
        <f t="shared" ca="1" si="311"/>
        <v/>
      </c>
      <c r="S541" s="9" t="str">
        <f ca="1">IF(COUNTIF(($T$4:T540),"F")&gt;=1,"",IF(OR(C542&lt;&gt;$C$3,E541=""),"",A541))</f>
        <v/>
      </c>
      <c r="T541" s="20" t="str">
        <f t="shared" ca="1" si="303"/>
        <v/>
      </c>
      <c r="U541" s="2">
        <f ca="1">IF(IF(OP!$C$83=1,$Z540,IF(OP!$C$83=2,$AA540,IF(OP!$C$83=3,$AB540,)))+$K541-$O541-$P541-$AS541&lt;OP!$C$142,0,$AS541)</f>
        <v>0</v>
      </c>
      <c r="V541" s="9"/>
      <c r="W541" s="19">
        <f ca="1">MAX(SUM($K$4:K541),0)</f>
        <v>2000000</v>
      </c>
      <c r="X541" s="19"/>
      <c r="Y541" s="19">
        <f t="shared" ca="1" si="329"/>
        <v>1920000</v>
      </c>
      <c r="Z541" s="2">
        <f ca="1">IF(MIN($Z$4:Z540)=0,0,MAX(0,($Z540+$K541-$O541-$P541)*IF(AND(F541="F",$D$3&lt;&gt;$G$3),((1+(-J541))^(H541/MIN(G541,365))),((1+(-J541))^(1/12)))-$U541))</f>
        <v>192564.48795293571</v>
      </c>
      <c r="AA541" s="2">
        <f ca="1">IF(MIN($AA$4:AA540)=0,0,MAX(0,($AA540+$K541-$O541-$P541)*IF(AND(F541="F",$D$3&lt;&gt;$G$3),((1+$AA$1)^(H541/MIN(G541,365))),((1+$AA$1)^(1/12)))-$U541))</f>
        <v>1920000</v>
      </c>
      <c r="AB541" s="2">
        <f ca="1">IF(MIN($AB$4:AB540)=0,0,MAX(0,($AB540+$K541-$O541-$P541)*IF(AND(F541="F",$D$3&lt;&gt;$G$3),((1+(J541))^(H541/MIN(G541,365))),((1+(J541))^(1/12)))-$U541))</f>
        <v>17111502.182470009</v>
      </c>
      <c r="AC541" s="5"/>
      <c r="AD541" s="5"/>
      <c r="AE541" s="5"/>
      <c r="AF541" s="282">
        <f t="shared" ca="1" si="312"/>
        <v>192564</v>
      </c>
      <c r="AG541" s="282">
        <f t="shared" ca="1" si="313"/>
        <v>1920000</v>
      </c>
      <c r="AH541" s="282">
        <f t="shared" ca="1" si="314"/>
        <v>17111502</v>
      </c>
      <c r="AI541" s="23" t="str">
        <f t="shared" ca="1" si="331"/>
        <v>45-11</v>
      </c>
      <c r="AJ541" s="282">
        <f ca="1">IF(E541&gt;111,,IF(AND(OP!$C$99=1,T541="F"),Z541,IF(AND(OP!$C$99=2,COUNTIF($T$4:T541,"F")=1),OP!$C$97+IF(F541="F",OP!$C$98,0),"")))</f>
        <v>54527</v>
      </c>
      <c r="AK541" s="282">
        <f ca="1">IF(E541&gt;111,,IF(AND(OP!$D$99=1,T541="F"),AA541,IF(AND(OP!$D$99=2,COUNTIF($T$4:T541,"F")=1),OP!$D$97+IF(F541="F",OP!$D$98,0),"")))</f>
        <v>74177</v>
      </c>
      <c r="AL541" s="282">
        <f ca="1">IF(E541&gt;111,,IF(AND(OP!$E$99=1,T541="F"),AB541,IF(AND(OP!$E$99=2,COUNTIF($T$4:T541,"F")=1),OP!$E$97+IF(F541="F",OP!$E$98,0),"")))</f>
        <v>99404</v>
      </c>
      <c r="AM541" s="1">
        <f t="shared" ca="1" si="304"/>
        <v>11</v>
      </c>
      <c r="AN541" s="1" t="e">
        <f ca="1">IF(OR(VLOOKUP($A541,MP,5,0)="季繳",VLOOKUP($A541,MP,5,0)="月繳"),1,"")</f>
        <v>#N/A</v>
      </c>
      <c r="AO541" s="1">
        <f t="shared" ca="1" si="315"/>
        <v>0</v>
      </c>
      <c r="AP541" s="1" t="str">
        <f ca="1">IF(AND(A541&lt;=OP!$C$120,COUNTIF(PAY,C541)=1),1,"")</f>
        <v/>
      </c>
      <c r="AR541" s="301">
        <f ca="1">IF(繳費報酬率資料!$A$1=1,$AY541+$AZ541,$BF541+$BG541)</f>
        <v>0</v>
      </c>
      <c r="AS541" s="1">
        <f ca="1">IF(C541&lt;&gt;IF($C$3=1,12,$C$3-1),0,IF(繳費報酬率資料!$A$1&lt;&gt;1,VLOOKUP($A541,MP,8,0),IF(AND($A541&gt;=OP!$C$79,$A541&lt;=OP!$C$80),OP!$C$78,)))</f>
        <v>0</v>
      </c>
      <c r="AT541" s="298">
        <f t="shared" ca="1" si="316"/>
        <v>0</v>
      </c>
      <c r="AU541" s="298">
        <f ca="1">IF(AND(A541&lt;=OP!$C$120,COUNTIF(PAY,C541)=1),OP!$C$123,0)</f>
        <v>0</v>
      </c>
      <c r="AV541" s="298">
        <f ca="1">IF(AND(A541&gt;=OP!$C$132,A541&lt;=OP!$C$133,$C$3=C541),OP!$C$135,0)</f>
        <v>0</v>
      </c>
      <c r="AW541" s="180">
        <f t="shared" ca="1" si="317"/>
        <v>0.05</v>
      </c>
      <c r="AX541" s="180">
        <f t="shared" ca="1" si="318"/>
        <v>0.05</v>
      </c>
      <c r="AY541" s="286">
        <f t="shared" ca="1" si="319"/>
        <v>0</v>
      </c>
      <c r="AZ541" s="286">
        <f t="shared" ca="1" si="320"/>
        <v>0</v>
      </c>
      <c r="BA541" s="286">
        <f t="shared" ca="1" si="321"/>
        <v>0</v>
      </c>
      <c r="BB541" s="286">
        <f t="shared" ca="1" si="322"/>
        <v>0</v>
      </c>
      <c r="BC541" s="286">
        <f t="shared" ca="1" si="323"/>
        <v>0</v>
      </c>
      <c r="BD541" s="180">
        <f t="shared" ca="1" si="324"/>
        <v>0.05</v>
      </c>
      <c r="BE541" s="180">
        <f t="shared" ca="1" si="325"/>
        <v>0.05</v>
      </c>
      <c r="BF541" s="286">
        <f t="shared" ca="1" si="326"/>
        <v>0</v>
      </c>
      <c r="BG541" s="286">
        <f t="shared" ca="1" si="327"/>
        <v>0</v>
      </c>
    </row>
    <row r="542" spans="1:59">
      <c r="A542" s="1">
        <f t="shared" ca="1" si="307"/>
        <v>45</v>
      </c>
      <c r="B542" s="1">
        <f t="shared" ca="1" si="300"/>
        <v>151</v>
      </c>
      <c r="C542" s="1">
        <f t="shared" ca="1" si="301"/>
        <v>4</v>
      </c>
      <c r="D542" s="1">
        <f ca="1">MIN($D$3,VLOOKUP(C542,OP!$S$30:$T$41,2))</f>
        <v>2</v>
      </c>
      <c r="E542" s="1">
        <f t="shared" ca="1" si="302"/>
        <v>99</v>
      </c>
      <c r="F542" s="11" t="str">
        <f t="shared" ca="1" si="308"/>
        <v/>
      </c>
      <c r="G542" s="8">
        <f t="shared" ca="1" si="332"/>
        <v>365</v>
      </c>
      <c r="H542" s="8">
        <f t="shared" ca="1" si="309"/>
        <v>30</v>
      </c>
      <c r="I542" s="8" t="str">
        <f t="shared" ca="1" si="306"/>
        <v>454</v>
      </c>
      <c r="J542" s="13">
        <f>IF(繳費報酬率資料!$A$1=1,VALUE(OP!$C$121),VLOOKUP(A542,MP,2,0))</f>
        <v>0.05</v>
      </c>
      <c r="K542" s="14">
        <f ca="1">IF(SUM($K$4:K541,IF(繳費報酬率資料!$A$1=1,$AU542+$AV542,$BB542+$BC542))&gt;OP!$L$58,0,IF(繳費報酬率資料!$A$1=1,$AU542+$AV542,$BB542+$BC542))</f>
        <v>0</v>
      </c>
      <c r="L542" s="2"/>
      <c r="M542" s="2"/>
      <c r="N542" s="2"/>
      <c r="O542" s="261">
        <f t="shared" ca="1" si="310"/>
        <v>0</v>
      </c>
      <c r="P542" s="261">
        <f t="shared" ca="1" si="328"/>
        <v>0</v>
      </c>
      <c r="Q542" s="3">
        <f ca="1">IF(A542&gt;MAX(OP!$R$17:$R$26),0,VLOOKUP(A542,fees,3,FALSE))</f>
        <v>0</v>
      </c>
      <c r="R542" s="200" t="str">
        <f t="shared" ca="1" si="311"/>
        <v/>
      </c>
      <c r="S542" s="9" t="str">
        <f ca="1">IF(COUNTIF(($T$4:T541),"F")&gt;=1,"",IF(OR(C543&lt;&gt;$C$3,E542=""),"",A542))</f>
        <v/>
      </c>
      <c r="T542" s="20" t="str">
        <f t="shared" ca="1" si="303"/>
        <v/>
      </c>
      <c r="U542" s="2">
        <f ca="1">IF(IF(OP!$C$83=1,$Z541,IF(OP!$C$83=2,$AA541,IF(OP!$C$83=3,$AB541,)))+$K542-$O542-$P542-$AS542&lt;OP!$C$142,0,$AS542)</f>
        <v>0</v>
      </c>
      <c r="V542" s="9"/>
      <c r="W542" s="19">
        <f ca="1">MAX(SUM($K$4:K542),0)</f>
        <v>2000000</v>
      </c>
      <c r="X542" s="19"/>
      <c r="Y542" s="19">
        <f t="shared" ca="1" si="329"/>
        <v>1920000</v>
      </c>
      <c r="Z542" s="2">
        <f ca="1">IF(MIN($Z$4:Z541)=0,0,MAX(0,($Z541+$K542-$O542-$P542)*IF(AND(F542="F",$D$3&lt;&gt;$G$3),((1+(-J542))^(H542/MIN(G542,365))),((1+(-J542))^(1/12)))-$U542))</f>
        <v>191743.13902657872</v>
      </c>
      <c r="AA542" s="2">
        <f ca="1">IF(MIN($AA$4:AA541)=0,0,MAX(0,($AA541+$K542-$O542-$P542)*IF(AND(F542="F",$D$3&lt;&gt;$G$3),((1+$AA$1)^(H542/MIN(G542,365))),((1+$AA$1)^(1/12)))-$U542))</f>
        <v>1920000</v>
      </c>
      <c r="AB542" s="2">
        <f ca="1">IF(MIN($AB$4:AB541)=0,0,MAX(0,($AB541+$K542-$O542-$P542)*IF(AND(F542="F",$D$3&lt;&gt;$G$3),((1+(J542))^(H542/MIN(G542,365))),((1+(J542))^(1/12)))-$U542))</f>
        <v>17181216.56048556</v>
      </c>
      <c r="AC542" s="5"/>
      <c r="AD542" s="5"/>
      <c r="AE542" s="5"/>
      <c r="AF542" s="282">
        <f t="shared" ca="1" si="312"/>
        <v>191743</v>
      </c>
      <c r="AG542" s="282">
        <f t="shared" ca="1" si="313"/>
        <v>1920000</v>
      </c>
      <c r="AH542" s="282">
        <f t="shared" ca="1" si="314"/>
        <v>17181217</v>
      </c>
      <c r="AI542" s="23" t="str">
        <f t="shared" ca="1" si="331"/>
        <v>45-12</v>
      </c>
      <c r="AJ542" s="282">
        <f ca="1">IF(E542&gt;111,,IF(AND(OP!$C$99=1,T542="F"),Z542,IF(AND(OP!$C$99=2,COUNTIF($T$4:T542,"F")=1),OP!$C$97+IF(F542="F",OP!$C$98,0),"")))</f>
        <v>54527</v>
      </c>
      <c r="AK542" s="282">
        <f ca="1">IF(E542&gt;111,,IF(AND(OP!$D$99=1,T542="F"),AA542,IF(AND(OP!$D$99=2,COUNTIF($T$4:T542,"F")=1),OP!$D$97+IF(F542="F",OP!$D$98,0),"")))</f>
        <v>74177</v>
      </c>
      <c r="AL542" s="282">
        <f ca="1">IF(E542&gt;111,,IF(AND(OP!$E$99=1,T542="F"),AB542,IF(AND(OP!$E$99=2,COUNTIF($T$4:T542,"F")=1),OP!$E$97+IF(F542="F",OP!$E$98,0),"")))</f>
        <v>99404</v>
      </c>
      <c r="AM542" s="1">
        <f t="shared" ca="1" si="304"/>
        <v>12</v>
      </c>
      <c r="AN542" s="1" t="e">
        <f ca="1">IF(OR(VLOOKUP($A542,MP,5,0)="月繳"),1,"")</f>
        <v>#N/A</v>
      </c>
      <c r="AO542" s="1">
        <f t="shared" ca="1" si="315"/>
        <v>0</v>
      </c>
      <c r="AP542" s="1" t="str">
        <f ca="1">IF(AND(A542&lt;=OP!$C$120,COUNTIF(PAY,C542)=1),1,"")</f>
        <v/>
      </c>
      <c r="AR542" s="301">
        <f ca="1">IF(繳費報酬率資料!$A$1=1,$AY542+$AZ542,$BF542+$BG542)</f>
        <v>0</v>
      </c>
      <c r="AS542" s="1">
        <f ca="1">IF(C542&lt;&gt;IF($C$3=1,12,$C$3-1),0,IF(繳費報酬率資料!$A$1&lt;&gt;1,VLOOKUP($A542,MP,8,0),IF(AND($A542&gt;=OP!$C$79,$A542&lt;=OP!$C$80),OP!$C$78,)))</f>
        <v>0</v>
      </c>
      <c r="AT542" s="298">
        <f t="shared" ca="1" si="316"/>
        <v>0</v>
      </c>
      <c r="AU542" s="298">
        <f ca="1">IF(AND(A542&lt;=OP!$C$120,COUNTIF(PAY,C542)=1),OP!$C$123,0)</f>
        <v>0</v>
      </c>
      <c r="AV542" s="298">
        <f ca="1">IF(AND(A542&gt;=OP!$C$132,A542&lt;=OP!$C$133,$C$3=C542),OP!$C$135,0)</f>
        <v>0</v>
      </c>
      <c r="AW542" s="180">
        <f t="shared" ca="1" si="317"/>
        <v>0.05</v>
      </c>
      <c r="AX542" s="180">
        <f t="shared" ca="1" si="318"/>
        <v>0.05</v>
      </c>
      <c r="AY542" s="286">
        <f t="shared" ca="1" si="319"/>
        <v>0</v>
      </c>
      <c r="AZ542" s="286">
        <f t="shared" ca="1" si="320"/>
        <v>0</v>
      </c>
      <c r="BA542" s="286">
        <f t="shared" ca="1" si="321"/>
        <v>0</v>
      </c>
      <c r="BB542" s="286">
        <f t="shared" ca="1" si="322"/>
        <v>0</v>
      </c>
      <c r="BC542" s="286">
        <f t="shared" ca="1" si="323"/>
        <v>0</v>
      </c>
      <c r="BD542" s="180">
        <f t="shared" ca="1" si="324"/>
        <v>0.05</v>
      </c>
      <c r="BE542" s="180">
        <f t="shared" ca="1" si="325"/>
        <v>0.05</v>
      </c>
      <c r="BF542" s="286">
        <f t="shared" ca="1" si="326"/>
        <v>0</v>
      </c>
      <c r="BG542" s="286">
        <f t="shared" ca="1" si="327"/>
        <v>0</v>
      </c>
    </row>
    <row r="543" spans="1:59">
      <c r="A543" s="1">
        <f t="shared" ca="1" si="307"/>
        <v>45</v>
      </c>
      <c r="B543" s="1">
        <f t="shared" ca="1" si="300"/>
        <v>151</v>
      </c>
      <c r="C543" s="1">
        <f t="shared" ca="1" si="301"/>
        <v>5</v>
      </c>
      <c r="D543" s="1">
        <f ca="1">MIN($D$3,VLOOKUP(C543,OP!$S$30:$T$41,2))</f>
        <v>2</v>
      </c>
      <c r="E543" s="1">
        <f t="shared" ca="1" si="302"/>
        <v>99</v>
      </c>
      <c r="F543" s="11" t="str">
        <f t="shared" ca="1" si="308"/>
        <v/>
      </c>
      <c r="G543" s="8">
        <f t="shared" ca="1" si="332"/>
        <v>365</v>
      </c>
      <c r="H543" s="8">
        <f t="shared" ca="1" si="309"/>
        <v>31</v>
      </c>
      <c r="I543" s="8" t="str">
        <f t="shared" ca="1" si="306"/>
        <v>455</v>
      </c>
      <c r="J543" s="13">
        <f>IF(繳費報酬率資料!$A$1=1,VALUE(OP!$C$121),VLOOKUP(A543,MP,2,0))</f>
        <v>0.05</v>
      </c>
      <c r="K543" s="14">
        <f ca="1">IF(SUM($K$4:K542,IF(繳費報酬率資料!$A$1=1,$AU543+$AV543,$BB543+$BC543))&gt;OP!$L$58,0,IF(繳費報酬率資料!$A$1=1,$AU543+$AV543,$BB543+$BC543))</f>
        <v>0</v>
      </c>
      <c r="L543" s="2">
        <f ca="1">ROUND(IF(OP!$C$78&lt;(IF(OR($T543="F",$E543&gt;=111),0,Z542+$K543-$O543+IF($C$1=1,OP!$C$78,IF($C544=$C$3,SUM(AC532:AC543,0)))))*5%,0,(OP!$C$78-((IF(OR($T543="F",$E543&gt;=111),0,Z542+$K543-$O543+IF($C$1=1,AC543,IF($C544=$C$3,SUM(AC532:AC543,0)))))*5%))*$Q543),0)</f>
        <v>0</v>
      </c>
      <c r="M543" s="2">
        <f ca="1">ROUND(IF(OP!$C$78&lt;(IF(OR($T543="F",$E543&gt;=111),0,AA542+$K543-$O543+IF($C$1=1,AD543,IF($C544=$C$3,SUM(AD532:AD543,0)))))*5%,0,(OP!$C$78-((IF(OR($T543="F",$E543&gt;=111),0,AA542+$K543-$O543+IF($C$1=1,AD543,IF($C544=$C$3,SUM(AD532:AD543,0)))))*5%))*$Q543),0)</f>
        <v>0</v>
      </c>
      <c r="N543" s="2">
        <f ca="1">ROUND(IF(OP!$C$78&lt;(IF(OR($T543="F",$E543&gt;=111),0,AB542+$K543-$O543+IF($C$1=1,AE543,IF($C544=$C$3,SUM(AE532:AE543,0)))))*5%,0,(OP!$C$78-((IF(OR($T543="F",$E543&gt;=111),0,AB542+$K543-$O543+IF($C$1=1,AE543,IF($C544=$C$3,SUM(AE532:AE543,0)))))*5%))*$Q543),0)</f>
        <v>0</v>
      </c>
      <c r="O543" s="261">
        <f t="shared" ca="1" si="310"/>
        <v>0</v>
      </c>
      <c r="P543" s="261">
        <f t="shared" ca="1" si="328"/>
        <v>0</v>
      </c>
      <c r="Q543" s="3">
        <f ca="1">IF(A543&gt;MAX(OP!$R$17:$R$26),0,VLOOKUP(A543,fees,3,FALSE))</f>
        <v>0</v>
      </c>
      <c r="R543" s="200">
        <f t="shared" ca="1" si="311"/>
        <v>45</v>
      </c>
      <c r="S543" s="9" t="str">
        <f ca="1">IF(COUNTIF(($T$4:T542),"F")&gt;=1,"",IF(OR(C544&lt;&gt;$C$3,E543=""),"",A543))</f>
        <v/>
      </c>
      <c r="T543" s="20" t="str">
        <f t="shared" ca="1" si="303"/>
        <v/>
      </c>
      <c r="U543" s="2">
        <f ca="1">IF(IF(OP!$C$83=1,$Z542,IF(OP!$C$83=2,$AA542,IF(OP!$C$83=3,$AB542,)))+$K543-$O543-$P543-$AS543&lt;OP!$C$142,0,$AS543)</f>
        <v>0</v>
      </c>
      <c r="V543" s="19">
        <f ca="1">SUM(K532:K543)</f>
        <v>0</v>
      </c>
      <c r="W543" s="19">
        <f ca="1">MAX(SUM($K$4:K543),0)</f>
        <v>2000000</v>
      </c>
      <c r="X543" s="19">
        <f ca="1">SUM(O532:P543)</f>
        <v>0</v>
      </c>
      <c r="Y543" s="19">
        <f t="shared" ca="1" si="329"/>
        <v>1920000</v>
      </c>
      <c r="Z543" s="2">
        <f ca="1">IF(MIN($Z$4:Z542)=0,0,MAX(0,($Z542+$K543-$O543-$P543)*IF(AND(F543="F",$D$3&lt;&gt;$G$3),((1+(-J543))^(H543/MIN(G543,365))),((1+(-J543))^(1/12)))-$U543))</f>
        <v>190925.29341522022</v>
      </c>
      <c r="AA543" s="2">
        <f ca="1">IF(MIN($AA$4:AA542)=0,0,MAX(0,($AA542+$K543-$O543-$P543)*IF(AND(F543="F",$D$3&lt;&gt;$G$3),((1+$AA$1)^(H543/MIN(G543,365))),((1+$AA$1)^(1/12)))-$U543))</f>
        <v>1920000</v>
      </c>
      <c r="AB543" s="2">
        <f ca="1">IF(MIN($AB$4:AB542)=0,0,MAX(0,($AB542+$K543-$O543-$P543)*IF(AND(F543="F",$D$3&lt;&gt;$G$3),((1+(J543))^(H543/MIN(G543,365))),((1+(J543))^(1/12)))-$U543))</f>
        <v>17251214.963506646</v>
      </c>
      <c r="AC543" s="5"/>
      <c r="AD543" s="5"/>
      <c r="AE543" s="5"/>
      <c r="AF543" s="282">
        <f t="shared" ca="1" si="312"/>
        <v>190925</v>
      </c>
      <c r="AG543" s="282">
        <f t="shared" ca="1" si="313"/>
        <v>1920000</v>
      </c>
      <c r="AH543" s="282">
        <f t="shared" ca="1" si="314"/>
        <v>17251215</v>
      </c>
      <c r="AI543" s="23" t="str">
        <f t="shared" ca="1" si="331"/>
        <v>46-1</v>
      </c>
      <c r="AJ543" s="282">
        <f ca="1">IF(E543&gt;111,,IF(AND(OP!$C$99=1,T543="F"),Z543,IF(AND(OP!$C$99=2,COUNTIF($T$4:T543,"F")=1),OP!$C$97+IF(F543="F",OP!$C$98,0),"")))</f>
        <v>54527</v>
      </c>
      <c r="AK543" s="282">
        <f ca="1">IF(E543&gt;111,,IF(AND(OP!$D$99=1,T543="F"),AA543,IF(AND(OP!$D$99=2,COUNTIF($T$4:T543,"F")=1),OP!$D$97+IF(F543="F",OP!$D$98,0),"")))</f>
        <v>74177</v>
      </c>
      <c r="AL543" s="282">
        <f ca="1">IF(E543&gt;111,,IF(AND(OP!$E$99=1,T543="F"),AB543,IF(AND(OP!$E$99=2,COUNTIF($T$4:T543,"F")=1),OP!$E$97+IF(F543="F",OP!$E$98,0),"")))</f>
        <v>99404</v>
      </c>
      <c r="AM543" s="1">
        <f t="shared" ca="1" si="304"/>
        <v>1</v>
      </c>
      <c r="AN543" s="1" t="e">
        <f ca="1">IF(OR(VLOOKUP($A543,MP,5,0)="月繳"),1,"")</f>
        <v>#N/A</v>
      </c>
      <c r="AO543" s="1">
        <f t="shared" ca="1" si="315"/>
        <v>0</v>
      </c>
      <c r="AP543" s="1" t="str">
        <f ca="1">IF(AND(A543&lt;=OP!$C$120,COUNTIF(PAY,C543)=1),1,"")</f>
        <v/>
      </c>
      <c r="AR543" s="301">
        <f ca="1">IF(繳費報酬率資料!$A$1=1,$AY543+$AZ543,$BF543+$BG543)</f>
        <v>0</v>
      </c>
      <c r="AS543" s="1">
        <f ca="1">IF(C543&lt;&gt;IF($C$3=1,12,$C$3-1),0,IF(繳費報酬率資料!$A$1&lt;&gt;1,VLOOKUP($A543,MP,8,0),IF(AND($A543&gt;=OP!$C$79,$A543&lt;=OP!$C$80),OP!$C$78,)))</f>
        <v>0</v>
      </c>
      <c r="AT543" s="298">
        <f t="shared" ca="1" si="316"/>
        <v>0</v>
      </c>
      <c r="AU543" s="298">
        <f ca="1">IF(AND(A543&lt;=OP!$C$120,COUNTIF(PAY,C543)=1),OP!$C$123,0)</f>
        <v>0</v>
      </c>
      <c r="AV543" s="298">
        <f ca="1">IF(AND(A543&gt;=OP!$C$132,A543&lt;=OP!$C$133,$C$3=C543),OP!$C$135,0)</f>
        <v>0</v>
      </c>
      <c r="AW543" s="180">
        <f t="shared" ca="1" si="317"/>
        <v>0.05</v>
      </c>
      <c r="AX543" s="180">
        <f t="shared" ca="1" si="318"/>
        <v>0.05</v>
      </c>
      <c r="AY543" s="286">
        <f t="shared" ca="1" si="319"/>
        <v>0</v>
      </c>
      <c r="AZ543" s="286">
        <f t="shared" ca="1" si="320"/>
        <v>0</v>
      </c>
      <c r="BA543" s="286">
        <f t="shared" ca="1" si="321"/>
        <v>0</v>
      </c>
      <c r="BB543" s="286">
        <f t="shared" ca="1" si="322"/>
        <v>0</v>
      </c>
      <c r="BC543" s="286">
        <f t="shared" ca="1" si="323"/>
        <v>0</v>
      </c>
      <c r="BD543" s="180">
        <f t="shared" ca="1" si="324"/>
        <v>0.05</v>
      </c>
      <c r="BE543" s="180">
        <f t="shared" ca="1" si="325"/>
        <v>0.05</v>
      </c>
      <c r="BF543" s="286">
        <f t="shared" ca="1" si="326"/>
        <v>0</v>
      </c>
      <c r="BG543" s="286">
        <f t="shared" ca="1" si="327"/>
        <v>0</v>
      </c>
    </row>
    <row r="544" spans="1:59">
      <c r="A544" s="1">
        <f t="shared" ca="1" si="307"/>
        <v>46</v>
      </c>
      <c r="B544" s="1">
        <f t="shared" ca="1" si="300"/>
        <v>151</v>
      </c>
      <c r="C544" s="1">
        <f t="shared" ca="1" si="301"/>
        <v>6</v>
      </c>
      <c r="D544" s="1">
        <f ca="1">MIN($D$3,VLOOKUP(C544,OP!$S$30:$T$41,2))</f>
        <v>2</v>
      </c>
      <c r="E544" s="1">
        <f t="shared" ca="1" si="302"/>
        <v>100</v>
      </c>
      <c r="F544" s="11" t="str">
        <f t="shared" ca="1" si="308"/>
        <v/>
      </c>
      <c r="G544" s="6">
        <f ca="1">DATEDIF(DATE(B544+1911,C544,D544),DATE(B556+1911,C556,D556),"d")</f>
        <v>365</v>
      </c>
      <c r="H544" s="8">
        <f t="shared" ca="1" si="309"/>
        <v>30</v>
      </c>
      <c r="I544" s="8" t="str">
        <f t="shared" ca="1" si="306"/>
        <v>466</v>
      </c>
      <c r="J544" s="13">
        <f>IF(繳費報酬率資料!$A$1=1,VALUE(OP!$C$121),VLOOKUP(A544,MP,2,0))</f>
        <v>0.05</v>
      </c>
      <c r="K544" s="14">
        <f ca="1">IF(SUM($K$4:K543,IF(繳費報酬率資料!$A$1=1,$AU544+$AV544,$BB544+$BC544))&gt;OP!$L$58,0,IF(繳費報酬率資料!$A$1=1,$AU544+$AV544,$BB544+$BC544))</f>
        <v>0</v>
      </c>
      <c r="L544" s="2"/>
      <c r="M544" s="2"/>
      <c r="N544" s="2"/>
      <c r="O544" s="261">
        <f t="shared" ca="1" si="310"/>
        <v>0</v>
      </c>
      <c r="P544" s="261">
        <f t="shared" ca="1" si="328"/>
        <v>0</v>
      </c>
      <c r="Q544" s="3">
        <f ca="1">IF(A544&gt;MAX(OP!$R$17:$R$26),0,VLOOKUP(A544,fees,3,FALSE))</f>
        <v>0</v>
      </c>
      <c r="R544" s="200" t="str">
        <f t="shared" ca="1" si="311"/>
        <v/>
      </c>
      <c r="S544" s="9" t="str">
        <f ca="1">IF(COUNTIF(($T$4:T543),"F")&gt;=1,"",IF(OR(C545&lt;&gt;$C$3,E544=""),"",A544))</f>
        <v/>
      </c>
      <c r="T544" s="20" t="str">
        <f t="shared" ca="1" si="303"/>
        <v/>
      </c>
      <c r="U544" s="2">
        <f ca="1">IF(IF(OP!$C$83=1,$Z543,IF(OP!$C$83=2,$AA543,IF(OP!$C$83=3,$AB543,)))+$K544-$O544-$P544-$AS544&lt;OP!$C$142,0,$AS544)</f>
        <v>0</v>
      </c>
      <c r="V544" s="9"/>
      <c r="W544" s="19">
        <f ca="1">MAX(SUM($K$4:K544),0)</f>
        <v>2000000</v>
      </c>
      <c r="X544" s="19"/>
      <c r="Y544" s="19">
        <f t="shared" ca="1" si="329"/>
        <v>1920000</v>
      </c>
      <c r="Z544" s="2">
        <f ca="1">IF(MIN($Z$4:Z543)=0,0,MAX(0,($Z543+$K544-$O544-$P544)*IF(AND(F544="F",$D$3&lt;&gt;$G$3),((1+(-J544))^(H544/MIN(G544,365))),((1+(-J544))^(1/12)))-$U544))</f>
        <v>190110.93617610499</v>
      </c>
      <c r="AA544" s="2">
        <f ca="1">IF(MIN($AA$4:AA543)=0,0,MAX(0,($AA543+$K544-$O544-$P544)*IF(AND(F544="F",$D$3&lt;&gt;$G$3),((1+$AA$1)^(H544/MIN(G544,365))),((1+$AA$1)^(1/12)))-$U544))</f>
        <v>1920000</v>
      </c>
      <c r="AB544" s="2">
        <f ca="1">IF(MIN($AB$4:AB543)=0,0,MAX(0,($AB543+$K544-$O544-$P544)*IF(AND(F544="F",$D$3&lt;&gt;$G$3),((1+(J544))^(H544/MIN(G544,365))),((1+(J544))^(1/12)))-$U544))</f>
        <v>17321498.548686299</v>
      </c>
      <c r="AC544" s="21"/>
      <c r="AD544" s="21"/>
      <c r="AE544" s="21"/>
      <c r="AF544" s="282">
        <f t="shared" ca="1" si="312"/>
        <v>190111</v>
      </c>
      <c r="AG544" s="282">
        <f t="shared" ca="1" si="313"/>
        <v>1920000</v>
      </c>
      <c r="AH544" s="282">
        <f t="shared" ca="1" si="314"/>
        <v>17321499</v>
      </c>
      <c r="AI544" s="23" t="str">
        <f t="shared" ca="1" si="331"/>
        <v>46-2</v>
      </c>
      <c r="AJ544" s="281">
        <f ca="1">IF(E544&gt;111,,IF(AND(OP!$C$99=1,T544="F"),Z544,IF(AND(OP!$C$99=2,COUNTIF($T$4:T544,"F")=1),OP!$C$97+IF(F544="F",OP!$C$98,0),"")))</f>
        <v>54527</v>
      </c>
      <c r="AK544" s="281">
        <f ca="1">IF(E544&gt;111,,IF(AND(OP!$D$99=1,T544="F"),AA544,IF(AND(OP!$D$99=2,COUNTIF($T$4:T544,"F")=1),OP!$D$97+IF(F544="F",OP!$D$98,0),"")))</f>
        <v>74177</v>
      </c>
      <c r="AL544" s="281">
        <f ca="1">IF(E544&gt;111,,IF(AND(OP!$E$99=1,T544="F"),AB544,IF(AND(OP!$E$99=2,COUNTIF($T$4:T544,"F")=1),OP!$E$97+IF(F544="F",OP!$E$98,0),"")))</f>
        <v>99404</v>
      </c>
      <c r="AM544" s="1">
        <f t="shared" ca="1" si="304"/>
        <v>2</v>
      </c>
      <c r="AN544" s="1" t="e">
        <f ca="1">IF(OR(VLOOKUP($A544,MP,5,0)="年繳",VLOOKUP($A544,MP,5,0)="半年繳",VLOOKUP($A544,MP,5,0)="季繳",VLOOKUP($A544,MP,5,0)="月繳"),1,"")</f>
        <v>#N/A</v>
      </c>
      <c r="AO544" s="1">
        <f t="shared" ca="1" si="315"/>
        <v>0</v>
      </c>
      <c r="AP544" s="1" t="str">
        <f ca="1">IF(AND(A544&lt;=OP!$C$120,COUNTIF(PAY,C544)=1),1,"")</f>
        <v/>
      </c>
      <c r="AR544" s="301">
        <f ca="1">IF(繳費報酬率資料!$A$1=1,$AY544+$AZ544,$BF544+$BG544)</f>
        <v>0</v>
      </c>
      <c r="AS544" s="1">
        <f ca="1">IF(C544&lt;&gt;IF($C$3=1,12,$C$3-1),0,IF(繳費報酬率資料!$A$1&lt;&gt;1,VLOOKUP($A544,MP,8,0),IF(AND($A544&gt;=OP!$C$79,$A544&lt;=OP!$C$80),OP!$C$78,)))</f>
        <v>0</v>
      </c>
      <c r="AT544" s="298">
        <f t="shared" ca="1" si="316"/>
        <v>0</v>
      </c>
      <c r="AU544" s="298">
        <f ca="1">IF(AND(A544&lt;=OP!$C$120,COUNTIF(PAY,C544)=1),OP!$C$123,0)</f>
        <v>0</v>
      </c>
      <c r="AV544" s="298">
        <f ca="1">IF(AND(A544&gt;=OP!$C$132,A544&lt;=OP!$C$133,$C$3=C544),OP!$C$135,0)</f>
        <v>0</v>
      </c>
      <c r="AW544" s="180">
        <f t="shared" ca="1" si="317"/>
        <v>0.05</v>
      </c>
      <c r="AX544" s="180">
        <f t="shared" ca="1" si="318"/>
        <v>0.05</v>
      </c>
      <c r="AY544" s="286">
        <f t="shared" ca="1" si="319"/>
        <v>0</v>
      </c>
      <c r="AZ544" s="286">
        <f t="shared" ca="1" si="320"/>
        <v>0</v>
      </c>
      <c r="BA544" s="286">
        <f t="shared" ca="1" si="321"/>
        <v>0</v>
      </c>
      <c r="BB544" s="286">
        <f t="shared" ca="1" si="322"/>
        <v>0</v>
      </c>
      <c r="BC544" s="286">
        <f t="shared" ca="1" si="323"/>
        <v>0</v>
      </c>
      <c r="BD544" s="180">
        <f t="shared" ca="1" si="324"/>
        <v>0.05</v>
      </c>
      <c r="BE544" s="180">
        <f t="shared" ca="1" si="325"/>
        <v>0.05</v>
      </c>
      <c r="BF544" s="286">
        <f t="shared" ca="1" si="326"/>
        <v>0</v>
      </c>
      <c r="BG544" s="286">
        <f t="shared" ca="1" si="327"/>
        <v>0</v>
      </c>
    </row>
    <row r="545" spans="1:59">
      <c r="A545" s="1">
        <f t="shared" ca="1" si="307"/>
        <v>46</v>
      </c>
      <c r="B545" s="1">
        <f t="shared" ca="1" si="300"/>
        <v>151</v>
      </c>
      <c r="C545" s="1">
        <f t="shared" ca="1" si="301"/>
        <v>7</v>
      </c>
      <c r="D545" s="1">
        <f ca="1">MIN($D$3,VLOOKUP(C545,OP!$S$30:$T$41,2))</f>
        <v>2</v>
      </c>
      <c r="E545" s="1">
        <f t="shared" ca="1" si="302"/>
        <v>100</v>
      </c>
      <c r="F545" s="11" t="str">
        <f t="shared" ca="1" si="308"/>
        <v/>
      </c>
      <c r="G545" s="8">
        <f t="shared" ref="G545:G555" ca="1" si="333">G544</f>
        <v>365</v>
      </c>
      <c r="H545" s="8">
        <f t="shared" ca="1" si="309"/>
        <v>31</v>
      </c>
      <c r="I545" s="8" t="str">
        <f t="shared" ca="1" si="306"/>
        <v>467</v>
      </c>
      <c r="J545" s="13">
        <f>IF(繳費報酬率資料!$A$1=1,VALUE(OP!$C$121),VLOOKUP(A545,MP,2,0))</f>
        <v>0.05</v>
      </c>
      <c r="K545" s="14">
        <f ca="1">IF(SUM($K$4:K544,IF(繳費報酬率資料!$A$1=1,$AU545+$AV545,$BB545+$BC545))&gt;OP!$L$58,0,IF(繳費報酬率資料!$A$1=1,$AU545+$AV545,$BB545+$BC545))</f>
        <v>0</v>
      </c>
      <c r="L545" s="2"/>
      <c r="M545" s="2"/>
      <c r="N545" s="2"/>
      <c r="O545" s="261">
        <f t="shared" ca="1" si="310"/>
        <v>0</v>
      </c>
      <c r="P545" s="261">
        <f t="shared" ca="1" si="328"/>
        <v>0</v>
      </c>
      <c r="Q545" s="3">
        <f ca="1">IF(A545&gt;MAX(OP!$R$17:$R$26),0,VLOOKUP(A545,fees,3,FALSE))</f>
        <v>0</v>
      </c>
      <c r="R545" s="200" t="str">
        <f t="shared" ca="1" si="311"/>
        <v/>
      </c>
      <c r="S545" s="9" t="str">
        <f ca="1">IF(COUNTIF(($T$4:T544),"F")&gt;=1,"",IF(OR(C546&lt;&gt;$C$3,E545=""),"",A545))</f>
        <v/>
      </c>
      <c r="T545" s="20" t="str">
        <f t="shared" ca="1" si="303"/>
        <v/>
      </c>
      <c r="U545" s="2">
        <f ca="1">IF(IF(OP!$C$83=1,$Z544,IF(OP!$C$83=2,$AA544,IF(OP!$C$83=3,$AB544,)))+$K545-$O545-$P545-$AS545&lt;OP!$C$142,0,$AS545)</f>
        <v>0</v>
      </c>
      <c r="V545" s="9"/>
      <c r="W545" s="19">
        <f ca="1">MAX(SUM($K$4:K545),0)</f>
        <v>2000000</v>
      </c>
      <c r="X545" s="19"/>
      <c r="Y545" s="19">
        <f t="shared" ca="1" si="329"/>
        <v>1920000</v>
      </c>
      <c r="Z545" s="2">
        <f ca="1">IF(MIN($Z$4:Z544)=0,0,MAX(0,($Z544+$K545-$O545-$P545)*IF(AND(F545="F",$D$3&lt;&gt;$G$3),((1+(-J545))^(H545/MIN(G545,365))),((1+(-J545))^(1/12)))-$U545))</f>
        <v>189300.05243021343</v>
      </c>
      <c r="AA545" s="2">
        <f ca="1">IF(MIN($AA$4:AA544)=0,0,MAX(0,($AA544+$K545-$O545-$P545)*IF(AND(F545="F",$D$3&lt;&gt;$G$3),((1+$AA$1)^(H545/MIN(G545,365))),((1+$AA$1)^(1/12)))-$U545))</f>
        <v>1920000</v>
      </c>
      <c r="AB545" s="2">
        <f ca="1">IF(MIN($AB$4:AB544)=0,0,MAX(0,($AB544+$K545-$O545-$P545)*IF(AND(F545="F",$D$3&lt;&gt;$G$3),((1+(J545))^(H545/MIN(G545,365))),((1+(J545))^(1/12)))-$U545))</f>
        <v>17392068.477891933</v>
      </c>
      <c r="AC545" s="5"/>
      <c r="AD545" s="5"/>
      <c r="AE545" s="5"/>
      <c r="AF545" s="282">
        <f t="shared" ca="1" si="312"/>
        <v>189300</v>
      </c>
      <c r="AG545" s="282">
        <f t="shared" ca="1" si="313"/>
        <v>1920000</v>
      </c>
      <c r="AH545" s="282">
        <f t="shared" ca="1" si="314"/>
        <v>17392068</v>
      </c>
      <c r="AI545" s="23" t="str">
        <f t="shared" ca="1" si="331"/>
        <v>46-3</v>
      </c>
      <c r="AJ545" s="282">
        <f ca="1">IF(E545&gt;111,,IF(AND(OP!$C$99=1,T545="F"),Z545,IF(AND(OP!$C$99=2,COUNTIF($T$4:T545,"F")=1),OP!$C$97+IF(F545="F",OP!$C$98,0),"")))</f>
        <v>54527</v>
      </c>
      <c r="AK545" s="282">
        <f ca="1">IF(E545&gt;111,,IF(AND(OP!$D$99=1,T545="F"),AA545,IF(AND(OP!$D$99=2,COUNTIF($T$4:T545,"F")=1),OP!$D$97+IF(F545="F",OP!$D$98,0),"")))</f>
        <v>74177</v>
      </c>
      <c r="AL545" s="282">
        <f ca="1">IF(E545&gt;111,,IF(AND(OP!$E$99=1,T545="F"),AB545,IF(AND(OP!$E$99=2,COUNTIF($T$4:T545,"F")=1),OP!$E$97+IF(F545="F",OP!$E$98,0),"")))</f>
        <v>99404</v>
      </c>
      <c r="AM545" s="1">
        <f t="shared" ca="1" si="304"/>
        <v>3</v>
      </c>
      <c r="AN545" s="1" t="e">
        <f ca="1">IF(OR(VLOOKUP($A545,MP,5,0)="月繳"),1,"")</f>
        <v>#N/A</v>
      </c>
      <c r="AO545" s="1">
        <f t="shared" ca="1" si="315"/>
        <v>0</v>
      </c>
      <c r="AP545" s="1" t="str">
        <f ca="1">IF(AND(A545&lt;=OP!$C$120,COUNTIF(PAY,C545)=1),1,"")</f>
        <v/>
      </c>
      <c r="AR545" s="301">
        <f ca="1">IF(繳費報酬率資料!$A$1=1,$AY545+$AZ545,$BF545+$BG545)</f>
        <v>0</v>
      </c>
      <c r="AS545" s="1">
        <f ca="1">IF(C545&lt;&gt;IF($C$3=1,12,$C$3-1),0,IF(繳費報酬率資料!$A$1&lt;&gt;1,VLOOKUP($A545,MP,8,0),IF(AND($A545&gt;=OP!$C$79,$A545&lt;=OP!$C$80),OP!$C$78,)))</f>
        <v>0</v>
      </c>
      <c r="AT545" s="298">
        <f t="shared" ca="1" si="316"/>
        <v>0</v>
      </c>
      <c r="AU545" s="298">
        <f ca="1">IF(AND(A545&lt;=OP!$C$120,COUNTIF(PAY,C545)=1),OP!$C$123,0)</f>
        <v>0</v>
      </c>
      <c r="AV545" s="298">
        <f ca="1">IF(AND(A545&gt;=OP!$C$132,A545&lt;=OP!$C$133,$C$3=C545),OP!$C$135,0)</f>
        <v>0</v>
      </c>
      <c r="AW545" s="180">
        <f t="shared" ca="1" si="317"/>
        <v>0.05</v>
      </c>
      <c r="AX545" s="180">
        <f t="shared" ca="1" si="318"/>
        <v>0.05</v>
      </c>
      <c r="AY545" s="286">
        <f t="shared" ca="1" si="319"/>
        <v>0</v>
      </c>
      <c r="AZ545" s="286">
        <f t="shared" ca="1" si="320"/>
        <v>0</v>
      </c>
      <c r="BA545" s="286">
        <f t="shared" ca="1" si="321"/>
        <v>0</v>
      </c>
      <c r="BB545" s="286">
        <f t="shared" ca="1" si="322"/>
        <v>0</v>
      </c>
      <c r="BC545" s="286">
        <f t="shared" ca="1" si="323"/>
        <v>0</v>
      </c>
      <c r="BD545" s="180">
        <f t="shared" ca="1" si="324"/>
        <v>0.05</v>
      </c>
      <c r="BE545" s="180">
        <f t="shared" ca="1" si="325"/>
        <v>0.05</v>
      </c>
      <c r="BF545" s="286">
        <f t="shared" ca="1" si="326"/>
        <v>0</v>
      </c>
      <c r="BG545" s="286">
        <f t="shared" ca="1" si="327"/>
        <v>0</v>
      </c>
    </row>
    <row r="546" spans="1:59">
      <c r="A546" s="1">
        <f t="shared" ca="1" si="307"/>
        <v>46</v>
      </c>
      <c r="B546" s="1">
        <f t="shared" ca="1" si="300"/>
        <v>151</v>
      </c>
      <c r="C546" s="1">
        <f t="shared" ca="1" si="301"/>
        <v>8</v>
      </c>
      <c r="D546" s="1">
        <f ca="1">MIN($D$3,VLOOKUP(C546,OP!$S$30:$T$41,2))</f>
        <v>2</v>
      </c>
      <c r="E546" s="1">
        <f t="shared" ca="1" si="302"/>
        <v>100</v>
      </c>
      <c r="F546" s="11" t="str">
        <f t="shared" ca="1" si="308"/>
        <v/>
      </c>
      <c r="G546" s="8">
        <f t="shared" ca="1" si="333"/>
        <v>365</v>
      </c>
      <c r="H546" s="8">
        <f t="shared" ca="1" si="309"/>
        <v>31</v>
      </c>
      <c r="I546" s="8" t="str">
        <f t="shared" ca="1" si="306"/>
        <v>468</v>
      </c>
      <c r="J546" s="13">
        <f>IF(繳費報酬率資料!$A$1=1,VALUE(OP!$C$121),VLOOKUP(A546,MP,2,0))</f>
        <v>0.05</v>
      </c>
      <c r="K546" s="14">
        <f ca="1">IF(SUM($K$4:K545,IF(繳費報酬率資料!$A$1=1,$AU546+$AV546,$BB546+$BC546))&gt;OP!$L$58,0,IF(繳費報酬率資料!$A$1=1,$AU546+$AV546,$BB546+$BC546))</f>
        <v>0</v>
      </c>
      <c r="L546" s="2"/>
      <c r="M546" s="2"/>
      <c r="N546" s="2"/>
      <c r="O546" s="261">
        <f t="shared" ca="1" si="310"/>
        <v>0</v>
      </c>
      <c r="P546" s="261">
        <f t="shared" ca="1" si="328"/>
        <v>0</v>
      </c>
      <c r="Q546" s="3">
        <f ca="1">IF(A546&gt;MAX(OP!$R$17:$R$26),0,VLOOKUP(A546,fees,3,FALSE))</f>
        <v>0</v>
      </c>
      <c r="R546" s="200" t="str">
        <f t="shared" ca="1" si="311"/>
        <v/>
      </c>
      <c r="S546" s="9" t="str">
        <f ca="1">IF(COUNTIF(($T$4:T545),"F")&gt;=1,"",IF(OR(C547&lt;&gt;$C$3,E546=""),"",A546))</f>
        <v/>
      </c>
      <c r="T546" s="20" t="str">
        <f t="shared" ca="1" si="303"/>
        <v/>
      </c>
      <c r="U546" s="2">
        <f ca="1">IF(IF(OP!$C$83=1,$Z545,IF(OP!$C$83=2,$AA545,IF(OP!$C$83=3,$AB545,)))+$K546-$O546-$P546-$AS546&lt;OP!$C$142,0,$AS546)</f>
        <v>0</v>
      </c>
      <c r="V546" s="9"/>
      <c r="W546" s="19">
        <f ca="1">MAX(SUM($K$4:K546),0)</f>
        <v>2000000</v>
      </c>
      <c r="X546" s="19"/>
      <c r="Y546" s="19">
        <f t="shared" ca="1" si="329"/>
        <v>1920000</v>
      </c>
      <c r="Z546" s="2">
        <f ca="1">IF(MIN($Z$4:Z545)=0,0,MAX(0,($Z545+$K546-$O546-$P546)*IF(AND(F546="F",$D$3&lt;&gt;$G$3),((1+(-J546))^(H546/MIN(G546,365))),((1+(-J546))^(1/12)))-$U546))</f>
        <v>188492.62736198964</v>
      </c>
      <c r="AA546" s="2">
        <f ca="1">IF(MIN($AA$4:AA545)=0,0,MAX(0,($AA545+$K546-$O546-$P546)*IF(AND(F546="F",$D$3&lt;&gt;$G$3),((1+$AA$1)^(H546/MIN(G546,365))),((1+$AA$1)^(1/12)))-$U546))</f>
        <v>1920000</v>
      </c>
      <c r="AB546" s="2">
        <f ca="1">IF(MIN($AB$4:AB545)=0,0,MAX(0,($AB545+$K546-$O546-$P546)*IF(AND(F546="F",$D$3&lt;&gt;$G$3),((1+(J546))^(H546/MIN(G546,365))),((1+(J546))^(1/12)))-$U546))</f>
        <v>17462925.917724553</v>
      </c>
      <c r="AC546" s="5"/>
      <c r="AD546" s="5"/>
      <c r="AE546" s="5"/>
      <c r="AF546" s="282">
        <f t="shared" ca="1" si="312"/>
        <v>188493</v>
      </c>
      <c r="AG546" s="282">
        <f t="shared" ca="1" si="313"/>
        <v>1920000</v>
      </c>
      <c r="AH546" s="282">
        <f t="shared" ca="1" si="314"/>
        <v>17462926</v>
      </c>
      <c r="AI546" s="23" t="str">
        <f t="shared" ca="1" si="331"/>
        <v>46-4</v>
      </c>
      <c r="AJ546" s="282">
        <f ca="1">IF(E546&gt;111,,IF(AND(OP!$C$99=1,T546="F"),Z546,IF(AND(OP!$C$99=2,COUNTIF($T$4:T546,"F")=1),OP!$C$97+IF(F546="F",OP!$C$98,0),"")))</f>
        <v>54527</v>
      </c>
      <c r="AK546" s="282">
        <f ca="1">IF(E546&gt;111,,IF(AND(OP!$D$99=1,T546="F"),AA546,IF(AND(OP!$D$99=2,COUNTIF($T$4:T546,"F")=1),OP!$D$97+IF(F546="F",OP!$D$98,0),"")))</f>
        <v>74177</v>
      </c>
      <c r="AL546" s="282">
        <f ca="1">IF(E546&gt;111,,IF(AND(OP!$E$99=1,T546="F"),AB546,IF(AND(OP!$E$99=2,COUNTIF($T$4:T546,"F")=1),OP!$E$97+IF(F546="F",OP!$E$98,0),"")))</f>
        <v>99404</v>
      </c>
      <c r="AM546" s="1">
        <f t="shared" ca="1" si="304"/>
        <v>4</v>
      </c>
      <c r="AN546" s="1" t="e">
        <f ca="1">IF(OR(VLOOKUP($A546,MP,5,0)="月繳"),1,"")</f>
        <v>#N/A</v>
      </c>
      <c r="AO546" s="1">
        <f t="shared" ca="1" si="315"/>
        <v>0</v>
      </c>
      <c r="AP546" s="1" t="str">
        <f ca="1">IF(AND(A546&lt;=OP!$C$120,COUNTIF(PAY,C546)=1),1,"")</f>
        <v/>
      </c>
      <c r="AR546" s="301">
        <f ca="1">IF(繳費報酬率資料!$A$1=1,$AY546+$AZ546,$BF546+$BG546)</f>
        <v>0</v>
      </c>
      <c r="AS546" s="1">
        <f ca="1">IF(C546&lt;&gt;IF($C$3=1,12,$C$3-1),0,IF(繳費報酬率資料!$A$1&lt;&gt;1,VLOOKUP($A546,MP,8,0),IF(AND($A546&gt;=OP!$C$79,$A546&lt;=OP!$C$80),OP!$C$78,)))</f>
        <v>0</v>
      </c>
      <c r="AT546" s="298">
        <f t="shared" ca="1" si="316"/>
        <v>0</v>
      </c>
      <c r="AU546" s="298">
        <f ca="1">IF(AND(A546&lt;=OP!$C$120,COUNTIF(PAY,C546)=1),OP!$C$123,0)</f>
        <v>0</v>
      </c>
      <c r="AV546" s="298">
        <f ca="1">IF(AND(A546&gt;=OP!$C$132,A546&lt;=OP!$C$133,$C$3=C546),OP!$C$135,0)</f>
        <v>0</v>
      </c>
      <c r="AW546" s="180">
        <f t="shared" ca="1" si="317"/>
        <v>0.05</v>
      </c>
      <c r="AX546" s="180">
        <f t="shared" ca="1" si="318"/>
        <v>0.05</v>
      </c>
      <c r="AY546" s="286">
        <f t="shared" ca="1" si="319"/>
        <v>0</v>
      </c>
      <c r="AZ546" s="286">
        <f t="shared" ca="1" si="320"/>
        <v>0</v>
      </c>
      <c r="BA546" s="286">
        <f t="shared" ca="1" si="321"/>
        <v>0</v>
      </c>
      <c r="BB546" s="286">
        <f t="shared" ca="1" si="322"/>
        <v>0</v>
      </c>
      <c r="BC546" s="286">
        <f t="shared" ca="1" si="323"/>
        <v>0</v>
      </c>
      <c r="BD546" s="180">
        <f t="shared" ca="1" si="324"/>
        <v>0.05</v>
      </c>
      <c r="BE546" s="180">
        <f t="shared" ca="1" si="325"/>
        <v>0.05</v>
      </c>
      <c r="BF546" s="286">
        <f t="shared" ca="1" si="326"/>
        <v>0</v>
      </c>
      <c r="BG546" s="286">
        <f t="shared" ca="1" si="327"/>
        <v>0</v>
      </c>
    </row>
    <row r="547" spans="1:59">
      <c r="A547" s="1">
        <f t="shared" ca="1" si="307"/>
        <v>46</v>
      </c>
      <c r="B547" s="1">
        <f t="shared" ca="1" si="300"/>
        <v>151</v>
      </c>
      <c r="C547" s="1">
        <f t="shared" ca="1" si="301"/>
        <v>9</v>
      </c>
      <c r="D547" s="1">
        <f ca="1">MIN($D$3,VLOOKUP(C547,OP!$S$30:$T$41,2))</f>
        <v>2</v>
      </c>
      <c r="E547" s="1">
        <f t="shared" ca="1" si="302"/>
        <v>100</v>
      </c>
      <c r="F547" s="11" t="str">
        <f t="shared" ca="1" si="308"/>
        <v/>
      </c>
      <c r="G547" s="8">
        <f t="shared" ca="1" si="333"/>
        <v>365</v>
      </c>
      <c r="H547" s="8">
        <f t="shared" ca="1" si="309"/>
        <v>30</v>
      </c>
      <c r="I547" s="8" t="str">
        <f t="shared" ca="1" si="306"/>
        <v>469</v>
      </c>
      <c r="J547" s="13">
        <f>IF(繳費報酬率資料!$A$1=1,VALUE(OP!$C$121),VLOOKUP(A547,MP,2,0))</f>
        <v>0.05</v>
      </c>
      <c r="K547" s="14">
        <f ca="1">IF(SUM($K$4:K546,IF(繳費報酬率資料!$A$1=1,$AU547+$AV547,$BB547+$BC547))&gt;OP!$L$58,0,IF(繳費報酬率資料!$A$1=1,$AU547+$AV547,$BB547+$BC547))</f>
        <v>0</v>
      </c>
      <c r="L547" s="2"/>
      <c r="M547" s="2"/>
      <c r="N547" s="2"/>
      <c r="O547" s="261">
        <f t="shared" ca="1" si="310"/>
        <v>0</v>
      </c>
      <c r="P547" s="261">
        <f t="shared" ca="1" si="328"/>
        <v>0</v>
      </c>
      <c r="Q547" s="3">
        <f ca="1">IF(A547&gt;MAX(OP!$R$17:$R$26),0,VLOOKUP(A547,fees,3,FALSE))</f>
        <v>0</v>
      </c>
      <c r="R547" s="200" t="str">
        <f t="shared" ca="1" si="311"/>
        <v/>
      </c>
      <c r="S547" s="9" t="str">
        <f ca="1">IF(COUNTIF(($T$4:T546),"F")&gt;=1,"",IF(OR(C548&lt;&gt;$C$3,E547=""),"",A547))</f>
        <v/>
      </c>
      <c r="T547" s="20" t="str">
        <f t="shared" ca="1" si="303"/>
        <v/>
      </c>
      <c r="U547" s="2">
        <f ca="1">IF(IF(OP!$C$83=1,$Z546,IF(OP!$C$83=2,$AA546,IF(OP!$C$83=3,$AB546,)))+$K547-$O547-$P547-$AS547&lt;OP!$C$142,0,$AS547)</f>
        <v>0</v>
      </c>
      <c r="V547" s="9"/>
      <c r="W547" s="19">
        <f ca="1">MAX(SUM($K$4:K547),0)</f>
        <v>2000000</v>
      </c>
      <c r="X547" s="19"/>
      <c r="Y547" s="19">
        <f t="shared" ca="1" si="329"/>
        <v>1920000</v>
      </c>
      <c r="Z547" s="2">
        <f ca="1">IF(MIN($Z$4:Z546)=0,0,MAX(0,($Z546+$K547-$O547-$P547)*IF(AND(F547="F",$D$3&lt;&gt;$G$3),((1+(-J547))^(H547/MIN(G547,365))),((1+(-J547))^(1/12)))-$U547))</f>
        <v>187688.6462190708</v>
      </c>
      <c r="AA547" s="2">
        <f ca="1">IF(MIN($AA$4:AA546)=0,0,MAX(0,($AA546+$K547-$O547-$P547)*IF(AND(F547="F",$D$3&lt;&gt;$G$3),((1+$AA$1)^(H547/MIN(G547,365))),((1+$AA$1)^(1/12)))-$U547))</f>
        <v>1920000</v>
      </c>
      <c r="AB547" s="2">
        <f ca="1">IF(MIN($AB$4:AB546)=0,0,MAX(0,($AB546+$K547-$O547-$P547)*IF(AND(F547="F",$D$3&lt;&gt;$G$3),((1+(J547))^(H547/MIN(G547,365))),((1+(J547))^(1/12)))-$U547))</f>
        <v>17534072.039538044</v>
      </c>
      <c r="AC547" s="5"/>
      <c r="AD547" s="5"/>
      <c r="AE547" s="5"/>
      <c r="AF547" s="282">
        <f t="shared" ca="1" si="312"/>
        <v>187689</v>
      </c>
      <c r="AG547" s="282">
        <f t="shared" ca="1" si="313"/>
        <v>1920000</v>
      </c>
      <c r="AH547" s="282">
        <f t="shared" ca="1" si="314"/>
        <v>17534072</v>
      </c>
      <c r="AI547" s="23" t="str">
        <f t="shared" ca="1" si="331"/>
        <v>46-5</v>
      </c>
      <c r="AJ547" s="282">
        <f ca="1">IF(E547&gt;111,,IF(AND(OP!$C$99=1,T547="F"),Z547,IF(AND(OP!$C$99=2,COUNTIF($T$4:T547,"F")=1),OP!$C$97+IF(F547="F",OP!$C$98,0),"")))</f>
        <v>54527</v>
      </c>
      <c r="AK547" s="282">
        <f ca="1">IF(E547&gt;111,,IF(AND(OP!$D$99=1,T547="F"),AA547,IF(AND(OP!$D$99=2,COUNTIF($T$4:T547,"F")=1),OP!$D$97+IF(F547="F",OP!$D$98,0),"")))</f>
        <v>74177</v>
      </c>
      <c r="AL547" s="282">
        <f ca="1">IF(E547&gt;111,,IF(AND(OP!$E$99=1,T547="F"),AB547,IF(AND(OP!$E$99=2,COUNTIF($T$4:T547,"F")=1),OP!$E$97+IF(F547="F",OP!$E$98,0),"")))</f>
        <v>99404</v>
      </c>
      <c r="AM547" s="1">
        <f t="shared" ca="1" si="304"/>
        <v>5</v>
      </c>
      <c r="AN547" s="1" t="e">
        <f ca="1">IF(OR(VLOOKUP($A547,MP,5,0)="季繳",VLOOKUP($A547,MP,5,0)="月繳"),1,"")</f>
        <v>#N/A</v>
      </c>
      <c r="AO547" s="1">
        <f t="shared" ca="1" si="315"/>
        <v>0</v>
      </c>
      <c r="AP547" s="1" t="str">
        <f ca="1">IF(AND(A547&lt;=OP!$C$120,COUNTIF(PAY,C547)=1),1,"")</f>
        <v/>
      </c>
      <c r="AR547" s="301">
        <f ca="1">IF(繳費報酬率資料!$A$1=1,$AY547+$AZ547,$BF547+$BG547)</f>
        <v>0</v>
      </c>
      <c r="AS547" s="1">
        <f ca="1">IF(C547&lt;&gt;IF($C$3=1,12,$C$3-1),0,IF(繳費報酬率資料!$A$1&lt;&gt;1,VLOOKUP($A547,MP,8,0),IF(AND($A547&gt;=OP!$C$79,$A547&lt;=OP!$C$80),OP!$C$78,)))</f>
        <v>0</v>
      </c>
      <c r="AT547" s="298">
        <f t="shared" ca="1" si="316"/>
        <v>0</v>
      </c>
      <c r="AU547" s="298">
        <f ca="1">IF(AND(A547&lt;=OP!$C$120,COUNTIF(PAY,C547)=1),OP!$C$123,0)</f>
        <v>0</v>
      </c>
      <c r="AV547" s="298">
        <f ca="1">IF(AND(A547&gt;=OP!$C$132,A547&lt;=OP!$C$133,$C$3=C547),OP!$C$135,0)</f>
        <v>0</v>
      </c>
      <c r="AW547" s="180">
        <f t="shared" ca="1" si="317"/>
        <v>0.05</v>
      </c>
      <c r="AX547" s="180">
        <f t="shared" ca="1" si="318"/>
        <v>0.05</v>
      </c>
      <c r="AY547" s="286">
        <f t="shared" ca="1" si="319"/>
        <v>0</v>
      </c>
      <c r="AZ547" s="286">
        <f t="shared" ca="1" si="320"/>
        <v>0</v>
      </c>
      <c r="BA547" s="286">
        <f t="shared" ca="1" si="321"/>
        <v>0</v>
      </c>
      <c r="BB547" s="286">
        <f t="shared" ca="1" si="322"/>
        <v>0</v>
      </c>
      <c r="BC547" s="286">
        <f t="shared" ca="1" si="323"/>
        <v>0</v>
      </c>
      <c r="BD547" s="180">
        <f t="shared" ca="1" si="324"/>
        <v>0.05</v>
      </c>
      <c r="BE547" s="180">
        <f t="shared" ca="1" si="325"/>
        <v>0.05</v>
      </c>
      <c r="BF547" s="286">
        <f t="shared" ca="1" si="326"/>
        <v>0</v>
      </c>
      <c r="BG547" s="286">
        <f t="shared" ca="1" si="327"/>
        <v>0</v>
      </c>
    </row>
    <row r="548" spans="1:59">
      <c r="A548" s="1">
        <f t="shared" ca="1" si="307"/>
        <v>46</v>
      </c>
      <c r="B548" s="1">
        <f t="shared" ca="1" si="300"/>
        <v>151</v>
      </c>
      <c r="C548" s="1">
        <f t="shared" ca="1" si="301"/>
        <v>10</v>
      </c>
      <c r="D548" s="1">
        <f ca="1">MIN($D$3,VLOOKUP(C548,OP!$S$30:$T$41,2))</f>
        <v>2</v>
      </c>
      <c r="E548" s="1">
        <f t="shared" ca="1" si="302"/>
        <v>100</v>
      </c>
      <c r="F548" s="11" t="str">
        <f t="shared" ca="1" si="308"/>
        <v/>
      </c>
      <c r="G548" s="8">
        <f t="shared" ca="1" si="333"/>
        <v>365</v>
      </c>
      <c r="H548" s="8">
        <f t="shared" ca="1" si="309"/>
        <v>31</v>
      </c>
      <c r="I548" s="8" t="str">
        <f t="shared" ca="1" si="306"/>
        <v>4610</v>
      </c>
      <c r="J548" s="13">
        <f>IF(繳費報酬率資料!$A$1=1,VALUE(OP!$C$121),VLOOKUP(A548,MP,2,0))</f>
        <v>0.05</v>
      </c>
      <c r="K548" s="14">
        <f ca="1">IF(SUM($K$4:K547,IF(繳費報酬率資料!$A$1=1,$AU548+$AV548,$BB548+$BC548))&gt;OP!$L$58,0,IF(繳費報酬率資料!$A$1=1,$AU548+$AV548,$BB548+$BC548))</f>
        <v>0</v>
      </c>
      <c r="L548" s="2"/>
      <c r="M548" s="2"/>
      <c r="N548" s="2"/>
      <c r="O548" s="261">
        <f t="shared" ca="1" si="310"/>
        <v>0</v>
      </c>
      <c r="P548" s="261">
        <f t="shared" ca="1" si="328"/>
        <v>0</v>
      </c>
      <c r="Q548" s="3">
        <f ca="1">IF(A548&gt;MAX(OP!$R$17:$R$26),0,VLOOKUP(A548,fees,3,FALSE))</f>
        <v>0</v>
      </c>
      <c r="R548" s="200" t="str">
        <f t="shared" ca="1" si="311"/>
        <v/>
      </c>
      <c r="S548" s="9" t="str">
        <f ca="1">IF(COUNTIF(($T$4:T547),"F")&gt;=1,"",IF(OR(C549&lt;&gt;$C$3,E548=""),"",A548))</f>
        <v/>
      </c>
      <c r="T548" s="20" t="str">
        <f t="shared" ca="1" si="303"/>
        <v/>
      </c>
      <c r="U548" s="2">
        <f ca="1">IF(IF(OP!$C$83=1,$Z547,IF(OP!$C$83=2,$AA547,IF(OP!$C$83=3,$AB547,)))+$K548-$O548-$P548-$AS548&lt;OP!$C$142,0,$AS548)</f>
        <v>0</v>
      </c>
      <c r="V548" s="9"/>
      <c r="W548" s="19">
        <f ca="1">MAX(SUM($K$4:K548),0)</f>
        <v>2000000</v>
      </c>
      <c r="X548" s="19"/>
      <c r="Y548" s="19">
        <f t="shared" ca="1" si="329"/>
        <v>1920000</v>
      </c>
      <c r="Z548" s="2">
        <f ca="1">IF(MIN($Z$4:Z547)=0,0,MAX(0,($Z547+$K548-$O548-$P548)*IF(AND(F548="F",$D$3&lt;&gt;$G$3),((1+(-J548))^(H548/MIN(G548,365))),((1+(-J548))^(1/12)))-$U548))</f>
        <v>186888.09431201767</v>
      </c>
      <c r="AA548" s="2">
        <f ca="1">IF(MIN($AA$4:AA547)=0,0,MAX(0,($AA547+$K548-$O548-$P548)*IF(AND(F548="F",$D$3&lt;&gt;$G$3),((1+$AA$1)^(H548/MIN(G548,365))),((1+$AA$1)^(1/12)))-$U548))</f>
        <v>1920000</v>
      </c>
      <c r="AB548" s="2">
        <f ca="1">IF(MIN($AB$4:AB547)=0,0,MAX(0,($AB547+$K548-$O548-$P548)*IF(AND(F548="F",$D$3&lt;&gt;$G$3),((1+(J548))^(H548/MIN(G548,365))),((1+(J548))^(1/12)))-$U548))</f>
        <v>17605508.019458529</v>
      </c>
      <c r="AC548" s="5"/>
      <c r="AD548" s="5"/>
      <c r="AE548" s="5"/>
      <c r="AF548" s="282">
        <f t="shared" ca="1" si="312"/>
        <v>186888</v>
      </c>
      <c r="AG548" s="282">
        <f t="shared" ca="1" si="313"/>
        <v>1920000</v>
      </c>
      <c r="AH548" s="282">
        <f t="shared" ca="1" si="314"/>
        <v>17605508</v>
      </c>
      <c r="AI548" s="23" t="str">
        <f t="shared" ca="1" si="331"/>
        <v>46-6</v>
      </c>
      <c r="AJ548" s="282">
        <f ca="1">IF(E548&gt;111,,IF(AND(OP!$C$99=1,T548="F"),Z548,IF(AND(OP!$C$99=2,COUNTIF($T$4:T548,"F")=1),OP!$C$97+IF(F548="F",OP!$C$98,0),"")))</f>
        <v>54527</v>
      </c>
      <c r="AK548" s="282">
        <f ca="1">IF(E548&gt;111,,IF(AND(OP!$D$99=1,T548="F"),AA548,IF(AND(OP!$D$99=2,COUNTIF($T$4:T548,"F")=1),OP!$D$97+IF(F548="F",OP!$D$98,0),"")))</f>
        <v>74177</v>
      </c>
      <c r="AL548" s="282">
        <f ca="1">IF(E548&gt;111,,IF(AND(OP!$E$99=1,T548="F"),AB548,IF(AND(OP!$E$99=2,COUNTIF($T$4:T548,"F")=1),OP!$E$97+IF(F548="F",OP!$E$98,0),"")))</f>
        <v>99404</v>
      </c>
      <c r="AM548" s="1">
        <f t="shared" ca="1" si="304"/>
        <v>6</v>
      </c>
      <c r="AN548" s="1" t="e">
        <f ca="1">IF(OR(VLOOKUP($A548,MP,5,0)="月繳"),1,"")</f>
        <v>#N/A</v>
      </c>
      <c r="AO548" s="1">
        <f t="shared" ca="1" si="315"/>
        <v>0</v>
      </c>
      <c r="AP548" s="1" t="str">
        <f ca="1">IF(AND(A548&lt;=OP!$C$120,COUNTIF(PAY,C548)=1),1,"")</f>
        <v/>
      </c>
      <c r="AR548" s="301">
        <f ca="1">IF(繳費報酬率資料!$A$1=1,$AY548+$AZ548,$BF548+$BG548)</f>
        <v>0</v>
      </c>
      <c r="AS548" s="1">
        <f ca="1">IF(C548&lt;&gt;IF($C$3=1,12,$C$3-1),0,IF(繳費報酬率資料!$A$1&lt;&gt;1,VLOOKUP($A548,MP,8,0),IF(AND($A548&gt;=OP!$C$79,$A548&lt;=OP!$C$80),OP!$C$78,)))</f>
        <v>0</v>
      </c>
      <c r="AT548" s="298">
        <f t="shared" ca="1" si="316"/>
        <v>0</v>
      </c>
      <c r="AU548" s="298">
        <f ca="1">IF(AND(A548&lt;=OP!$C$120,COUNTIF(PAY,C548)=1),OP!$C$123,0)</f>
        <v>0</v>
      </c>
      <c r="AV548" s="298">
        <f ca="1">IF(AND(A548&gt;=OP!$C$132,A548&lt;=OP!$C$133,$C$3=C548),OP!$C$135,0)</f>
        <v>0</v>
      </c>
      <c r="AW548" s="180">
        <f t="shared" ca="1" si="317"/>
        <v>0.05</v>
      </c>
      <c r="AX548" s="180">
        <f t="shared" ca="1" si="318"/>
        <v>0.05</v>
      </c>
      <c r="AY548" s="286">
        <f t="shared" ca="1" si="319"/>
        <v>0</v>
      </c>
      <c r="AZ548" s="286">
        <f t="shared" ca="1" si="320"/>
        <v>0</v>
      </c>
      <c r="BA548" s="286">
        <f t="shared" ca="1" si="321"/>
        <v>0</v>
      </c>
      <c r="BB548" s="286">
        <f t="shared" ca="1" si="322"/>
        <v>0</v>
      </c>
      <c r="BC548" s="286">
        <f t="shared" ca="1" si="323"/>
        <v>0</v>
      </c>
      <c r="BD548" s="180">
        <f t="shared" ca="1" si="324"/>
        <v>0.05</v>
      </c>
      <c r="BE548" s="180">
        <f t="shared" ca="1" si="325"/>
        <v>0.05</v>
      </c>
      <c r="BF548" s="286">
        <f t="shared" ca="1" si="326"/>
        <v>0</v>
      </c>
      <c r="BG548" s="286">
        <f t="shared" ca="1" si="327"/>
        <v>0</v>
      </c>
    </row>
    <row r="549" spans="1:59">
      <c r="A549" s="1">
        <f t="shared" ca="1" si="307"/>
        <v>46</v>
      </c>
      <c r="B549" s="1">
        <f t="shared" ca="1" si="300"/>
        <v>151</v>
      </c>
      <c r="C549" s="1">
        <f t="shared" ca="1" si="301"/>
        <v>11</v>
      </c>
      <c r="D549" s="1">
        <f ca="1">MIN($D$3,VLOOKUP(C549,OP!$S$30:$T$41,2))</f>
        <v>2</v>
      </c>
      <c r="E549" s="1">
        <f t="shared" ca="1" si="302"/>
        <v>100</v>
      </c>
      <c r="F549" s="11" t="str">
        <f t="shared" ca="1" si="308"/>
        <v/>
      </c>
      <c r="G549" s="8">
        <f t="shared" ca="1" si="333"/>
        <v>365</v>
      </c>
      <c r="H549" s="8">
        <f t="shared" ca="1" si="309"/>
        <v>30</v>
      </c>
      <c r="I549" s="8" t="str">
        <f t="shared" ca="1" si="306"/>
        <v>4611</v>
      </c>
      <c r="J549" s="13">
        <f>IF(繳費報酬率資料!$A$1=1,VALUE(OP!$C$121),VLOOKUP(A549,MP,2,0))</f>
        <v>0.05</v>
      </c>
      <c r="K549" s="14">
        <f ca="1">IF(SUM($K$4:K548,IF(繳費報酬率資料!$A$1=1,$AU549+$AV549,$BB549+$BC549))&gt;OP!$L$58,0,IF(繳費報酬率資料!$A$1=1,$AU549+$AV549,$BB549+$BC549))</f>
        <v>0</v>
      </c>
      <c r="L549" s="2"/>
      <c r="M549" s="2"/>
      <c r="N549" s="2"/>
      <c r="O549" s="261">
        <f t="shared" ca="1" si="310"/>
        <v>0</v>
      </c>
      <c r="P549" s="261">
        <f t="shared" ca="1" si="328"/>
        <v>0</v>
      </c>
      <c r="Q549" s="3">
        <f ca="1">IF(A549&gt;MAX(OP!$R$17:$R$26),0,VLOOKUP(A549,fees,3,FALSE))</f>
        <v>0</v>
      </c>
      <c r="R549" s="200" t="str">
        <f t="shared" ca="1" si="311"/>
        <v/>
      </c>
      <c r="S549" s="9" t="str">
        <f ca="1">IF(COUNTIF(($T$4:T548),"F")&gt;=1,"",IF(OR(C550&lt;&gt;$C$3,E549=""),"",A549))</f>
        <v/>
      </c>
      <c r="T549" s="20" t="str">
        <f t="shared" ca="1" si="303"/>
        <v/>
      </c>
      <c r="U549" s="2">
        <f ca="1">IF(IF(OP!$C$83=1,$Z548,IF(OP!$C$83=2,$AA548,IF(OP!$C$83=3,$AB548,)))+$K549-$O549-$P549-$AS549&lt;OP!$C$142,0,$AS549)</f>
        <v>0</v>
      </c>
      <c r="V549" s="9"/>
      <c r="W549" s="19">
        <f ca="1">MAX(SUM($K$4:K549),0)</f>
        <v>2000000</v>
      </c>
      <c r="X549" s="19"/>
      <c r="Y549" s="19">
        <f t="shared" ca="1" si="329"/>
        <v>1920000</v>
      </c>
      <c r="Z549" s="2">
        <f ca="1">IF(MIN($Z$4:Z548)=0,0,MAX(0,($Z548+$K549-$O549-$P549)*IF(AND(F549="F",$D$3&lt;&gt;$G$3),((1+(-J549))^(H549/MIN(G549,365))),((1+(-J549))^(1/12)))-$U549))</f>
        <v>186090.95701404609</v>
      </c>
      <c r="AA549" s="2">
        <f ca="1">IF(MIN($AA$4:AA548)=0,0,MAX(0,($AA548+$K549-$O549-$P549)*IF(AND(F549="F",$D$3&lt;&gt;$G$3),((1+$AA$1)^(H549/MIN(G549,365))),((1+$AA$1)^(1/12)))-$U549))</f>
        <v>1920000</v>
      </c>
      <c r="AB549" s="2">
        <f ca="1">IF(MIN($AB$4:AB548)=0,0,MAX(0,($AB548+$K549-$O549-$P549)*IF(AND(F549="F",$D$3&lt;&gt;$G$3),((1+(J549))^(H549/MIN(G549,365))),((1+(J549))^(1/12)))-$U549))</f>
        <v>17677235.038403817</v>
      </c>
      <c r="AC549" s="5"/>
      <c r="AD549" s="5"/>
      <c r="AE549" s="5"/>
      <c r="AF549" s="282">
        <f t="shared" ca="1" si="312"/>
        <v>186091</v>
      </c>
      <c r="AG549" s="282">
        <f t="shared" ca="1" si="313"/>
        <v>1920000</v>
      </c>
      <c r="AH549" s="282">
        <f t="shared" ca="1" si="314"/>
        <v>17677235</v>
      </c>
      <c r="AI549" s="23" t="str">
        <f t="shared" ca="1" si="331"/>
        <v>46-7</v>
      </c>
      <c r="AJ549" s="282">
        <f ca="1">IF(E549&gt;111,,IF(AND(OP!$C$99=1,T549="F"),Z549,IF(AND(OP!$C$99=2,COUNTIF($T$4:T549,"F")=1),OP!$C$97+IF(F549="F",OP!$C$98,0),"")))</f>
        <v>54527</v>
      </c>
      <c r="AK549" s="282">
        <f ca="1">IF(E549&gt;111,,IF(AND(OP!$D$99=1,T549="F"),AA549,IF(AND(OP!$D$99=2,COUNTIF($T$4:T549,"F")=1),OP!$D$97+IF(F549="F",OP!$D$98,0),"")))</f>
        <v>74177</v>
      </c>
      <c r="AL549" s="282">
        <f ca="1">IF(E549&gt;111,,IF(AND(OP!$E$99=1,T549="F"),AB549,IF(AND(OP!$E$99=2,COUNTIF($T$4:T549,"F")=1),OP!$E$97+IF(F549="F",OP!$E$98,0),"")))</f>
        <v>99404</v>
      </c>
      <c r="AM549" s="1">
        <f t="shared" ca="1" si="304"/>
        <v>7</v>
      </c>
      <c r="AN549" s="1" t="e">
        <f ca="1">IF(OR(VLOOKUP($A549,MP,5,0)="月繳"),1,"")</f>
        <v>#N/A</v>
      </c>
      <c r="AO549" s="1">
        <f t="shared" ca="1" si="315"/>
        <v>0</v>
      </c>
      <c r="AP549" s="1" t="str">
        <f ca="1">IF(AND(A549&lt;=OP!$C$120,COUNTIF(PAY,C549)=1),1,"")</f>
        <v/>
      </c>
      <c r="AR549" s="301">
        <f ca="1">IF(繳費報酬率資料!$A$1=1,$AY549+$AZ549,$BF549+$BG549)</f>
        <v>0</v>
      </c>
      <c r="AS549" s="1">
        <f ca="1">IF(C549&lt;&gt;IF($C$3=1,12,$C$3-1),0,IF(繳費報酬率資料!$A$1&lt;&gt;1,VLOOKUP($A549,MP,8,0),IF(AND($A549&gt;=OP!$C$79,$A549&lt;=OP!$C$80),OP!$C$78,)))</f>
        <v>0</v>
      </c>
      <c r="AT549" s="298">
        <f t="shared" ca="1" si="316"/>
        <v>0</v>
      </c>
      <c r="AU549" s="298">
        <f ca="1">IF(AND(A549&lt;=OP!$C$120,COUNTIF(PAY,C549)=1),OP!$C$123,0)</f>
        <v>0</v>
      </c>
      <c r="AV549" s="298">
        <f ca="1">IF(AND(A549&gt;=OP!$C$132,A549&lt;=OP!$C$133,$C$3=C549),OP!$C$135,0)</f>
        <v>0</v>
      </c>
      <c r="AW549" s="180">
        <f t="shared" ca="1" si="317"/>
        <v>0.05</v>
      </c>
      <c r="AX549" s="180">
        <f t="shared" ca="1" si="318"/>
        <v>0.05</v>
      </c>
      <c r="AY549" s="286">
        <f t="shared" ca="1" si="319"/>
        <v>0</v>
      </c>
      <c r="AZ549" s="286">
        <f t="shared" ca="1" si="320"/>
        <v>0</v>
      </c>
      <c r="BA549" s="286">
        <f t="shared" ca="1" si="321"/>
        <v>0</v>
      </c>
      <c r="BB549" s="286">
        <f t="shared" ca="1" si="322"/>
        <v>0</v>
      </c>
      <c r="BC549" s="286">
        <f t="shared" ca="1" si="323"/>
        <v>0</v>
      </c>
      <c r="BD549" s="180">
        <f t="shared" ca="1" si="324"/>
        <v>0.05</v>
      </c>
      <c r="BE549" s="180">
        <f t="shared" ca="1" si="325"/>
        <v>0.05</v>
      </c>
      <c r="BF549" s="286">
        <f t="shared" ca="1" si="326"/>
        <v>0</v>
      </c>
      <c r="BG549" s="286">
        <f t="shared" ca="1" si="327"/>
        <v>0</v>
      </c>
    </row>
    <row r="550" spans="1:59">
      <c r="A550" s="1">
        <f t="shared" ca="1" si="307"/>
        <v>46</v>
      </c>
      <c r="B550" s="1">
        <f t="shared" ca="1" si="300"/>
        <v>151</v>
      </c>
      <c r="C550" s="1">
        <f t="shared" ca="1" si="301"/>
        <v>12</v>
      </c>
      <c r="D550" s="1">
        <f ca="1">MIN($D$3,VLOOKUP(C550,OP!$S$30:$T$41,2))</f>
        <v>2</v>
      </c>
      <c r="E550" s="1">
        <f t="shared" ca="1" si="302"/>
        <v>100</v>
      </c>
      <c r="F550" s="11" t="str">
        <f t="shared" ca="1" si="308"/>
        <v/>
      </c>
      <c r="G550" s="8">
        <f t="shared" ca="1" si="333"/>
        <v>365</v>
      </c>
      <c r="H550" s="8">
        <f t="shared" ca="1" si="309"/>
        <v>31</v>
      </c>
      <c r="I550" s="8" t="str">
        <f t="shared" ca="1" si="306"/>
        <v>4612</v>
      </c>
      <c r="J550" s="13">
        <f>IF(繳費報酬率資料!$A$1=1,VALUE(OP!$C$121),VLOOKUP(A550,MP,2,0))</f>
        <v>0.05</v>
      </c>
      <c r="K550" s="14">
        <f ca="1">IF(SUM($K$4:K549,IF(繳費報酬率資料!$A$1=1,$AU550+$AV550,$BB550+$BC550))&gt;OP!$L$58,0,IF(繳費報酬率資料!$A$1=1,$AU550+$AV550,$BB550+$BC550))</f>
        <v>0</v>
      </c>
      <c r="L550" s="2"/>
      <c r="M550" s="2"/>
      <c r="N550" s="2"/>
      <c r="O550" s="261">
        <f t="shared" ca="1" si="310"/>
        <v>0</v>
      </c>
      <c r="P550" s="261">
        <f t="shared" ca="1" si="328"/>
        <v>0</v>
      </c>
      <c r="Q550" s="3">
        <f ca="1">IF(A550&gt;MAX(OP!$R$17:$R$26),0,VLOOKUP(A550,fees,3,FALSE))</f>
        <v>0</v>
      </c>
      <c r="R550" s="200" t="str">
        <f t="shared" ca="1" si="311"/>
        <v/>
      </c>
      <c r="S550" s="9" t="str">
        <f ca="1">IF(COUNTIF(($T$4:T549),"F")&gt;=1,"",IF(OR(C551&lt;&gt;$C$3,E550=""),"",A550))</f>
        <v/>
      </c>
      <c r="T550" s="20" t="str">
        <f t="shared" ca="1" si="303"/>
        <v/>
      </c>
      <c r="U550" s="2">
        <f ca="1">IF(IF(OP!$C$83=1,$Z549,IF(OP!$C$83=2,$AA549,IF(OP!$C$83=3,$AB549,)))+$K550-$O550-$P550-$AS550&lt;OP!$C$142,0,$AS550)</f>
        <v>0</v>
      </c>
      <c r="V550" s="9"/>
      <c r="W550" s="19">
        <f ca="1">MAX(SUM($K$4:K550),0)</f>
        <v>2000000</v>
      </c>
      <c r="X550" s="19"/>
      <c r="Y550" s="19">
        <f t="shared" ca="1" si="329"/>
        <v>1920000</v>
      </c>
      <c r="Z550" s="2">
        <f ca="1">IF(MIN($Z$4:Z549)=0,0,MAX(0,($Z549+$K550-$O550-$P550)*IF(AND(F550="F",$D$3&lt;&gt;$G$3),((1+(-J550))^(H550/MIN(G550,365))),((1+(-J550))^(1/12)))-$U550))</f>
        <v>185297.21976075985</v>
      </c>
      <c r="AA550" s="2">
        <f ca="1">IF(MIN($AA$4:AA549)=0,0,MAX(0,($AA549+$K550-$O550-$P550)*IF(AND(F550="F",$D$3&lt;&gt;$G$3),((1+$AA$1)^(H550/MIN(G550,365))),((1+$AA$1)^(1/12)))-$U550))</f>
        <v>1920000</v>
      </c>
      <c r="AB550" s="2">
        <f ca="1">IF(MIN($AB$4:AB549)=0,0,MAX(0,($AB549+$K550-$O550-$P550)*IF(AND(F550="F",$D$3&lt;&gt;$G$3),((1+(J550))^(H550/MIN(G550,365))),((1+(J550))^(1/12)))-$U550))</f>
        <v>17749254.28210292</v>
      </c>
      <c r="AC550" s="5"/>
      <c r="AD550" s="5"/>
      <c r="AE550" s="5"/>
      <c r="AF550" s="282">
        <f t="shared" ca="1" si="312"/>
        <v>185297</v>
      </c>
      <c r="AG550" s="282">
        <f t="shared" ca="1" si="313"/>
        <v>1920000</v>
      </c>
      <c r="AH550" s="282">
        <f t="shared" ca="1" si="314"/>
        <v>17749254</v>
      </c>
      <c r="AI550" s="23" t="str">
        <f t="shared" ca="1" si="331"/>
        <v>46-8</v>
      </c>
      <c r="AJ550" s="282">
        <f ca="1">IF(E550&gt;111,,IF(AND(OP!$C$99=1,T550="F"),Z550,IF(AND(OP!$C$99=2,COUNTIF($T$4:T550,"F")=1),OP!$C$97+IF(F550="F",OP!$C$98,0),"")))</f>
        <v>54527</v>
      </c>
      <c r="AK550" s="282">
        <f ca="1">IF(E550&gt;111,,IF(AND(OP!$D$99=1,T550="F"),AA550,IF(AND(OP!$D$99=2,COUNTIF($T$4:T550,"F")=1),OP!$D$97+IF(F550="F",OP!$D$98,0),"")))</f>
        <v>74177</v>
      </c>
      <c r="AL550" s="282">
        <f ca="1">IF(E550&gt;111,,IF(AND(OP!$E$99=1,T550="F"),AB550,IF(AND(OP!$E$99=2,COUNTIF($T$4:T550,"F")=1),OP!$E$97+IF(F550="F",OP!$E$98,0),"")))</f>
        <v>99404</v>
      </c>
      <c r="AM550" s="1">
        <f t="shared" ca="1" si="304"/>
        <v>8</v>
      </c>
      <c r="AN550" s="1" t="e">
        <f ca="1">IF(OR(VLOOKUP($A550,MP,5,0)="半年繳",VLOOKUP($A550,MP,5,0)="季繳",VLOOKUP($A550,MP,5,0)="月繳"),1,"")</f>
        <v>#N/A</v>
      </c>
      <c r="AO550" s="1">
        <f t="shared" ca="1" si="315"/>
        <v>0</v>
      </c>
      <c r="AP550" s="1" t="str">
        <f ca="1">IF(AND(A550&lt;=OP!$C$120,COUNTIF(PAY,C550)=1),1,"")</f>
        <v/>
      </c>
      <c r="AR550" s="301">
        <f ca="1">IF(繳費報酬率資料!$A$1=1,$AY550+$AZ550,$BF550+$BG550)</f>
        <v>0</v>
      </c>
      <c r="AS550" s="1">
        <f ca="1">IF(C550&lt;&gt;IF($C$3=1,12,$C$3-1),0,IF(繳費報酬率資料!$A$1&lt;&gt;1,VLOOKUP($A550,MP,8,0),IF(AND($A550&gt;=OP!$C$79,$A550&lt;=OP!$C$80),OP!$C$78,)))</f>
        <v>0</v>
      </c>
      <c r="AT550" s="298">
        <f t="shared" ca="1" si="316"/>
        <v>0</v>
      </c>
      <c r="AU550" s="298">
        <f ca="1">IF(AND(A550&lt;=OP!$C$120,COUNTIF(PAY,C550)=1),OP!$C$123,0)</f>
        <v>0</v>
      </c>
      <c r="AV550" s="298">
        <f ca="1">IF(AND(A550&gt;=OP!$C$132,A550&lt;=OP!$C$133,$C$3=C550),OP!$C$135,0)</f>
        <v>0</v>
      </c>
      <c r="AW550" s="180">
        <f t="shared" ca="1" si="317"/>
        <v>0.05</v>
      </c>
      <c r="AX550" s="180">
        <f t="shared" ca="1" si="318"/>
        <v>0.05</v>
      </c>
      <c r="AY550" s="286">
        <f t="shared" ca="1" si="319"/>
        <v>0</v>
      </c>
      <c r="AZ550" s="286">
        <f t="shared" ca="1" si="320"/>
        <v>0</v>
      </c>
      <c r="BA550" s="286">
        <f t="shared" ca="1" si="321"/>
        <v>0</v>
      </c>
      <c r="BB550" s="286">
        <f t="shared" ca="1" si="322"/>
        <v>0</v>
      </c>
      <c r="BC550" s="286">
        <f t="shared" ca="1" si="323"/>
        <v>0</v>
      </c>
      <c r="BD550" s="180">
        <f t="shared" ca="1" si="324"/>
        <v>0.05</v>
      </c>
      <c r="BE550" s="180">
        <f t="shared" ca="1" si="325"/>
        <v>0.05</v>
      </c>
      <c r="BF550" s="286">
        <f t="shared" ca="1" si="326"/>
        <v>0</v>
      </c>
      <c r="BG550" s="286">
        <f t="shared" ca="1" si="327"/>
        <v>0</v>
      </c>
    </row>
    <row r="551" spans="1:59">
      <c r="A551" s="1">
        <f t="shared" ca="1" si="307"/>
        <v>46</v>
      </c>
      <c r="B551" s="1">
        <f t="shared" ca="1" si="300"/>
        <v>152</v>
      </c>
      <c r="C551" s="1">
        <f t="shared" ca="1" si="301"/>
        <v>1</v>
      </c>
      <c r="D551" s="1">
        <f ca="1">MIN($D$3,VLOOKUP(C551,OP!$S$30:$T$41,2))</f>
        <v>2</v>
      </c>
      <c r="E551" s="1">
        <f t="shared" ca="1" si="302"/>
        <v>100</v>
      </c>
      <c r="F551" s="11" t="str">
        <f t="shared" ca="1" si="308"/>
        <v/>
      </c>
      <c r="G551" s="8">
        <f t="shared" ca="1" si="333"/>
        <v>365</v>
      </c>
      <c r="H551" s="8">
        <f t="shared" ca="1" si="309"/>
        <v>31</v>
      </c>
      <c r="I551" s="8" t="str">
        <f t="shared" ca="1" si="306"/>
        <v>461</v>
      </c>
      <c r="J551" s="13">
        <f>IF(繳費報酬率資料!$A$1=1,VALUE(OP!$C$121),VLOOKUP(A551,MP,2,0))</f>
        <v>0.05</v>
      </c>
      <c r="K551" s="14">
        <f ca="1">IF(SUM($K$4:K550,IF(繳費報酬率資料!$A$1=1,$AU551+$AV551,$BB551+$BC551))&gt;OP!$L$58,0,IF(繳費報酬率資料!$A$1=1,$AU551+$AV551,$BB551+$BC551))</f>
        <v>0</v>
      </c>
      <c r="L551" s="2"/>
      <c r="M551" s="2"/>
      <c r="N551" s="2"/>
      <c r="O551" s="261">
        <f t="shared" ca="1" si="310"/>
        <v>0</v>
      </c>
      <c r="P551" s="261">
        <f t="shared" ca="1" si="328"/>
        <v>0</v>
      </c>
      <c r="Q551" s="3">
        <f ca="1">IF(A551&gt;MAX(OP!$R$17:$R$26),0,VLOOKUP(A551,fees,3,FALSE))</f>
        <v>0</v>
      </c>
      <c r="R551" s="200" t="str">
        <f t="shared" ca="1" si="311"/>
        <v/>
      </c>
      <c r="S551" s="9" t="str">
        <f ca="1">IF(COUNTIF(($T$4:T550),"F")&gt;=1,"",IF(OR(C552&lt;&gt;$C$3,E551=""),"",A551))</f>
        <v/>
      </c>
      <c r="T551" s="20" t="str">
        <f t="shared" ca="1" si="303"/>
        <v/>
      </c>
      <c r="U551" s="2">
        <f ca="1">IF(IF(OP!$C$83=1,$Z550,IF(OP!$C$83=2,$AA550,IF(OP!$C$83=3,$AB550,)))+$K551-$O551-$P551-$AS551&lt;OP!$C$142,0,$AS551)</f>
        <v>0</v>
      </c>
      <c r="V551" s="9"/>
      <c r="W551" s="19">
        <f ca="1">MAX(SUM($K$4:K551),0)</f>
        <v>2000000</v>
      </c>
      <c r="X551" s="19"/>
      <c r="Y551" s="19">
        <f t="shared" ca="1" si="329"/>
        <v>1920000</v>
      </c>
      <c r="Z551" s="2">
        <f ca="1">IF(MIN($Z$4:Z550)=0,0,MAX(0,($Z550+$K551-$O551-$P551)*IF(AND(F551="F",$D$3&lt;&gt;$G$3),((1+(-J551))^(H551/MIN(G551,365))),((1+(-J551))^(1/12)))-$U551))</f>
        <v>184506.86804988451</v>
      </c>
      <c r="AA551" s="2">
        <f ca="1">IF(MIN($AA$4:AA550)=0,0,MAX(0,($AA550+$K551-$O551-$P551)*IF(AND(F551="F",$D$3&lt;&gt;$G$3),((1+$AA$1)^(H551/MIN(G551,365))),((1+$AA$1)^(1/12)))-$U551))</f>
        <v>1920000</v>
      </c>
      <c r="AB551" s="2">
        <f ca="1">IF(MIN($AB$4:AB550)=0,0,MAX(0,($AB550+$K551-$O551-$P551)*IF(AND(F551="F",$D$3&lt;&gt;$G$3),((1+(J551))^(H551/MIN(G551,365))),((1+(J551))^(1/12)))-$U551))</f>
        <v>17821566.941115659</v>
      </c>
      <c r="AC551" s="5"/>
      <c r="AD551" s="5"/>
      <c r="AE551" s="5"/>
      <c r="AF551" s="282">
        <f t="shared" ca="1" si="312"/>
        <v>184507</v>
      </c>
      <c r="AG551" s="282">
        <f t="shared" ca="1" si="313"/>
        <v>1920000</v>
      </c>
      <c r="AH551" s="282">
        <f t="shared" ca="1" si="314"/>
        <v>17821567</v>
      </c>
      <c r="AI551" s="23" t="str">
        <f t="shared" ca="1" si="331"/>
        <v>46-9</v>
      </c>
      <c r="AJ551" s="282">
        <f ca="1">IF(E551&gt;111,,IF(AND(OP!$C$99=1,T551="F"),Z551,IF(AND(OP!$C$99=2,COUNTIF($T$4:T551,"F")=1),OP!$C$97+IF(F551="F",OP!$C$98,0),"")))</f>
        <v>54527</v>
      </c>
      <c r="AK551" s="282">
        <f ca="1">IF(E551&gt;111,,IF(AND(OP!$D$99=1,T551="F"),AA551,IF(AND(OP!$D$99=2,COUNTIF($T$4:T551,"F")=1),OP!$D$97+IF(F551="F",OP!$D$98,0),"")))</f>
        <v>74177</v>
      </c>
      <c r="AL551" s="282">
        <f ca="1">IF(E551&gt;111,,IF(AND(OP!$E$99=1,T551="F"),AB551,IF(AND(OP!$E$99=2,COUNTIF($T$4:T551,"F")=1),OP!$E$97+IF(F551="F",OP!$E$98,0),"")))</f>
        <v>99404</v>
      </c>
      <c r="AM551" s="1">
        <f t="shared" ca="1" si="304"/>
        <v>9</v>
      </c>
      <c r="AN551" s="1" t="e">
        <f ca="1">IF(OR(VLOOKUP($A551,MP,5,0)="月繳"),1,"")</f>
        <v>#N/A</v>
      </c>
      <c r="AO551" s="1">
        <f t="shared" ca="1" si="315"/>
        <v>0</v>
      </c>
      <c r="AP551" s="1" t="str">
        <f ca="1">IF(AND(A551&lt;=OP!$C$120,COUNTIF(PAY,C551)=1),1,"")</f>
        <v/>
      </c>
      <c r="AR551" s="301">
        <f ca="1">IF(繳費報酬率資料!$A$1=1,$AY551+$AZ551,$BF551+$BG551)</f>
        <v>0</v>
      </c>
      <c r="AS551" s="1">
        <f ca="1">IF(C551&lt;&gt;IF($C$3=1,12,$C$3-1),0,IF(繳費報酬率資料!$A$1&lt;&gt;1,VLOOKUP($A551,MP,8,0),IF(AND($A551&gt;=OP!$C$79,$A551&lt;=OP!$C$80),OP!$C$78,)))</f>
        <v>0</v>
      </c>
      <c r="AT551" s="298">
        <f t="shared" ca="1" si="316"/>
        <v>0</v>
      </c>
      <c r="AU551" s="298">
        <f ca="1">IF(AND(A551&lt;=OP!$C$120,COUNTIF(PAY,C551)=1),OP!$C$123,0)</f>
        <v>0</v>
      </c>
      <c r="AV551" s="298">
        <f ca="1">IF(AND(A551&gt;=OP!$C$132,A551&lt;=OP!$C$133,$C$3=C551),OP!$C$135,0)</f>
        <v>0</v>
      </c>
      <c r="AW551" s="180">
        <f t="shared" ca="1" si="317"/>
        <v>0.05</v>
      </c>
      <c r="AX551" s="180">
        <f t="shared" ca="1" si="318"/>
        <v>0.05</v>
      </c>
      <c r="AY551" s="286">
        <f t="shared" ca="1" si="319"/>
        <v>0</v>
      </c>
      <c r="AZ551" s="286">
        <f t="shared" ca="1" si="320"/>
        <v>0</v>
      </c>
      <c r="BA551" s="286">
        <f t="shared" ca="1" si="321"/>
        <v>0</v>
      </c>
      <c r="BB551" s="286">
        <f t="shared" ca="1" si="322"/>
        <v>0</v>
      </c>
      <c r="BC551" s="286">
        <f t="shared" ca="1" si="323"/>
        <v>0</v>
      </c>
      <c r="BD551" s="180">
        <f t="shared" ca="1" si="324"/>
        <v>0.05</v>
      </c>
      <c r="BE551" s="180">
        <f t="shared" ca="1" si="325"/>
        <v>0.05</v>
      </c>
      <c r="BF551" s="286">
        <f t="shared" ca="1" si="326"/>
        <v>0</v>
      </c>
      <c r="BG551" s="286">
        <f t="shared" ca="1" si="327"/>
        <v>0</v>
      </c>
    </row>
    <row r="552" spans="1:59">
      <c r="A552" s="1">
        <f t="shared" ca="1" si="307"/>
        <v>46</v>
      </c>
      <c r="B552" s="1">
        <f t="shared" ca="1" si="300"/>
        <v>152</v>
      </c>
      <c r="C552" s="1">
        <f t="shared" ca="1" si="301"/>
        <v>2</v>
      </c>
      <c r="D552" s="1">
        <f ca="1">MIN($D$3,VLOOKUP(C552,OP!$S$30:$T$41,2))</f>
        <v>2</v>
      </c>
      <c r="E552" s="1">
        <f t="shared" ca="1" si="302"/>
        <v>100</v>
      </c>
      <c r="F552" s="11" t="str">
        <f t="shared" ca="1" si="308"/>
        <v/>
      </c>
      <c r="G552" s="8">
        <f t="shared" ca="1" si="333"/>
        <v>365</v>
      </c>
      <c r="H552" s="8">
        <f t="shared" ca="1" si="309"/>
        <v>28</v>
      </c>
      <c r="I552" s="8" t="str">
        <f t="shared" ca="1" si="306"/>
        <v>462</v>
      </c>
      <c r="J552" s="13">
        <f>IF(繳費報酬率資料!$A$1=1,VALUE(OP!$C$121),VLOOKUP(A552,MP,2,0))</f>
        <v>0.05</v>
      </c>
      <c r="K552" s="14">
        <f ca="1">IF(SUM($K$4:K551,IF(繳費報酬率資料!$A$1=1,$AU552+$AV552,$BB552+$BC552))&gt;OP!$L$58,0,IF(繳費報酬率資料!$A$1=1,$AU552+$AV552,$BB552+$BC552))</f>
        <v>0</v>
      </c>
      <c r="L552" s="2"/>
      <c r="M552" s="2"/>
      <c r="N552" s="2"/>
      <c r="O552" s="261">
        <f t="shared" ca="1" si="310"/>
        <v>0</v>
      </c>
      <c r="P552" s="261">
        <f t="shared" ca="1" si="328"/>
        <v>0</v>
      </c>
      <c r="Q552" s="3">
        <f ca="1">IF(A552&gt;MAX(OP!$R$17:$R$26),0,VLOOKUP(A552,fees,3,FALSE))</f>
        <v>0</v>
      </c>
      <c r="R552" s="200" t="str">
        <f t="shared" ca="1" si="311"/>
        <v/>
      </c>
      <c r="S552" s="9" t="str">
        <f ca="1">IF(COUNTIF(($T$4:T551),"F")&gt;=1,"",IF(OR(C553&lt;&gt;$C$3,E552=""),"",A552))</f>
        <v/>
      </c>
      <c r="T552" s="20" t="str">
        <f t="shared" ca="1" si="303"/>
        <v/>
      </c>
      <c r="U552" s="2">
        <f ca="1">IF(IF(OP!$C$83=1,$Z551,IF(OP!$C$83=2,$AA551,IF(OP!$C$83=3,$AB551,)))+$K552-$O552-$P552-$AS552&lt;OP!$C$142,0,$AS552)</f>
        <v>0</v>
      </c>
      <c r="V552" s="9"/>
      <c r="W552" s="19">
        <f ca="1">MAX(SUM($K$4:K552),0)</f>
        <v>2000000</v>
      </c>
      <c r="X552" s="19"/>
      <c r="Y552" s="19">
        <f t="shared" ca="1" si="329"/>
        <v>1920000</v>
      </c>
      <c r="Z552" s="2">
        <f ca="1">IF(MIN($Z$4:Z551)=0,0,MAX(0,($Z551+$K552-$O552-$P552)*IF(AND(F552="F",$D$3&lt;&gt;$G$3),((1+(-J552))^(H552/MIN(G552,365))),((1+(-J552))^(1/12)))-$U552))</f>
        <v>183719.88744100244</v>
      </c>
      <c r="AA552" s="2">
        <f ca="1">IF(MIN($AA$4:AA551)=0,0,MAX(0,($AA551+$K552-$O552-$P552)*IF(AND(F552="F",$D$3&lt;&gt;$G$3),((1+$AA$1)^(H552/MIN(G552,365))),((1+$AA$1)^(1/12)))-$U552))</f>
        <v>1920000</v>
      </c>
      <c r="AB552" s="2">
        <f ca="1">IF(MIN($AB$4:AB551)=0,0,MAX(0,($AB551+$K552-$O552-$P552)*IF(AND(F552="F",$D$3&lt;&gt;$G$3),((1+(J552))^(H552/MIN(G552,365))),((1+(J552))^(1/12)))-$U552))</f>
        <v>17894174.21085234</v>
      </c>
      <c r="AC552" s="5"/>
      <c r="AD552" s="5"/>
      <c r="AE552" s="5"/>
      <c r="AF552" s="282">
        <f t="shared" ca="1" si="312"/>
        <v>183720</v>
      </c>
      <c r="AG552" s="282">
        <f t="shared" ca="1" si="313"/>
        <v>1920000</v>
      </c>
      <c r="AH552" s="282">
        <f t="shared" ca="1" si="314"/>
        <v>17894174</v>
      </c>
      <c r="AI552" s="23" t="str">
        <f t="shared" ca="1" si="331"/>
        <v>46-10</v>
      </c>
      <c r="AJ552" s="282">
        <f ca="1">IF(E552&gt;111,,IF(AND(OP!$C$99=1,T552="F"),Z552,IF(AND(OP!$C$99=2,COUNTIF($T$4:T552,"F")=1),OP!$C$97+IF(F552="F",OP!$C$98,0),"")))</f>
        <v>54527</v>
      </c>
      <c r="AK552" s="282">
        <f ca="1">IF(E552&gt;111,,IF(AND(OP!$D$99=1,T552="F"),AA552,IF(AND(OP!$D$99=2,COUNTIF($T$4:T552,"F")=1),OP!$D$97+IF(F552="F",OP!$D$98,0),"")))</f>
        <v>74177</v>
      </c>
      <c r="AL552" s="282">
        <f ca="1">IF(E552&gt;111,,IF(AND(OP!$E$99=1,T552="F"),AB552,IF(AND(OP!$E$99=2,COUNTIF($T$4:T552,"F")=1),OP!$E$97+IF(F552="F",OP!$E$98,0),"")))</f>
        <v>99404</v>
      </c>
      <c r="AM552" s="1">
        <f t="shared" ca="1" si="304"/>
        <v>10</v>
      </c>
      <c r="AN552" s="1" t="e">
        <f ca="1">IF(OR(VLOOKUP($A552,MP,5,0)="月繳"),1,"")</f>
        <v>#N/A</v>
      </c>
      <c r="AO552" s="1">
        <f t="shared" ca="1" si="315"/>
        <v>0</v>
      </c>
      <c r="AP552" s="1" t="str">
        <f ca="1">IF(AND(A552&lt;=OP!$C$120,COUNTIF(PAY,C552)=1),1,"")</f>
        <v/>
      </c>
      <c r="AR552" s="301">
        <f ca="1">IF(繳費報酬率資料!$A$1=1,$AY552+$AZ552,$BF552+$BG552)</f>
        <v>0</v>
      </c>
      <c r="AS552" s="1">
        <f ca="1">IF(C552&lt;&gt;IF($C$3=1,12,$C$3-1),0,IF(繳費報酬率資料!$A$1&lt;&gt;1,VLOOKUP($A552,MP,8,0),IF(AND($A552&gt;=OP!$C$79,$A552&lt;=OP!$C$80),OP!$C$78,)))</f>
        <v>0</v>
      </c>
      <c r="AT552" s="298">
        <f t="shared" ca="1" si="316"/>
        <v>0</v>
      </c>
      <c r="AU552" s="298">
        <f ca="1">IF(AND(A552&lt;=OP!$C$120,COUNTIF(PAY,C552)=1),OP!$C$123,0)</f>
        <v>0</v>
      </c>
      <c r="AV552" s="298">
        <f ca="1">IF(AND(A552&gt;=OP!$C$132,A552&lt;=OP!$C$133,$C$3=C552),OP!$C$135,0)</f>
        <v>0</v>
      </c>
      <c r="AW552" s="180">
        <f t="shared" ca="1" si="317"/>
        <v>0.05</v>
      </c>
      <c r="AX552" s="180">
        <f t="shared" ca="1" si="318"/>
        <v>0.05</v>
      </c>
      <c r="AY552" s="286">
        <f t="shared" ca="1" si="319"/>
        <v>0</v>
      </c>
      <c r="AZ552" s="286">
        <f t="shared" ca="1" si="320"/>
        <v>0</v>
      </c>
      <c r="BA552" s="286">
        <f t="shared" ca="1" si="321"/>
        <v>0</v>
      </c>
      <c r="BB552" s="286">
        <f t="shared" ca="1" si="322"/>
        <v>0</v>
      </c>
      <c r="BC552" s="286">
        <f t="shared" ca="1" si="323"/>
        <v>0</v>
      </c>
      <c r="BD552" s="180">
        <f t="shared" ca="1" si="324"/>
        <v>0.05</v>
      </c>
      <c r="BE552" s="180">
        <f t="shared" ca="1" si="325"/>
        <v>0.05</v>
      </c>
      <c r="BF552" s="286">
        <f t="shared" ca="1" si="326"/>
        <v>0</v>
      </c>
      <c r="BG552" s="286">
        <f t="shared" ca="1" si="327"/>
        <v>0</v>
      </c>
    </row>
    <row r="553" spans="1:59">
      <c r="A553" s="1">
        <f t="shared" ca="1" si="307"/>
        <v>46</v>
      </c>
      <c r="B553" s="1">
        <f t="shared" ca="1" si="300"/>
        <v>152</v>
      </c>
      <c r="C553" s="1">
        <f t="shared" ca="1" si="301"/>
        <v>3</v>
      </c>
      <c r="D553" s="1">
        <f ca="1">MIN($D$3,VLOOKUP(C553,OP!$S$30:$T$41,2))</f>
        <v>2</v>
      </c>
      <c r="E553" s="1">
        <f t="shared" ca="1" si="302"/>
        <v>100</v>
      </c>
      <c r="F553" s="11" t="str">
        <f t="shared" ca="1" si="308"/>
        <v/>
      </c>
      <c r="G553" s="8">
        <f t="shared" ca="1" si="333"/>
        <v>365</v>
      </c>
      <c r="H553" s="8">
        <f t="shared" ca="1" si="309"/>
        <v>31</v>
      </c>
      <c r="I553" s="8" t="str">
        <f t="shared" ca="1" si="306"/>
        <v>463</v>
      </c>
      <c r="J553" s="13">
        <f>IF(繳費報酬率資料!$A$1=1,VALUE(OP!$C$121),VLOOKUP(A553,MP,2,0))</f>
        <v>0.05</v>
      </c>
      <c r="K553" s="14">
        <f ca="1">IF(SUM($K$4:K552,IF(繳費報酬率資料!$A$1=1,$AU553+$AV553,$BB553+$BC553))&gt;OP!$L$58,0,IF(繳費報酬率資料!$A$1=1,$AU553+$AV553,$BB553+$BC553))</f>
        <v>0</v>
      </c>
      <c r="L553" s="2"/>
      <c r="M553" s="2"/>
      <c r="N553" s="2"/>
      <c r="O553" s="261">
        <f t="shared" ca="1" si="310"/>
        <v>0</v>
      </c>
      <c r="P553" s="261">
        <f t="shared" ca="1" si="328"/>
        <v>0</v>
      </c>
      <c r="Q553" s="3">
        <f ca="1">IF(A553&gt;MAX(OP!$R$17:$R$26),0,VLOOKUP(A553,fees,3,FALSE))</f>
        <v>0</v>
      </c>
      <c r="R553" s="200" t="str">
        <f t="shared" ca="1" si="311"/>
        <v/>
      </c>
      <c r="S553" s="9" t="str">
        <f ca="1">IF(COUNTIF(($T$4:T552),"F")&gt;=1,"",IF(OR(C554&lt;&gt;$C$3,E553=""),"",A553))</f>
        <v/>
      </c>
      <c r="T553" s="20" t="str">
        <f t="shared" ca="1" si="303"/>
        <v/>
      </c>
      <c r="U553" s="2">
        <f ca="1">IF(IF(OP!$C$83=1,$Z552,IF(OP!$C$83=2,$AA552,IF(OP!$C$83=3,$AB552,)))+$K553-$O553-$P553-$AS553&lt;OP!$C$142,0,$AS553)</f>
        <v>0</v>
      </c>
      <c r="V553" s="9"/>
      <c r="W553" s="19">
        <f ca="1">MAX(SUM($K$4:K553),0)</f>
        <v>2000000</v>
      </c>
      <c r="X553" s="19"/>
      <c r="Y553" s="19">
        <f t="shared" ca="1" si="329"/>
        <v>1920000</v>
      </c>
      <c r="Z553" s="2">
        <f ca="1">IF(MIN($Z$4:Z552)=0,0,MAX(0,($Z552+$K553-$O553-$P553)*IF(AND(F553="F",$D$3&lt;&gt;$G$3),((1+(-J553))^(H553/MIN(G553,365))),((1+(-J553))^(1/12)))-$U553))</f>
        <v>182936.26355528901</v>
      </c>
      <c r="AA553" s="2">
        <f ca="1">IF(MIN($AA$4:AA552)=0,0,MAX(0,($AA552+$K553-$O553-$P553)*IF(AND(F553="F",$D$3&lt;&gt;$G$3),((1+$AA$1)^(H553/MIN(G553,365))),((1+$AA$1)^(1/12)))-$U553))</f>
        <v>1920000</v>
      </c>
      <c r="AB553" s="2">
        <f ca="1">IF(MIN($AB$4:AB552)=0,0,MAX(0,($AB552+$K553-$O553-$P553)*IF(AND(F553="F",$D$3&lt;&gt;$G$3),((1+(J553))^(H553/MIN(G553,365))),((1+(J553))^(1/12)))-$U553))</f>
        <v>17967077.291593522</v>
      </c>
      <c r="AC553" s="5"/>
      <c r="AD553" s="5"/>
      <c r="AE553" s="5"/>
      <c r="AF553" s="282">
        <f t="shared" ca="1" si="312"/>
        <v>182936</v>
      </c>
      <c r="AG553" s="282">
        <f t="shared" ca="1" si="313"/>
        <v>1920000</v>
      </c>
      <c r="AH553" s="282">
        <f t="shared" ca="1" si="314"/>
        <v>17967077</v>
      </c>
      <c r="AI553" s="23" t="str">
        <f t="shared" ca="1" si="331"/>
        <v>46-11</v>
      </c>
      <c r="AJ553" s="282">
        <f ca="1">IF(E553&gt;111,,IF(AND(OP!$C$99=1,T553="F"),Z553,IF(AND(OP!$C$99=2,COUNTIF($T$4:T553,"F")=1),OP!$C$97+IF(F553="F",OP!$C$98,0),"")))</f>
        <v>54527</v>
      </c>
      <c r="AK553" s="282">
        <f ca="1">IF(E553&gt;111,,IF(AND(OP!$D$99=1,T553="F"),AA553,IF(AND(OP!$D$99=2,COUNTIF($T$4:T553,"F")=1),OP!$D$97+IF(F553="F",OP!$D$98,0),"")))</f>
        <v>74177</v>
      </c>
      <c r="AL553" s="282">
        <f ca="1">IF(E553&gt;111,,IF(AND(OP!$E$99=1,T553="F"),AB553,IF(AND(OP!$E$99=2,COUNTIF($T$4:T553,"F")=1),OP!$E$97+IF(F553="F",OP!$E$98,0),"")))</f>
        <v>99404</v>
      </c>
      <c r="AM553" s="1">
        <f t="shared" ca="1" si="304"/>
        <v>11</v>
      </c>
      <c r="AN553" s="1" t="e">
        <f ca="1">IF(OR(VLOOKUP($A553,MP,5,0)="季繳",VLOOKUP($A553,MP,5,0)="月繳"),1,"")</f>
        <v>#N/A</v>
      </c>
      <c r="AO553" s="1">
        <f t="shared" ca="1" si="315"/>
        <v>0</v>
      </c>
      <c r="AP553" s="1" t="str">
        <f ca="1">IF(AND(A553&lt;=OP!$C$120,COUNTIF(PAY,C553)=1),1,"")</f>
        <v/>
      </c>
      <c r="AR553" s="301">
        <f ca="1">IF(繳費報酬率資料!$A$1=1,$AY553+$AZ553,$BF553+$BG553)</f>
        <v>0</v>
      </c>
      <c r="AS553" s="1">
        <f ca="1">IF(C553&lt;&gt;IF($C$3=1,12,$C$3-1),0,IF(繳費報酬率資料!$A$1&lt;&gt;1,VLOOKUP($A553,MP,8,0),IF(AND($A553&gt;=OP!$C$79,$A553&lt;=OP!$C$80),OP!$C$78,)))</f>
        <v>0</v>
      </c>
      <c r="AT553" s="298">
        <f t="shared" ca="1" si="316"/>
        <v>0</v>
      </c>
      <c r="AU553" s="298">
        <f ca="1">IF(AND(A553&lt;=OP!$C$120,COUNTIF(PAY,C553)=1),OP!$C$123,0)</f>
        <v>0</v>
      </c>
      <c r="AV553" s="298">
        <f ca="1">IF(AND(A553&gt;=OP!$C$132,A553&lt;=OP!$C$133,$C$3=C553),OP!$C$135,0)</f>
        <v>0</v>
      </c>
      <c r="AW553" s="180">
        <f t="shared" ca="1" si="317"/>
        <v>0.05</v>
      </c>
      <c r="AX553" s="180">
        <f t="shared" ca="1" si="318"/>
        <v>0.05</v>
      </c>
      <c r="AY553" s="286">
        <f t="shared" ca="1" si="319"/>
        <v>0</v>
      </c>
      <c r="AZ553" s="286">
        <f t="shared" ca="1" si="320"/>
        <v>0</v>
      </c>
      <c r="BA553" s="286">
        <f t="shared" ca="1" si="321"/>
        <v>0</v>
      </c>
      <c r="BB553" s="286">
        <f t="shared" ca="1" si="322"/>
        <v>0</v>
      </c>
      <c r="BC553" s="286">
        <f t="shared" ca="1" si="323"/>
        <v>0</v>
      </c>
      <c r="BD553" s="180">
        <f t="shared" ca="1" si="324"/>
        <v>0.05</v>
      </c>
      <c r="BE553" s="180">
        <f t="shared" ca="1" si="325"/>
        <v>0.05</v>
      </c>
      <c r="BF553" s="286">
        <f t="shared" ca="1" si="326"/>
        <v>0</v>
      </c>
      <c r="BG553" s="286">
        <f t="shared" ca="1" si="327"/>
        <v>0</v>
      </c>
    </row>
    <row r="554" spans="1:59">
      <c r="A554" s="1">
        <f t="shared" ca="1" si="307"/>
        <v>46</v>
      </c>
      <c r="B554" s="1">
        <f t="shared" ca="1" si="300"/>
        <v>152</v>
      </c>
      <c r="C554" s="1">
        <f t="shared" ca="1" si="301"/>
        <v>4</v>
      </c>
      <c r="D554" s="1">
        <f ca="1">MIN($D$3,VLOOKUP(C554,OP!$S$30:$T$41,2))</f>
        <v>2</v>
      </c>
      <c r="E554" s="1">
        <f t="shared" ca="1" si="302"/>
        <v>100</v>
      </c>
      <c r="F554" s="11" t="str">
        <f t="shared" ca="1" si="308"/>
        <v/>
      </c>
      <c r="G554" s="8">
        <f t="shared" ca="1" si="333"/>
        <v>365</v>
      </c>
      <c r="H554" s="8">
        <f t="shared" ca="1" si="309"/>
        <v>30</v>
      </c>
      <c r="I554" s="8" t="str">
        <f t="shared" ca="1" si="306"/>
        <v>464</v>
      </c>
      <c r="J554" s="13">
        <f>IF(繳費報酬率資料!$A$1=1,VALUE(OP!$C$121),VLOOKUP(A554,MP,2,0))</f>
        <v>0.05</v>
      </c>
      <c r="K554" s="14">
        <f ca="1">IF(SUM($K$4:K553,IF(繳費報酬率資料!$A$1=1,$AU554+$AV554,$BB554+$BC554))&gt;OP!$L$58,0,IF(繳費報酬率資料!$A$1=1,$AU554+$AV554,$BB554+$BC554))</f>
        <v>0</v>
      </c>
      <c r="L554" s="2"/>
      <c r="M554" s="2"/>
      <c r="N554" s="2"/>
      <c r="O554" s="261">
        <f t="shared" ca="1" si="310"/>
        <v>0</v>
      </c>
      <c r="P554" s="261">
        <f t="shared" ca="1" si="328"/>
        <v>0</v>
      </c>
      <c r="Q554" s="3">
        <f ca="1">IF(A554&gt;MAX(OP!$R$17:$R$26),0,VLOOKUP(A554,fees,3,FALSE))</f>
        <v>0</v>
      </c>
      <c r="R554" s="200" t="str">
        <f t="shared" ca="1" si="311"/>
        <v/>
      </c>
      <c r="S554" s="9" t="str">
        <f ca="1">IF(COUNTIF(($T$4:T553),"F")&gt;=1,"",IF(OR(C555&lt;&gt;$C$3,E554=""),"",A554))</f>
        <v/>
      </c>
      <c r="T554" s="20" t="str">
        <f t="shared" ca="1" si="303"/>
        <v/>
      </c>
      <c r="U554" s="2">
        <f ca="1">IF(IF(OP!$C$83=1,$Z553,IF(OP!$C$83=2,$AA553,IF(OP!$C$83=3,$AB553,)))+$K554-$O554-$P554-$AS554&lt;OP!$C$142,0,$AS554)</f>
        <v>0</v>
      </c>
      <c r="V554" s="9"/>
      <c r="W554" s="19">
        <f ca="1">MAX(SUM($K$4:K554),0)</f>
        <v>2000000</v>
      </c>
      <c r="X554" s="19"/>
      <c r="Y554" s="19">
        <f t="shared" ca="1" si="329"/>
        <v>1920000</v>
      </c>
      <c r="Z554" s="2">
        <f ca="1">IF(MIN($Z$4:Z553)=0,0,MAX(0,($Z553+$K554-$O554-$P554)*IF(AND(F554="F",$D$3&lt;&gt;$G$3),((1+(-J554))^(H554/MIN(G554,365))),((1+(-J554))^(1/12)))-$U554))</f>
        <v>182155.98207524986</v>
      </c>
      <c r="AA554" s="2">
        <f ca="1">IF(MIN($AA$4:AA553)=0,0,MAX(0,($AA553+$K554-$O554-$P554)*IF(AND(F554="F",$D$3&lt;&gt;$G$3),((1+$AA$1)^(H554/MIN(G554,365))),((1+$AA$1)^(1/12)))-$U554))</f>
        <v>1920000</v>
      </c>
      <c r="AB554" s="2">
        <f ca="1">IF(MIN($AB$4:AB553)=0,0,MAX(0,($AB553+$K554-$O554-$P554)*IF(AND(F554="F",$D$3&lt;&gt;$G$3),((1+(J554))^(H554/MIN(G554,365))),((1+(J554))^(1/12)))-$U554))</f>
        <v>18040277.388509851</v>
      </c>
      <c r="AC554" s="5"/>
      <c r="AD554" s="5"/>
      <c r="AE554" s="5"/>
      <c r="AF554" s="282">
        <f t="shared" ca="1" si="312"/>
        <v>182156</v>
      </c>
      <c r="AG554" s="282">
        <f t="shared" ca="1" si="313"/>
        <v>1920000</v>
      </c>
      <c r="AH554" s="282">
        <f t="shared" ca="1" si="314"/>
        <v>18040277</v>
      </c>
      <c r="AI554" s="23" t="str">
        <f t="shared" ca="1" si="331"/>
        <v>46-12</v>
      </c>
      <c r="AJ554" s="282">
        <f ca="1">IF(E554&gt;111,,IF(AND(OP!$C$99=1,T554="F"),Z554,IF(AND(OP!$C$99=2,COUNTIF($T$4:T554,"F")=1),OP!$C$97+IF(F554="F",OP!$C$98,0),"")))</f>
        <v>54527</v>
      </c>
      <c r="AK554" s="282">
        <f ca="1">IF(E554&gt;111,,IF(AND(OP!$D$99=1,T554="F"),AA554,IF(AND(OP!$D$99=2,COUNTIF($T$4:T554,"F")=1),OP!$D$97+IF(F554="F",OP!$D$98,0),"")))</f>
        <v>74177</v>
      </c>
      <c r="AL554" s="282">
        <f ca="1">IF(E554&gt;111,,IF(AND(OP!$E$99=1,T554="F"),AB554,IF(AND(OP!$E$99=2,COUNTIF($T$4:T554,"F")=1),OP!$E$97+IF(F554="F",OP!$E$98,0),"")))</f>
        <v>99404</v>
      </c>
      <c r="AM554" s="1">
        <f t="shared" ca="1" si="304"/>
        <v>12</v>
      </c>
      <c r="AN554" s="1" t="e">
        <f ca="1">IF(OR(VLOOKUP($A554,MP,5,0)="月繳"),1,"")</f>
        <v>#N/A</v>
      </c>
      <c r="AO554" s="1">
        <f t="shared" ca="1" si="315"/>
        <v>0</v>
      </c>
      <c r="AP554" s="1" t="str">
        <f ca="1">IF(AND(A554&lt;=OP!$C$120,COUNTIF(PAY,C554)=1),1,"")</f>
        <v/>
      </c>
      <c r="AR554" s="301">
        <f ca="1">IF(繳費報酬率資料!$A$1=1,$AY554+$AZ554,$BF554+$BG554)</f>
        <v>0</v>
      </c>
      <c r="AS554" s="1">
        <f ca="1">IF(C554&lt;&gt;IF($C$3=1,12,$C$3-1),0,IF(繳費報酬率資料!$A$1&lt;&gt;1,VLOOKUP($A554,MP,8,0),IF(AND($A554&gt;=OP!$C$79,$A554&lt;=OP!$C$80),OP!$C$78,)))</f>
        <v>0</v>
      </c>
      <c r="AT554" s="298">
        <f t="shared" ca="1" si="316"/>
        <v>0</v>
      </c>
      <c r="AU554" s="298">
        <f ca="1">IF(AND(A554&lt;=OP!$C$120,COUNTIF(PAY,C554)=1),OP!$C$123,0)</f>
        <v>0</v>
      </c>
      <c r="AV554" s="298">
        <f ca="1">IF(AND(A554&gt;=OP!$C$132,A554&lt;=OP!$C$133,$C$3=C554),OP!$C$135,0)</f>
        <v>0</v>
      </c>
      <c r="AW554" s="180">
        <f t="shared" ca="1" si="317"/>
        <v>0.05</v>
      </c>
      <c r="AX554" s="180">
        <f t="shared" ca="1" si="318"/>
        <v>0.05</v>
      </c>
      <c r="AY554" s="286">
        <f t="shared" ca="1" si="319"/>
        <v>0</v>
      </c>
      <c r="AZ554" s="286">
        <f t="shared" ca="1" si="320"/>
        <v>0</v>
      </c>
      <c r="BA554" s="286">
        <f t="shared" ca="1" si="321"/>
        <v>0</v>
      </c>
      <c r="BB554" s="286">
        <f t="shared" ca="1" si="322"/>
        <v>0</v>
      </c>
      <c r="BC554" s="286">
        <f t="shared" ca="1" si="323"/>
        <v>0</v>
      </c>
      <c r="BD554" s="180">
        <f t="shared" ca="1" si="324"/>
        <v>0.05</v>
      </c>
      <c r="BE554" s="180">
        <f t="shared" ca="1" si="325"/>
        <v>0.05</v>
      </c>
      <c r="BF554" s="286">
        <f t="shared" ca="1" si="326"/>
        <v>0</v>
      </c>
      <c r="BG554" s="286">
        <f t="shared" ca="1" si="327"/>
        <v>0</v>
      </c>
    </row>
    <row r="555" spans="1:59">
      <c r="A555" s="1">
        <f t="shared" ca="1" si="307"/>
        <v>46</v>
      </c>
      <c r="B555" s="1">
        <f t="shared" ca="1" si="300"/>
        <v>152</v>
      </c>
      <c r="C555" s="1">
        <f t="shared" ca="1" si="301"/>
        <v>5</v>
      </c>
      <c r="D555" s="1">
        <f ca="1">MIN($D$3,VLOOKUP(C555,OP!$S$30:$T$41,2))</f>
        <v>2</v>
      </c>
      <c r="E555" s="1">
        <f t="shared" ca="1" si="302"/>
        <v>100</v>
      </c>
      <c r="F555" s="11" t="str">
        <f t="shared" ca="1" si="308"/>
        <v/>
      </c>
      <c r="G555" s="8">
        <f t="shared" ca="1" si="333"/>
        <v>365</v>
      </c>
      <c r="H555" s="8">
        <f t="shared" ca="1" si="309"/>
        <v>31</v>
      </c>
      <c r="I555" s="8" t="str">
        <f t="shared" ca="1" si="306"/>
        <v>465</v>
      </c>
      <c r="J555" s="13">
        <f>IF(繳費報酬率資料!$A$1=1,VALUE(OP!$C$121),VLOOKUP(A555,MP,2,0))</f>
        <v>0.05</v>
      </c>
      <c r="K555" s="14">
        <f ca="1">IF(SUM($K$4:K554,IF(繳費報酬率資料!$A$1=1,$AU555+$AV555,$BB555+$BC555))&gt;OP!$L$58,0,IF(繳費報酬率資料!$A$1=1,$AU555+$AV555,$BB555+$BC555))</f>
        <v>0</v>
      </c>
      <c r="L555" s="2">
        <f ca="1">ROUND(IF(OP!$C$78&lt;(IF(OR($T555="F",$E555&gt;=111),0,Z554+$K555-$O555+IF($C$1=1,OP!$C$78,IF($C556=$C$3,SUM(AC544:AC555,0)))))*5%,0,(OP!$C$78-((IF(OR($T555="F",$E555&gt;=111),0,Z554+$K555-$O555+IF($C$1=1,AC555,IF($C556=$C$3,SUM(AC544:AC555,0)))))*5%))*$Q555),0)</f>
        <v>0</v>
      </c>
      <c r="M555" s="2">
        <f ca="1">ROUND(IF(OP!$C$78&lt;(IF(OR($T555="F",$E555&gt;=111),0,AA554+$K555-$O555+IF($C$1=1,AD555,IF($C556=$C$3,SUM(AD544:AD555,0)))))*5%,0,(OP!$C$78-((IF(OR($T555="F",$E555&gt;=111),0,AA554+$K555-$O555+IF($C$1=1,AD555,IF($C556=$C$3,SUM(AD544:AD555,0)))))*5%))*$Q555),0)</f>
        <v>0</v>
      </c>
      <c r="N555" s="2">
        <f ca="1">ROUND(IF(OP!$C$78&lt;(IF(OR($T555="F",$E555&gt;=111),0,AB554+$K555-$O555+IF($C$1=1,AE555,IF($C556=$C$3,SUM(AE544:AE555,0)))))*5%,0,(OP!$C$78-((IF(OR($T555="F",$E555&gt;=111),0,AB554+$K555-$O555+IF($C$1=1,AE555,IF($C556=$C$3,SUM(AE544:AE555,0)))))*5%))*$Q555),0)</f>
        <v>0</v>
      </c>
      <c r="O555" s="261">
        <f t="shared" ca="1" si="310"/>
        <v>0</v>
      </c>
      <c r="P555" s="261">
        <f t="shared" ca="1" si="328"/>
        <v>0</v>
      </c>
      <c r="Q555" s="3">
        <f ca="1">IF(A555&gt;MAX(OP!$R$17:$R$26),0,VLOOKUP(A555,fees,3,FALSE))</f>
        <v>0</v>
      </c>
      <c r="R555" s="200">
        <f t="shared" ca="1" si="311"/>
        <v>46</v>
      </c>
      <c r="S555" s="9" t="str">
        <f ca="1">IF(COUNTIF(($T$4:T554),"F")&gt;=1,"",IF(OR(C556&lt;&gt;$C$3,E555=""),"",A555))</f>
        <v/>
      </c>
      <c r="T555" s="20" t="str">
        <f t="shared" ca="1" si="303"/>
        <v/>
      </c>
      <c r="U555" s="2">
        <f ca="1">IF(IF(OP!$C$83=1,$Z554,IF(OP!$C$83=2,$AA554,IF(OP!$C$83=3,$AB554,)))+$K555-$O555-$P555-$AS555&lt;OP!$C$142,0,$AS555)</f>
        <v>0</v>
      </c>
      <c r="V555" s="19">
        <f ca="1">SUM(K544:K555)</f>
        <v>0</v>
      </c>
      <c r="W555" s="19">
        <f ca="1">MAX(SUM($K$4:K555),0)</f>
        <v>2000000</v>
      </c>
      <c r="X555" s="19">
        <f ca="1">SUM(O544:P555)</f>
        <v>0</v>
      </c>
      <c r="Y555" s="19">
        <f t="shared" ca="1" si="329"/>
        <v>1920000</v>
      </c>
      <c r="Z555" s="2">
        <f ca="1">IF(MIN($Z$4:Z554)=0,0,MAX(0,($Z554+$K555-$O555-$P555)*IF(AND(F555="F",$D$3&lt;&gt;$G$3),((1+(-J555))^(H555/MIN(G555,365))),((1+(-J555))^(1/12)))-$U555))</f>
        <v>181379.0287444593</v>
      </c>
      <c r="AA555" s="2">
        <f ca="1">IF(MIN($AA$4:AA554)=0,0,MAX(0,($AA554+$K555-$O555-$P555)*IF(AND(F555="F",$D$3&lt;&gt;$G$3),((1+$AA$1)^(H555/MIN(G555,365))),((1+$AA$1)^(1/12)))-$U555))</f>
        <v>1920000</v>
      </c>
      <c r="AB555" s="2">
        <f ca="1">IF(MIN($AB$4:AB554)=0,0,MAX(0,($AB554+$K555-$O555-$P555)*IF(AND(F555="F",$D$3&lt;&gt;$G$3),((1+(J555))^(H555/MIN(G555,365))),((1+(J555))^(1/12)))-$U555))</f>
        <v>18113775.711681992</v>
      </c>
      <c r="AC555" s="5"/>
      <c r="AD555" s="5"/>
      <c r="AE555" s="5"/>
      <c r="AF555" s="282">
        <f t="shared" ca="1" si="312"/>
        <v>181379</v>
      </c>
      <c r="AG555" s="282">
        <f t="shared" ca="1" si="313"/>
        <v>1920000</v>
      </c>
      <c r="AH555" s="282">
        <f t="shared" ca="1" si="314"/>
        <v>18113776</v>
      </c>
      <c r="AI555" s="23" t="str">
        <f t="shared" ca="1" si="331"/>
        <v>47-1</v>
      </c>
      <c r="AJ555" s="282">
        <f ca="1">IF(E555&gt;111,,IF(AND(OP!$C$99=1,T555="F"),Z555,IF(AND(OP!$C$99=2,COUNTIF($T$4:T555,"F")=1),OP!$C$97+IF(F555="F",OP!$C$98,0),"")))</f>
        <v>54527</v>
      </c>
      <c r="AK555" s="282">
        <f ca="1">IF(E555&gt;111,,IF(AND(OP!$D$99=1,T555="F"),AA555,IF(AND(OP!$D$99=2,COUNTIF($T$4:T555,"F")=1),OP!$D$97+IF(F555="F",OP!$D$98,0),"")))</f>
        <v>74177</v>
      </c>
      <c r="AL555" s="282">
        <f ca="1">IF(E555&gt;111,,IF(AND(OP!$E$99=1,T555="F"),AB555,IF(AND(OP!$E$99=2,COUNTIF($T$4:T555,"F")=1),OP!$E$97+IF(F555="F",OP!$E$98,0),"")))</f>
        <v>99404</v>
      </c>
      <c r="AM555" s="1">
        <f t="shared" ca="1" si="304"/>
        <v>1</v>
      </c>
      <c r="AN555" s="1" t="e">
        <f ca="1">IF(OR(VLOOKUP($A555,MP,5,0)="月繳"),1,"")</f>
        <v>#N/A</v>
      </c>
      <c r="AO555" s="1">
        <f t="shared" ca="1" si="315"/>
        <v>0</v>
      </c>
      <c r="AP555" s="1" t="str">
        <f ca="1">IF(AND(A555&lt;=OP!$C$120,COUNTIF(PAY,C555)=1),1,"")</f>
        <v/>
      </c>
      <c r="AR555" s="301">
        <f ca="1">IF(繳費報酬率資料!$A$1=1,$AY555+$AZ555,$BF555+$BG555)</f>
        <v>0</v>
      </c>
      <c r="AS555" s="1">
        <f ca="1">IF(C555&lt;&gt;IF($C$3=1,12,$C$3-1),0,IF(繳費報酬率資料!$A$1&lt;&gt;1,VLOOKUP($A555,MP,8,0),IF(AND($A555&gt;=OP!$C$79,$A555&lt;=OP!$C$80),OP!$C$78,)))</f>
        <v>0</v>
      </c>
      <c r="AT555" s="298">
        <f t="shared" ca="1" si="316"/>
        <v>0</v>
      </c>
      <c r="AU555" s="298">
        <f ca="1">IF(AND(A555&lt;=OP!$C$120,COUNTIF(PAY,C555)=1),OP!$C$123,0)</f>
        <v>0</v>
      </c>
      <c r="AV555" s="298">
        <f ca="1">IF(AND(A555&gt;=OP!$C$132,A555&lt;=OP!$C$133,$C$3=C555),OP!$C$135,0)</f>
        <v>0</v>
      </c>
      <c r="AW555" s="180">
        <f t="shared" ca="1" si="317"/>
        <v>0.05</v>
      </c>
      <c r="AX555" s="180">
        <f t="shared" ca="1" si="318"/>
        <v>0.05</v>
      </c>
      <c r="AY555" s="286">
        <f t="shared" ca="1" si="319"/>
        <v>0</v>
      </c>
      <c r="AZ555" s="286">
        <f t="shared" ca="1" si="320"/>
        <v>0</v>
      </c>
      <c r="BA555" s="286">
        <f t="shared" ca="1" si="321"/>
        <v>0</v>
      </c>
      <c r="BB555" s="286">
        <f t="shared" ca="1" si="322"/>
        <v>0</v>
      </c>
      <c r="BC555" s="286">
        <f t="shared" ca="1" si="323"/>
        <v>0</v>
      </c>
      <c r="BD555" s="180">
        <f t="shared" ca="1" si="324"/>
        <v>0.05</v>
      </c>
      <c r="BE555" s="180">
        <f t="shared" ca="1" si="325"/>
        <v>0.05</v>
      </c>
      <c r="BF555" s="286">
        <f t="shared" ca="1" si="326"/>
        <v>0</v>
      </c>
      <c r="BG555" s="286">
        <f t="shared" ca="1" si="327"/>
        <v>0</v>
      </c>
    </row>
    <row r="556" spans="1:59">
      <c r="A556" s="1">
        <f t="shared" ca="1" si="307"/>
        <v>47</v>
      </c>
      <c r="B556" s="1">
        <f t="shared" ca="1" si="300"/>
        <v>152</v>
      </c>
      <c r="C556" s="1">
        <f t="shared" ca="1" si="301"/>
        <v>6</v>
      </c>
      <c r="D556" s="1">
        <f ca="1">MIN($D$3,VLOOKUP(C556,OP!$S$30:$T$41,2))</f>
        <v>2</v>
      </c>
      <c r="E556" s="1">
        <f t="shared" ca="1" si="302"/>
        <v>101</v>
      </c>
      <c r="F556" s="11" t="str">
        <f t="shared" ca="1" si="308"/>
        <v/>
      </c>
      <c r="G556" s="6">
        <f ca="1">DATEDIF(DATE(B556+1911,C556,D556),DATE(B568+1911,C568,D568),"d")</f>
        <v>366</v>
      </c>
      <c r="H556" s="8">
        <f t="shared" ca="1" si="309"/>
        <v>30</v>
      </c>
      <c r="I556" s="8" t="str">
        <f t="shared" ca="1" si="306"/>
        <v>476</v>
      </c>
      <c r="J556" s="13">
        <f>IF(繳費報酬率資料!$A$1=1,VALUE(OP!$C$121),VLOOKUP(A556,MP,2,0))</f>
        <v>0.05</v>
      </c>
      <c r="K556" s="14">
        <f ca="1">IF(SUM($K$4:K555,IF(繳費報酬率資料!$A$1=1,$AU556+$AV556,$BB556+$BC556))&gt;OP!$L$58,0,IF(繳費報酬率資料!$A$1=1,$AU556+$AV556,$BB556+$BC556))</f>
        <v>0</v>
      </c>
      <c r="L556" s="2"/>
      <c r="M556" s="2"/>
      <c r="N556" s="2"/>
      <c r="O556" s="261">
        <f t="shared" ca="1" si="310"/>
        <v>0</v>
      </c>
      <c r="P556" s="261">
        <f t="shared" ca="1" si="328"/>
        <v>0</v>
      </c>
      <c r="Q556" s="3">
        <f ca="1">IF(A556&gt;MAX(OP!$R$17:$R$26),0,VLOOKUP(A556,fees,3,FALSE))</f>
        <v>0</v>
      </c>
      <c r="R556" s="200" t="str">
        <f t="shared" ca="1" si="311"/>
        <v/>
      </c>
      <c r="S556" s="9" t="str">
        <f ca="1">IF(COUNTIF(($T$4:T555),"F")&gt;=1,"",IF(OR(C557&lt;&gt;$C$3,E556=""),"",A556))</f>
        <v/>
      </c>
      <c r="T556" s="20" t="str">
        <f t="shared" ca="1" si="303"/>
        <v/>
      </c>
      <c r="U556" s="2">
        <f ca="1">IF(IF(OP!$C$83=1,$Z555,IF(OP!$C$83=2,$AA555,IF(OP!$C$83=3,$AB555,)))+$K556-$O556-$P556-$AS556&lt;OP!$C$142,0,$AS556)</f>
        <v>0</v>
      </c>
      <c r="V556" s="9"/>
      <c r="W556" s="19">
        <f ca="1">MAX(SUM($K$4:K556),0)</f>
        <v>2000000</v>
      </c>
      <c r="X556" s="19"/>
      <c r="Y556" s="19">
        <f t="shared" ca="1" si="329"/>
        <v>1920000</v>
      </c>
      <c r="Z556" s="2">
        <f ca="1">IF(MIN($Z$4:Z555)=0,0,MAX(0,($Z555+$K556-$O556-$P556)*IF(AND(F556="F",$D$3&lt;&gt;$G$3),((1+(-J556))^(H556/MIN(G556,365))),((1+(-J556))^(1/12)))-$U556))</f>
        <v>180605.38936729985</v>
      </c>
      <c r="AA556" s="2">
        <f ca="1">IF(MIN($AA$4:AA555)=0,0,MAX(0,($AA555+$K556-$O556-$P556)*IF(AND(F556="F",$D$3&lt;&gt;$G$3),((1+$AA$1)^(H556/MIN(G556,365))),((1+$AA$1)^(1/12)))-$U556))</f>
        <v>1920000</v>
      </c>
      <c r="AB556" s="2">
        <f ca="1">IF(MIN($AB$4:AB555)=0,0,MAX(0,($AB555+$K556-$O556-$P556)*IF(AND(F556="F",$D$3&lt;&gt;$G$3),((1+(J556))^(H556/MIN(G556,365))),((1+(J556))^(1/12)))-$U556))</f>
        <v>18187573.476120628</v>
      </c>
      <c r="AC556" s="21"/>
      <c r="AD556" s="21"/>
      <c r="AE556" s="21"/>
      <c r="AF556" s="282">
        <f t="shared" ca="1" si="312"/>
        <v>180605</v>
      </c>
      <c r="AG556" s="282">
        <f t="shared" ca="1" si="313"/>
        <v>1920000</v>
      </c>
      <c r="AH556" s="282">
        <f t="shared" ca="1" si="314"/>
        <v>18187573</v>
      </c>
      <c r="AI556" s="23" t="str">
        <f t="shared" ca="1" si="331"/>
        <v>47-2</v>
      </c>
      <c r="AJ556" s="281">
        <f ca="1">IF(E556&gt;111,,IF(AND(OP!$C$99=1,T556="F"),Z556,IF(AND(OP!$C$99=2,COUNTIF($T$4:T556,"F")=1),OP!$C$97+IF(F556="F",OP!$C$98,0),"")))</f>
        <v>54527</v>
      </c>
      <c r="AK556" s="281">
        <f ca="1">IF(E556&gt;111,,IF(AND(OP!$D$99=1,T556="F"),AA556,IF(AND(OP!$D$99=2,COUNTIF($T$4:T556,"F")=1),OP!$D$97+IF(F556="F",OP!$D$98,0),"")))</f>
        <v>74177</v>
      </c>
      <c r="AL556" s="281">
        <f ca="1">IF(E556&gt;111,,IF(AND(OP!$E$99=1,T556="F"),AB556,IF(AND(OP!$E$99=2,COUNTIF($T$4:T556,"F")=1),OP!$E$97+IF(F556="F",OP!$E$98,0),"")))</f>
        <v>99404</v>
      </c>
      <c r="AM556" s="1">
        <f t="shared" ca="1" si="304"/>
        <v>2</v>
      </c>
      <c r="AN556" s="1" t="e">
        <f ca="1">IF(OR(VLOOKUP($A556,MP,5,0)="年繳",VLOOKUP($A556,MP,5,0)="半年繳",VLOOKUP($A556,MP,5,0)="季繳",VLOOKUP($A556,MP,5,0)="月繳"),1,"")</f>
        <v>#N/A</v>
      </c>
      <c r="AO556" s="1">
        <f t="shared" ca="1" si="315"/>
        <v>0</v>
      </c>
      <c r="AP556" s="1" t="str">
        <f ca="1">IF(AND(A556&lt;=OP!$C$120,COUNTIF(PAY,C556)=1),1,"")</f>
        <v/>
      </c>
      <c r="AR556" s="301">
        <f ca="1">IF(繳費報酬率資料!$A$1=1,$AY556+$AZ556,$BF556+$BG556)</f>
        <v>0</v>
      </c>
      <c r="AS556" s="1">
        <f ca="1">IF(C556&lt;&gt;IF($C$3=1,12,$C$3-1),0,IF(繳費報酬率資料!$A$1&lt;&gt;1,VLOOKUP($A556,MP,8,0),IF(AND($A556&gt;=OP!$C$79,$A556&lt;=OP!$C$80),OP!$C$78,)))</f>
        <v>0</v>
      </c>
      <c r="AT556" s="298">
        <f t="shared" ca="1" si="316"/>
        <v>0</v>
      </c>
      <c r="AU556" s="298">
        <f ca="1">IF(AND(A556&lt;=OP!$C$120,COUNTIF(PAY,C556)=1),OP!$C$123,0)</f>
        <v>0</v>
      </c>
      <c r="AV556" s="298">
        <f ca="1">IF(AND(A556&gt;=OP!$C$132,A556&lt;=OP!$C$133,$C$3=C556),OP!$C$135,0)</f>
        <v>0</v>
      </c>
      <c r="AW556" s="180">
        <f t="shared" ca="1" si="317"/>
        <v>0.05</v>
      </c>
      <c r="AX556" s="180">
        <f t="shared" ca="1" si="318"/>
        <v>0.05</v>
      </c>
      <c r="AY556" s="286">
        <f t="shared" ca="1" si="319"/>
        <v>0</v>
      </c>
      <c r="AZ556" s="286">
        <f t="shared" ca="1" si="320"/>
        <v>0</v>
      </c>
      <c r="BA556" s="286">
        <f t="shared" ca="1" si="321"/>
        <v>0</v>
      </c>
      <c r="BB556" s="286">
        <f t="shared" ca="1" si="322"/>
        <v>0</v>
      </c>
      <c r="BC556" s="286">
        <f t="shared" ca="1" si="323"/>
        <v>0</v>
      </c>
      <c r="BD556" s="180">
        <f t="shared" ca="1" si="324"/>
        <v>0.05</v>
      </c>
      <c r="BE556" s="180">
        <f t="shared" ca="1" si="325"/>
        <v>0.05</v>
      </c>
      <c r="BF556" s="286">
        <f t="shared" ca="1" si="326"/>
        <v>0</v>
      </c>
      <c r="BG556" s="286">
        <f t="shared" ca="1" si="327"/>
        <v>0</v>
      </c>
    </row>
    <row r="557" spans="1:59">
      <c r="A557" s="1">
        <f t="shared" ca="1" si="307"/>
        <v>47</v>
      </c>
      <c r="B557" s="1">
        <f t="shared" ca="1" si="300"/>
        <v>152</v>
      </c>
      <c r="C557" s="1">
        <f t="shared" ca="1" si="301"/>
        <v>7</v>
      </c>
      <c r="D557" s="1">
        <f ca="1">MIN($D$3,VLOOKUP(C557,OP!$S$30:$T$41,2))</f>
        <v>2</v>
      </c>
      <c r="E557" s="1">
        <f t="shared" ca="1" si="302"/>
        <v>101</v>
      </c>
      <c r="F557" s="11" t="str">
        <f t="shared" ca="1" si="308"/>
        <v/>
      </c>
      <c r="G557" s="8">
        <f t="shared" ref="G557:G567" ca="1" si="334">G556</f>
        <v>366</v>
      </c>
      <c r="H557" s="8">
        <f t="shared" ca="1" si="309"/>
        <v>31</v>
      </c>
      <c r="I557" s="8" t="str">
        <f t="shared" ca="1" si="306"/>
        <v>477</v>
      </c>
      <c r="J557" s="13">
        <f>IF(繳費報酬率資料!$A$1=1,VALUE(OP!$C$121),VLOOKUP(A557,MP,2,0))</f>
        <v>0.05</v>
      </c>
      <c r="K557" s="14">
        <f ca="1">IF(SUM($K$4:K556,IF(繳費報酬率資料!$A$1=1,$AU557+$AV557,$BB557+$BC557))&gt;OP!$L$58,0,IF(繳費報酬率資料!$A$1=1,$AU557+$AV557,$BB557+$BC557))</f>
        <v>0</v>
      </c>
      <c r="L557" s="2"/>
      <c r="M557" s="2"/>
      <c r="N557" s="2"/>
      <c r="O557" s="261">
        <f t="shared" ca="1" si="310"/>
        <v>0</v>
      </c>
      <c r="P557" s="261">
        <f t="shared" ca="1" si="328"/>
        <v>0</v>
      </c>
      <c r="Q557" s="3">
        <f ca="1">IF(A557&gt;MAX(OP!$R$17:$R$26),0,VLOOKUP(A557,fees,3,FALSE))</f>
        <v>0</v>
      </c>
      <c r="R557" s="200" t="str">
        <f t="shared" ca="1" si="311"/>
        <v/>
      </c>
      <c r="S557" s="9" t="str">
        <f ca="1">IF(COUNTIF(($T$4:T556),"F")&gt;=1,"",IF(OR(C558&lt;&gt;$C$3,E557=""),"",A557))</f>
        <v/>
      </c>
      <c r="T557" s="20" t="str">
        <f t="shared" ca="1" si="303"/>
        <v/>
      </c>
      <c r="U557" s="2">
        <f ca="1">IF(IF(OP!$C$83=1,$Z556,IF(OP!$C$83=2,$AA556,IF(OP!$C$83=3,$AB556,)))+$K557-$O557-$P557-$AS557&lt;OP!$C$142,0,$AS557)</f>
        <v>0</v>
      </c>
      <c r="V557" s="9"/>
      <c r="W557" s="19">
        <f ca="1">MAX(SUM($K$4:K557),0)</f>
        <v>2000000</v>
      </c>
      <c r="X557" s="19"/>
      <c r="Y557" s="19">
        <f t="shared" ca="1" si="329"/>
        <v>1920000</v>
      </c>
      <c r="Z557" s="2">
        <f ca="1">IF(MIN($Z$4:Z556)=0,0,MAX(0,($Z556+$K557-$O557-$P557)*IF(AND(F557="F",$D$3&lt;&gt;$G$3),((1+(-J557))^(H557/MIN(G557,365))),((1+(-J557))^(1/12)))-$U557))</f>
        <v>179835.04980870287</v>
      </c>
      <c r="AA557" s="2">
        <f ca="1">IF(MIN($AA$4:AA556)=0,0,MAX(0,($AA556+$K557-$O557-$P557)*IF(AND(F557="F",$D$3&lt;&gt;$G$3),((1+$AA$1)^(H557/MIN(G557,365))),((1+$AA$1)^(1/12)))-$U557))</f>
        <v>1920000</v>
      </c>
      <c r="AB557" s="2">
        <f ca="1">IF(MIN($AB$4:AB556)=0,0,MAX(0,($AB556+$K557-$O557-$P557)*IF(AND(F557="F",$D$3&lt;&gt;$G$3),((1+(J557))^(H557/MIN(G557,365))),((1+(J557))^(1/12)))-$U557))</f>
        <v>18261671.901786543</v>
      </c>
      <c r="AC557" s="5"/>
      <c r="AD557" s="5"/>
      <c r="AE557" s="5"/>
      <c r="AF557" s="282">
        <f t="shared" ca="1" si="312"/>
        <v>179835</v>
      </c>
      <c r="AG557" s="282">
        <f t="shared" ca="1" si="313"/>
        <v>1920000</v>
      </c>
      <c r="AH557" s="282">
        <f t="shared" ca="1" si="314"/>
        <v>18261672</v>
      </c>
      <c r="AI557" s="23" t="str">
        <f t="shared" ca="1" si="331"/>
        <v>47-3</v>
      </c>
      <c r="AJ557" s="282">
        <f ca="1">IF(E557&gt;111,,IF(AND(OP!$C$99=1,T557="F"),Z557,IF(AND(OP!$C$99=2,COUNTIF($T$4:T557,"F")=1),OP!$C$97+IF(F557="F",OP!$C$98,0),"")))</f>
        <v>54527</v>
      </c>
      <c r="AK557" s="282">
        <f ca="1">IF(E557&gt;111,,IF(AND(OP!$D$99=1,T557="F"),AA557,IF(AND(OP!$D$99=2,COUNTIF($T$4:T557,"F")=1),OP!$D$97+IF(F557="F",OP!$D$98,0),"")))</f>
        <v>74177</v>
      </c>
      <c r="AL557" s="282">
        <f ca="1">IF(E557&gt;111,,IF(AND(OP!$E$99=1,T557="F"),AB557,IF(AND(OP!$E$99=2,COUNTIF($T$4:T557,"F")=1),OP!$E$97+IF(F557="F",OP!$E$98,0),"")))</f>
        <v>99404</v>
      </c>
      <c r="AM557" s="1">
        <f t="shared" ca="1" si="304"/>
        <v>3</v>
      </c>
      <c r="AN557" s="1" t="e">
        <f ca="1">IF(OR(VLOOKUP($A557,MP,5,0)="月繳"),1,"")</f>
        <v>#N/A</v>
      </c>
      <c r="AO557" s="1">
        <f t="shared" ca="1" si="315"/>
        <v>0</v>
      </c>
      <c r="AP557" s="1" t="str">
        <f ca="1">IF(AND(A557&lt;=OP!$C$120,COUNTIF(PAY,C557)=1),1,"")</f>
        <v/>
      </c>
      <c r="AR557" s="301">
        <f ca="1">IF(繳費報酬率資料!$A$1=1,$AY557+$AZ557,$BF557+$BG557)</f>
        <v>0</v>
      </c>
      <c r="AS557" s="1">
        <f ca="1">IF(C557&lt;&gt;IF($C$3=1,12,$C$3-1),0,IF(繳費報酬率資料!$A$1&lt;&gt;1,VLOOKUP($A557,MP,8,0),IF(AND($A557&gt;=OP!$C$79,$A557&lt;=OP!$C$80),OP!$C$78,)))</f>
        <v>0</v>
      </c>
      <c r="AT557" s="298">
        <f t="shared" ca="1" si="316"/>
        <v>0</v>
      </c>
      <c r="AU557" s="298">
        <f ca="1">IF(AND(A557&lt;=OP!$C$120,COUNTIF(PAY,C557)=1),OP!$C$123,0)</f>
        <v>0</v>
      </c>
      <c r="AV557" s="298">
        <f ca="1">IF(AND(A557&gt;=OP!$C$132,A557&lt;=OP!$C$133,$C$3=C557),OP!$C$135,0)</f>
        <v>0</v>
      </c>
      <c r="AW557" s="180">
        <f t="shared" ca="1" si="317"/>
        <v>0.05</v>
      </c>
      <c r="AX557" s="180">
        <f t="shared" ca="1" si="318"/>
        <v>0.05</v>
      </c>
      <c r="AY557" s="286">
        <f t="shared" ca="1" si="319"/>
        <v>0</v>
      </c>
      <c r="AZ557" s="286">
        <f t="shared" ca="1" si="320"/>
        <v>0</v>
      </c>
      <c r="BA557" s="286">
        <f t="shared" ca="1" si="321"/>
        <v>0</v>
      </c>
      <c r="BB557" s="286">
        <f t="shared" ca="1" si="322"/>
        <v>0</v>
      </c>
      <c r="BC557" s="286">
        <f t="shared" ca="1" si="323"/>
        <v>0</v>
      </c>
      <c r="BD557" s="180">
        <f t="shared" ca="1" si="324"/>
        <v>0.05</v>
      </c>
      <c r="BE557" s="180">
        <f t="shared" ca="1" si="325"/>
        <v>0.05</v>
      </c>
      <c r="BF557" s="286">
        <f t="shared" ca="1" si="326"/>
        <v>0</v>
      </c>
      <c r="BG557" s="286">
        <f t="shared" ca="1" si="327"/>
        <v>0</v>
      </c>
    </row>
    <row r="558" spans="1:59">
      <c r="A558" s="1">
        <f t="shared" ca="1" si="307"/>
        <v>47</v>
      </c>
      <c r="B558" s="1">
        <f t="shared" ca="1" si="300"/>
        <v>152</v>
      </c>
      <c r="C558" s="1">
        <f t="shared" ca="1" si="301"/>
        <v>8</v>
      </c>
      <c r="D558" s="1">
        <f ca="1">MIN($D$3,VLOOKUP(C558,OP!$S$30:$T$41,2))</f>
        <v>2</v>
      </c>
      <c r="E558" s="1">
        <f t="shared" ca="1" si="302"/>
        <v>101</v>
      </c>
      <c r="F558" s="11" t="str">
        <f t="shared" ca="1" si="308"/>
        <v/>
      </c>
      <c r="G558" s="8">
        <f t="shared" ca="1" si="334"/>
        <v>366</v>
      </c>
      <c r="H558" s="8">
        <f t="shared" ca="1" si="309"/>
        <v>31</v>
      </c>
      <c r="I558" s="8" t="str">
        <f t="shared" ca="1" si="306"/>
        <v>478</v>
      </c>
      <c r="J558" s="13">
        <f>IF(繳費報酬率資料!$A$1=1,VALUE(OP!$C$121),VLOOKUP(A558,MP,2,0))</f>
        <v>0.05</v>
      </c>
      <c r="K558" s="14">
        <f ca="1">IF(SUM($K$4:K557,IF(繳費報酬率資料!$A$1=1,$AU558+$AV558,$BB558+$BC558))&gt;OP!$L$58,0,IF(繳費報酬率資料!$A$1=1,$AU558+$AV558,$BB558+$BC558))</f>
        <v>0</v>
      </c>
      <c r="L558" s="2"/>
      <c r="M558" s="2"/>
      <c r="N558" s="2"/>
      <c r="O558" s="261">
        <f t="shared" ca="1" si="310"/>
        <v>0</v>
      </c>
      <c r="P558" s="261">
        <f t="shared" ca="1" si="328"/>
        <v>0</v>
      </c>
      <c r="Q558" s="3">
        <f ca="1">IF(A558&gt;MAX(OP!$R$17:$R$26),0,VLOOKUP(A558,fees,3,FALSE))</f>
        <v>0</v>
      </c>
      <c r="R558" s="200" t="str">
        <f t="shared" ca="1" si="311"/>
        <v/>
      </c>
      <c r="S558" s="9" t="str">
        <f ca="1">IF(COUNTIF(($T$4:T557),"F")&gt;=1,"",IF(OR(C559&lt;&gt;$C$3,E558=""),"",A558))</f>
        <v/>
      </c>
      <c r="T558" s="20" t="str">
        <f t="shared" ca="1" si="303"/>
        <v/>
      </c>
      <c r="U558" s="2">
        <f ca="1">IF(IF(OP!$C$83=1,$Z557,IF(OP!$C$83=2,$AA557,IF(OP!$C$83=3,$AB557,)))+$K558-$O558-$P558-$AS558&lt;OP!$C$142,0,$AS558)</f>
        <v>0</v>
      </c>
      <c r="V558" s="9"/>
      <c r="W558" s="19">
        <f ca="1">MAX(SUM($K$4:K558),0)</f>
        <v>2000000</v>
      </c>
      <c r="X558" s="19"/>
      <c r="Y558" s="19">
        <f t="shared" ca="1" si="329"/>
        <v>1920000</v>
      </c>
      <c r="Z558" s="2">
        <f ca="1">IF(MIN($Z$4:Z557)=0,0,MAX(0,($Z557+$K558-$O558-$P558)*IF(AND(F558="F",$D$3&lt;&gt;$G$3),((1+(-J558))^(H558/MIN(G558,365))),((1+(-J558))^(1/12)))-$U558))</f>
        <v>179067.99599389025</v>
      </c>
      <c r="AA558" s="2">
        <f ca="1">IF(MIN($AA$4:AA557)=0,0,MAX(0,($AA557+$K558-$O558-$P558)*IF(AND(F558="F",$D$3&lt;&gt;$G$3),((1+$AA$1)^(H558/MIN(G558,365))),((1+$AA$1)^(1/12)))-$U558))</f>
        <v>1920000</v>
      </c>
      <c r="AB558" s="2">
        <f ca="1">IF(MIN($AB$4:AB557)=0,0,MAX(0,($AB557+$K558-$O558-$P558)*IF(AND(F558="F",$D$3&lt;&gt;$G$3),((1+(J558))^(H558/MIN(G558,365))),((1+(J558))^(1/12)))-$U558))</f>
        <v>18336072.213610794</v>
      </c>
      <c r="AC558" s="5"/>
      <c r="AD558" s="5"/>
      <c r="AE558" s="5"/>
      <c r="AF558" s="282">
        <f t="shared" ca="1" si="312"/>
        <v>179068</v>
      </c>
      <c r="AG558" s="282">
        <f t="shared" ca="1" si="313"/>
        <v>1920000</v>
      </c>
      <c r="AH558" s="282">
        <f t="shared" ca="1" si="314"/>
        <v>18336072</v>
      </c>
      <c r="AI558" s="23" t="str">
        <f t="shared" ca="1" si="331"/>
        <v>47-4</v>
      </c>
      <c r="AJ558" s="282">
        <f ca="1">IF(E558&gt;111,,IF(AND(OP!$C$99=1,T558="F"),Z558,IF(AND(OP!$C$99=2,COUNTIF($T$4:T558,"F")=1),OP!$C$97+IF(F558="F",OP!$C$98,0),"")))</f>
        <v>54527</v>
      </c>
      <c r="AK558" s="282">
        <f ca="1">IF(E558&gt;111,,IF(AND(OP!$D$99=1,T558="F"),AA558,IF(AND(OP!$D$99=2,COUNTIF($T$4:T558,"F")=1),OP!$D$97+IF(F558="F",OP!$D$98,0),"")))</f>
        <v>74177</v>
      </c>
      <c r="AL558" s="282">
        <f ca="1">IF(E558&gt;111,,IF(AND(OP!$E$99=1,T558="F"),AB558,IF(AND(OP!$E$99=2,COUNTIF($T$4:T558,"F")=1),OP!$E$97+IF(F558="F",OP!$E$98,0),"")))</f>
        <v>99404</v>
      </c>
      <c r="AM558" s="1">
        <f t="shared" ca="1" si="304"/>
        <v>4</v>
      </c>
      <c r="AN558" s="1" t="e">
        <f ca="1">IF(OR(VLOOKUP($A558,MP,5,0)="月繳"),1,"")</f>
        <v>#N/A</v>
      </c>
      <c r="AO558" s="1">
        <f t="shared" ca="1" si="315"/>
        <v>0</v>
      </c>
      <c r="AP558" s="1" t="str">
        <f ca="1">IF(AND(A558&lt;=OP!$C$120,COUNTIF(PAY,C558)=1),1,"")</f>
        <v/>
      </c>
      <c r="AR558" s="301">
        <f ca="1">IF(繳費報酬率資料!$A$1=1,$AY558+$AZ558,$BF558+$BG558)</f>
        <v>0</v>
      </c>
      <c r="AS558" s="1">
        <f ca="1">IF(C558&lt;&gt;IF($C$3=1,12,$C$3-1),0,IF(繳費報酬率資料!$A$1&lt;&gt;1,VLOOKUP($A558,MP,8,0),IF(AND($A558&gt;=OP!$C$79,$A558&lt;=OP!$C$80),OP!$C$78,)))</f>
        <v>0</v>
      </c>
      <c r="AT558" s="298">
        <f t="shared" ca="1" si="316"/>
        <v>0</v>
      </c>
      <c r="AU558" s="298">
        <f ca="1">IF(AND(A558&lt;=OP!$C$120,COUNTIF(PAY,C558)=1),OP!$C$123,0)</f>
        <v>0</v>
      </c>
      <c r="AV558" s="298">
        <f ca="1">IF(AND(A558&gt;=OP!$C$132,A558&lt;=OP!$C$133,$C$3=C558),OP!$C$135,0)</f>
        <v>0</v>
      </c>
      <c r="AW558" s="180">
        <f t="shared" ca="1" si="317"/>
        <v>0.05</v>
      </c>
      <c r="AX558" s="180">
        <f t="shared" ca="1" si="318"/>
        <v>0.05</v>
      </c>
      <c r="AY558" s="286">
        <f t="shared" ca="1" si="319"/>
        <v>0</v>
      </c>
      <c r="AZ558" s="286">
        <f t="shared" ca="1" si="320"/>
        <v>0</v>
      </c>
      <c r="BA558" s="286">
        <f t="shared" ca="1" si="321"/>
        <v>0</v>
      </c>
      <c r="BB558" s="286">
        <f t="shared" ca="1" si="322"/>
        <v>0</v>
      </c>
      <c r="BC558" s="286">
        <f t="shared" ca="1" si="323"/>
        <v>0</v>
      </c>
      <c r="BD558" s="180">
        <f t="shared" ca="1" si="324"/>
        <v>0.05</v>
      </c>
      <c r="BE558" s="180">
        <f t="shared" ca="1" si="325"/>
        <v>0.05</v>
      </c>
      <c r="BF558" s="286">
        <f t="shared" ca="1" si="326"/>
        <v>0</v>
      </c>
      <c r="BG558" s="286">
        <f t="shared" ca="1" si="327"/>
        <v>0</v>
      </c>
    </row>
    <row r="559" spans="1:59">
      <c r="A559" s="1">
        <f t="shared" ca="1" si="307"/>
        <v>47</v>
      </c>
      <c r="B559" s="1">
        <f t="shared" ca="1" si="300"/>
        <v>152</v>
      </c>
      <c r="C559" s="1">
        <f t="shared" ca="1" si="301"/>
        <v>9</v>
      </c>
      <c r="D559" s="1">
        <f ca="1">MIN($D$3,VLOOKUP(C559,OP!$S$30:$T$41,2))</f>
        <v>2</v>
      </c>
      <c r="E559" s="1">
        <f t="shared" ca="1" si="302"/>
        <v>101</v>
      </c>
      <c r="F559" s="11" t="str">
        <f t="shared" ca="1" si="308"/>
        <v/>
      </c>
      <c r="G559" s="8">
        <f t="shared" ca="1" si="334"/>
        <v>366</v>
      </c>
      <c r="H559" s="8">
        <f t="shared" ca="1" si="309"/>
        <v>30</v>
      </c>
      <c r="I559" s="8" t="str">
        <f t="shared" ca="1" si="306"/>
        <v>479</v>
      </c>
      <c r="J559" s="13">
        <f>IF(繳費報酬率資料!$A$1=1,VALUE(OP!$C$121),VLOOKUP(A559,MP,2,0))</f>
        <v>0.05</v>
      </c>
      <c r="K559" s="14">
        <f ca="1">IF(SUM($K$4:K558,IF(繳費報酬率資料!$A$1=1,$AU559+$AV559,$BB559+$BC559))&gt;OP!$L$58,0,IF(繳費報酬率資料!$A$1=1,$AU559+$AV559,$BB559+$BC559))</f>
        <v>0</v>
      </c>
      <c r="L559" s="2"/>
      <c r="M559" s="2"/>
      <c r="N559" s="2"/>
      <c r="O559" s="261">
        <f t="shared" ca="1" si="310"/>
        <v>0</v>
      </c>
      <c r="P559" s="261">
        <f t="shared" ca="1" si="328"/>
        <v>0</v>
      </c>
      <c r="Q559" s="3">
        <f ca="1">IF(A559&gt;MAX(OP!$R$17:$R$26),0,VLOOKUP(A559,fees,3,FALSE))</f>
        <v>0</v>
      </c>
      <c r="R559" s="200" t="str">
        <f t="shared" ca="1" si="311"/>
        <v/>
      </c>
      <c r="S559" s="9" t="str">
        <f ca="1">IF(COUNTIF(($T$4:T558),"F")&gt;=1,"",IF(OR(C560&lt;&gt;$C$3,E559=""),"",A559))</f>
        <v/>
      </c>
      <c r="T559" s="20" t="str">
        <f t="shared" ca="1" si="303"/>
        <v/>
      </c>
      <c r="U559" s="2">
        <f ca="1">IF(IF(OP!$C$83=1,$Z558,IF(OP!$C$83=2,$AA558,IF(OP!$C$83=3,$AB558,)))+$K559-$O559-$P559-$AS559&lt;OP!$C$142,0,$AS559)</f>
        <v>0</v>
      </c>
      <c r="V559" s="9"/>
      <c r="W559" s="19">
        <f ca="1">MAX(SUM($K$4:K559),0)</f>
        <v>2000000</v>
      </c>
      <c r="X559" s="19"/>
      <c r="Y559" s="19">
        <f t="shared" ca="1" si="329"/>
        <v>1920000</v>
      </c>
      <c r="Z559" s="2">
        <f ca="1">IF(MIN($Z$4:Z558)=0,0,MAX(0,($Z558+$K559-$O559-$P559)*IF(AND(F559="F",$D$3&lt;&gt;$G$3),((1+(-J559))^(H559/MIN(G559,365))),((1+(-J559))^(1/12)))-$U559))</f>
        <v>178304.21390811735</v>
      </c>
      <c r="AA559" s="2">
        <f ca="1">IF(MIN($AA$4:AA558)=0,0,MAX(0,($AA558+$K559-$O559-$P559)*IF(AND(F559="F",$D$3&lt;&gt;$G$3),((1+$AA$1)^(H559/MIN(G559,365))),((1+$AA$1)^(1/12)))-$U559))</f>
        <v>1920000</v>
      </c>
      <c r="AB559" s="2">
        <f ca="1">IF(MIN($AB$4:AB558)=0,0,MAX(0,($AB558+$K559-$O559-$P559)*IF(AND(F559="F",$D$3&lt;&gt;$G$3),((1+(J559))^(H559/MIN(G559,365))),((1+(J559))^(1/12)))-$U559))</f>
        <v>18410775.641514961</v>
      </c>
      <c r="AC559" s="5"/>
      <c r="AD559" s="5"/>
      <c r="AE559" s="5"/>
      <c r="AF559" s="282">
        <f t="shared" ca="1" si="312"/>
        <v>178304</v>
      </c>
      <c r="AG559" s="282">
        <f t="shared" ca="1" si="313"/>
        <v>1920000</v>
      </c>
      <c r="AH559" s="282">
        <f t="shared" ca="1" si="314"/>
        <v>18410776</v>
      </c>
      <c r="AI559" s="23" t="str">
        <f t="shared" ca="1" si="331"/>
        <v>47-5</v>
      </c>
      <c r="AJ559" s="282">
        <f ca="1">IF(E559&gt;111,,IF(AND(OP!$C$99=1,T559="F"),Z559,IF(AND(OP!$C$99=2,COUNTIF($T$4:T559,"F")=1),OP!$C$97+IF(F559="F",OP!$C$98,0),"")))</f>
        <v>54527</v>
      </c>
      <c r="AK559" s="282">
        <f ca="1">IF(E559&gt;111,,IF(AND(OP!$D$99=1,T559="F"),AA559,IF(AND(OP!$D$99=2,COUNTIF($T$4:T559,"F")=1),OP!$D$97+IF(F559="F",OP!$D$98,0),"")))</f>
        <v>74177</v>
      </c>
      <c r="AL559" s="282">
        <f ca="1">IF(E559&gt;111,,IF(AND(OP!$E$99=1,T559="F"),AB559,IF(AND(OP!$E$99=2,COUNTIF($T$4:T559,"F")=1),OP!$E$97+IF(F559="F",OP!$E$98,0),"")))</f>
        <v>99404</v>
      </c>
      <c r="AM559" s="1">
        <f t="shared" ca="1" si="304"/>
        <v>5</v>
      </c>
      <c r="AN559" s="1" t="e">
        <f ca="1">IF(OR(VLOOKUP($A559,MP,5,0)="季繳",VLOOKUP($A559,MP,5,0)="月繳"),1,"")</f>
        <v>#N/A</v>
      </c>
      <c r="AO559" s="1">
        <f t="shared" ca="1" si="315"/>
        <v>0</v>
      </c>
      <c r="AP559" s="1" t="str">
        <f ca="1">IF(AND(A559&lt;=OP!$C$120,COUNTIF(PAY,C559)=1),1,"")</f>
        <v/>
      </c>
      <c r="AR559" s="301">
        <f ca="1">IF(繳費報酬率資料!$A$1=1,$AY559+$AZ559,$BF559+$BG559)</f>
        <v>0</v>
      </c>
      <c r="AS559" s="1">
        <f ca="1">IF(C559&lt;&gt;IF($C$3=1,12,$C$3-1),0,IF(繳費報酬率資料!$A$1&lt;&gt;1,VLOOKUP($A559,MP,8,0),IF(AND($A559&gt;=OP!$C$79,$A559&lt;=OP!$C$80),OP!$C$78,)))</f>
        <v>0</v>
      </c>
      <c r="AT559" s="298">
        <f t="shared" ca="1" si="316"/>
        <v>0</v>
      </c>
      <c r="AU559" s="298">
        <f ca="1">IF(AND(A559&lt;=OP!$C$120,COUNTIF(PAY,C559)=1),OP!$C$123,0)</f>
        <v>0</v>
      </c>
      <c r="AV559" s="298">
        <f ca="1">IF(AND(A559&gt;=OP!$C$132,A559&lt;=OP!$C$133,$C$3=C559),OP!$C$135,0)</f>
        <v>0</v>
      </c>
      <c r="AW559" s="180">
        <f t="shared" ca="1" si="317"/>
        <v>0.05</v>
      </c>
      <c r="AX559" s="180">
        <f t="shared" ca="1" si="318"/>
        <v>0.05</v>
      </c>
      <c r="AY559" s="286">
        <f t="shared" ca="1" si="319"/>
        <v>0</v>
      </c>
      <c r="AZ559" s="286">
        <f t="shared" ca="1" si="320"/>
        <v>0</v>
      </c>
      <c r="BA559" s="286">
        <f t="shared" ca="1" si="321"/>
        <v>0</v>
      </c>
      <c r="BB559" s="286">
        <f t="shared" ca="1" si="322"/>
        <v>0</v>
      </c>
      <c r="BC559" s="286">
        <f t="shared" ca="1" si="323"/>
        <v>0</v>
      </c>
      <c r="BD559" s="180">
        <f t="shared" ca="1" si="324"/>
        <v>0.05</v>
      </c>
      <c r="BE559" s="180">
        <f t="shared" ca="1" si="325"/>
        <v>0.05</v>
      </c>
      <c r="BF559" s="286">
        <f t="shared" ca="1" si="326"/>
        <v>0</v>
      </c>
      <c r="BG559" s="286">
        <f t="shared" ca="1" si="327"/>
        <v>0</v>
      </c>
    </row>
    <row r="560" spans="1:59">
      <c r="A560" s="1">
        <f t="shared" ca="1" si="307"/>
        <v>47</v>
      </c>
      <c r="B560" s="1">
        <f t="shared" ca="1" si="300"/>
        <v>152</v>
      </c>
      <c r="C560" s="1">
        <f t="shared" ca="1" si="301"/>
        <v>10</v>
      </c>
      <c r="D560" s="1">
        <f ca="1">MIN($D$3,VLOOKUP(C560,OP!$S$30:$T$41,2))</f>
        <v>2</v>
      </c>
      <c r="E560" s="1">
        <f t="shared" ca="1" si="302"/>
        <v>101</v>
      </c>
      <c r="F560" s="11" t="str">
        <f t="shared" ca="1" si="308"/>
        <v/>
      </c>
      <c r="G560" s="8">
        <f t="shared" ca="1" si="334"/>
        <v>366</v>
      </c>
      <c r="H560" s="8">
        <f t="shared" ca="1" si="309"/>
        <v>31</v>
      </c>
      <c r="I560" s="8" t="str">
        <f t="shared" ca="1" si="306"/>
        <v>4710</v>
      </c>
      <c r="J560" s="13">
        <f>IF(繳費報酬率資料!$A$1=1,VALUE(OP!$C$121),VLOOKUP(A560,MP,2,0))</f>
        <v>0.05</v>
      </c>
      <c r="K560" s="14">
        <f ca="1">IF(SUM($K$4:K559,IF(繳費報酬率資料!$A$1=1,$AU560+$AV560,$BB560+$BC560))&gt;OP!$L$58,0,IF(繳費報酬率資料!$A$1=1,$AU560+$AV560,$BB560+$BC560))</f>
        <v>0</v>
      </c>
      <c r="L560" s="2"/>
      <c r="M560" s="2"/>
      <c r="N560" s="2"/>
      <c r="O560" s="261">
        <f t="shared" ca="1" si="310"/>
        <v>0</v>
      </c>
      <c r="P560" s="261">
        <f t="shared" ca="1" si="328"/>
        <v>0</v>
      </c>
      <c r="Q560" s="3">
        <f ca="1">IF(A560&gt;MAX(OP!$R$17:$R$26),0,VLOOKUP(A560,fees,3,FALSE))</f>
        <v>0</v>
      </c>
      <c r="R560" s="200" t="str">
        <f t="shared" ca="1" si="311"/>
        <v/>
      </c>
      <c r="S560" s="9" t="str">
        <f ca="1">IF(COUNTIF(($T$4:T559),"F")&gt;=1,"",IF(OR(C561&lt;&gt;$C$3,E560=""),"",A560))</f>
        <v/>
      </c>
      <c r="T560" s="20" t="str">
        <f t="shared" ca="1" si="303"/>
        <v/>
      </c>
      <c r="U560" s="2">
        <f ca="1">IF(IF(OP!$C$83=1,$Z559,IF(OP!$C$83=2,$AA559,IF(OP!$C$83=3,$AB559,)))+$K560-$O560-$P560-$AS560&lt;OP!$C$142,0,$AS560)</f>
        <v>0</v>
      </c>
      <c r="V560" s="9"/>
      <c r="W560" s="19">
        <f ca="1">MAX(SUM($K$4:K560),0)</f>
        <v>2000000</v>
      </c>
      <c r="X560" s="19"/>
      <c r="Y560" s="19">
        <f t="shared" ca="1" si="329"/>
        <v>1920000</v>
      </c>
      <c r="Z560" s="2">
        <f ca="1">IF(MIN($Z$4:Z559)=0,0,MAX(0,($Z559+$K560-$O560-$P560)*IF(AND(F560="F",$D$3&lt;&gt;$G$3),((1+(-J560))^(H560/MIN(G560,365))),((1+(-J560))^(1/12)))-$U560))</f>
        <v>177543.68959641687</v>
      </c>
      <c r="AA560" s="2">
        <f ca="1">IF(MIN($AA$4:AA559)=0,0,MAX(0,($AA559+$K560-$O560-$P560)*IF(AND(F560="F",$D$3&lt;&gt;$G$3),((1+$AA$1)^(H560/MIN(G560,365))),((1+$AA$1)^(1/12)))-$U560))</f>
        <v>1920000</v>
      </c>
      <c r="AB560" s="2">
        <f ca="1">IF(MIN($AB$4:AB559)=0,0,MAX(0,($AB559+$K560-$O560-$P560)*IF(AND(F560="F",$D$3&lt;&gt;$G$3),((1+(J560))^(H560/MIN(G560,365))),((1+(J560))^(1/12)))-$U560))</f>
        <v>18485783.420431472</v>
      </c>
      <c r="AC560" s="5"/>
      <c r="AD560" s="5"/>
      <c r="AE560" s="5"/>
      <c r="AF560" s="282">
        <f t="shared" ca="1" si="312"/>
        <v>177544</v>
      </c>
      <c r="AG560" s="282">
        <f t="shared" ca="1" si="313"/>
        <v>1920000</v>
      </c>
      <c r="AH560" s="282">
        <f t="shared" ca="1" si="314"/>
        <v>18485783</v>
      </c>
      <c r="AI560" s="23" t="str">
        <f t="shared" ca="1" si="331"/>
        <v>47-6</v>
      </c>
      <c r="AJ560" s="282">
        <f ca="1">IF(E560&gt;111,,IF(AND(OP!$C$99=1,T560="F"),Z560,IF(AND(OP!$C$99=2,COUNTIF($T$4:T560,"F")=1),OP!$C$97+IF(F560="F",OP!$C$98,0),"")))</f>
        <v>54527</v>
      </c>
      <c r="AK560" s="282">
        <f ca="1">IF(E560&gt;111,,IF(AND(OP!$D$99=1,T560="F"),AA560,IF(AND(OP!$D$99=2,COUNTIF($T$4:T560,"F")=1),OP!$D$97+IF(F560="F",OP!$D$98,0),"")))</f>
        <v>74177</v>
      </c>
      <c r="AL560" s="282">
        <f ca="1">IF(E560&gt;111,,IF(AND(OP!$E$99=1,T560="F"),AB560,IF(AND(OP!$E$99=2,COUNTIF($T$4:T560,"F")=1),OP!$E$97+IF(F560="F",OP!$E$98,0),"")))</f>
        <v>99404</v>
      </c>
      <c r="AM560" s="1">
        <f t="shared" ca="1" si="304"/>
        <v>6</v>
      </c>
      <c r="AN560" s="1" t="e">
        <f ca="1">IF(OR(VLOOKUP($A560,MP,5,0)="月繳"),1,"")</f>
        <v>#N/A</v>
      </c>
      <c r="AO560" s="1">
        <f t="shared" ca="1" si="315"/>
        <v>0</v>
      </c>
      <c r="AP560" s="1" t="str">
        <f ca="1">IF(AND(A560&lt;=OP!$C$120,COUNTIF(PAY,C560)=1),1,"")</f>
        <v/>
      </c>
      <c r="AR560" s="301">
        <f ca="1">IF(繳費報酬率資料!$A$1=1,$AY560+$AZ560,$BF560+$BG560)</f>
        <v>0</v>
      </c>
      <c r="AS560" s="1">
        <f ca="1">IF(C560&lt;&gt;IF($C$3=1,12,$C$3-1),0,IF(繳費報酬率資料!$A$1&lt;&gt;1,VLOOKUP($A560,MP,8,0),IF(AND($A560&gt;=OP!$C$79,$A560&lt;=OP!$C$80),OP!$C$78,)))</f>
        <v>0</v>
      </c>
      <c r="AT560" s="298">
        <f t="shared" ca="1" si="316"/>
        <v>0</v>
      </c>
      <c r="AU560" s="298">
        <f ca="1">IF(AND(A560&lt;=OP!$C$120,COUNTIF(PAY,C560)=1),OP!$C$123,0)</f>
        <v>0</v>
      </c>
      <c r="AV560" s="298">
        <f ca="1">IF(AND(A560&gt;=OP!$C$132,A560&lt;=OP!$C$133,$C$3=C560),OP!$C$135,0)</f>
        <v>0</v>
      </c>
      <c r="AW560" s="180">
        <f t="shared" ca="1" si="317"/>
        <v>0.05</v>
      </c>
      <c r="AX560" s="180">
        <f t="shared" ca="1" si="318"/>
        <v>0.05</v>
      </c>
      <c r="AY560" s="286">
        <f t="shared" ca="1" si="319"/>
        <v>0</v>
      </c>
      <c r="AZ560" s="286">
        <f t="shared" ca="1" si="320"/>
        <v>0</v>
      </c>
      <c r="BA560" s="286">
        <f t="shared" ca="1" si="321"/>
        <v>0</v>
      </c>
      <c r="BB560" s="286">
        <f t="shared" ca="1" si="322"/>
        <v>0</v>
      </c>
      <c r="BC560" s="286">
        <f t="shared" ca="1" si="323"/>
        <v>0</v>
      </c>
      <c r="BD560" s="180">
        <f t="shared" ca="1" si="324"/>
        <v>0.05</v>
      </c>
      <c r="BE560" s="180">
        <f t="shared" ca="1" si="325"/>
        <v>0.05</v>
      </c>
      <c r="BF560" s="286">
        <f t="shared" ca="1" si="326"/>
        <v>0</v>
      </c>
      <c r="BG560" s="286">
        <f t="shared" ca="1" si="327"/>
        <v>0</v>
      </c>
    </row>
    <row r="561" spans="1:59">
      <c r="A561" s="1">
        <f t="shared" ca="1" si="307"/>
        <v>47</v>
      </c>
      <c r="B561" s="1">
        <f t="shared" ca="1" si="300"/>
        <v>152</v>
      </c>
      <c r="C561" s="1">
        <f t="shared" ca="1" si="301"/>
        <v>11</v>
      </c>
      <c r="D561" s="1">
        <f ca="1">MIN($D$3,VLOOKUP(C561,OP!$S$30:$T$41,2))</f>
        <v>2</v>
      </c>
      <c r="E561" s="1">
        <f t="shared" ca="1" si="302"/>
        <v>101</v>
      </c>
      <c r="F561" s="11" t="str">
        <f t="shared" ca="1" si="308"/>
        <v/>
      </c>
      <c r="G561" s="8">
        <f t="shared" ca="1" si="334"/>
        <v>366</v>
      </c>
      <c r="H561" s="8">
        <f t="shared" ca="1" si="309"/>
        <v>30</v>
      </c>
      <c r="I561" s="8" t="str">
        <f t="shared" ca="1" si="306"/>
        <v>4711</v>
      </c>
      <c r="J561" s="13">
        <f>IF(繳費報酬率資料!$A$1=1,VALUE(OP!$C$121),VLOOKUP(A561,MP,2,0))</f>
        <v>0.05</v>
      </c>
      <c r="K561" s="14">
        <f ca="1">IF(SUM($K$4:K560,IF(繳費報酬率資料!$A$1=1,$AU561+$AV561,$BB561+$BC561))&gt;OP!$L$58,0,IF(繳費報酬率資料!$A$1=1,$AU561+$AV561,$BB561+$BC561))</f>
        <v>0</v>
      </c>
      <c r="L561" s="2"/>
      <c r="M561" s="2"/>
      <c r="N561" s="2"/>
      <c r="O561" s="261">
        <f t="shared" ca="1" si="310"/>
        <v>0</v>
      </c>
      <c r="P561" s="261">
        <f t="shared" ca="1" si="328"/>
        <v>0</v>
      </c>
      <c r="Q561" s="3">
        <f ca="1">IF(A561&gt;MAX(OP!$R$17:$R$26),0,VLOOKUP(A561,fees,3,FALSE))</f>
        <v>0</v>
      </c>
      <c r="R561" s="200" t="str">
        <f t="shared" ca="1" si="311"/>
        <v/>
      </c>
      <c r="S561" s="9" t="str">
        <f ca="1">IF(COUNTIF(($T$4:T560),"F")&gt;=1,"",IF(OR(C562&lt;&gt;$C$3,E561=""),"",A561))</f>
        <v/>
      </c>
      <c r="T561" s="20" t="str">
        <f t="shared" ca="1" si="303"/>
        <v/>
      </c>
      <c r="U561" s="2">
        <f ca="1">IF(IF(OP!$C$83=1,$Z560,IF(OP!$C$83=2,$AA560,IF(OP!$C$83=3,$AB560,)))+$K561-$O561-$P561-$AS561&lt;OP!$C$142,0,$AS561)</f>
        <v>0</v>
      </c>
      <c r="V561" s="9"/>
      <c r="W561" s="19">
        <f ca="1">MAX(SUM($K$4:K561),0)</f>
        <v>2000000</v>
      </c>
      <c r="X561" s="19"/>
      <c r="Y561" s="19">
        <f t="shared" ca="1" si="329"/>
        <v>1920000</v>
      </c>
      <c r="Z561" s="2">
        <f ca="1">IF(MIN($Z$4:Z560)=0,0,MAX(0,($Z560+$K561-$O561-$P561)*IF(AND(F561="F",$D$3&lt;&gt;$G$3),((1+(-J561))^(H561/MIN(G561,365))),((1+(-J561))^(1/12)))-$U561))</f>
        <v>176786.40916334387</v>
      </c>
      <c r="AA561" s="2">
        <f ca="1">IF(MIN($AA$4:AA560)=0,0,MAX(0,($AA560+$K561-$O561-$P561)*IF(AND(F561="F",$D$3&lt;&gt;$G$3),((1+$AA$1)^(H561/MIN(G561,365))),((1+$AA$1)^(1/12)))-$U561))</f>
        <v>1920000</v>
      </c>
      <c r="AB561" s="2">
        <f ca="1">IF(MIN($AB$4:AB560)=0,0,MAX(0,($AB560+$K561-$O561-$P561)*IF(AND(F561="F",$D$3&lt;&gt;$G$3),((1+(J561))^(H561/MIN(G561,365))),((1+(J561))^(1/12)))-$U561))</f>
        <v>18561096.790324025</v>
      </c>
      <c r="AC561" s="5"/>
      <c r="AD561" s="5"/>
      <c r="AE561" s="5"/>
      <c r="AF561" s="282">
        <f t="shared" ca="1" si="312"/>
        <v>176786</v>
      </c>
      <c r="AG561" s="282">
        <f t="shared" ca="1" si="313"/>
        <v>1920000</v>
      </c>
      <c r="AH561" s="282">
        <f t="shared" ca="1" si="314"/>
        <v>18561097</v>
      </c>
      <c r="AI561" s="23" t="str">
        <f t="shared" ca="1" si="331"/>
        <v>47-7</v>
      </c>
      <c r="AJ561" s="282">
        <f ca="1">IF(E561&gt;111,,IF(AND(OP!$C$99=1,T561="F"),Z561,IF(AND(OP!$C$99=2,COUNTIF($T$4:T561,"F")=1),OP!$C$97+IF(F561="F",OP!$C$98,0),"")))</f>
        <v>54527</v>
      </c>
      <c r="AK561" s="282">
        <f ca="1">IF(E561&gt;111,,IF(AND(OP!$D$99=1,T561="F"),AA561,IF(AND(OP!$D$99=2,COUNTIF($T$4:T561,"F")=1),OP!$D$97+IF(F561="F",OP!$D$98,0),"")))</f>
        <v>74177</v>
      </c>
      <c r="AL561" s="282">
        <f ca="1">IF(E561&gt;111,,IF(AND(OP!$E$99=1,T561="F"),AB561,IF(AND(OP!$E$99=2,COUNTIF($T$4:T561,"F")=1),OP!$E$97+IF(F561="F",OP!$E$98,0),"")))</f>
        <v>99404</v>
      </c>
      <c r="AM561" s="1">
        <f t="shared" ca="1" si="304"/>
        <v>7</v>
      </c>
      <c r="AN561" s="1" t="e">
        <f ca="1">IF(OR(VLOOKUP($A561,MP,5,0)="月繳"),1,"")</f>
        <v>#N/A</v>
      </c>
      <c r="AO561" s="1">
        <f t="shared" ca="1" si="315"/>
        <v>0</v>
      </c>
      <c r="AP561" s="1" t="str">
        <f ca="1">IF(AND(A561&lt;=OP!$C$120,COUNTIF(PAY,C561)=1),1,"")</f>
        <v/>
      </c>
      <c r="AR561" s="301">
        <f ca="1">IF(繳費報酬率資料!$A$1=1,$AY561+$AZ561,$BF561+$BG561)</f>
        <v>0</v>
      </c>
      <c r="AS561" s="1">
        <f ca="1">IF(C561&lt;&gt;IF($C$3=1,12,$C$3-1),0,IF(繳費報酬率資料!$A$1&lt;&gt;1,VLOOKUP($A561,MP,8,0),IF(AND($A561&gt;=OP!$C$79,$A561&lt;=OP!$C$80),OP!$C$78,)))</f>
        <v>0</v>
      </c>
      <c r="AT561" s="298">
        <f t="shared" ca="1" si="316"/>
        <v>0</v>
      </c>
      <c r="AU561" s="298">
        <f ca="1">IF(AND(A561&lt;=OP!$C$120,COUNTIF(PAY,C561)=1),OP!$C$123,0)</f>
        <v>0</v>
      </c>
      <c r="AV561" s="298">
        <f ca="1">IF(AND(A561&gt;=OP!$C$132,A561&lt;=OP!$C$133,$C$3=C561),OP!$C$135,0)</f>
        <v>0</v>
      </c>
      <c r="AW561" s="180">
        <f t="shared" ca="1" si="317"/>
        <v>0.05</v>
      </c>
      <c r="AX561" s="180">
        <f t="shared" ca="1" si="318"/>
        <v>0.05</v>
      </c>
      <c r="AY561" s="286">
        <f t="shared" ca="1" si="319"/>
        <v>0</v>
      </c>
      <c r="AZ561" s="286">
        <f t="shared" ca="1" si="320"/>
        <v>0</v>
      </c>
      <c r="BA561" s="286">
        <f t="shared" ca="1" si="321"/>
        <v>0</v>
      </c>
      <c r="BB561" s="286">
        <f t="shared" ca="1" si="322"/>
        <v>0</v>
      </c>
      <c r="BC561" s="286">
        <f t="shared" ca="1" si="323"/>
        <v>0</v>
      </c>
      <c r="BD561" s="180">
        <f t="shared" ca="1" si="324"/>
        <v>0.05</v>
      </c>
      <c r="BE561" s="180">
        <f t="shared" ca="1" si="325"/>
        <v>0.05</v>
      </c>
      <c r="BF561" s="286">
        <f t="shared" ca="1" si="326"/>
        <v>0</v>
      </c>
      <c r="BG561" s="286">
        <f t="shared" ca="1" si="327"/>
        <v>0</v>
      </c>
    </row>
    <row r="562" spans="1:59">
      <c r="A562" s="1">
        <f t="shared" ca="1" si="307"/>
        <v>47</v>
      </c>
      <c r="B562" s="1">
        <f t="shared" ca="1" si="300"/>
        <v>152</v>
      </c>
      <c r="C562" s="1">
        <f t="shared" ca="1" si="301"/>
        <v>12</v>
      </c>
      <c r="D562" s="1">
        <f ca="1">MIN($D$3,VLOOKUP(C562,OP!$S$30:$T$41,2))</f>
        <v>2</v>
      </c>
      <c r="E562" s="1">
        <f t="shared" ca="1" si="302"/>
        <v>101</v>
      </c>
      <c r="F562" s="11" t="str">
        <f t="shared" ca="1" si="308"/>
        <v/>
      </c>
      <c r="G562" s="8">
        <f t="shared" ca="1" si="334"/>
        <v>366</v>
      </c>
      <c r="H562" s="8">
        <f t="shared" ca="1" si="309"/>
        <v>31</v>
      </c>
      <c r="I562" s="8" t="str">
        <f t="shared" ca="1" si="306"/>
        <v>4712</v>
      </c>
      <c r="J562" s="13">
        <f>IF(繳費報酬率資料!$A$1=1,VALUE(OP!$C$121),VLOOKUP(A562,MP,2,0))</f>
        <v>0.05</v>
      </c>
      <c r="K562" s="14">
        <f ca="1">IF(SUM($K$4:K561,IF(繳費報酬率資料!$A$1=1,$AU562+$AV562,$BB562+$BC562))&gt;OP!$L$58,0,IF(繳費報酬率資料!$A$1=1,$AU562+$AV562,$BB562+$BC562))</f>
        <v>0</v>
      </c>
      <c r="L562" s="2"/>
      <c r="M562" s="2"/>
      <c r="N562" s="2"/>
      <c r="O562" s="261">
        <f t="shared" ca="1" si="310"/>
        <v>0</v>
      </c>
      <c r="P562" s="261">
        <f t="shared" ca="1" si="328"/>
        <v>0</v>
      </c>
      <c r="Q562" s="3">
        <f ca="1">IF(A562&gt;MAX(OP!$R$17:$R$26),0,VLOOKUP(A562,fees,3,FALSE))</f>
        <v>0</v>
      </c>
      <c r="R562" s="200" t="str">
        <f t="shared" ca="1" si="311"/>
        <v/>
      </c>
      <c r="S562" s="9" t="str">
        <f ca="1">IF(COUNTIF(($T$4:T561),"F")&gt;=1,"",IF(OR(C563&lt;&gt;$C$3,E562=""),"",A562))</f>
        <v/>
      </c>
      <c r="T562" s="20" t="str">
        <f t="shared" ca="1" si="303"/>
        <v/>
      </c>
      <c r="U562" s="2">
        <f ca="1">IF(IF(OP!$C$83=1,$Z561,IF(OP!$C$83=2,$AA561,IF(OP!$C$83=3,$AB561,)))+$K562-$O562-$P562-$AS562&lt;OP!$C$142,0,$AS562)</f>
        <v>0</v>
      </c>
      <c r="V562" s="9"/>
      <c r="W562" s="19">
        <f ca="1">MAX(SUM($K$4:K562),0)</f>
        <v>2000000</v>
      </c>
      <c r="X562" s="19"/>
      <c r="Y562" s="19">
        <f t="shared" ca="1" si="329"/>
        <v>1920000</v>
      </c>
      <c r="Z562" s="2">
        <f ca="1">IF(MIN($Z$4:Z561)=0,0,MAX(0,($Z561+$K562-$O562-$P562)*IF(AND(F562="F",$D$3&lt;&gt;$G$3),((1+(-J562))^(H562/MIN(G562,365))),((1+(-J562))^(1/12)))-$U562))</f>
        <v>176032.35877272193</v>
      </c>
      <c r="AA562" s="2">
        <f ca="1">IF(MIN($AA$4:AA561)=0,0,MAX(0,($AA561+$K562-$O562-$P562)*IF(AND(F562="F",$D$3&lt;&gt;$G$3),((1+$AA$1)^(H562/MIN(G562,365))),((1+$AA$1)^(1/12)))-$U562))</f>
        <v>1920000</v>
      </c>
      <c r="AB562" s="2">
        <f ca="1">IF(MIN($AB$4:AB561)=0,0,MAX(0,($AB561+$K562-$O562-$P562)*IF(AND(F562="F",$D$3&lt;&gt;$G$3),((1+(J562))^(H562/MIN(G562,365))),((1+(J562))^(1/12)))-$U562))</f>
        <v>18636716.996208083</v>
      </c>
      <c r="AC562" s="5"/>
      <c r="AD562" s="5"/>
      <c r="AE562" s="5"/>
      <c r="AF562" s="282">
        <f t="shared" ca="1" si="312"/>
        <v>176032</v>
      </c>
      <c r="AG562" s="282">
        <f t="shared" ca="1" si="313"/>
        <v>1920000</v>
      </c>
      <c r="AH562" s="282">
        <f t="shared" ca="1" si="314"/>
        <v>18636717</v>
      </c>
      <c r="AI562" s="23" t="str">
        <f t="shared" ca="1" si="331"/>
        <v>47-8</v>
      </c>
      <c r="AJ562" s="282">
        <f ca="1">IF(E562&gt;111,,IF(AND(OP!$C$99=1,T562="F"),Z562,IF(AND(OP!$C$99=2,COUNTIF($T$4:T562,"F")=1),OP!$C$97+IF(F562="F",OP!$C$98,0),"")))</f>
        <v>54527</v>
      </c>
      <c r="AK562" s="282">
        <f ca="1">IF(E562&gt;111,,IF(AND(OP!$D$99=1,T562="F"),AA562,IF(AND(OP!$D$99=2,COUNTIF($T$4:T562,"F")=1),OP!$D$97+IF(F562="F",OP!$D$98,0),"")))</f>
        <v>74177</v>
      </c>
      <c r="AL562" s="282">
        <f ca="1">IF(E562&gt;111,,IF(AND(OP!$E$99=1,T562="F"),AB562,IF(AND(OP!$E$99=2,COUNTIF($T$4:T562,"F")=1),OP!$E$97+IF(F562="F",OP!$E$98,0),"")))</f>
        <v>99404</v>
      </c>
      <c r="AM562" s="1">
        <f t="shared" ca="1" si="304"/>
        <v>8</v>
      </c>
      <c r="AN562" s="1" t="e">
        <f ca="1">IF(OR(VLOOKUP($A562,MP,5,0)="半年繳",VLOOKUP($A562,MP,5,0)="季繳",VLOOKUP($A562,MP,5,0)="月繳"),1,"")</f>
        <v>#N/A</v>
      </c>
      <c r="AO562" s="1">
        <f t="shared" ca="1" si="315"/>
        <v>0</v>
      </c>
      <c r="AP562" s="1" t="str">
        <f ca="1">IF(AND(A562&lt;=OP!$C$120,COUNTIF(PAY,C562)=1),1,"")</f>
        <v/>
      </c>
      <c r="AR562" s="301">
        <f ca="1">IF(繳費報酬率資料!$A$1=1,$AY562+$AZ562,$BF562+$BG562)</f>
        <v>0</v>
      </c>
      <c r="AS562" s="1">
        <f ca="1">IF(C562&lt;&gt;IF($C$3=1,12,$C$3-1),0,IF(繳費報酬率資料!$A$1&lt;&gt;1,VLOOKUP($A562,MP,8,0),IF(AND($A562&gt;=OP!$C$79,$A562&lt;=OP!$C$80),OP!$C$78,)))</f>
        <v>0</v>
      </c>
      <c r="AT562" s="298">
        <f t="shared" ca="1" si="316"/>
        <v>0</v>
      </c>
      <c r="AU562" s="298">
        <f ca="1">IF(AND(A562&lt;=OP!$C$120,COUNTIF(PAY,C562)=1),OP!$C$123,0)</f>
        <v>0</v>
      </c>
      <c r="AV562" s="298">
        <f ca="1">IF(AND(A562&gt;=OP!$C$132,A562&lt;=OP!$C$133,$C$3=C562),OP!$C$135,0)</f>
        <v>0</v>
      </c>
      <c r="AW562" s="180">
        <f t="shared" ca="1" si="317"/>
        <v>0.05</v>
      </c>
      <c r="AX562" s="180">
        <f t="shared" ca="1" si="318"/>
        <v>0.05</v>
      </c>
      <c r="AY562" s="286">
        <f t="shared" ca="1" si="319"/>
        <v>0</v>
      </c>
      <c r="AZ562" s="286">
        <f t="shared" ca="1" si="320"/>
        <v>0</v>
      </c>
      <c r="BA562" s="286">
        <f t="shared" ca="1" si="321"/>
        <v>0</v>
      </c>
      <c r="BB562" s="286">
        <f t="shared" ca="1" si="322"/>
        <v>0</v>
      </c>
      <c r="BC562" s="286">
        <f t="shared" ca="1" si="323"/>
        <v>0</v>
      </c>
      <c r="BD562" s="180">
        <f t="shared" ca="1" si="324"/>
        <v>0.05</v>
      </c>
      <c r="BE562" s="180">
        <f t="shared" ca="1" si="325"/>
        <v>0.05</v>
      </c>
      <c r="BF562" s="286">
        <f t="shared" ca="1" si="326"/>
        <v>0</v>
      </c>
      <c r="BG562" s="286">
        <f t="shared" ca="1" si="327"/>
        <v>0</v>
      </c>
    </row>
    <row r="563" spans="1:59">
      <c r="A563" s="1">
        <f t="shared" ca="1" si="307"/>
        <v>47</v>
      </c>
      <c r="B563" s="1">
        <f t="shared" ca="1" si="300"/>
        <v>153</v>
      </c>
      <c r="C563" s="1">
        <f t="shared" ca="1" si="301"/>
        <v>1</v>
      </c>
      <c r="D563" s="1">
        <f ca="1">MIN($D$3,VLOOKUP(C563,OP!$S$30:$T$41,2))</f>
        <v>2</v>
      </c>
      <c r="E563" s="1">
        <f t="shared" ca="1" si="302"/>
        <v>101</v>
      </c>
      <c r="F563" s="11" t="str">
        <f t="shared" ca="1" si="308"/>
        <v/>
      </c>
      <c r="G563" s="8">
        <f t="shared" ca="1" si="334"/>
        <v>366</v>
      </c>
      <c r="H563" s="8">
        <f t="shared" ca="1" si="309"/>
        <v>31</v>
      </c>
      <c r="I563" s="8" t="str">
        <f t="shared" ca="1" si="306"/>
        <v>471</v>
      </c>
      <c r="J563" s="13">
        <f>IF(繳費報酬率資料!$A$1=1,VALUE(OP!$C$121),VLOOKUP(A563,MP,2,0))</f>
        <v>0.05</v>
      </c>
      <c r="K563" s="14">
        <f ca="1">IF(SUM($K$4:K562,IF(繳費報酬率資料!$A$1=1,$AU563+$AV563,$BB563+$BC563))&gt;OP!$L$58,0,IF(繳費報酬率資料!$A$1=1,$AU563+$AV563,$BB563+$BC563))</f>
        <v>0</v>
      </c>
      <c r="L563" s="2"/>
      <c r="M563" s="2"/>
      <c r="N563" s="2"/>
      <c r="O563" s="261">
        <f t="shared" ca="1" si="310"/>
        <v>0</v>
      </c>
      <c r="P563" s="261">
        <f t="shared" ca="1" si="328"/>
        <v>0</v>
      </c>
      <c r="Q563" s="3">
        <f ca="1">IF(A563&gt;MAX(OP!$R$17:$R$26),0,VLOOKUP(A563,fees,3,FALSE))</f>
        <v>0</v>
      </c>
      <c r="R563" s="200" t="str">
        <f t="shared" ca="1" si="311"/>
        <v/>
      </c>
      <c r="S563" s="9" t="str">
        <f ca="1">IF(COUNTIF(($T$4:T562),"F")&gt;=1,"",IF(OR(C564&lt;&gt;$C$3,E563=""),"",A563))</f>
        <v/>
      </c>
      <c r="T563" s="20" t="str">
        <f t="shared" ca="1" si="303"/>
        <v/>
      </c>
      <c r="U563" s="2">
        <f ca="1">IF(IF(OP!$C$83=1,$Z562,IF(OP!$C$83=2,$AA562,IF(OP!$C$83=3,$AB562,)))+$K563-$O563-$P563-$AS563&lt;OP!$C$142,0,$AS563)</f>
        <v>0</v>
      </c>
      <c r="V563" s="9"/>
      <c r="W563" s="19">
        <f ca="1">MAX(SUM($K$4:K563),0)</f>
        <v>2000000</v>
      </c>
      <c r="X563" s="19"/>
      <c r="Y563" s="19">
        <f t="shared" ca="1" si="329"/>
        <v>1920000</v>
      </c>
      <c r="Z563" s="2">
        <f ca="1">IF(MIN($Z$4:Z562)=0,0,MAX(0,($Z562+$K563-$O563-$P563)*IF(AND(F563="F",$D$3&lt;&gt;$G$3),((1+(-J563))^(H563/MIN(G563,365))),((1+(-J563))^(1/12)))-$U563))</f>
        <v>175281.52464739035</v>
      </c>
      <c r="AA563" s="2">
        <f ca="1">IF(MIN($AA$4:AA562)=0,0,MAX(0,($AA562+$K563-$O563-$P563)*IF(AND(F563="F",$D$3&lt;&gt;$G$3),((1+$AA$1)^(H563/MIN(G563,365))),((1+$AA$1)^(1/12)))-$U563))</f>
        <v>1920000</v>
      </c>
      <c r="AB563" s="2">
        <f ca="1">IF(MIN($AB$4:AB562)=0,0,MAX(0,($AB562+$K563-$O563-$P563)*IF(AND(F563="F",$D$3&lt;&gt;$G$3),((1+(J563))^(H563/MIN(G563,365))),((1+(J563))^(1/12)))-$U563))</f>
        <v>18712645.288171459</v>
      </c>
      <c r="AC563" s="5"/>
      <c r="AD563" s="5"/>
      <c r="AE563" s="5"/>
      <c r="AF563" s="282">
        <f t="shared" ca="1" si="312"/>
        <v>175282</v>
      </c>
      <c r="AG563" s="282">
        <f t="shared" ca="1" si="313"/>
        <v>1920000</v>
      </c>
      <c r="AH563" s="282">
        <f t="shared" ca="1" si="314"/>
        <v>18712645</v>
      </c>
      <c r="AI563" s="23" t="str">
        <f t="shared" ca="1" si="331"/>
        <v>47-9</v>
      </c>
      <c r="AJ563" s="282">
        <f ca="1">IF(E563&gt;111,,IF(AND(OP!$C$99=1,T563="F"),Z563,IF(AND(OP!$C$99=2,COUNTIF($T$4:T563,"F")=1),OP!$C$97+IF(F563="F",OP!$C$98,0),"")))</f>
        <v>54527</v>
      </c>
      <c r="AK563" s="282">
        <f ca="1">IF(E563&gt;111,,IF(AND(OP!$D$99=1,T563="F"),AA563,IF(AND(OP!$D$99=2,COUNTIF($T$4:T563,"F")=1),OP!$D$97+IF(F563="F",OP!$D$98,0),"")))</f>
        <v>74177</v>
      </c>
      <c r="AL563" s="282">
        <f ca="1">IF(E563&gt;111,,IF(AND(OP!$E$99=1,T563="F"),AB563,IF(AND(OP!$E$99=2,COUNTIF($T$4:T563,"F")=1),OP!$E$97+IF(F563="F",OP!$E$98,0),"")))</f>
        <v>99404</v>
      </c>
      <c r="AM563" s="1">
        <f t="shared" ca="1" si="304"/>
        <v>9</v>
      </c>
      <c r="AN563" s="1" t="e">
        <f ca="1">IF(OR(VLOOKUP($A563,MP,5,0)="月繳"),1,"")</f>
        <v>#N/A</v>
      </c>
      <c r="AO563" s="1">
        <f t="shared" ca="1" si="315"/>
        <v>0</v>
      </c>
      <c r="AP563" s="1" t="str">
        <f ca="1">IF(AND(A563&lt;=OP!$C$120,COUNTIF(PAY,C563)=1),1,"")</f>
        <v/>
      </c>
      <c r="AR563" s="301">
        <f ca="1">IF(繳費報酬率資料!$A$1=1,$AY563+$AZ563,$BF563+$BG563)</f>
        <v>0</v>
      </c>
      <c r="AS563" s="1">
        <f ca="1">IF(C563&lt;&gt;IF($C$3=1,12,$C$3-1),0,IF(繳費報酬率資料!$A$1&lt;&gt;1,VLOOKUP($A563,MP,8,0),IF(AND($A563&gt;=OP!$C$79,$A563&lt;=OP!$C$80),OP!$C$78,)))</f>
        <v>0</v>
      </c>
      <c r="AT563" s="298">
        <f t="shared" ca="1" si="316"/>
        <v>0</v>
      </c>
      <c r="AU563" s="298">
        <f ca="1">IF(AND(A563&lt;=OP!$C$120,COUNTIF(PAY,C563)=1),OP!$C$123,0)</f>
        <v>0</v>
      </c>
      <c r="AV563" s="298">
        <f ca="1">IF(AND(A563&gt;=OP!$C$132,A563&lt;=OP!$C$133,$C$3=C563),OP!$C$135,0)</f>
        <v>0</v>
      </c>
      <c r="AW563" s="180">
        <f t="shared" ca="1" si="317"/>
        <v>0.05</v>
      </c>
      <c r="AX563" s="180">
        <f t="shared" ca="1" si="318"/>
        <v>0.05</v>
      </c>
      <c r="AY563" s="286">
        <f t="shared" ca="1" si="319"/>
        <v>0</v>
      </c>
      <c r="AZ563" s="286">
        <f t="shared" ca="1" si="320"/>
        <v>0</v>
      </c>
      <c r="BA563" s="286">
        <f t="shared" ca="1" si="321"/>
        <v>0</v>
      </c>
      <c r="BB563" s="286">
        <f t="shared" ca="1" si="322"/>
        <v>0</v>
      </c>
      <c r="BC563" s="286">
        <f t="shared" ca="1" si="323"/>
        <v>0</v>
      </c>
      <c r="BD563" s="180">
        <f t="shared" ca="1" si="324"/>
        <v>0.05</v>
      </c>
      <c r="BE563" s="180">
        <f t="shared" ca="1" si="325"/>
        <v>0.05</v>
      </c>
      <c r="BF563" s="286">
        <f t="shared" ca="1" si="326"/>
        <v>0</v>
      </c>
      <c r="BG563" s="286">
        <f t="shared" ca="1" si="327"/>
        <v>0</v>
      </c>
    </row>
    <row r="564" spans="1:59">
      <c r="A564" s="1">
        <f t="shared" ca="1" si="307"/>
        <v>47</v>
      </c>
      <c r="B564" s="1">
        <f t="shared" ca="1" si="300"/>
        <v>153</v>
      </c>
      <c r="C564" s="1">
        <f t="shared" ca="1" si="301"/>
        <v>2</v>
      </c>
      <c r="D564" s="1">
        <f ca="1">MIN($D$3,VLOOKUP(C564,OP!$S$30:$T$41,2))</f>
        <v>2</v>
      </c>
      <c r="E564" s="1">
        <f t="shared" ca="1" si="302"/>
        <v>101</v>
      </c>
      <c r="F564" s="11" t="str">
        <f t="shared" ca="1" si="308"/>
        <v/>
      </c>
      <c r="G564" s="8">
        <f t="shared" ca="1" si="334"/>
        <v>366</v>
      </c>
      <c r="H564" s="8">
        <f t="shared" ca="1" si="309"/>
        <v>29</v>
      </c>
      <c r="I564" s="8" t="str">
        <f t="shared" ca="1" si="306"/>
        <v>472</v>
      </c>
      <c r="J564" s="13">
        <f>IF(繳費報酬率資料!$A$1=1,VALUE(OP!$C$121),VLOOKUP(A564,MP,2,0))</f>
        <v>0.05</v>
      </c>
      <c r="K564" s="14">
        <f ca="1">IF(SUM($K$4:K563,IF(繳費報酬率資料!$A$1=1,$AU564+$AV564,$BB564+$BC564))&gt;OP!$L$58,0,IF(繳費報酬率資料!$A$1=1,$AU564+$AV564,$BB564+$BC564))</f>
        <v>0</v>
      </c>
      <c r="L564" s="2"/>
      <c r="M564" s="2"/>
      <c r="N564" s="2"/>
      <c r="O564" s="261">
        <f t="shared" ca="1" si="310"/>
        <v>0</v>
      </c>
      <c r="P564" s="261">
        <f t="shared" ca="1" si="328"/>
        <v>0</v>
      </c>
      <c r="Q564" s="3">
        <f ca="1">IF(A564&gt;MAX(OP!$R$17:$R$26),0,VLOOKUP(A564,fees,3,FALSE))</f>
        <v>0</v>
      </c>
      <c r="R564" s="200" t="str">
        <f t="shared" ca="1" si="311"/>
        <v/>
      </c>
      <c r="S564" s="9" t="str">
        <f ca="1">IF(COUNTIF(($T$4:T563),"F")&gt;=1,"",IF(OR(C565&lt;&gt;$C$3,E564=""),"",A564))</f>
        <v/>
      </c>
      <c r="T564" s="20" t="str">
        <f t="shared" ca="1" si="303"/>
        <v/>
      </c>
      <c r="U564" s="2">
        <f ca="1">IF(IF(OP!$C$83=1,$Z563,IF(OP!$C$83=2,$AA563,IF(OP!$C$83=3,$AB563,)))+$K564-$O564-$P564-$AS564&lt;OP!$C$142,0,$AS564)</f>
        <v>0</v>
      </c>
      <c r="V564" s="9"/>
      <c r="W564" s="19">
        <f ca="1">MAX(SUM($K$4:K564),0)</f>
        <v>2000000</v>
      </c>
      <c r="X564" s="19"/>
      <c r="Y564" s="19">
        <f t="shared" ca="1" si="329"/>
        <v>1920000</v>
      </c>
      <c r="Z564" s="2">
        <f ca="1">IF(MIN($Z$4:Z563)=0,0,MAX(0,($Z563+$K564-$O564-$P564)*IF(AND(F564="F",$D$3&lt;&gt;$G$3),((1+(-J564))^(H564/MIN(G564,365))),((1+(-J564))^(1/12)))-$U564))</f>
        <v>174533.89306895237</v>
      </c>
      <c r="AA564" s="2">
        <f ca="1">IF(MIN($AA$4:AA563)=0,0,MAX(0,($AA563+$K564-$O564-$P564)*IF(AND(F564="F",$D$3&lt;&gt;$G$3),((1+$AA$1)^(H564/MIN(G564,365))),((1+$AA$1)^(1/12)))-$U564))</f>
        <v>1920000</v>
      </c>
      <c r="AB564" s="2">
        <f ca="1">IF(MIN($AB$4:AB563)=0,0,MAX(0,($AB563+$K564-$O564-$P564)*IF(AND(F564="F",$D$3&lt;&gt;$G$3),((1+(J564))^(H564/MIN(G564,365))),((1+(J564))^(1/12)))-$U564))</f>
        <v>18788882.921394974</v>
      </c>
      <c r="AC564" s="5"/>
      <c r="AD564" s="5"/>
      <c r="AE564" s="5"/>
      <c r="AF564" s="282">
        <f t="shared" ca="1" si="312"/>
        <v>174534</v>
      </c>
      <c r="AG564" s="282">
        <f t="shared" ca="1" si="313"/>
        <v>1920000</v>
      </c>
      <c r="AH564" s="282">
        <f t="shared" ca="1" si="314"/>
        <v>18788883</v>
      </c>
      <c r="AI564" s="23" t="str">
        <f t="shared" ca="1" si="331"/>
        <v>47-10</v>
      </c>
      <c r="AJ564" s="282">
        <f ca="1">IF(E564&gt;111,,IF(AND(OP!$C$99=1,T564="F"),Z564,IF(AND(OP!$C$99=2,COUNTIF($T$4:T564,"F")=1),OP!$C$97+IF(F564="F",OP!$C$98,0),"")))</f>
        <v>54527</v>
      </c>
      <c r="AK564" s="282">
        <f ca="1">IF(E564&gt;111,,IF(AND(OP!$D$99=1,T564="F"),AA564,IF(AND(OP!$D$99=2,COUNTIF($T$4:T564,"F")=1),OP!$D$97+IF(F564="F",OP!$D$98,0),"")))</f>
        <v>74177</v>
      </c>
      <c r="AL564" s="282">
        <f ca="1">IF(E564&gt;111,,IF(AND(OP!$E$99=1,T564="F"),AB564,IF(AND(OP!$E$99=2,COUNTIF($T$4:T564,"F")=1),OP!$E$97+IF(F564="F",OP!$E$98,0),"")))</f>
        <v>99404</v>
      </c>
      <c r="AM564" s="1">
        <f t="shared" ca="1" si="304"/>
        <v>10</v>
      </c>
      <c r="AN564" s="1" t="e">
        <f ca="1">IF(OR(VLOOKUP($A564,MP,5,0)="月繳"),1,"")</f>
        <v>#N/A</v>
      </c>
      <c r="AO564" s="1">
        <f t="shared" ca="1" si="315"/>
        <v>0</v>
      </c>
      <c r="AP564" s="1" t="str">
        <f ca="1">IF(AND(A564&lt;=OP!$C$120,COUNTIF(PAY,C564)=1),1,"")</f>
        <v/>
      </c>
      <c r="AR564" s="301">
        <f ca="1">IF(繳費報酬率資料!$A$1=1,$AY564+$AZ564,$BF564+$BG564)</f>
        <v>0</v>
      </c>
      <c r="AS564" s="1">
        <f ca="1">IF(C564&lt;&gt;IF($C$3=1,12,$C$3-1),0,IF(繳費報酬率資料!$A$1&lt;&gt;1,VLOOKUP($A564,MP,8,0),IF(AND($A564&gt;=OP!$C$79,$A564&lt;=OP!$C$80),OP!$C$78,)))</f>
        <v>0</v>
      </c>
      <c r="AT564" s="298">
        <f t="shared" ca="1" si="316"/>
        <v>0</v>
      </c>
      <c r="AU564" s="298">
        <f ca="1">IF(AND(A564&lt;=OP!$C$120,COUNTIF(PAY,C564)=1),OP!$C$123,0)</f>
        <v>0</v>
      </c>
      <c r="AV564" s="298">
        <f ca="1">IF(AND(A564&gt;=OP!$C$132,A564&lt;=OP!$C$133,$C$3=C564),OP!$C$135,0)</f>
        <v>0</v>
      </c>
      <c r="AW564" s="180">
        <f t="shared" ca="1" si="317"/>
        <v>0.05</v>
      </c>
      <c r="AX564" s="180">
        <f t="shared" ca="1" si="318"/>
        <v>0.05</v>
      </c>
      <c r="AY564" s="286">
        <f t="shared" ca="1" si="319"/>
        <v>0</v>
      </c>
      <c r="AZ564" s="286">
        <f t="shared" ca="1" si="320"/>
        <v>0</v>
      </c>
      <c r="BA564" s="286">
        <f t="shared" ca="1" si="321"/>
        <v>0</v>
      </c>
      <c r="BB564" s="286">
        <f t="shared" ca="1" si="322"/>
        <v>0</v>
      </c>
      <c r="BC564" s="286">
        <f t="shared" ca="1" si="323"/>
        <v>0</v>
      </c>
      <c r="BD564" s="180">
        <f t="shared" ca="1" si="324"/>
        <v>0.05</v>
      </c>
      <c r="BE564" s="180">
        <f t="shared" ca="1" si="325"/>
        <v>0.05</v>
      </c>
      <c r="BF564" s="286">
        <f t="shared" ca="1" si="326"/>
        <v>0</v>
      </c>
      <c r="BG564" s="286">
        <f t="shared" ca="1" si="327"/>
        <v>0</v>
      </c>
    </row>
    <row r="565" spans="1:59">
      <c r="A565" s="1">
        <f t="shared" ca="1" si="307"/>
        <v>47</v>
      </c>
      <c r="B565" s="1">
        <f t="shared" ca="1" si="300"/>
        <v>153</v>
      </c>
      <c r="C565" s="1">
        <f t="shared" ca="1" si="301"/>
        <v>3</v>
      </c>
      <c r="D565" s="1">
        <f ca="1">MIN($D$3,VLOOKUP(C565,OP!$S$30:$T$41,2))</f>
        <v>2</v>
      </c>
      <c r="E565" s="1">
        <f t="shared" ca="1" si="302"/>
        <v>101</v>
      </c>
      <c r="F565" s="11" t="str">
        <f t="shared" ca="1" si="308"/>
        <v/>
      </c>
      <c r="G565" s="8">
        <f t="shared" ca="1" si="334"/>
        <v>366</v>
      </c>
      <c r="H565" s="8">
        <f t="shared" ca="1" si="309"/>
        <v>31</v>
      </c>
      <c r="I565" s="8" t="str">
        <f t="shared" ca="1" si="306"/>
        <v>473</v>
      </c>
      <c r="J565" s="13">
        <f>IF(繳費報酬率資料!$A$1=1,VALUE(OP!$C$121),VLOOKUP(A565,MP,2,0))</f>
        <v>0.05</v>
      </c>
      <c r="K565" s="14">
        <f ca="1">IF(SUM($K$4:K564,IF(繳費報酬率資料!$A$1=1,$AU565+$AV565,$BB565+$BC565))&gt;OP!$L$58,0,IF(繳費報酬率資料!$A$1=1,$AU565+$AV565,$BB565+$BC565))</f>
        <v>0</v>
      </c>
      <c r="L565" s="2"/>
      <c r="M565" s="2"/>
      <c r="N565" s="2"/>
      <c r="O565" s="261">
        <f t="shared" ca="1" si="310"/>
        <v>0</v>
      </c>
      <c r="P565" s="261">
        <f t="shared" ca="1" si="328"/>
        <v>0</v>
      </c>
      <c r="Q565" s="3">
        <f ca="1">IF(A565&gt;MAX(OP!$R$17:$R$26),0,VLOOKUP(A565,fees,3,FALSE))</f>
        <v>0</v>
      </c>
      <c r="R565" s="200" t="str">
        <f t="shared" ca="1" si="311"/>
        <v/>
      </c>
      <c r="S565" s="9" t="str">
        <f ca="1">IF(COUNTIF(($T$4:T564),"F")&gt;=1,"",IF(OR(C566&lt;&gt;$C$3,E565=""),"",A565))</f>
        <v/>
      </c>
      <c r="T565" s="20" t="str">
        <f t="shared" ca="1" si="303"/>
        <v/>
      </c>
      <c r="U565" s="2">
        <f ca="1">IF(IF(OP!$C$83=1,$Z564,IF(OP!$C$83=2,$AA564,IF(OP!$C$83=3,$AB564,)))+$K565-$O565-$P565-$AS565&lt;OP!$C$142,0,$AS565)</f>
        <v>0</v>
      </c>
      <c r="V565" s="9"/>
      <c r="W565" s="19">
        <f ca="1">MAX(SUM($K$4:K565),0)</f>
        <v>2000000</v>
      </c>
      <c r="X565" s="19"/>
      <c r="Y565" s="19">
        <f t="shared" ca="1" si="329"/>
        <v>1920000</v>
      </c>
      <c r="Z565" s="2">
        <f ca="1">IF(MIN($Z$4:Z564)=0,0,MAX(0,($Z564+$K565-$O565-$P565)*IF(AND(F565="F",$D$3&lt;&gt;$G$3),((1+(-J565))^(H565/MIN(G565,365))),((1+(-J565))^(1/12)))-$U565))</f>
        <v>173789.4503775246</v>
      </c>
      <c r="AA565" s="2">
        <f ca="1">IF(MIN($AA$4:AA564)=0,0,MAX(0,($AA564+$K565-$O565-$P565)*IF(AND(F565="F",$D$3&lt;&gt;$G$3),((1+$AA$1)^(H565/MIN(G565,365))),((1+$AA$1)^(1/12)))-$U565))</f>
        <v>1920000</v>
      </c>
      <c r="AB565" s="2">
        <f ca="1">IF(MIN($AB$4:AB564)=0,0,MAX(0,($AB564+$K565-$O565-$P565)*IF(AND(F565="F",$D$3&lt;&gt;$G$3),((1+(J565))^(H565/MIN(G565,365))),((1+(J565))^(1/12)))-$U565))</f>
        <v>18865431.156173214</v>
      </c>
      <c r="AC565" s="5"/>
      <c r="AD565" s="5"/>
      <c r="AE565" s="5"/>
      <c r="AF565" s="282">
        <f t="shared" ca="1" si="312"/>
        <v>173789</v>
      </c>
      <c r="AG565" s="282">
        <f t="shared" ca="1" si="313"/>
        <v>1920000</v>
      </c>
      <c r="AH565" s="282">
        <f t="shared" ca="1" si="314"/>
        <v>18865431</v>
      </c>
      <c r="AI565" s="23" t="str">
        <f t="shared" ca="1" si="331"/>
        <v>47-11</v>
      </c>
      <c r="AJ565" s="282">
        <f ca="1">IF(E565&gt;111,,IF(AND(OP!$C$99=1,T565="F"),Z565,IF(AND(OP!$C$99=2,COUNTIF($T$4:T565,"F")=1),OP!$C$97+IF(F565="F",OP!$C$98,0),"")))</f>
        <v>54527</v>
      </c>
      <c r="AK565" s="282">
        <f ca="1">IF(E565&gt;111,,IF(AND(OP!$D$99=1,T565="F"),AA565,IF(AND(OP!$D$99=2,COUNTIF($T$4:T565,"F")=1),OP!$D$97+IF(F565="F",OP!$D$98,0),"")))</f>
        <v>74177</v>
      </c>
      <c r="AL565" s="282">
        <f ca="1">IF(E565&gt;111,,IF(AND(OP!$E$99=1,T565="F"),AB565,IF(AND(OP!$E$99=2,COUNTIF($T$4:T565,"F")=1),OP!$E$97+IF(F565="F",OP!$E$98,0),"")))</f>
        <v>99404</v>
      </c>
      <c r="AM565" s="1">
        <f t="shared" ca="1" si="304"/>
        <v>11</v>
      </c>
      <c r="AN565" s="1" t="e">
        <f ca="1">IF(OR(VLOOKUP($A565,MP,5,0)="季繳",VLOOKUP($A565,MP,5,0)="月繳"),1,"")</f>
        <v>#N/A</v>
      </c>
      <c r="AO565" s="1">
        <f t="shared" ca="1" si="315"/>
        <v>0</v>
      </c>
      <c r="AP565" s="1" t="str">
        <f ca="1">IF(AND(A565&lt;=OP!$C$120,COUNTIF(PAY,C565)=1),1,"")</f>
        <v/>
      </c>
      <c r="AR565" s="301">
        <f ca="1">IF(繳費報酬率資料!$A$1=1,$AY565+$AZ565,$BF565+$BG565)</f>
        <v>0</v>
      </c>
      <c r="AS565" s="1">
        <f ca="1">IF(C565&lt;&gt;IF($C$3=1,12,$C$3-1),0,IF(繳費報酬率資料!$A$1&lt;&gt;1,VLOOKUP($A565,MP,8,0),IF(AND($A565&gt;=OP!$C$79,$A565&lt;=OP!$C$80),OP!$C$78,)))</f>
        <v>0</v>
      </c>
      <c r="AT565" s="298">
        <f t="shared" ca="1" si="316"/>
        <v>0</v>
      </c>
      <c r="AU565" s="298">
        <f ca="1">IF(AND(A565&lt;=OP!$C$120,COUNTIF(PAY,C565)=1),OP!$C$123,0)</f>
        <v>0</v>
      </c>
      <c r="AV565" s="298">
        <f ca="1">IF(AND(A565&gt;=OP!$C$132,A565&lt;=OP!$C$133,$C$3=C565),OP!$C$135,0)</f>
        <v>0</v>
      </c>
      <c r="AW565" s="180">
        <f t="shared" ca="1" si="317"/>
        <v>0.05</v>
      </c>
      <c r="AX565" s="180">
        <f t="shared" ca="1" si="318"/>
        <v>0.05</v>
      </c>
      <c r="AY565" s="286">
        <f t="shared" ca="1" si="319"/>
        <v>0</v>
      </c>
      <c r="AZ565" s="286">
        <f t="shared" ca="1" si="320"/>
        <v>0</v>
      </c>
      <c r="BA565" s="286">
        <f t="shared" ca="1" si="321"/>
        <v>0</v>
      </c>
      <c r="BB565" s="286">
        <f t="shared" ca="1" si="322"/>
        <v>0</v>
      </c>
      <c r="BC565" s="286">
        <f t="shared" ca="1" si="323"/>
        <v>0</v>
      </c>
      <c r="BD565" s="180">
        <f t="shared" ca="1" si="324"/>
        <v>0.05</v>
      </c>
      <c r="BE565" s="180">
        <f t="shared" ca="1" si="325"/>
        <v>0.05</v>
      </c>
      <c r="BF565" s="286">
        <f t="shared" ca="1" si="326"/>
        <v>0</v>
      </c>
      <c r="BG565" s="286">
        <f t="shared" ca="1" si="327"/>
        <v>0</v>
      </c>
    </row>
    <row r="566" spans="1:59">
      <c r="A566" s="1">
        <f t="shared" ca="1" si="307"/>
        <v>47</v>
      </c>
      <c r="B566" s="1">
        <f t="shared" ca="1" si="300"/>
        <v>153</v>
      </c>
      <c r="C566" s="1">
        <f t="shared" ca="1" si="301"/>
        <v>4</v>
      </c>
      <c r="D566" s="1">
        <f ca="1">MIN($D$3,VLOOKUP(C566,OP!$S$30:$T$41,2))</f>
        <v>2</v>
      </c>
      <c r="E566" s="1">
        <f t="shared" ca="1" si="302"/>
        <v>101</v>
      </c>
      <c r="F566" s="11" t="str">
        <f t="shared" ca="1" si="308"/>
        <v/>
      </c>
      <c r="G566" s="8">
        <f t="shared" ca="1" si="334"/>
        <v>366</v>
      </c>
      <c r="H566" s="8">
        <f t="shared" ca="1" si="309"/>
        <v>30</v>
      </c>
      <c r="I566" s="8" t="str">
        <f t="shared" ca="1" si="306"/>
        <v>474</v>
      </c>
      <c r="J566" s="13">
        <f>IF(繳費報酬率資料!$A$1=1,VALUE(OP!$C$121),VLOOKUP(A566,MP,2,0))</f>
        <v>0.05</v>
      </c>
      <c r="K566" s="14">
        <f ca="1">IF(SUM($K$4:K565,IF(繳費報酬率資料!$A$1=1,$AU566+$AV566,$BB566+$BC566))&gt;OP!$L$58,0,IF(繳費報酬率資料!$A$1=1,$AU566+$AV566,$BB566+$BC566))</f>
        <v>0</v>
      </c>
      <c r="L566" s="2"/>
      <c r="M566" s="2"/>
      <c r="N566" s="2"/>
      <c r="O566" s="261">
        <f t="shared" ca="1" si="310"/>
        <v>0</v>
      </c>
      <c r="P566" s="261">
        <f t="shared" ca="1" si="328"/>
        <v>0</v>
      </c>
      <c r="Q566" s="3">
        <f ca="1">IF(A566&gt;MAX(OP!$R$17:$R$26),0,VLOOKUP(A566,fees,3,FALSE))</f>
        <v>0</v>
      </c>
      <c r="R566" s="200" t="str">
        <f t="shared" ca="1" si="311"/>
        <v/>
      </c>
      <c r="S566" s="9" t="str">
        <f ca="1">IF(COUNTIF(($T$4:T565),"F")&gt;=1,"",IF(OR(C567&lt;&gt;$C$3,E566=""),"",A566))</f>
        <v/>
      </c>
      <c r="T566" s="20" t="str">
        <f t="shared" ca="1" si="303"/>
        <v/>
      </c>
      <c r="U566" s="2">
        <f ca="1">IF(IF(OP!$C$83=1,$Z565,IF(OP!$C$83=2,$AA565,IF(OP!$C$83=3,$AB565,)))+$K566-$O566-$P566-$AS566&lt;OP!$C$142,0,$AS566)</f>
        <v>0</v>
      </c>
      <c r="V566" s="9"/>
      <c r="W566" s="19">
        <f ca="1">MAX(SUM($K$4:K566),0)</f>
        <v>2000000</v>
      </c>
      <c r="X566" s="19"/>
      <c r="Y566" s="19">
        <f t="shared" ca="1" si="329"/>
        <v>1920000</v>
      </c>
      <c r="Z566" s="2">
        <f ca="1">IF(MIN($Z$4:Z565)=0,0,MAX(0,($Z565+$K566-$O566-$P566)*IF(AND(F566="F",$D$3&lt;&gt;$G$3),((1+(-J566))^(H566/MIN(G566,365))),((1+(-J566))^(1/12)))-$U566))</f>
        <v>173048.1829714874</v>
      </c>
      <c r="AA566" s="2">
        <f ca="1">IF(MIN($AA$4:AA565)=0,0,MAX(0,($AA565+$K566-$O566-$P566)*IF(AND(F566="F",$D$3&lt;&gt;$G$3),((1+$AA$1)^(H566/MIN(G566,365))),((1+$AA$1)^(1/12)))-$U566))</f>
        <v>1920000</v>
      </c>
      <c r="AB566" s="2">
        <f ca="1">IF(MIN($AB$4:AB565)=0,0,MAX(0,($AB565+$K566-$O566-$P566)*IF(AND(F566="F",$D$3&lt;&gt;$G$3),((1+(J566))^(H566/MIN(G566,365))),((1+(J566))^(1/12)))-$U566))</f>
        <v>18942291.25793536</v>
      </c>
      <c r="AC566" s="5"/>
      <c r="AD566" s="5"/>
      <c r="AE566" s="5"/>
      <c r="AF566" s="282">
        <f t="shared" ca="1" si="312"/>
        <v>173048</v>
      </c>
      <c r="AG566" s="282">
        <f t="shared" ca="1" si="313"/>
        <v>1920000</v>
      </c>
      <c r="AH566" s="282">
        <f t="shared" ca="1" si="314"/>
        <v>18942291</v>
      </c>
      <c r="AI566" s="23" t="str">
        <f t="shared" ca="1" si="331"/>
        <v>47-12</v>
      </c>
      <c r="AJ566" s="282">
        <f ca="1">IF(E566&gt;111,,IF(AND(OP!$C$99=1,T566="F"),Z566,IF(AND(OP!$C$99=2,COUNTIF($T$4:T566,"F")=1),OP!$C$97+IF(F566="F",OP!$C$98,0),"")))</f>
        <v>54527</v>
      </c>
      <c r="AK566" s="282">
        <f ca="1">IF(E566&gt;111,,IF(AND(OP!$D$99=1,T566="F"),AA566,IF(AND(OP!$D$99=2,COUNTIF($T$4:T566,"F")=1),OP!$D$97+IF(F566="F",OP!$D$98,0),"")))</f>
        <v>74177</v>
      </c>
      <c r="AL566" s="282">
        <f ca="1">IF(E566&gt;111,,IF(AND(OP!$E$99=1,T566="F"),AB566,IF(AND(OP!$E$99=2,COUNTIF($T$4:T566,"F")=1),OP!$E$97+IF(F566="F",OP!$E$98,0),"")))</f>
        <v>99404</v>
      </c>
      <c r="AM566" s="1">
        <f t="shared" ca="1" si="304"/>
        <v>12</v>
      </c>
      <c r="AN566" s="1" t="e">
        <f ca="1">IF(OR(VLOOKUP($A566,MP,5,0)="月繳"),1,"")</f>
        <v>#N/A</v>
      </c>
      <c r="AO566" s="1">
        <f t="shared" ca="1" si="315"/>
        <v>0</v>
      </c>
      <c r="AP566" s="1" t="str">
        <f ca="1">IF(AND(A566&lt;=OP!$C$120,COUNTIF(PAY,C566)=1),1,"")</f>
        <v/>
      </c>
      <c r="AR566" s="301">
        <f ca="1">IF(繳費報酬率資料!$A$1=1,$AY566+$AZ566,$BF566+$BG566)</f>
        <v>0</v>
      </c>
      <c r="AS566" s="1">
        <f ca="1">IF(C566&lt;&gt;IF($C$3=1,12,$C$3-1),0,IF(繳費報酬率資料!$A$1&lt;&gt;1,VLOOKUP($A566,MP,8,0),IF(AND($A566&gt;=OP!$C$79,$A566&lt;=OP!$C$80),OP!$C$78,)))</f>
        <v>0</v>
      </c>
      <c r="AT566" s="298">
        <f t="shared" ca="1" si="316"/>
        <v>0</v>
      </c>
      <c r="AU566" s="298">
        <f ca="1">IF(AND(A566&lt;=OP!$C$120,COUNTIF(PAY,C566)=1),OP!$C$123,0)</f>
        <v>0</v>
      </c>
      <c r="AV566" s="298">
        <f ca="1">IF(AND(A566&gt;=OP!$C$132,A566&lt;=OP!$C$133,$C$3=C566),OP!$C$135,0)</f>
        <v>0</v>
      </c>
      <c r="AW566" s="180">
        <f t="shared" ca="1" si="317"/>
        <v>0.05</v>
      </c>
      <c r="AX566" s="180">
        <f t="shared" ca="1" si="318"/>
        <v>0.05</v>
      </c>
      <c r="AY566" s="286">
        <f t="shared" ca="1" si="319"/>
        <v>0</v>
      </c>
      <c r="AZ566" s="286">
        <f t="shared" ca="1" si="320"/>
        <v>0</v>
      </c>
      <c r="BA566" s="286">
        <f t="shared" ca="1" si="321"/>
        <v>0</v>
      </c>
      <c r="BB566" s="286">
        <f t="shared" ca="1" si="322"/>
        <v>0</v>
      </c>
      <c r="BC566" s="286">
        <f t="shared" ca="1" si="323"/>
        <v>0</v>
      </c>
      <c r="BD566" s="180">
        <f t="shared" ca="1" si="324"/>
        <v>0.05</v>
      </c>
      <c r="BE566" s="180">
        <f t="shared" ca="1" si="325"/>
        <v>0.05</v>
      </c>
      <c r="BF566" s="286">
        <f t="shared" ca="1" si="326"/>
        <v>0</v>
      </c>
      <c r="BG566" s="286">
        <f t="shared" ca="1" si="327"/>
        <v>0</v>
      </c>
    </row>
    <row r="567" spans="1:59">
      <c r="A567" s="1">
        <f t="shared" ca="1" si="307"/>
        <v>47</v>
      </c>
      <c r="B567" s="1">
        <f t="shared" ca="1" si="300"/>
        <v>153</v>
      </c>
      <c r="C567" s="1">
        <f t="shared" ca="1" si="301"/>
        <v>5</v>
      </c>
      <c r="D567" s="1">
        <f ca="1">MIN($D$3,VLOOKUP(C567,OP!$S$30:$T$41,2))</f>
        <v>2</v>
      </c>
      <c r="E567" s="1">
        <f t="shared" ca="1" si="302"/>
        <v>101</v>
      </c>
      <c r="F567" s="11" t="str">
        <f t="shared" ca="1" si="308"/>
        <v/>
      </c>
      <c r="G567" s="8">
        <f t="shared" ca="1" si="334"/>
        <v>366</v>
      </c>
      <c r="H567" s="8">
        <f t="shared" ca="1" si="309"/>
        <v>31</v>
      </c>
      <c r="I567" s="8" t="str">
        <f t="shared" ca="1" si="306"/>
        <v>475</v>
      </c>
      <c r="J567" s="13">
        <f>IF(繳費報酬率資料!$A$1=1,VALUE(OP!$C$121),VLOOKUP(A567,MP,2,0))</f>
        <v>0.05</v>
      </c>
      <c r="K567" s="14">
        <f ca="1">IF(SUM($K$4:K566,IF(繳費報酬率資料!$A$1=1,$AU567+$AV567,$BB567+$BC567))&gt;OP!$L$58,0,IF(繳費報酬率資料!$A$1=1,$AU567+$AV567,$BB567+$BC567))</f>
        <v>0</v>
      </c>
      <c r="L567" s="2">
        <f ca="1">ROUND(IF(OP!$C$78&lt;(IF(OR($T567="F",$E567&gt;=111),0,Z566+$K567-$O567+IF($C$1=1,OP!$C$78,IF($C568=$C$3,SUM(AC556:AC567,0)))))*5%,0,(OP!$C$78-((IF(OR($T567="F",$E567&gt;=111),0,Z566+$K567-$O567+IF($C$1=1,AC567,IF($C568=$C$3,SUM(AC556:AC567,0)))))*5%))*$Q567),0)</f>
        <v>0</v>
      </c>
      <c r="M567" s="2">
        <f ca="1">ROUND(IF(OP!$C$78&lt;(IF(OR($T567="F",$E567&gt;=111),0,AA566+$K567-$O567+IF($C$1=1,AD567,IF($C568=$C$3,SUM(AD556:AD567,0)))))*5%,0,(OP!$C$78-((IF(OR($T567="F",$E567&gt;=111),0,AA566+$K567-$O567+IF($C$1=1,AD567,IF($C568=$C$3,SUM(AD556:AD567,0)))))*5%))*$Q567),0)</f>
        <v>0</v>
      </c>
      <c r="N567" s="2">
        <f ca="1">ROUND(IF(OP!$C$78&lt;(IF(OR($T567="F",$E567&gt;=111),0,AB566+$K567-$O567+IF($C$1=1,AE567,IF($C568=$C$3,SUM(AE556:AE567,0)))))*5%,0,(OP!$C$78-((IF(OR($T567="F",$E567&gt;=111),0,AB566+$K567-$O567+IF($C$1=1,AE567,IF($C568=$C$3,SUM(AE556:AE567,0)))))*5%))*$Q567),0)</f>
        <v>0</v>
      </c>
      <c r="O567" s="261">
        <f t="shared" ca="1" si="310"/>
        <v>0</v>
      </c>
      <c r="P567" s="261">
        <f t="shared" ca="1" si="328"/>
        <v>0</v>
      </c>
      <c r="Q567" s="3">
        <f ca="1">IF(A567&gt;MAX(OP!$R$17:$R$26),0,VLOOKUP(A567,fees,3,FALSE))</f>
        <v>0</v>
      </c>
      <c r="R567" s="200">
        <f t="shared" ca="1" si="311"/>
        <v>47</v>
      </c>
      <c r="S567" s="9" t="str">
        <f ca="1">IF(COUNTIF(($T$4:T566),"F")&gt;=1,"",IF(OR(C568&lt;&gt;$C$3,E567=""),"",A567))</f>
        <v/>
      </c>
      <c r="T567" s="20" t="str">
        <f t="shared" ca="1" si="303"/>
        <v/>
      </c>
      <c r="U567" s="2">
        <f ca="1">IF(IF(OP!$C$83=1,$Z566,IF(OP!$C$83=2,$AA566,IF(OP!$C$83=3,$AB566,)))+$K567-$O567-$P567-$AS567&lt;OP!$C$142,0,$AS567)</f>
        <v>0</v>
      </c>
      <c r="V567" s="19">
        <f ca="1">SUM(K556:K567)</f>
        <v>0</v>
      </c>
      <c r="W567" s="19">
        <f ca="1">MAX(SUM($K$4:K567),0)</f>
        <v>2000000</v>
      </c>
      <c r="X567" s="19">
        <f ca="1">SUM(O556:P567)</f>
        <v>0</v>
      </c>
      <c r="Y567" s="19">
        <f t="shared" ca="1" si="329"/>
        <v>1920000</v>
      </c>
      <c r="Z567" s="2">
        <f ca="1">IF(MIN($Z$4:Z566)=0,0,MAX(0,($Z566+$K567-$O567-$P567)*IF(AND(F567="F",$D$3&lt;&gt;$G$3),((1+(-J567))^(H567/MIN(G567,365))),((1+(-J567))^(1/12)))-$U567))</f>
        <v>172310.07730723638</v>
      </c>
      <c r="AA567" s="2">
        <f ca="1">IF(MIN($AA$4:AA566)=0,0,MAX(0,($AA566+$K567-$O567-$P567)*IF(AND(F567="F",$D$3&lt;&gt;$G$3),((1+$AA$1)^(H567/MIN(G567,365))),((1+$AA$1)^(1/12)))-$U567))</f>
        <v>1920000</v>
      </c>
      <c r="AB567" s="2">
        <f ca="1">IF(MIN($AB$4:AB566)=0,0,MAX(0,($AB566+$K567-$O567-$P567)*IF(AND(F567="F",$D$3&lt;&gt;$G$3),((1+(J567))^(H567/MIN(G567,365))),((1+(J567))^(1/12)))-$U567))</f>
        <v>19019464.49726611</v>
      </c>
      <c r="AC567" s="5"/>
      <c r="AD567" s="5"/>
      <c r="AE567" s="5"/>
      <c r="AF567" s="282">
        <f t="shared" ca="1" si="312"/>
        <v>172310</v>
      </c>
      <c r="AG567" s="282">
        <f t="shared" ca="1" si="313"/>
        <v>1920000</v>
      </c>
      <c r="AH567" s="282">
        <f t="shared" ca="1" si="314"/>
        <v>19019464</v>
      </c>
      <c r="AI567" s="23" t="str">
        <f t="shared" ca="1" si="331"/>
        <v>48-1</v>
      </c>
      <c r="AJ567" s="282">
        <f ca="1">IF(E567&gt;111,,IF(AND(OP!$C$99=1,T567="F"),Z567,IF(AND(OP!$C$99=2,COUNTIF($T$4:T567,"F")=1),OP!$C$97+IF(F567="F",OP!$C$98,0),"")))</f>
        <v>54527</v>
      </c>
      <c r="AK567" s="282">
        <f ca="1">IF(E567&gt;111,,IF(AND(OP!$D$99=1,T567="F"),AA567,IF(AND(OP!$D$99=2,COUNTIF($T$4:T567,"F")=1),OP!$D$97+IF(F567="F",OP!$D$98,0),"")))</f>
        <v>74177</v>
      </c>
      <c r="AL567" s="282">
        <f ca="1">IF(E567&gt;111,,IF(AND(OP!$E$99=1,T567="F"),AB567,IF(AND(OP!$E$99=2,COUNTIF($T$4:T567,"F")=1),OP!$E$97+IF(F567="F",OP!$E$98,0),"")))</f>
        <v>99404</v>
      </c>
      <c r="AM567" s="1">
        <f t="shared" ca="1" si="304"/>
        <v>1</v>
      </c>
      <c r="AN567" s="1" t="e">
        <f ca="1">IF(OR(VLOOKUP($A567,MP,5,0)="月繳"),1,"")</f>
        <v>#N/A</v>
      </c>
      <c r="AO567" s="1">
        <f t="shared" ca="1" si="315"/>
        <v>0</v>
      </c>
      <c r="AP567" s="1" t="str">
        <f ca="1">IF(AND(A567&lt;=OP!$C$120,COUNTIF(PAY,C567)=1),1,"")</f>
        <v/>
      </c>
      <c r="AR567" s="301">
        <f ca="1">IF(繳費報酬率資料!$A$1=1,$AY567+$AZ567,$BF567+$BG567)</f>
        <v>0</v>
      </c>
      <c r="AS567" s="1">
        <f ca="1">IF(C567&lt;&gt;IF($C$3=1,12,$C$3-1),0,IF(繳費報酬率資料!$A$1&lt;&gt;1,VLOOKUP($A567,MP,8,0),IF(AND($A567&gt;=OP!$C$79,$A567&lt;=OP!$C$80),OP!$C$78,)))</f>
        <v>0</v>
      </c>
      <c r="AT567" s="298">
        <f t="shared" ca="1" si="316"/>
        <v>0</v>
      </c>
      <c r="AU567" s="298">
        <f ca="1">IF(AND(A567&lt;=OP!$C$120,COUNTIF(PAY,C567)=1),OP!$C$123,0)</f>
        <v>0</v>
      </c>
      <c r="AV567" s="298">
        <f ca="1">IF(AND(A567&gt;=OP!$C$132,A567&lt;=OP!$C$133,$C$3=C567),OP!$C$135,0)</f>
        <v>0</v>
      </c>
      <c r="AW567" s="180">
        <f t="shared" ca="1" si="317"/>
        <v>0.05</v>
      </c>
      <c r="AX567" s="180">
        <f t="shared" ca="1" si="318"/>
        <v>0.05</v>
      </c>
      <c r="AY567" s="286">
        <f t="shared" ca="1" si="319"/>
        <v>0</v>
      </c>
      <c r="AZ567" s="286">
        <f t="shared" ca="1" si="320"/>
        <v>0</v>
      </c>
      <c r="BA567" s="286">
        <f t="shared" ca="1" si="321"/>
        <v>0</v>
      </c>
      <c r="BB567" s="286">
        <f t="shared" ca="1" si="322"/>
        <v>0</v>
      </c>
      <c r="BC567" s="286">
        <f t="shared" ca="1" si="323"/>
        <v>0</v>
      </c>
      <c r="BD567" s="180">
        <f t="shared" ca="1" si="324"/>
        <v>0.05</v>
      </c>
      <c r="BE567" s="180">
        <f t="shared" ca="1" si="325"/>
        <v>0.05</v>
      </c>
      <c r="BF567" s="286">
        <f t="shared" ca="1" si="326"/>
        <v>0</v>
      </c>
      <c r="BG567" s="286">
        <f t="shared" ca="1" si="327"/>
        <v>0</v>
      </c>
    </row>
    <row r="568" spans="1:59">
      <c r="A568" s="1">
        <f t="shared" ca="1" si="307"/>
        <v>48</v>
      </c>
      <c r="B568" s="1">
        <f t="shared" ca="1" si="300"/>
        <v>153</v>
      </c>
      <c r="C568" s="1">
        <f t="shared" ca="1" si="301"/>
        <v>6</v>
      </c>
      <c r="D568" s="1">
        <f ca="1">MIN($D$3,VLOOKUP(C568,OP!$S$30:$T$41,2))</f>
        <v>2</v>
      </c>
      <c r="E568" s="1">
        <f t="shared" ca="1" si="302"/>
        <v>102</v>
      </c>
      <c r="F568" s="11" t="str">
        <f t="shared" ca="1" si="308"/>
        <v/>
      </c>
      <c r="G568" s="6">
        <f ca="1">DATEDIF(DATE(B568+1911,C568,D568),DATE(B580+1911,C580,D580),"d")</f>
        <v>365</v>
      </c>
      <c r="H568" s="8">
        <f t="shared" ca="1" si="309"/>
        <v>30</v>
      </c>
      <c r="I568" s="8" t="str">
        <f t="shared" ca="1" si="306"/>
        <v>486</v>
      </c>
      <c r="J568" s="13">
        <f>IF(繳費報酬率資料!$A$1=1,VALUE(OP!$C$121),VLOOKUP(A568,MP,2,0))</f>
        <v>0.05</v>
      </c>
      <c r="K568" s="14">
        <f ca="1">IF(SUM($K$4:K567,IF(繳費報酬率資料!$A$1=1,$AU568+$AV568,$BB568+$BC568))&gt;OP!$L$58,0,IF(繳費報酬率資料!$A$1=1,$AU568+$AV568,$BB568+$BC568))</f>
        <v>0</v>
      </c>
      <c r="L568" s="2"/>
      <c r="M568" s="2"/>
      <c r="N568" s="2"/>
      <c r="O568" s="261">
        <f t="shared" ca="1" si="310"/>
        <v>0</v>
      </c>
      <c r="P568" s="261">
        <f t="shared" ca="1" si="328"/>
        <v>0</v>
      </c>
      <c r="Q568" s="3">
        <f ca="1">IF(A568&gt;MAX(OP!$R$17:$R$26),0,VLOOKUP(A568,fees,3,FALSE))</f>
        <v>0</v>
      </c>
      <c r="R568" s="200" t="str">
        <f t="shared" ca="1" si="311"/>
        <v/>
      </c>
      <c r="S568" s="9" t="str">
        <f ca="1">IF(COUNTIF(($T$4:T567),"F")&gt;=1,"",IF(OR(C569&lt;&gt;$C$3,E568=""),"",A568))</f>
        <v/>
      </c>
      <c r="T568" s="20" t="str">
        <f t="shared" ca="1" si="303"/>
        <v/>
      </c>
      <c r="U568" s="2">
        <f ca="1">IF(IF(OP!$C$83=1,$Z567,IF(OP!$C$83=2,$AA567,IF(OP!$C$83=3,$AB567,)))+$K568-$O568-$P568-$AS568&lt;OP!$C$142,0,$AS568)</f>
        <v>0</v>
      </c>
      <c r="V568" s="9"/>
      <c r="W568" s="19">
        <f ca="1">MAX(SUM($K$4:K568),0)</f>
        <v>2000000</v>
      </c>
      <c r="X568" s="19"/>
      <c r="Y568" s="19">
        <f t="shared" ca="1" si="329"/>
        <v>1920000</v>
      </c>
      <c r="Z568" s="2">
        <f ca="1">IF(MIN($Z$4:Z567)=0,0,MAX(0,($Z567+$K568-$O568-$P568)*IF(AND(F568="F",$D$3&lt;&gt;$G$3),((1+(-J568))^(H568/MIN(G568,365))),((1+(-J568))^(1/12)))-$U568))</f>
        <v>171575.11989893491</v>
      </c>
      <c r="AA568" s="2">
        <f ca="1">IF(MIN($AA$4:AA567)=0,0,MAX(0,($AA567+$K568-$O568-$P568)*IF(AND(F568="F",$D$3&lt;&gt;$G$3),((1+$AA$1)^(H568/MIN(G568,365))),((1+$AA$1)^(1/12)))-$U568))</f>
        <v>1920000</v>
      </c>
      <c r="AB568" s="2">
        <f ca="1">IF(MIN($AB$4:AB567)=0,0,MAX(0,($AB567+$K568-$O568-$P568)*IF(AND(F568="F",$D$3&lt;&gt;$G$3),((1+(J568))^(H568/MIN(G568,365))),((1+(J568))^(1/12)))-$U568))</f>
        <v>19096952.149926677</v>
      </c>
      <c r="AC568" s="21"/>
      <c r="AD568" s="21"/>
      <c r="AE568" s="21"/>
      <c r="AF568" s="282">
        <f t="shared" ca="1" si="312"/>
        <v>171575</v>
      </c>
      <c r="AG568" s="282">
        <f t="shared" ca="1" si="313"/>
        <v>1920000</v>
      </c>
      <c r="AH568" s="282">
        <f t="shared" ca="1" si="314"/>
        <v>19096952</v>
      </c>
      <c r="AI568" s="23" t="str">
        <f t="shared" ca="1" si="331"/>
        <v>48-2</v>
      </c>
      <c r="AJ568" s="281">
        <f ca="1">IF(E568&gt;111,,IF(AND(OP!$C$99=1,T568="F"),Z568,IF(AND(OP!$C$99=2,COUNTIF($T$4:T568,"F")=1),OP!$C$97+IF(F568="F",OP!$C$98,0),"")))</f>
        <v>54527</v>
      </c>
      <c r="AK568" s="281">
        <f ca="1">IF(E568&gt;111,,IF(AND(OP!$D$99=1,T568="F"),AA568,IF(AND(OP!$D$99=2,COUNTIF($T$4:T568,"F")=1),OP!$D$97+IF(F568="F",OP!$D$98,0),"")))</f>
        <v>74177</v>
      </c>
      <c r="AL568" s="281">
        <f ca="1">IF(E568&gt;111,,IF(AND(OP!$E$99=1,T568="F"),AB568,IF(AND(OP!$E$99=2,COUNTIF($T$4:T568,"F")=1),OP!$E$97+IF(F568="F",OP!$E$98,0),"")))</f>
        <v>99404</v>
      </c>
      <c r="AM568" s="1">
        <f t="shared" ca="1" si="304"/>
        <v>2</v>
      </c>
      <c r="AN568" s="1" t="e">
        <f ca="1">IF(OR(VLOOKUP($A568,MP,5,0)="年繳",VLOOKUP($A568,MP,5,0)="半年繳",VLOOKUP($A568,MP,5,0)="季繳",VLOOKUP($A568,MP,5,0)="月繳"),1,"")</f>
        <v>#N/A</v>
      </c>
      <c r="AO568" s="1">
        <f t="shared" ca="1" si="315"/>
        <v>0</v>
      </c>
      <c r="AP568" s="1" t="str">
        <f ca="1">IF(AND(A568&lt;=OP!$C$120,COUNTIF(PAY,C568)=1),1,"")</f>
        <v/>
      </c>
      <c r="AR568" s="301">
        <f ca="1">IF(繳費報酬率資料!$A$1=1,$AY568+$AZ568,$BF568+$BG568)</f>
        <v>0</v>
      </c>
      <c r="AS568" s="1">
        <f ca="1">IF(C568&lt;&gt;IF($C$3=1,12,$C$3-1),0,IF(繳費報酬率資料!$A$1&lt;&gt;1,VLOOKUP($A568,MP,8,0),IF(AND($A568&gt;=OP!$C$79,$A568&lt;=OP!$C$80),OP!$C$78,)))</f>
        <v>0</v>
      </c>
      <c r="AT568" s="298">
        <f t="shared" ca="1" si="316"/>
        <v>0</v>
      </c>
      <c r="AU568" s="298">
        <f ca="1">IF(AND(A568&lt;=OP!$C$120,COUNTIF(PAY,C568)=1),OP!$C$123,0)</f>
        <v>0</v>
      </c>
      <c r="AV568" s="298">
        <f ca="1">IF(AND(A568&gt;=OP!$C$132,A568&lt;=OP!$C$133,$C$3=C568),OP!$C$135,0)</f>
        <v>0</v>
      </c>
      <c r="AW568" s="180">
        <f t="shared" ca="1" si="317"/>
        <v>0.05</v>
      </c>
      <c r="AX568" s="180">
        <f t="shared" ca="1" si="318"/>
        <v>0.05</v>
      </c>
      <c r="AY568" s="286">
        <f t="shared" ca="1" si="319"/>
        <v>0</v>
      </c>
      <c r="AZ568" s="286">
        <f t="shared" ca="1" si="320"/>
        <v>0</v>
      </c>
      <c r="BA568" s="286">
        <f t="shared" ca="1" si="321"/>
        <v>0</v>
      </c>
      <c r="BB568" s="286">
        <f t="shared" ca="1" si="322"/>
        <v>0</v>
      </c>
      <c r="BC568" s="286">
        <f t="shared" ca="1" si="323"/>
        <v>0</v>
      </c>
      <c r="BD568" s="180">
        <f t="shared" ca="1" si="324"/>
        <v>0.05</v>
      </c>
      <c r="BE568" s="180">
        <f t="shared" ca="1" si="325"/>
        <v>0.05</v>
      </c>
      <c r="BF568" s="286">
        <f t="shared" ca="1" si="326"/>
        <v>0</v>
      </c>
      <c r="BG568" s="286">
        <f t="shared" ca="1" si="327"/>
        <v>0</v>
      </c>
    </row>
    <row r="569" spans="1:59">
      <c r="A569" s="1">
        <f t="shared" ca="1" si="307"/>
        <v>48</v>
      </c>
      <c r="B569" s="1">
        <f t="shared" ca="1" si="300"/>
        <v>153</v>
      </c>
      <c r="C569" s="1">
        <f t="shared" ca="1" si="301"/>
        <v>7</v>
      </c>
      <c r="D569" s="1">
        <f ca="1">MIN($D$3,VLOOKUP(C569,OP!$S$30:$T$41,2))</f>
        <v>2</v>
      </c>
      <c r="E569" s="1">
        <f t="shared" ca="1" si="302"/>
        <v>102</v>
      </c>
      <c r="F569" s="11" t="str">
        <f t="shared" ca="1" si="308"/>
        <v/>
      </c>
      <c r="G569" s="8">
        <f t="shared" ref="G569:G579" ca="1" si="335">G568</f>
        <v>365</v>
      </c>
      <c r="H569" s="8">
        <f t="shared" ca="1" si="309"/>
        <v>31</v>
      </c>
      <c r="I569" s="8" t="str">
        <f t="shared" ca="1" si="306"/>
        <v>487</v>
      </c>
      <c r="J569" s="13">
        <f>IF(繳費報酬率資料!$A$1=1,VALUE(OP!$C$121),VLOOKUP(A569,MP,2,0))</f>
        <v>0.05</v>
      </c>
      <c r="K569" s="14">
        <f ca="1">IF(SUM($K$4:K568,IF(繳費報酬率資料!$A$1=1,$AU569+$AV569,$BB569+$BC569))&gt;OP!$L$58,0,IF(繳費報酬率資料!$A$1=1,$AU569+$AV569,$BB569+$BC569))</f>
        <v>0</v>
      </c>
      <c r="L569" s="2"/>
      <c r="M569" s="2"/>
      <c r="N569" s="2"/>
      <c r="O569" s="261">
        <f t="shared" ca="1" si="310"/>
        <v>0</v>
      </c>
      <c r="P569" s="261">
        <f t="shared" ca="1" si="328"/>
        <v>0</v>
      </c>
      <c r="Q569" s="3">
        <f ca="1">IF(A569&gt;MAX(OP!$R$17:$R$26),0,VLOOKUP(A569,fees,3,FALSE))</f>
        <v>0</v>
      </c>
      <c r="R569" s="200" t="str">
        <f t="shared" ca="1" si="311"/>
        <v/>
      </c>
      <c r="S569" s="9" t="str">
        <f ca="1">IF(COUNTIF(($T$4:T568),"F")&gt;=1,"",IF(OR(C570&lt;&gt;$C$3,E569=""),"",A569))</f>
        <v/>
      </c>
      <c r="T569" s="20" t="str">
        <f t="shared" ca="1" si="303"/>
        <v/>
      </c>
      <c r="U569" s="2">
        <f ca="1">IF(IF(OP!$C$83=1,$Z568,IF(OP!$C$83=2,$AA568,IF(OP!$C$83=3,$AB568,)))+$K569-$O569-$P569-$AS569&lt;OP!$C$142,0,$AS569)</f>
        <v>0</v>
      </c>
      <c r="V569" s="9"/>
      <c r="W569" s="19">
        <f ca="1">MAX(SUM($K$4:K569),0)</f>
        <v>2000000</v>
      </c>
      <c r="X569" s="19"/>
      <c r="Y569" s="19">
        <f t="shared" ca="1" si="329"/>
        <v>1920000</v>
      </c>
      <c r="Z569" s="2">
        <f ca="1">IF(MIN($Z$4:Z568)=0,0,MAX(0,($Z568+$K569-$O569-$P569)*IF(AND(F569="F",$D$3&lt;&gt;$G$3),((1+(-J569))^(H569/MIN(G569,365))),((1+(-J569))^(1/12)))-$U569))</f>
        <v>170843.29731826775</v>
      </c>
      <c r="AA569" s="2">
        <f ca="1">IF(MIN($AA$4:AA568)=0,0,MAX(0,($AA568+$K569-$O569-$P569)*IF(AND(F569="F",$D$3&lt;&gt;$G$3),((1+$AA$1)^(H569/MIN(G569,365))),((1+$AA$1)^(1/12)))-$U569))</f>
        <v>1920000</v>
      </c>
      <c r="AB569" s="2">
        <f ca="1">IF(MIN($AB$4:AB568)=0,0,MAX(0,($AB568+$K569-$O569-$P569)*IF(AND(F569="F",$D$3&lt;&gt;$G$3),((1+(J569))^(H569/MIN(G569,365))),((1+(J569))^(1/12)))-$U569))</f>
        <v>19174755.49687589</v>
      </c>
      <c r="AC569" s="5"/>
      <c r="AD569" s="5"/>
      <c r="AE569" s="5"/>
      <c r="AF569" s="282">
        <f t="shared" ca="1" si="312"/>
        <v>170843</v>
      </c>
      <c r="AG569" s="282">
        <f t="shared" ca="1" si="313"/>
        <v>1920000</v>
      </c>
      <c r="AH569" s="282">
        <f t="shared" ca="1" si="314"/>
        <v>19174755</v>
      </c>
      <c r="AI569" s="23" t="str">
        <f t="shared" ca="1" si="331"/>
        <v>48-3</v>
      </c>
      <c r="AJ569" s="282">
        <f ca="1">IF(E569&gt;111,,IF(AND(OP!$C$99=1,T569="F"),Z569,IF(AND(OP!$C$99=2,COUNTIF($T$4:T569,"F")=1),OP!$C$97+IF(F569="F",OP!$C$98,0),"")))</f>
        <v>54527</v>
      </c>
      <c r="AK569" s="282">
        <f ca="1">IF(E569&gt;111,,IF(AND(OP!$D$99=1,T569="F"),AA569,IF(AND(OP!$D$99=2,COUNTIF($T$4:T569,"F")=1),OP!$D$97+IF(F569="F",OP!$D$98,0),"")))</f>
        <v>74177</v>
      </c>
      <c r="AL569" s="282">
        <f ca="1">IF(E569&gt;111,,IF(AND(OP!$E$99=1,T569="F"),AB569,IF(AND(OP!$E$99=2,COUNTIF($T$4:T569,"F")=1),OP!$E$97+IF(F569="F",OP!$E$98,0),"")))</f>
        <v>99404</v>
      </c>
      <c r="AM569" s="1">
        <f t="shared" ca="1" si="304"/>
        <v>3</v>
      </c>
      <c r="AN569" s="1" t="e">
        <f ca="1">IF(OR(VLOOKUP($A569,MP,5,0)="月繳"),1,"")</f>
        <v>#N/A</v>
      </c>
      <c r="AO569" s="1">
        <f t="shared" ca="1" si="315"/>
        <v>0</v>
      </c>
      <c r="AP569" s="1" t="str">
        <f ca="1">IF(AND(A569&lt;=OP!$C$120,COUNTIF(PAY,C569)=1),1,"")</f>
        <v/>
      </c>
      <c r="AR569" s="301">
        <f ca="1">IF(繳費報酬率資料!$A$1=1,$AY569+$AZ569,$BF569+$BG569)</f>
        <v>0</v>
      </c>
      <c r="AS569" s="1">
        <f ca="1">IF(C569&lt;&gt;IF($C$3=1,12,$C$3-1),0,IF(繳費報酬率資料!$A$1&lt;&gt;1,VLOOKUP($A569,MP,8,0),IF(AND($A569&gt;=OP!$C$79,$A569&lt;=OP!$C$80),OP!$C$78,)))</f>
        <v>0</v>
      </c>
      <c r="AT569" s="298">
        <f t="shared" ca="1" si="316"/>
        <v>0</v>
      </c>
      <c r="AU569" s="298">
        <f ca="1">IF(AND(A569&lt;=OP!$C$120,COUNTIF(PAY,C569)=1),OP!$C$123,0)</f>
        <v>0</v>
      </c>
      <c r="AV569" s="298">
        <f ca="1">IF(AND(A569&gt;=OP!$C$132,A569&lt;=OP!$C$133,$C$3=C569),OP!$C$135,0)</f>
        <v>0</v>
      </c>
      <c r="AW569" s="180">
        <f t="shared" ca="1" si="317"/>
        <v>0.05</v>
      </c>
      <c r="AX569" s="180">
        <f t="shared" ca="1" si="318"/>
        <v>0.05</v>
      </c>
      <c r="AY569" s="286">
        <f t="shared" ca="1" si="319"/>
        <v>0</v>
      </c>
      <c r="AZ569" s="286">
        <f t="shared" ca="1" si="320"/>
        <v>0</v>
      </c>
      <c r="BA569" s="286">
        <f t="shared" ca="1" si="321"/>
        <v>0</v>
      </c>
      <c r="BB569" s="286">
        <f t="shared" ca="1" si="322"/>
        <v>0</v>
      </c>
      <c r="BC569" s="286">
        <f t="shared" ca="1" si="323"/>
        <v>0</v>
      </c>
      <c r="BD569" s="180">
        <f t="shared" ca="1" si="324"/>
        <v>0.05</v>
      </c>
      <c r="BE569" s="180">
        <f t="shared" ca="1" si="325"/>
        <v>0.05</v>
      </c>
      <c r="BF569" s="286">
        <f t="shared" ca="1" si="326"/>
        <v>0</v>
      </c>
      <c r="BG569" s="286">
        <f t="shared" ca="1" si="327"/>
        <v>0</v>
      </c>
    </row>
    <row r="570" spans="1:59">
      <c r="A570" s="1">
        <f t="shared" ca="1" si="307"/>
        <v>48</v>
      </c>
      <c r="B570" s="1">
        <f t="shared" ca="1" si="300"/>
        <v>153</v>
      </c>
      <c r="C570" s="1">
        <f t="shared" ca="1" si="301"/>
        <v>8</v>
      </c>
      <c r="D570" s="1">
        <f ca="1">MIN($D$3,VLOOKUP(C570,OP!$S$30:$T$41,2))</f>
        <v>2</v>
      </c>
      <c r="E570" s="1">
        <f t="shared" ca="1" si="302"/>
        <v>102</v>
      </c>
      <c r="F570" s="11" t="str">
        <f t="shared" ca="1" si="308"/>
        <v/>
      </c>
      <c r="G570" s="8">
        <f t="shared" ca="1" si="335"/>
        <v>365</v>
      </c>
      <c r="H570" s="8">
        <f t="shared" ca="1" si="309"/>
        <v>31</v>
      </c>
      <c r="I570" s="8" t="str">
        <f t="shared" ca="1" si="306"/>
        <v>488</v>
      </c>
      <c r="J570" s="13">
        <f>IF(繳費報酬率資料!$A$1=1,VALUE(OP!$C$121),VLOOKUP(A570,MP,2,0))</f>
        <v>0.05</v>
      </c>
      <c r="K570" s="14">
        <f ca="1">IF(SUM($K$4:K569,IF(繳費報酬率資料!$A$1=1,$AU570+$AV570,$BB570+$BC570))&gt;OP!$L$58,0,IF(繳費報酬率資料!$A$1=1,$AU570+$AV570,$BB570+$BC570))</f>
        <v>0</v>
      </c>
      <c r="L570" s="2"/>
      <c r="M570" s="2"/>
      <c r="N570" s="2"/>
      <c r="O570" s="261">
        <f t="shared" ca="1" si="310"/>
        <v>0</v>
      </c>
      <c r="P570" s="261">
        <f t="shared" ca="1" si="328"/>
        <v>0</v>
      </c>
      <c r="Q570" s="3">
        <f ca="1">IF(A570&gt;MAX(OP!$R$17:$R$26),0,VLOOKUP(A570,fees,3,FALSE))</f>
        <v>0</v>
      </c>
      <c r="R570" s="200" t="str">
        <f t="shared" ca="1" si="311"/>
        <v/>
      </c>
      <c r="S570" s="9" t="str">
        <f ca="1">IF(COUNTIF(($T$4:T569),"F")&gt;=1,"",IF(OR(C571&lt;&gt;$C$3,E570=""),"",A570))</f>
        <v/>
      </c>
      <c r="T570" s="20" t="str">
        <f t="shared" ca="1" si="303"/>
        <v/>
      </c>
      <c r="U570" s="2">
        <f ca="1">IF(IF(OP!$C$83=1,$Z569,IF(OP!$C$83=2,$AA569,IF(OP!$C$83=3,$AB569,)))+$K570-$O570-$P570-$AS570&lt;OP!$C$142,0,$AS570)</f>
        <v>0</v>
      </c>
      <c r="V570" s="9"/>
      <c r="W570" s="19">
        <f ca="1">MAX(SUM($K$4:K570),0)</f>
        <v>2000000</v>
      </c>
      <c r="X570" s="19"/>
      <c r="Y570" s="19">
        <f t="shared" ca="1" si="329"/>
        <v>1920000</v>
      </c>
      <c r="Z570" s="2">
        <f ca="1">IF(MIN($Z$4:Z569)=0,0,MAX(0,($Z569+$K570-$O570-$P570)*IF(AND(F570="F",$D$3&lt;&gt;$G$3),((1+(-J570))^(H570/MIN(G570,365))),((1+(-J570))^(1/12)))-$U570))</f>
        <v>170114.59619419576</v>
      </c>
      <c r="AA570" s="2">
        <f ca="1">IF(MIN($AA$4:AA569)=0,0,MAX(0,($AA569+$K570-$O570-$P570)*IF(AND(F570="F",$D$3&lt;&gt;$G$3),((1+$AA$1)^(H570/MIN(G570,365))),((1+$AA$1)^(1/12)))-$U570))</f>
        <v>1920000</v>
      </c>
      <c r="AB570" s="2">
        <f ca="1">IF(MIN($AB$4:AB569)=0,0,MAX(0,($AB569+$K570-$O570-$P570)*IF(AND(F570="F",$D$3&lt;&gt;$G$3),((1+(J570))^(H570/MIN(G570,365))),((1+(J570))^(1/12)))-$U570))</f>
        <v>19252875.824291352</v>
      </c>
      <c r="AC570" s="5"/>
      <c r="AD570" s="5"/>
      <c r="AE570" s="5"/>
      <c r="AF570" s="282">
        <f t="shared" ca="1" si="312"/>
        <v>170115</v>
      </c>
      <c r="AG570" s="282">
        <f t="shared" ca="1" si="313"/>
        <v>1920000</v>
      </c>
      <c r="AH570" s="282">
        <f t="shared" ca="1" si="314"/>
        <v>19252876</v>
      </c>
      <c r="AI570" s="23" t="str">
        <f t="shared" ca="1" si="331"/>
        <v>48-4</v>
      </c>
      <c r="AJ570" s="282">
        <f ca="1">IF(E570&gt;111,,IF(AND(OP!$C$99=1,T570="F"),Z570,IF(AND(OP!$C$99=2,COUNTIF($T$4:T570,"F")=1),OP!$C$97+IF(F570="F",OP!$C$98,0),"")))</f>
        <v>54527</v>
      </c>
      <c r="AK570" s="282">
        <f ca="1">IF(E570&gt;111,,IF(AND(OP!$D$99=1,T570="F"),AA570,IF(AND(OP!$D$99=2,COUNTIF($T$4:T570,"F")=1),OP!$D$97+IF(F570="F",OP!$D$98,0),"")))</f>
        <v>74177</v>
      </c>
      <c r="AL570" s="282">
        <f ca="1">IF(E570&gt;111,,IF(AND(OP!$E$99=1,T570="F"),AB570,IF(AND(OP!$E$99=2,COUNTIF($T$4:T570,"F")=1),OP!$E$97+IF(F570="F",OP!$E$98,0),"")))</f>
        <v>99404</v>
      </c>
      <c r="AM570" s="1">
        <f t="shared" ca="1" si="304"/>
        <v>4</v>
      </c>
      <c r="AN570" s="1" t="e">
        <f ca="1">IF(OR(VLOOKUP($A570,MP,5,0)="月繳"),1,"")</f>
        <v>#N/A</v>
      </c>
      <c r="AO570" s="1">
        <f t="shared" ca="1" si="315"/>
        <v>0</v>
      </c>
      <c r="AP570" s="1" t="str">
        <f ca="1">IF(AND(A570&lt;=OP!$C$120,COUNTIF(PAY,C570)=1),1,"")</f>
        <v/>
      </c>
      <c r="AR570" s="301">
        <f ca="1">IF(繳費報酬率資料!$A$1=1,$AY570+$AZ570,$BF570+$BG570)</f>
        <v>0</v>
      </c>
      <c r="AS570" s="1">
        <f ca="1">IF(C570&lt;&gt;IF($C$3=1,12,$C$3-1),0,IF(繳費報酬率資料!$A$1&lt;&gt;1,VLOOKUP($A570,MP,8,0),IF(AND($A570&gt;=OP!$C$79,$A570&lt;=OP!$C$80),OP!$C$78,)))</f>
        <v>0</v>
      </c>
      <c r="AT570" s="298">
        <f t="shared" ca="1" si="316"/>
        <v>0</v>
      </c>
      <c r="AU570" s="298">
        <f ca="1">IF(AND(A570&lt;=OP!$C$120,COUNTIF(PAY,C570)=1),OP!$C$123,0)</f>
        <v>0</v>
      </c>
      <c r="AV570" s="298">
        <f ca="1">IF(AND(A570&gt;=OP!$C$132,A570&lt;=OP!$C$133,$C$3=C570),OP!$C$135,0)</f>
        <v>0</v>
      </c>
      <c r="AW570" s="180">
        <f t="shared" ca="1" si="317"/>
        <v>0.05</v>
      </c>
      <c r="AX570" s="180">
        <f t="shared" ca="1" si="318"/>
        <v>0.05</v>
      </c>
      <c r="AY570" s="286">
        <f t="shared" ca="1" si="319"/>
        <v>0</v>
      </c>
      <c r="AZ570" s="286">
        <f t="shared" ca="1" si="320"/>
        <v>0</v>
      </c>
      <c r="BA570" s="286">
        <f t="shared" ca="1" si="321"/>
        <v>0</v>
      </c>
      <c r="BB570" s="286">
        <f t="shared" ca="1" si="322"/>
        <v>0</v>
      </c>
      <c r="BC570" s="286">
        <f t="shared" ca="1" si="323"/>
        <v>0</v>
      </c>
      <c r="BD570" s="180">
        <f t="shared" ca="1" si="324"/>
        <v>0.05</v>
      </c>
      <c r="BE570" s="180">
        <f t="shared" ca="1" si="325"/>
        <v>0.05</v>
      </c>
      <c r="BF570" s="286">
        <f t="shared" ca="1" si="326"/>
        <v>0</v>
      </c>
      <c r="BG570" s="286">
        <f t="shared" ca="1" si="327"/>
        <v>0</v>
      </c>
    </row>
    <row r="571" spans="1:59">
      <c r="A571" s="1">
        <f t="shared" ca="1" si="307"/>
        <v>48</v>
      </c>
      <c r="B571" s="1">
        <f t="shared" ca="1" si="300"/>
        <v>153</v>
      </c>
      <c r="C571" s="1">
        <f t="shared" ca="1" si="301"/>
        <v>9</v>
      </c>
      <c r="D571" s="1">
        <f ca="1">MIN($D$3,VLOOKUP(C571,OP!$S$30:$T$41,2))</f>
        <v>2</v>
      </c>
      <c r="E571" s="1">
        <f t="shared" ca="1" si="302"/>
        <v>102</v>
      </c>
      <c r="F571" s="11" t="str">
        <f t="shared" ca="1" si="308"/>
        <v/>
      </c>
      <c r="G571" s="8">
        <f t="shared" ca="1" si="335"/>
        <v>365</v>
      </c>
      <c r="H571" s="8">
        <f t="shared" ca="1" si="309"/>
        <v>30</v>
      </c>
      <c r="I571" s="8" t="str">
        <f t="shared" ca="1" si="306"/>
        <v>489</v>
      </c>
      <c r="J571" s="13">
        <f>IF(繳費報酬率資料!$A$1=1,VALUE(OP!$C$121),VLOOKUP(A571,MP,2,0))</f>
        <v>0.05</v>
      </c>
      <c r="K571" s="14">
        <f ca="1">IF(SUM($K$4:K570,IF(繳費報酬率資料!$A$1=1,$AU571+$AV571,$BB571+$BC571))&gt;OP!$L$58,0,IF(繳費報酬率資料!$A$1=1,$AU571+$AV571,$BB571+$BC571))</f>
        <v>0</v>
      </c>
      <c r="L571" s="2"/>
      <c r="M571" s="2"/>
      <c r="N571" s="2"/>
      <c r="O571" s="261">
        <f t="shared" ca="1" si="310"/>
        <v>0</v>
      </c>
      <c r="P571" s="261">
        <f t="shared" ca="1" si="328"/>
        <v>0</v>
      </c>
      <c r="Q571" s="3">
        <f ca="1">IF(A571&gt;MAX(OP!$R$17:$R$26),0,VLOOKUP(A571,fees,3,FALSE))</f>
        <v>0</v>
      </c>
      <c r="R571" s="200" t="str">
        <f t="shared" ca="1" si="311"/>
        <v/>
      </c>
      <c r="S571" s="9" t="str">
        <f ca="1">IF(COUNTIF(($T$4:T570),"F")&gt;=1,"",IF(OR(C572&lt;&gt;$C$3,E571=""),"",A571))</f>
        <v/>
      </c>
      <c r="T571" s="20" t="str">
        <f t="shared" ca="1" si="303"/>
        <v/>
      </c>
      <c r="U571" s="2">
        <f ca="1">IF(IF(OP!$C$83=1,$Z570,IF(OP!$C$83=2,$AA570,IF(OP!$C$83=3,$AB570,)))+$K571-$O571-$P571-$AS571&lt;OP!$C$142,0,$AS571)</f>
        <v>0</v>
      </c>
      <c r="V571" s="9"/>
      <c r="W571" s="19">
        <f ca="1">MAX(SUM($K$4:K571),0)</f>
        <v>2000000</v>
      </c>
      <c r="X571" s="19"/>
      <c r="Y571" s="19">
        <f t="shared" ca="1" si="329"/>
        <v>1920000</v>
      </c>
      <c r="Z571" s="2">
        <f ca="1">IF(MIN($Z$4:Z570)=0,0,MAX(0,($Z570+$K571-$O571-$P571)*IF(AND(F571="F",$D$3&lt;&gt;$G$3),((1+(-J571))^(H571/MIN(G571,365))),((1+(-J571))^(1/12)))-$U571))</f>
        <v>169389.00321271151</v>
      </c>
      <c r="AA571" s="2">
        <f ca="1">IF(MIN($AA$4:AA570)=0,0,MAX(0,($AA570+$K571-$O571-$P571)*IF(AND(F571="F",$D$3&lt;&gt;$G$3),((1+$AA$1)^(H571/MIN(G571,365))),((1+$AA$1)^(1/12)))-$U571))</f>
        <v>1920000</v>
      </c>
      <c r="AB571" s="2">
        <f ca="1">IF(MIN($AB$4:AB570)=0,0,MAX(0,($AB570+$K571-$O571-$P571)*IF(AND(F571="F",$D$3&lt;&gt;$G$3),((1+(J571))^(H571/MIN(G571,365))),((1+(J571))^(1/12)))-$U571))</f>
        <v>19331314.423590727</v>
      </c>
      <c r="AC571" s="5"/>
      <c r="AD571" s="5"/>
      <c r="AE571" s="5"/>
      <c r="AF571" s="282">
        <f t="shared" ca="1" si="312"/>
        <v>169389</v>
      </c>
      <c r="AG571" s="282">
        <f t="shared" ca="1" si="313"/>
        <v>1920000</v>
      </c>
      <c r="AH571" s="282">
        <f t="shared" ca="1" si="314"/>
        <v>19331314</v>
      </c>
      <c r="AI571" s="23" t="str">
        <f t="shared" ca="1" si="331"/>
        <v>48-5</v>
      </c>
      <c r="AJ571" s="282">
        <f ca="1">IF(E571&gt;111,,IF(AND(OP!$C$99=1,T571="F"),Z571,IF(AND(OP!$C$99=2,COUNTIF($T$4:T571,"F")=1),OP!$C$97+IF(F571="F",OP!$C$98,0),"")))</f>
        <v>54527</v>
      </c>
      <c r="AK571" s="282">
        <f ca="1">IF(E571&gt;111,,IF(AND(OP!$D$99=1,T571="F"),AA571,IF(AND(OP!$D$99=2,COUNTIF($T$4:T571,"F")=1),OP!$D$97+IF(F571="F",OP!$D$98,0),"")))</f>
        <v>74177</v>
      </c>
      <c r="AL571" s="282">
        <f ca="1">IF(E571&gt;111,,IF(AND(OP!$E$99=1,T571="F"),AB571,IF(AND(OP!$E$99=2,COUNTIF($T$4:T571,"F")=1),OP!$E$97+IF(F571="F",OP!$E$98,0),"")))</f>
        <v>99404</v>
      </c>
      <c r="AM571" s="1">
        <f t="shared" ca="1" si="304"/>
        <v>5</v>
      </c>
      <c r="AN571" s="1" t="e">
        <f ca="1">IF(OR(VLOOKUP($A571,MP,5,0)="季繳",VLOOKUP($A571,MP,5,0)="月繳"),1,"")</f>
        <v>#N/A</v>
      </c>
      <c r="AO571" s="1">
        <f t="shared" ca="1" si="315"/>
        <v>0</v>
      </c>
      <c r="AP571" s="1" t="str">
        <f ca="1">IF(AND(A571&lt;=OP!$C$120,COUNTIF(PAY,C571)=1),1,"")</f>
        <v/>
      </c>
      <c r="AR571" s="301">
        <f ca="1">IF(繳費報酬率資料!$A$1=1,$AY571+$AZ571,$BF571+$BG571)</f>
        <v>0</v>
      </c>
      <c r="AS571" s="1">
        <f ca="1">IF(C571&lt;&gt;IF($C$3=1,12,$C$3-1),0,IF(繳費報酬率資料!$A$1&lt;&gt;1,VLOOKUP($A571,MP,8,0),IF(AND($A571&gt;=OP!$C$79,$A571&lt;=OP!$C$80),OP!$C$78,)))</f>
        <v>0</v>
      </c>
      <c r="AT571" s="298">
        <f t="shared" ca="1" si="316"/>
        <v>0</v>
      </c>
      <c r="AU571" s="298">
        <f ca="1">IF(AND(A571&lt;=OP!$C$120,COUNTIF(PAY,C571)=1),OP!$C$123,0)</f>
        <v>0</v>
      </c>
      <c r="AV571" s="298">
        <f ca="1">IF(AND(A571&gt;=OP!$C$132,A571&lt;=OP!$C$133,$C$3=C571),OP!$C$135,0)</f>
        <v>0</v>
      </c>
      <c r="AW571" s="180">
        <f t="shared" ca="1" si="317"/>
        <v>0.05</v>
      </c>
      <c r="AX571" s="180">
        <f t="shared" ca="1" si="318"/>
        <v>0.05</v>
      </c>
      <c r="AY571" s="286">
        <f t="shared" ca="1" si="319"/>
        <v>0</v>
      </c>
      <c r="AZ571" s="286">
        <f t="shared" ca="1" si="320"/>
        <v>0</v>
      </c>
      <c r="BA571" s="286">
        <f t="shared" ca="1" si="321"/>
        <v>0</v>
      </c>
      <c r="BB571" s="286">
        <f t="shared" ca="1" si="322"/>
        <v>0</v>
      </c>
      <c r="BC571" s="286">
        <f t="shared" ca="1" si="323"/>
        <v>0</v>
      </c>
      <c r="BD571" s="180">
        <f t="shared" ca="1" si="324"/>
        <v>0.05</v>
      </c>
      <c r="BE571" s="180">
        <f t="shared" ca="1" si="325"/>
        <v>0.05</v>
      </c>
      <c r="BF571" s="286">
        <f t="shared" ca="1" si="326"/>
        <v>0</v>
      </c>
      <c r="BG571" s="286">
        <f t="shared" ca="1" si="327"/>
        <v>0</v>
      </c>
    </row>
    <row r="572" spans="1:59">
      <c r="A572" s="1">
        <f t="shared" ca="1" si="307"/>
        <v>48</v>
      </c>
      <c r="B572" s="1">
        <f t="shared" ref="B572:B635" ca="1" si="336">IF(C572=1,B571+1,B571)</f>
        <v>153</v>
      </c>
      <c r="C572" s="1">
        <f t="shared" ref="C572:C635" ca="1" si="337">IF(C571=12,1,C571+1)</f>
        <v>10</v>
      </c>
      <c r="D572" s="1">
        <f ca="1">MIN($D$3,VLOOKUP(C572,OP!$S$30:$T$41,2))</f>
        <v>2</v>
      </c>
      <c r="E572" s="1">
        <f t="shared" ref="E572:E635" ca="1" si="338">IF($K$1+A572-1&gt;$D$1,"",$K$1+A572-1)</f>
        <v>102</v>
      </c>
      <c r="F572" s="11" t="str">
        <f t="shared" ca="1" si="308"/>
        <v/>
      </c>
      <c r="G572" s="8">
        <f t="shared" ca="1" si="335"/>
        <v>365</v>
      </c>
      <c r="H572" s="8">
        <f t="shared" ca="1" si="309"/>
        <v>31</v>
      </c>
      <c r="I572" s="8" t="str">
        <f t="shared" ca="1" si="306"/>
        <v>4810</v>
      </c>
      <c r="J572" s="13">
        <f>IF(繳費報酬率資料!$A$1=1,VALUE(OP!$C$121),VLOOKUP(A572,MP,2,0))</f>
        <v>0.05</v>
      </c>
      <c r="K572" s="14">
        <f ca="1">IF(SUM($K$4:K571,IF(繳費報酬率資料!$A$1=1,$AU572+$AV572,$BB572+$BC572))&gt;OP!$L$58,0,IF(繳費報酬率資料!$A$1=1,$AU572+$AV572,$BB572+$BC572))</f>
        <v>0</v>
      </c>
      <c r="L572" s="2"/>
      <c r="M572" s="2"/>
      <c r="N572" s="2"/>
      <c r="O572" s="261">
        <f t="shared" ca="1" si="310"/>
        <v>0</v>
      </c>
      <c r="P572" s="261">
        <f t="shared" ca="1" si="328"/>
        <v>0</v>
      </c>
      <c r="Q572" s="3">
        <f ca="1">IF(A572&gt;MAX(OP!$R$17:$R$26),0,VLOOKUP(A572,fees,3,FALSE))</f>
        <v>0</v>
      </c>
      <c r="R572" s="200" t="str">
        <f t="shared" ca="1" si="311"/>
        <v/>
      </c>
      <c r="S572" s="9" t="str">
        <f ca="1">IF(COUNTIF(($T$4:T571),"F")&gt;=1,"",IF(OR(C573&lt;&gt;$C$3,E572=""),"",A572))</f>
        <v/>
      </c>
      <c r="T572" s="20" t="str">
        <f t="shared" ref="T572:T635" ca="1" si="339">IF(F572&lt;&gt;"","F","")</f>
        <v/>
      </c>
      <c r="U572" s="2">
        <f ca="1">IF(IF(OP!$C$83=1,$Z571,IF(OP!$C$83=2,$AA571,IF(OP!$C$83=3,$AB571,)))+$K572-$O572-$P572-$AS572&lt;OP!$C$142,0,$AS572)</f>
        <v>0</v>
      </c>
      <c r="V572" s="9"/>
      <c r="W572" s="19">
        <f ca="1">MAX(SUM($K$4:K572),0)</f>
        <v>2000000</v>
      </c>
      <c r="X572" s="19"/>
      <c r="Y572" s="19">
        <f t="shared" ca="1" si="329"/>
        <v>1920000</v>
      </c>
      <c r="Z572" s="2">
        <f ca="1">IF(MIN($Z$4:Z571)=0,0,MAX(0,($Z571+$K572-$O572-$P572)*IF(AND(F572="F",$D$3&lt;&gt;$G$3),((1+(-J572))^(H572/MIN(G572,365))),((1+(-J572))^(1/12)))-$U572))</f>
        <v>168666.50511659606</v>
      </c>
      <c r="AA572" s="2">
        <f ca="1">IF(MIN($AA$4:AA571)=0,0,MAX(0,($AA571+$K572-$O572-$P572)*IF(AND(F572="F",$D$3&lt;&gt;$G$3),((1+$AA$1)^(H572/MIN(G572,365))),((1+$AA$1)^(1/12)))-$U572))</f>
        <v>1920000</v>
      </c>
      <c r="AB572" s="2">
        <f ca="1">IF(MIN($AB$4:AB571)=0,0,MAX(0,($AB571+$K572-$O572-$P572)*IF(AND(F572="F",$D$3&lt;&gt;$G$3),((1+(J572))^(H572/MIN(G572,365))),((1+(J572))^(1/12)))-$U572))</f>
        <v>19410072.591453064</v>
      </c>
      <c r="AC572" s="5"/>
      <c r="AD572" s="5"/>
      <c r="AE572" s="5"/>
      <c r="AF572" s="282">
        <f t="shared" ca="1" si="312"/>
        <v>168667</v>
      </c>
      <c r="AG572" s="282">
        <f t="shared" ca="1" si="313"/>
        <v>1920000</v>
      </c>
      <c r="AH572" s="282">
        <f t="shared" ca="1" si="314"/>
        <v>19410073</v>
      </c>
      <c r="AI572" s="23" t="str">
        <f t="shared" ca="1" si="331"/>
        <v>48-6</v>
      </c>
      <c r="AJ572" s="282">
        <f ca="1">IF(E572&gt;111,,IF(AND(OP!$C$99=1,T572="F"),Z572,IF(AND(OP!$C$99=2,COUNTIF($T$4:T572,"F")=1),OP!$C$97+IF(F572="F",OP!$C$98,0),"")))</f>
        <v>54527</v>
      </c>
      <c r="AK572" s="282">
        <f ca="1">IF(E572&gt;111,,IF(AND(OP!$D$99=1,T572="F"),AA572,IF(AND(OP!$D$99=2,COUNTIF($T$4:T572,"F")=1),OP!$D$97+IF(F572="F",OP!$D$98,0),"")))</f>
        <v>74177</v>
      </c>
      <c r="AL572" s="282">
        <f ca="1">IF(E572&gt;111,,IF(AND(OP!$E$99=1,T572="F"),AB572,IF(AND(OP!$E$99=2,COUNTIF($T$4:T572,"F")=1),OP!$E$97+IF(F572="F",OP!$E$98,0),"")))</f>
        <v>99404</v>
      </c>
      <c r="AM572" s="1">
        <f t="shared" ref="AM572:AM635" ca="1" si="340">IF(AND(AK572&lt;&gt;"",AM571=""),1,IF(AND(AK572&lt;&gt;"",AM571&gt;0),IF(AM571=12,1,AM571+1),""))</f>
        <v>6</v>
      </c>
      <c r="AN572" s="1" t="e">
        <f ca="1">IF(OR(VLOOKUP($A572,MP,5,0)="月繳"),1,"")</f>
        <v>#N/A</v>
      </c>
      <c r="AO572" s="1">
        <f t="shared" ca="1" si="315"/>
        <v>0</v>
      </c>
      <c r="AP572" s="1" t="str">
        <f ca="1">IF(AND(A572&lt;=OP!$C$120,COUNTIF(PAY,C572)=1),1,"")</f>
        <v/>
      </c>
      <c r="AR572" s="301">
        <f ca="1">IF(繳費報酬率資料!$A$1=1,$AY572+$AZ572,$BF572+$BG572)</f>
        <v>0</v>
      </c>
      <c r="AS572" s="1">
        <f ca="1">IF(C572&lt;&gt;IF($C$3=1,12,$C$3-1),0,IF(繳費報酬率資料!$A$1&lt;&gt;1,VLOOKUP($A572,MP,8,0),IF(AND($A572&gt;=OP!$C$79,$A572&lt;=OP!$C$80),OP!$C$78,)))</f>
        <v>0</v>
      </c>
      <c r="AT572" s="298">
        <f t="shared" ca="1" si="316"/>
        <v>0</v>
      </c>
      <c r="AU572" s="298">
        <f ca="1">IF(AND(A572&lt;=OP!$C$120,COUNTIF(PAY,C572)=1),OP!$C$123,0)</f>
        <v>0</v>
      </c>
      <c r="AV572" s="298">
        <f ca="1">IF(AND(A572&gt;=OP!$C$132,A572&lt;=OP!$C$133,$C$3=C572),OP!$C$135,0)</f>
        <v>0</v>
      </c>
      <c r="AW572" s="180">
        <f t="shared" ca="1" si="317"/>
        <v>0.05</v>
      </c>
      <c r="AX572" s="180">
        <f t="shared" ca="1" si="318"/>
        <v>0.05</v>
      </c>
      <c r="AY572" s="286">
        <f t="shared" ca="1" si="319"/>
        <v>0</v>
      </c>
      <c r="AZ572" s="286">
        <f t="shared" ca="1" si="320"/>
        <v>0</v>
      </c>
      <c r="BA572" s="286">
        <f t="shared" ca="1" si="321"/>
        <v>0</v>
      </c>
      <c r="BB572" s="286">
        <f t="shared" ca="1" si="322"/>
        <v>0</v>
      </c>
      <c r="BC572" s="286">
        <f t="shared" ca="1" si="323"/>
        <v>0</v>
      </c>
      <c r="BD572" s="180">
        <f t="shared" ca="1" si="324"/>
        <v>0.05</v>
      </c>
      <c r="BE572" s="180">
        <f t="shared" ca="1" si="325"/>
        <v>0.05</v>
      </c>
      <c r="BF572" s="286">
        <f t="shared" ca="1" si="326"/>
        <v>0</v>
      </c>
      <c r="BG572" s="286">
        <f t="shared" ca="1" si="327"/>
        <v>0</v>
      </c>
    </row>
    <row r="573" spans="1:59">
      <c r="A573" s="1">
        <f t="shared" ca="1" si="307"/>
        <v>48</v>
      </c>
      <c r="B573" s="1">
        <f t="shared" ca="1" si="336"/>
        <v>153</v>
      </c>
      <c r="C573" s="1">
        <f t="shared" ca="1" si="337"/>
        <v>11</v>
      </c>
      <c r="D573" s="1">
        <f ca="1">MIN($D$3,VLOOKUP(C573,OP!$S$30:$T$41,2))</f>
        <v>2</v>
      </c>
      <c r="E573" s="1">
        <f t="shared" ca="1" si="338"/>
        <v>102</v>
      </c>
      <c r="F573" s="11" t="str">
        <f t="shared" ca="1" si="308"/>
        <v/>
      </c>
      <c r="G573" s="8">
        <f t="shared" ca="1" si="335"/>
        <v>365</v>
      </c>
      <c r="H573" s="8">
        <f t="shared" ca="1" si="309"/>
        <v>30</v>
      </c>
      <c r="I573" s="8" t="str">
        <f t="shared" ca="1" si="306"/>
        <v>4811</v>
      </c>
      <c r="J573" s="13">
        <f>IF(繳費報酬率資料!$A$1=1,VALUE(OP!$C$121),VLOOKUP(A573,MP,2,0))</f>
        <v>0.05</v>
      </c>
      <c r="K573" s="14">
        <f ca="1">IF(SUM($K$4:K572,IF(繳費報酬率資料!$A$1=1,$AU573+$AV573,$BB573+$BC573))&gt;OP!$L$58,0,IF(繳費報酬率資料!$A$1=1,$AU573+$AV573,$BB573+$BC573))</f>
        <v>0</v>
      </c>
      <c r="L573" s="2"/>
      <c r="M573" s="2"/>
      <c r="N573" s="2"/>
      <c r="O573" s="261">
        <f t="shared" ca="1" si="310"/>
        <v>0</v>
      </c>
      <c r="P573" s="261">
        <f t="shared" ca="1" si="328"/>
        <v>0</v>
      </c>
      <c r="Q573" s="3">
        <f ca="1">IF(A573&gt;MAX(OP!$R$17:$R$26),0,VLOOKUP(A573,fees,3,FALSE))</f>
        <v>0</v>
      </c>
      <c r="R573" s="200" t="str">
        <f t="shared" ca="1" si="311"/>
        <v/>
      </c>
      <c r="S573" s="9" t="str">
        <f ca="1">IF(COUNTIF(($T$4:T572),"F")&gt;=1,"",IF(OR(C574&lt;&gt;$C$3,E573=""),"",A573))</f>
        <v/>
      </c>
      <c r="T573" s="20" t="str">
        <f t="shared" ca="1" si="339"/>
        <v/>
      </c>
      <c r="U573" s="2">
        <f ca="1">IF(IF(OP!$C$83=1,$Z572,IF(OP!$C$83=2,$AA572,IF(OP!$C$83=3,$AB572,)))+$K573-$O573-$P573-$AS573&lt;OP!$C$142,0,$AS573)</f>
        <v>0</v>
      </c>
      <c r="V573" s="9"/>
      <c r="W573" s="19">
        <f ca="1">MAX(SUM($K$4:K573),0)</f>
        <v>2000000</v>
      </c>
      <c r="X573" s="19"/>
      <c r="Y573" s="19">
        <f t="shared" ca="1" si="329"/>
        <v>1920000</v>
      </c>
      <c r="Z573" s="2">
        <f ca="1">IF(MIN($Z$4:Z572)=0,0,MAX(0,($Z572+$K573-$O573-$P573)*IF(AND(F573="F",$D$3&lt;&gt;$G$3),((1+(-J573))^(H573/MIN(G573,365))),((1+(-J573))^(1/12)))-$U573))</f>
        <v>167947.08870517672</v>
      </c>
      <c r="AA573" s="2">
        <f ca="1">IF(MIN($AA$4:AA572)=0,0,MAX(0,($AA572+$K573-$O573-$P573)*IF(AND(F573="F",$D$3&lt;&gt;$G$3),((1+$AA$1)^(H573/MIN(G573,365))),((1+$AA$1)^(1/12)))-$U573))</f>
        <v>1920000</v>
      </c>
      <c r="AB573" s="2">
        <f ca="1">IF(MIN($AB$4:AB572)=0,0,MAX(0,($AB572+$K573-$O573-$P573)*IF(AND(F573="F",$D$3&lt;&gt;$G$3),((1+(J573))^(H573/MIN(G573,365))),((1+(J573))^(1/12)))-$U573))</f>
        <v>19489151.629840244</v>
      </c>
      <c r="AC573" s="5"/>
      <c r="AD573" s="5"/>
      <c r="AE573" s="5"/>
      <c r="AF573" s="282">
        <f t="shared" ca="1" si="312"/>
        <v>167947</v>
      </c>
      <c r="AG573" s="282">
        <f t="shared" ca="1" si="313"/>
        <v>1920000</v>
      </c>
      <c r="AH573" s="282">
        <f t="shared" ca="1" si="314"/>
        <v>19489152</v>
      </c>
      <c r="AI573" s="23" t="str">
        <f t="shared" ca="1" si="331"/>
        <v>48-7</v>
      </c>
      <c r="AJ573" s="282">
        <f ca="1">IF(E573&gt;111,,IF(AND(OP!$C$99=1,T573="F"),Z573,IF(AND(OP!$C$99=2,COUNTIF($T$4:T573,"F")=1),OP!$C$97+IF(F573="F",OP!$C$98,0),"")))</f>
        <v>54527</v>
      </c>
      <c r="AK573" s="282">
        <f ca="1">IF(E573&gt;111,,IF(AND(OP!$D$99=1,T573="F"),AA573,IF(AND(OP!$D$99=2,COUNTIF($T$4:T573,"F")=1),OP!$D$97+IF(F573="F",OP!$D$98,0),"")))</f>
        <v>74177</v>
      </c>
      <c r="AL573" s="282">
        <f ca="1">IF(E573&gt;111,,IF(AND(OP!$E$99=1,T573="F"),AB573,IF(AND(OP!$E$99=2,COUNTIF($T$4:T573,"F")=1),OP!$E$97+IF(F573="F",OP!$E$98,0),"")))</f>
        <v>99404</v>
      </c>
      <c r="AM573" s="1">
        <f t="shared" ca="1" si="340"/>
        <v>7</v>
      </c>
      <c r="AN573" s="1" t="e">
        <f ca="1">IF(OR(VLOOKUP($A573,MP,5,0)="月繳"),1,"")</f>
        <v>#N/A</v>
      </c>
      <c r="AO573" s="1">
        <f t="shared" ca="1" si="315"/>
        <v>0</v>
      </c>
      <c r="AP573" s="1" t="str">
        <f ca="1">IF(AND(A573&lt;=OP!$C$120,COUNTIF(PAY,C573)=1),1,"")</f>
        <v/>
      </c>
      <c r="AR573" s="301">
        <f ca="1">IF(繳費報酬率資料!$A$1=1,$AY573+$AZ573,$BF573+$BG573)</f>
        <v>0</v>
      </c>
      <c r="AS573" s="1">
        <f ca="1">IF(C573&lt;&gt;IF($C$3=1,12,$C$3-1),0,IF(繳費報酬率資料!$A$1&lt;&gt;1,VLOOKUP($A573,MP,8,0),IF(AND($A573&gt;=OP!$C$79,$A573&lt;=OP!$C$80),OP!$C$78,)))</f>
        <v>0</v>
      </c>
      <c r="AT573" s="298">
        <f t="shared" ca="1" si="316"/>
        <v>0</v>
      </c>
      <c r="AU573" s="298">
        <f ca="1">IF(AND(A573&lt;=OP!$C$120,COUNTIF(PAY,C573)=1),OP!$C$123,0)</f>
        <v>0</v>
      </c>
      <c r="AV573" s="298">
        <f ca="1">IF(AND(A573&gt;=OP!$C$132,A573&lt;=OP!$C$133,$C$3=C573),OP!$C$135,0)</f>
        <v>0</v>
      </c>
      <c r="AW573" s="180">
        <f t="shared" ca="1" si="317"/>
        <v>0.05</v>
      </c>
      <c r="AX573" s="180">
        <f t="shared" ca="1" si="318"/>
        <v>0.05</v>
      </c>
      <c r="AY573" s="286">
        <f t="shared" ca="1" si="319"/>
        <v>0</v>
      </c>
      <c r="AZ573" s="286">
        <f t="shared" ca="1" si="320"/>
        <v>0</v>
      </c>
      <c r="BA573" s="286">
        <f t="shared" ca="1" si="321"/>
        <v>0</v>
      </c>
      <c r="BB573" s="286">
        <f t="shared" ca="1" si="322"/>
        <v>0</v>
      </c>
      <c r="BC573" s="286">
        <f t="shared" ca="1" si="323"/>
        <v>0</v>
      </c>
      <c r="BD573" s="180">
        <f t="shared" ca="1" si="324"/>
        <v>0.05</v>
      </c>
      <c r="BE573" s="180">
        <f t="shared" ca="1" si="325"/>
        <v>0.05</v>
      </c>
      <c r="BF573" s="286">
        <f t="shared" ca="1" si="326"/>
        <v>0</v>
      </c>
      <c r="BG573" s="286">
        <f t="shared" ca="1" si="327"/>
        <v>0</v>
      </c>
    </row>
    <row r="574" spans="1:59">
      <c r="A574" s="1">
        <f t="shared" ca="1" si="307"/>
        <v>48</v>
      </c>
      <c r="B574" s="1">
        <f t="shared" ca="1" si="336"/>
        <v>153</v>
      </c>
      <c r="C574" s="1">
        <f t="shared" ca="1" si="337"/>
        <v>12</v>
      </c>
      <c r="D574" s="1">
        <f ca="1">MIN($D$3,VLOOKUP(C574,OP!$S$30:$T$41,2))</f>
        <v>2</v>
      </c>
      <c r="E574" s="1">
        <f t="shared" ca="1" si="338"/>
        <v>102</v>
      </c>
      <c r="F574" s="11" t="str">
        <f t="shared" ca="1" si="308"/>
        <v/>
      </c>
      <c r="G574" s="8">
        <f t="shared" ca="1" si="335"/>
        <v>365</v>
      </c>
      <c r="H574" s="8">
        <f t="shared" ca="1" si="309"/>
        <v>31</v>
      </c>
      <c r="I574" s="8" t="str">
        <f t="shared" ca="1" si="306"/>
        <v>4812</v>
      </c>
      <c r="J574" s="13">
        <f>IF(繳費報酬率資料!$A$1=1,VALUE(OP!$C$121),VLOOKUP(A574,MP,2,0))</f>
        <v>0.05</v>
      </c>
      <c r="K574" s="14">
        <f ca="1">IF(SUM($K$4:K573,IF(繳費報酬率資料!$A$1=1,$AU574+$AV574,$BB574+$BC574))&gt;OP!$L$58,0,IF(繳費報酬率資料!$A$1=1,$AU574+$AV574,$BB574+$BC574))</f>
        <v>0</v>
      </c>
      <c r="L574" s="2"/>
      <c r="M574" s="2"/>
      <c r="N574" s="2"/>
      <c r="O574" s="261">
        <f t="shared" ca="1" si="310"/>
        <v>0</v>
      </c>
      <c r="P574" s="261">
        <f t="shared" ca="1" si="328"/>
        <v>0</v>
      </c>
      <c r="Q574" s="3">
        <f ca="1">IF(A574&gt;MAX(OP!$R$17:$R$26),0,VLOOKUP(A574,fees,3,FALSE))</f>
        <v>0</v>
      </c>
      <c r="R574" s="200" t="str">
        <f t="shared" ca="1" si="311"/>
        <v/>
      </c>
      <c r="S574" s="9" t="str">
        <f ca="1">IF(COUNTIF(($T$4:T573),"F")&gt;=1,"",IF(OR(C575&lt;&gt;$C$3,E574=""),"",A574))</f>
        <v/>
      </c>
      <c r="T574" s="20" t="str">
        <f t="shared" ca="1" si="339"/>
        <v/>
      </c>
      <c r="U574" s="2">
        <f ca="1">IF(IF(OP!$C$83=1,$Z573,IF(OP!$C$83=2,$AA573,IF(OP!$C$83=3,$AB573,)))+$K574-$O574-$P574-$AS574&lt;OP!$C$142,0,$AS574)</f>
        <v>0</v>
      </c>
      <c r="V574" s="9"/>
      <c r="W574" s="19">
        <f ca="1">MAX(SUM($K$4:K574),0)</f>
        <v>2000000</v>
      </c>
      <c r="X574" s="19"/>
      <c r="Y574" s="19">
        <f t="shared" ca="1" si="329"/>
        <v>1920000</v>
      </c>
      <c r="Z574" s="2">
        <f ca="1">IF(MIN($Z$4:Z573)=0,0,MAX(0,($Z573+$K574-$O574-$P574)*IF(AND(F574="F",$D$3&lt;&gt;$G$3),((1+(-J574))^(H574/MIN(G574,365))),((1+(-J574))^(1/12)))-$U574))</f>
        <v>167230.74083408588</v>
      </c>
      <c r="AA574" s="2">
        <f ca="1">IF(MIN($AA$4:AA573)=0,0,MAX(0,($AA573+$K574-$O574-$P574)*IF(AND(F574="F",$D$3&lt;&gt;$G$3),((1+$AA$1)^(H574/MIN(G574,365))),((1+$AA$1)^(1/12)))-$U574))</f>
        <v>1920000</v>
      </c>
      <c r="AB574" s="2">
        <f ca="1">IF(MIN($AB$4:AB573)=0,0,MAX(0,($AB573+$K574-$O574-$P574)*IF(AND(F574="F",$D$3&lt;&gt;$G$3),((1+(J574))^(H574/MIN(G574,365))),((1+(J574))^(1/12)))-$U574))</f>
        <v>19568552.846018504</v>
      </c>
      <c r="AC574" s="5"/>
      <c r="AD574" s="5"/>
      <c r="AE574" s="5"/>
      <c r="AF574" s="282">
        <f t="shared" ca="1" si="312"/>
        <v>167231</v>
      </c>
      <c r="AG574" s="282">
        <f t="shared" ca="1" si="313"/>
        <v>1920000</v>
      </c>
      <c r="AH574" s="282">
        <f t="shared" ca="1" si="314"/>
        <v>19568553</v>
      </c>
      <c r="AI574" s="23" t="str">
        <f t="shared" ca="1" si="331"/>
        <v>48-8</v>
      </c>
      <c r="AJ574" s="282">
        <f ca="1">IF(E574&gt;111,,IF(AND(OP!$C$99=1,T574="F"),Z574,IF(AND(OP!$C$99=2,COUNTIF($T$4:T574,"F")=1),OP!$C$97+IF(F574="F",OP!$C$98,0),"")))</f>
        <v>54527</v>
      </c>
      <c r="AK574" s="282">
        <f ca="1">IF(E574&gt;111,,IF(AND(OP!$D$99=1,T574="F"),AA574,IF(AND(OP!$D$99=2,COUNTIF($T$4:T574,"F")=1),OP!$D$97+IF(F574="F",OP!$D$98,0),"")))</f>
        <v>74177</v>
      </c>
      <c r="AL574" s="282">
        <f ca="1">IF(E574&gt;111,,IF(AND(OP!$E$99=1,T574="F"),AB574,IF(AND(OP!$E$99=2,COUNTIF($T$4:T574,"F")=1),OP!$E$97+IF(F574="F",OP!$E$98,0),"")))</f>
        <v>99404</v>
      </c>
      <c r="AM574" s="1">
        <f t="shared" ca="1" si="340"/>
        <v>8</v>
      </c>
      <c r="AN574" s="1" t="e">
        <f ca="1">IF(OR(VLOOKUP($A574,MP,5,0)="半年繳",VLOOKUP($A574,MP,5,0)="季繳",VLOOKUP($A574,MP,5,0)="月繳"),1,"")</f>
        <v>#N/A</v>
      </c>
      <c r="AO574" s="1">
        <f t="shared" ca="1" si="315"/>
        <v>0</v>
      </c>
      <c r="AP574" s="1" t="str">
        <f ca="1">IF(AND(A574&lt;=OP!$C$120,COUNTIF(PAY,C574)=1),1,"")</f>
        <v/>
      </c>
      <c r="AR574" s="301">
        <f ca="1">IF(繳費報酬率資料!$A$1=1,$AY574+$AZ574,$BF574+$BG574)</f>
        <v>0</v>
      </c>
      <c r="AS574" s="1">
        <f ca="1">IF(C574&lt;&gt;IF($C$3=1,12,$C$3-1),0,IF(繳費報酬率資料!$A$1&lt;&gt;1,VLOOKUP($A574,MP,8,0),IF(AND($A574&gt;=OP!$C$79,$A574&lt;=OP!$C$80),OP!$C$78,)))</f>
        <v>0</v>
      </c>
      <c r="AT574" s="298">
        <f t="shared" ca="1" si="316"/>
        <v>0</v>
      </c>
      <c r="AU574" s="298">
        <f ca="1">IF(AND(A574&lt;=OP!$C$120,COUNTIF(PAY,C574)=1),OP!$C$123,0)</f>
        <v>0</v>
      </c>
      <c r="AV574" s="298">
        <f ca="1">IF(AND(A574&gt;=OP!$C$132,A574&lt;=OP!$C$133,$C$3=C574),OP!$C$135,0)</f>
        <v>0</v>
      </c>
      <c r="AW574" s="180">
        <f t="shared" ca="1" si="317"/>
        <v>0.05</v>
      </c>
      <c r="AX574" s="180">
        <f t="shared" ca="1" si="318"/>
        <v>0.05</v>
      </c>
      <c r="AY574" s="286">
        <f t="shared" ca="1" si="319"/>
        <v>0</v>
      </c>
      <c r="AZ574" s="286">
        <f t="shared" ca="1" si="320"/>
        <v>0</v>
      </c>
      <c r="BA574" s="286">
        <f t="shared" ca="1" si="321"/>
        <v>0</v>
      </c>
      <c r="BB574" s="286">
        <f t="shared" ca="1" si="322"/>
        <v>0</v>
      </c>
      <c r="BC574" s="286">
        <f t="shared" ca="1" si="323"/>
        <v>0</v>
      </c>
      <c r="BD574" s="180">
        <f t="shared" ca="1" si="324"/>
        <v>0.05</v>
      </c>
      <c r="BE574" s="180">
        <f t="shared" ca="1" si="325"/>
        <v>0.05</v>
      </c>
      <c r="BF574" s="286">
        <f t="shared" ca="1" si="326"/>
        <v>0</v>
      </c>
      <c r="BG574" s="286">
        <f t="shared" ca="1" si="327"/>
        <v>0</v>
      </c>
    </row>
    <row r="575" spans="1:59">
      <c r="A575" s="1">
        <f t="shared" ca="1" si="307"/>
        <v>48</v>
      </c>
      <c r="B575" s="1">
        <f t="shared" ca="1" si="336"/>
        <v>154</v>
      </c>
      <c r="C575" s="1">
        <f t="shared" ca="1" si="337"/>
        <v>1</v>
      </c>
      <c r="D575" s="1">
        <f ca="1">MIN($D$3,VLOOKUP(C575,OP!$S$30:$T$41,2))</f>
        <v>2</v>
      </c>
      <c r="E575" s="1">
        <f t="shared" ca="1" si="338"/>
        <v>102</v>
      </c>
      <c r="F575" s="11" t="str">
        <f t="shared" ca="1" si="308"/>
        <v/>
      </c>
      <c r="G575" s="8">
        <f t="shared" ca="1" si="335"/>
        <v>365</v>
      </c>
      <c r="H575" s="8">
        <f t="shared" ca="1" si="309"/>
        <v>31</v>
      </c>
      <c r="I575" s="8" t="str">
        <f t="shared" ca="1" si="306"/>
        <v>481</v>
      </c>
      <c r="J575" s="13">
        <f>IF(繳費報酬率資料!$A$1=1,VALUE(OP!$C$121),VLOOKUP(A575,MP,2,0))</f>
        <v>0.05</v>
      </c>
      <c r="K575" s="14">
        <f ca="1">IF(SUM($K$4:K574,IF(繳費報酬率資料!$A$1=1,$AU575+$AV575,$BB575+$BC575))&gt;OP!$L$58,0,IF(繳費報酬率資料!$A$1=1,$AU575+$AV575,$BB575+$BC575))</f>
        <v>0</v>
      </c>
      <c r="L575" s="2"/>
      <c r="M575" s="2"/>
      <c r="N575" s="2"/>
      <c r="O575" s="261">
        <f t="shared" ca="1" si="310"/>
        <v>0</v>
      </c>
      <c r="P575" s="261">
        <f t="shared" ca="1" si="328"/>
        <v>0</v>
      </c>
      <c r="Q575" s="3">
        <f ca="1">IF(A575&gt;MAX(OP!$R$17:$R$26),0,VLOOKUP(A575,fees,3,FALSE))</f>
        <v>0</v>
      </c>
      <c r="R575" s="200" t="str">
        <f t="shared" ca="1" si="311"/>
        <v/>
      </c>
      <c r="S575" s="9" t="str">
        <f ca="1">IF(COUNTIF(($T$4:T574),"F")&gt;=1,"",IF(OR(C576&lt;&gt;$C$3,E575=""),"",A575))</f>
        <v/>
      </c>
      <c r="T575" s="20" t="str">
        <f t="shared" ca="1" si="339"/>
        <v/>
      </c>
      <c r="U575" s="2">
        <f ca="1">IF(IF(OP!$C$83=1,$Z574,IF(OP!$C$83=2,$AA574,IF(OP!$C$83=3,$AB574,)))+$K575-$O575-$P575-$AS575&lt;OP!$C$142,0,$AS575)</f>
        <v>0</v>
      </c>
      <c r="V575" s="9"/>
      <c r="W575" s="19">
        <f ca="1">MAX(SUM($K$4:K575),0)</f>
        <v>2000000</v>
      </c>
      <c r="X575" s="19"/>
      <c r="Y575" s="19">
        <f t="shared" ca="1" si="329"/>
        <v>1920000</v>
      </c>
      <c r="Z575" s="2">
        <f ca="1">IF(MIN($Z$4:Z574)=0,0,MAX(0,($Z574+$K575-$O575-$P575)*IF(AND(F575="F",$D$3&lt;&gt;$G$3),((1+(-J575))^(H575/MIN(G575,365))),((1+(-J575))^(1/12)))-$U575))</f>
        <v>166517.44841502089</v>
      </c>
      <c r="AA575" s="2">
        <f ca="1">IF(MIN($AA$4:AA574)=0,0,MAX(0,($AA574+$K575-$O575-$P575)*IF(AND(F575="F",$D$3&lt;&gt;$G$3),((1+$AA$1)^(H575/MIN(G575,365))),((1+$AA$1)^(1/12)))-$U575))</f>
        <v>1920000</v>
      </c>
      <c r="AB575" s="2">
        <f ca="1">IF(MIN($AB$4:AB574)=0,0,MAX(0,($AB574+$K575-$O575-$P575)*IF(AND(F575="F",$D$3&lt;&gt;$G$3),((1+(J575))^(H575/MIN(G575,365))),((1+(J575))^(1/12)))-$U575))</f>
        <v>19648277.552580047</v>
      </c>
      <c r="AC575" s="5"/>
      <c r="AD575" s="5"/>
      <c r="AE575" s="5"/>
      <c r="AF575" s="282">
        <f t="shared" ca="1" si="312"/>
        <v>166517</v>
      </c>
      <c r="AG575" s="282">
        <f t="shared" ca="1" si="313"/>
        <v>1920000</v>
      </c>
      <c r="AH575" s="282">
        <f t="shared" ca="1" si="314"/>
        <v>19648278</v>
      </c>
      <c r="AI575" s="23" t="str">
        <f t="shared" ca="1" si="331"/>
        <v>48-9</v>
      </c>
      <c r="AJ575" s="282">
        <f ca="1">IF(E575&gt;111,,IF(AND(OP!$C$99=1,T575="F"),Z575,IF(AND(OP!$C$99=2,COUNTIF($T$4:T575,"F")=1),OP!$C$97+IF(F575="F",OP!$C$98,0),"")))</f>
        <v>54527</v>
      </c>
      <c r="AK575" s="282">
        <f ca="1">IF(E575&gt;111,,IF(AND(OP!$D$99=1,T575="F"),AA575,IF(AND(OP!$D$99=2,COUNTIF($T$4:T575,"F")=1),OP!$D$97+IF(F575="F",OP!$D$98,0),"")))</f>
        <v>74177</v>
      </c>
      <c r="AL575" s="282">
        <f ca="1">IF(E575&gt;111,,IF(AND(OP!$E$99=1,T575="F"),AB575,IF(AND(OP!$E$99=2,COUNTIF($T$4:T575,"F")=1),OP!$E$97+IF(F575="F",OP!$E$98,0),"")))</f>
        <v>99404</v>
      </c>
      <c r="AM575" s="1">
        <f t="shared" ca="1" si="340"/>
        <v>9</v>
      </c>
      <c r="AN575" s="1" t="e">
        <f ca="1">IF(OR(VLOOKUP($A575,MP,5,0)="月繳"),1,"")</f>
        <v>#N/A</v>
      </c>
      <c r="AO575" s="1">
        <f t="shared" ca="1" si="315"/>
        <v>0</v>
      </c>
      <c r="AP575" s="1" t="str">
        <f ca="1">IF(AND(A575&lt;=OP!$C$120,COUNTIF(PAY,C575)=1),1,"")</f>
        <v/>
      </c>
      <c r="AR575" s="301">
        <f ca="1">IF(繳費報酬率資料!$A$1=1,$AY575+$AZ575,$BF575+$BG575)</f>
        <v>0</v>
      </c>
      <c r="AS575" s="1">
        <f ca="1">IF(C575&lt;&gt;IF($C$3=1,12,$C$3-1),0,IF(繳費報酬率資料!$A$1&lt;&gt;1,VLOOKUP($A575,MP,8,0),IF(AND($A575&gt;=OP!$C$79,$A575&lt;=OP!$C$80),OP!$C$78,)))</f>
        <v>0</v>
      </c>
      <c r="AT575" s="298">
        <f t="shared" ca="1" si="316"/>
        <v>0</v>
      </c>
      <c r="AU575" s="298">
        <f ca="1">IF(AND(A575&lt;=OP!$C$120,COUNTIF(PAY,C575)=1),OP!$C$123,0)</f>
        <v>0</v>
      </c>
      <c r="AV575" s="298">
        <f ca="1">IF(AND(A575&gt;=OP!$C$132,A575&lt;=OP!$C$133,$C$3=C575),OP!$C$135,0)</f>
        <v>0</v>
      </c>
      <c r="AW575" s="180">
        <f t="shared" ca="1" si="317"/>
        <v>0.05</v>
      </c>
      <c r="AX575" s="180">
        <f t="shared" ca="1" si="318"/>
        <v>0.05</v>
      </c>
      <c r="AY575" s="286">
        <f t="shared" ca="1" si="319"/>
        <v>0</v>
      </c>
      <c r="AZ575" s="286">
        <f t="shared" ca="1" si="320"/>
        <v>0</v>
      </c>
      <c r="BA575" s="286">
        <f t="shared" ca="1" si="321"/>
        <v>0</v>
      </c>
      <c r="BB575" s="286">
        <f t="shared" ca="1" si="322"/>
        <v>0</v>
      </c>
      <c r="BC575" s="286">
        <f t="shared" ca="1" si="323"/>
        <v>0</v>
      </c>
      <c r="BD575" s="180">
        <f t="shared" ca="1" si="324"/>
        <v>0.05</v>
      </c>
      <c r="BE575" s="180">
        <f t="shared" ca="1" si="325"/>
        <v>0.05</v>
      </c>
      <c r="BF575" s="286">
        <f t="shared" ca="1" si="326"/>
        <v>0</v>
      </c>
      <c r="BG575" s="286">
        <f t="shared" ca="1" si="327"/>
        <v>0</v>
      </c>
    </row>
    <row r="576" spans="1:59">
      <c r="A576" s="1">
        <f t="shared" ca="1" si="307"/>
        <v>48</v>
      </c>
      <c r="B576" s="1">
        <f t="shared" ca="1" si="336"/>
        <v>154</v>
      </c>
      <c r="C576" s="1">
        <f t="shared" ca="1" si="337"/>
        <v>2</v>
      </c>
      <c r="D576" s="1">
        <f ca="1">MIN($D$3,VLOOKUP(C576,OP!$S$30:$T$41,2))</f>
        <v>2</v>
      </c>
      <c r="E576" s="1">
        <f t="shared" ca="1" si="338"/>
        <v>102</v>
      </c>
      <c r="F576" s="11" t="str">
        <f t="shared" ca="1" si="308"/>
        <v/>
      </c>
      <c r="G576" s="8">
        <f t="shared" ca="1" si="335"/>
        <v>365</v>
      </c>
      <c r="H576" s="8">
        <f t="shared" ca="1" si="309"/>
        <v>28</v>
      </c>
      <c r="I576" s="8" t="str">
        <f t="shared" ca="1" si="306"/>
        <v>482</v>
      </c>
      <c r="J576" s="13">
        <f>IF(繳費報酬率資料!$A$1=1,VALUE(OP!$C$121),VLOOKUP(A576,MP,2,0))</f>
        <v>0.05</v>
      </c>
      <c r="K576" s="14">
        <f ca="1">IF(SUM($K$4:K575,IF(繳費報酬率資料!$A$1=1,$AU576+$AV576,$BB576+$BC576))&gt;OP!$L$58,0,IF(繳費報酬率資料!$A$1=1,$AU576+$AV576,$BB576+$BC576))</f>
        <v>0</v>
      </c>
      <c r="L576" s="2"/>
      <c r="M576" s="2"/>
      <c r="N576" s="2"/>
      <c r="O576" s="261">
        <f t="shared" ca="1" si="310"/>
        <v>0</v>
      </c>
      <c r="P576" s="261">
        <f t="shared" ca="1" si="328"/>
        <v>0</v>
      </c>
      <c r="Q576" s="3">
        <f ca="1">IF(A576&gt;MAX(OP!$R$17:$R$26),0,VLOOKUP(A576,fees,3,FALSE))</f>
        <v>0</v>
      </c>
      <c r="R576" s="200" t="str">
        <f t="shared" ca="1" si="311"/>
        <v/>
      </c>
      <c r="S576" s="9" t="str">
        <f ca="1">IF(COUNTIF(($T$4:T575),"F")&gt;=1,"",IF(OR(C577&lt;&gt;$C$3,E576=""),"",A576))</f>
        <v/>
      </c>
      <c r="T576" s="20" t="str">
        <f t="shared" ca="1" si="339"/>
        <v/>
      </c>
      <c r="U576" s="2">
        <f ca="1">IF(IF(OP!$C$83=1,$Z575,IF(OP!$C$83=2,$AA575,IF(OP!$C$83=3,$AB575,)))+$K576-$O576-$P576-$AS576&lt;OP!$C$142,0,$AS576)</f>
        <v>0</v>
      </c>
      <c r="V576" s="9"/>
      <c r="W576" s="19">
        <f ca="1">MAX(SUM($K$4:K576),0)</f>
        <v>2000000</v>
      </c>
      <c r="X576" s="19"/>
      <c r="Y576" s="19">
        <f t="shared" ca="1" si="329"/>
        <v>1920000</v>
      </c>
      <c r="Z576" s="2">
        <f ca="1">IF(MIN($Z$4:Z575)=0,0,MAX(0,($Z575+$K576-$O576-$P576)*IF(AND(F576="F",$D$3&lt;&gt;$G$3),((1+(-J576))^(H576/MIN(G576,365))),((1+(-J576))^(1/12)))-$U576))</f>
        <v>165807.19841550483</v>
      </c>
      <c r="AA576" s="2">
        <f ca="1">IF(MIN($AA$4:AA575)=0,0,MAX(0,($AA575+$K576-$O576-$P576)*IF(AND(F576="F",$D$3&lt;&gt;$G$3),((1+$AA$1)^(H576/MIN(G576,365))),((1+$AA$1)^(1/12)))-$U576))</f>
        <v>1920000</v>
      </c>
      <c r="AB576" s="2">
        <f ca="1">IF(MIN($AB$4:AB575)=0,0,MAX(0,($AB575+$K576-$O576-$P576)*IF(AND(F576="F",$D$3&lt;&gt;$G$3),((1+(J576))^(H576/MIN(G576,365))),((1+(J576))^(1/12)))-$U576))</f>
        <v>19728327.067464739</v>
      </c>
      <c r="AC576" s="5"/>
      <c r="AD576" s="5"/>
      <c r="AE576" s="5"/>
      <c r="AF576" s="282">
        <f t="shared" ca="1" si="312"/>
        <v>165807</v>
      </c>
      <c r="AG576" s="282">
        <f t="shared" ca="1" si="313"/>
        <v>1920000</v>
      </c>
      <c r="AH576" s="282">
        <f t="shared" ca="1" si="314"/>
        <v>19728327</v>
      </c>
      <c r="AI576" s="23" t="str">
        <f t="shared" ca="1" si="331"/>
        <v>48-10</v>
      </c>
      <c r="AJ576" s="282">
        <f ca="1">IF(E576&gt;111,,IF(AND(OP!$C$99=1,T576="F"),Z576,IF(AND(OP!$C$99=2,COUNTIF($T$4:T576,"F")=1),OP!$C$97+IF(F576="F",OP!$C$98,0),"")))</f>
        <v>54527</v>
      </c>
      <c r="AK576" s="282">
        <f ca="1">IF(E576&gt;111,,IF(AND(OP!$D$99=1,T576="F"),AA576,IF(AND(OP!$D$99=2,COUNTIF($T$4:T576,"F")=1),OP!$D$97+IF(F576="F",OP!$D$98,0),"")))</f>
        <v>74177</v>
      </c>
      <c r="AL576" s="282">
        <f ca="1">IF(E576&gt;111,,IF(AND(OP!$E$99=1,T576="F"),AB576,IF(AND(OP!$E$99=2,COUNTIF($T$4:T576,"F")=1),OP!$E$97+IF(F576="F",OP!$E$98,0),"")))</f>
        <v>99404</v>
      </c>
      <c r="AM576" s="1">
        <f t="shared" ca="1" si="340"/>
        <v>10</v>
      </c>
      <c r="AN576" s="1" t="e">
        <f ca="1">IF(OR(VLOOKUP($A576,MP,5,0)="月繳"),1,"")</f>
        <v>#N/A</v>
      </c>
      <c r="AO576" s="1">
        <f t="shared" ca="1" si="315"/>
        <v>0</v>
      </c>
      <c r="AP576" s="1" t="str">
        <f ca="1">IF(AND(A576&lt;=OP!$C$120,COUNTIF(PAY,C576)=1),1,"")</f>
        <v/>
      </c>
      <c r="AR576" s="301">
        <f ca="1">IF(繳費報酬率資料!$A$1=1,$AY576+$AZ576,$BF576+$BG576)</f>
        <v>0</v>
      </c>
      <c r="AS576" s="1">
        <f ca="1">IF(C576&lt;&gt;IF($C$3=1,12,$C$3-1),0,IF(繳費報酬率資料!$A$1&lt;&gt;1,VLOOKUP($A576,MP,8,0),IF(AND($A576&gt;=OP!$C$79,$A576&lt;=OP!$C$80),OP!$C$78,)))</f>
        <v>0</v>
      </c>
      <c r="AT576" s="298">
        <f t="shared" ca="1" si="316"/>
        <v>0</v>
      </c>
      <c r="AU576" s="298">
        <f ca="1">IF(AND(A576&lt;=OP!$C$120,COUNTIF(PAY,C576)=1),OP!$C$123,0)</f>
        <v>0</v>
      </c>
      <c r="AV576" s="298">
        <f ca="1">IF(AND(A576&gt;=OP!$C$132,A576&lt;=OP!$C$133,$C$3=C576),OP!$C$135,0)</f>
        <v>0</v>
      </c>
      <c r="AW576" s="180">
        <f t="shared" ca="1" si="317"/>
        <v>0.05</v>
      </c>
      <c r="AX576" s="180">
        <f t="shared" ca="1" si="318"/>
        <v>0.05</v>
      </c>
      <c r="AY576" s="286">
        <f t="shared" ca="1" si="319"/>
        <v>0</v>
      </c>
      <c r="AZ576" s="286">
        <f t="shared" ca="1" si="320"/>
        <v>0</v>
      </c>
      <c r="BA576" s="286">
        <f t="shared" ca="1" si="321"/>
        <v>0</v>
      </c>
      <c r="BB576" s="286">
        <f t="shared" ca="1" si="322"/>
        <v>0</v>
      </c>
      <c r="BC576" s="286">
        <f t="shared" ca="1" si="323"/>
        <v>0</v>
      </c>
      <c r="BD576" s="180">
        <f t="shared" ca="1" si="324"/>
        <v>0.05</v>
      </c>
      <c r="BE576" s="180">
        <f t="shared" ca="1" si="325"/>
        <v>0.05</v>
      </c>
      <c r="BF576" s="286">
        <f t="shared" ca="1" si="326"/>
        <v>0</v>
      </c>
      <c r="BG576" s="286">
        <f t="shared" ca="1" si="327"/>
        <v>0</v>
      </c>
    </row>
    <row r="577" spans="1:59">
      <c r="A577" s="1">
        <f t="shared" ca="1" si="307"/>
        <v>48</v>
      </c>
      <c r="B577" s="1">
        <f t="shared" ca="1" si="336"/>
        <v>154</v>
      </c>
      <c r="C577" s="1">
        <f t="shared" ca="1" si="337"/>
        <v>3</v>
      </c>
      <c r="D577" s="1">
        <f ca="1">MIN($D$3,VLOOKUP(C577,OP!$S$30:$T$41,2))</f>
        <v>2</v>
      </c>
      <c r="E577" s="1">
        <f t="shared" ca="1" si="338"/>
        <v>102</v>
      </c>
      <c r="F577" s="11" t="str">
        <f t="shared" ca="1" si="308"/>
        <v/>
      </c>
      <c r="G577" s="8">
        <f t="shared" ca="1" si="335"/>
        <v>365</v>
      </c>
      <c r="H577" s="8">
        <f t="shared" ca="1" si="309"/>
        <v>31</v>
      </c>
      <c r="I577" s="8" t="str">
        <f t="shared" ca="1" si="306"/>
        <v>483</v>
      </c>
      <c r="J577" s="13">
        <f>IF(繳費報酬率資料!$A$1=1,VALUE(OP!$C$121),VLOOKUP(A577,MP,2,0))</f>
        <v>0.05</v>
      </c>
      <c r="K577" s="14">
        <f ca="1">IF(SUM($K$4:K576,IF(繳費報酬率資料!$A$1=1,$AU577+$AV577,$BB577+$BC577))&gt;OP!$L$58,0,IF(繳費報酬率資料!$A$1=1,$AU577+$AV577,$BB577+$BC577))</f>
        <v>0</v>
      </c>
      <c r="L577" s="2"/>
      <c r="M577" s="2"/>
      <c r="N577" s="2"/>
      <c r="O577" s="261">
        <f t="shared" ca="1" si="310"/>
        <v>0</v>
      </c>
      <c r="P577" s="261">
        <f t="shared" ca="1" si="328"/>
        <v>0</v>
      </c>
      <c r="Q577" s="3">
        <f ca="1">IF(A577&gt;MAX(OP!$R$17:$R$26),0,VLOOKUP(A577,fees,3,FALSE))</f>
        <v>0</v>
      </c>
      <c r="R577" s="200" t="str">
        <f t="shared" ca="1" si="311"/>
        <v/>
      </c>
      <c r="S577" s="9" t="str">
        <f ca="1">IF(COUNTIF(($T$4:T576),"F")&gt;=1,"",IF(OR(C578&lt;&gt;$C$3,E577=""),"",A577))</f>
        <v/>
      </c>
      <c r="T577" s="20" t="str">
        <f t="shared" ca="1" si="339"/>
        <v/>
      </c>
      <c r="U577" s="2">
        <f ca="1">IF(IF(OP!$C$83=1,$Z576,IF(OP!$C$83=2,$AA576,IF(OP!$C$83=3,$AB576,)))+$K577-$O577-$P577-$AS577&lt;OP!$C$142,0,$AS577)</f>
        <v>0</v>
      </c>
      <c r="V577" s="9"/>
      <c r="W577" s="19">
        <f ca="1">MAX(SUM($K$4:K577),0)</f>
        <v>2000000</v>
      </c>
      <c r="X577" s="19"/>
      <c r="Y577" s="19">
        <f t="shared" ca="1" si="329"/>
        <v>1920000</v>
      </c>
      <c r="Z577" s="2">
        <f ca="1">IF(MIN($Z$4:Z576)=0,0,MAX(0,($Z576+$K577-$O577-$P577)*IF(AND(F577="F",$D$3&lt;&gt;$G$3),((1+(-J577))^(H577/MIN(G577,365))),((1+(-J577))^(1/12)))-$U577))</f>
        <v>165099.97785864846</v>
      </c>
      <c r="AA577" s="2">
        <f ca="1">IF(MIN($AA$4:AA576)=0,0,MAX(0,($AA576+$K577-$O577-$P577)*IF(AND(F577="F",$D$3&lt;&gt;$G$3),((1+$AA$1)^(H577/MIN(G577,365))),((1+$AA$1)^(1/12)))-$U577))</f>
        <v>1920000</v>
      </c>
      <c r="AB577" s="2">
        <f ca="1">IF(MIN($AB$4:AB576)=0,0,MAX(0,($AB576+$K577-$O577-$P577)*IF(AND(F577="F",$D$3&lt;&gt;$G$3),((1+(J577))^(H577/MIN(G577,365))),((1+(J577))^(1/12)))-$U577))</f>
        <v>19808702.713981889</v>
      </c>
      <c r="AC577" s="5"/>
      <c r="AD577" s="5"/>
      <c r="AE577" s="5"/>
      <c r="AF577" s="282">
        <f t="shared" ca="1" si="312"/>
        <v>165100</v>
      </c>
      <c r="AG577" s="282">
        <f t="shared" ca="1" si="313"/>
        <v>1920000</v>
      </c>
      <c r="AH577" s="282">
        <f t="shared" ca="1" si="314"/>
        <v>19808703</v>
      </c>
      <c r="AI577" s="23" t="str">
        <f t="shared" ca="1" si="331"/>
        <v>48-11</v>
      </c>
      <c r="AJ577" s="282">
        <f ca="1">IF(E577&gt;111,,IF(AND(OP!$C$99=1,T577="F"),Z577,IF(AND(OP!$C$99=2,COUNTIF($T$4:T577,"F")=1),OP!$C$97+IF(F577="F",OP!$C$98,0),"")))</f>
        <v>54527</v>
      </c>
      <c r="AK577" s="282">
        <f ca="1">IF(E577&gt;111,,IF(AND(OP!$D$99=1,T577="F"),AA577,IF(AND(OP!$D$99=2,COUNTIF($T$4:T577,"F")=1),OP!$D$97+IF(F577="F",OP!$D$98,0),"")))</f>
        <v>74177</v>
      </c>
      <c r="AL577" s="282">
        <f ca="1">IF(E577&gt;111,,IF(AND(OP!$E$99=1,T577="F"),AB577,IF(AND(OP!$E$99=2,COUNTIF($T$4:T577,"F")=1),OP!$E$97+IF(F577="F",OP!$E$98,0),"")))</f>
        <v>99404</v>
      </c>
      <c r="AM577" s="1">
        <f t="shared" ca="1" si="340"/>
        <v>11</v>
      </c>
      <c r="AN577" s="1" t="e">
        <f ca="1">IF(OR(VLOOKUP($A577,MP,5,0)="季繳",VLOOKUP($A577,MP,5,0)="月繳"),1,"")</f>
        <v>#N/A</v>
      </c>
      <c r="AO577" s="1">
        <f t="shared" ca="1" si="315"/>
        <v>0</v>
      </c>
      <c r="AP577" s="1" t="str">
        <f ca="1">IF(AND(A577&lt;=OP!$C$120,COUNTIF(PAY,C577)=1),1,"")</f>
        <v/>
      </c>
      <c r="AR577" s="301">
        <f ca="1">IF(繳費報酬率資料!$A$1=1,$AY577+$AZ577,$BF577+$BG577)</f>
        <v>0</v>
      </c>
      <c r="AS577" s="1">
        <f ca="1">IF(C577&lt;&gt;IF($C$3=1,12,$C$3-1),0,IF(繳費報酬率資料!$A$1&lt;&gt;1,VLOOKUP($A577,MP,8,0),IF(AND($A577&gt;=OP!$C$79,$A577&lt;=OP!$C$80),OP!$C$78,)))</f>
        <v>0</v>
      </c>
      <c r="AT577" s="298">
        <f t="shared" ca="1" si="316"/>
        <v>0</v>
      </c>
      <c r="AU577" s="298">
        <f ca="1">IF(AND(A577&lt;=OP!$C$120,COUNTIF(PAY,C577)=1),OP!$C$123,0)</f>
        <v>0</v>
      </c>
      <c r="AV577" s="298">
        <f ca="1">IF(AND(A577&gt;=OP!$C$132,A577&lt;=OP!$C$133,$C$3=C577),OP!$C$135,0)</f>
        <v>0</v>
      </c>
      <c r="AW577" s="180">
        <f t="shared" ca="1" si="317"/>
        <v>0.05</v>
      </c>
      <c r="AX577" s="180">
        <f t="shared" ca="1" si="318"/>
        <v>0.05</v>
      </c>
      <c r="AY577" s="286">
        <f t="shared" ca="1" si="319"/>
        <v>0</v>
      </c>
      <c r="AZ577" s="286">
        <f t="shared" ca="1" si="320"/>
        <v>0</v>
      </c>
      <c r="BA577" s="286">
        <f t="shared" ca="1" si="321"/>
        <v>0</v>
      </c>
      <c r="BB577" s="286">
        <f t="shared" ca="1" si="322"/>
        <v>0</v>
      </c>
      <c r="BC577" s="286">
        <f t="shared" ca="1" si="323"/>
        <v>0</v>
      </c>
      <c r="BD577" s="180">
        <f t="shared" ca="1" si="324"/>
        <v>0.05</v>
      </c>
      <c r="BE577" s="180">
        <f t="shared" ca="1" si="325"/>
        <v>0.05</v>
      </c>
      <c r="BF577" s="286">
        <f t="shared" ca="1" si="326"/>
        <v>0</v>
      </c>
      <c r="BG577" s="286">
        <f t="shared" ca="1" si="327"/>
        <v>0</v>
      </c>
    </row>
    <row r="578" spans="1:59">
      <c r="A578" s="1">
        <f t="shared" ca="1" si="307"/>
        <v>48</v>
      </c>
      <c r="B578" s="1">
        <f t="shared" ca="1" si="336"/>
        <v>154</v>
      </c>
      <c r="C578" s="1">
        <f t="shared" ca="1" si="337"/>
        <v>4</v>
      </c>
      <c r="D578" s="1">
        <f ca="1">MIN($D$3,VLOOKUP(C578,OP!$S$30:$T$41,2))</f>
        <v>2</v>
      </c>
      <c r="E578" s="1">
        <f t="shared" ca="1" si="338"/>
        <v>102</v>
      </c>
      <c r="F578" s="11" t="str">
        <f t="shared" ca="1" si="308"/>
        <v/>
      </c>
      <c r="G578" s="8">
        <f t="shared" ca="1" si="335"/>
        <v>365</v>
      </c>
      <c r="H578" s="8">
        <f t="shared" ca="1" si="309"/>
        <v>30</v>
      </c>
      <c r="I578" s="8" t="str">
        <f t="shared" ca="1" si="306"/>
        <v>484</v>
      </c>
      <c r="J578" s="13">
        <f>IF(繳費報酬率資料!$A$1=1,VALUE(OP!$C$121),VLOOKUP(A578,MP,2,0))</f>
        <v>0.05</v>
      </c>
      <c r="K578" s="14">
        <f ca="1">IF(SUM($K$4:K577,IF(繳費報酬率資料!$A$1=1,$AU578+$AV578,$BB578+$BC578))&gt;OP!$L$58,0,IF(繳費報酬率資料!$A$1=1,$AU578+$AV578,$BB578+$BC578))</f>
        <v>0</v>
      </c>
      <c r="L578" s="2"/>
      <c r="M578" s="2"/>
      <c r="N578" s="2"/>
      <c r="O578" s="261">
        <f t="shared" ca="1" si="310"/>
        <v>0</v>
      </c>
      <c r="P578" s="261">
        <f t="shared" ca="1" si="328"/>
        <v>0</v>
      </c>
      <c r="Q578" s="3">
        <f ca="1">IF(A578&gt;MAX(OP!$R$17:$R$26),0,VLOOKUP(A578,fees,3,FALSE))</f>
        <v>0</v>
      </c>
      <c r="R578" s="200" t="str">
        <f t="shared" ca="1" si="311"/>
        <v/>
      </c>
      <c r="S578" s="9" t="str">
        <f ca="1">IF(COUNTIF(($T$4:T577),"F")&gt;=1,"",IF(OR(C579&lt;&gt;$C$3,E578=""),"",A578))</f>
        <v/>
      </c>
      <c r="T578" s="20" t="str">
        <f t="shared" ca="1" si="339"/>
        <v/>
      </c>
      <c r="U578" s="2">
        <f ca="1">IF(IF(OP!$C$83=1,$Z577,IF(OP!$C$83=2,$AA577,IF(OP!$C$83=3,$AB577,)))+$K578-$O578-$P578-$AS578&lt;OP!$C$142,0,$AS578)</f>
        <v>0</v>
      </c>
      <c r="V578" s="9"/>
      <c r="W578" s="19">
        <f ca="1">MAX(SUM($K$4:K578),0)</f>
        <v>2000000</v>
      </c>
      <c r="X578" s="19"/>
      <c r="Y578" s="19">
        <f t="shared" ca="1" si="329"/>
        <v>1920000</v>
      </c>
      <c r="Z578" s="2">
        <f ca="1">IF(MIN($Z$4:Z577)=0,0,MAX(0,($Z577+$K578-$O578-$P578)*IF(AND(F578="F",$D$3&lt;&gt;$G$3),((1+(-J578))^(H578/MIN(G578,365))),((1+(-J578))^(1/12)))-$U578))</f>
        <v>164395.77382291312</v>
      </c>
      <c r="AA578" s="2">
        <f ca="1">IF(MIN($AA$4:AA577)=0,0,MAX(0,($AA577+$K578-$O578-$P578)*IF(AND(F578="F",$D$3&lt;&gt;$G$3),((1+$AA$1)^(H578/MIN(G578,365))),((1+$AA$1)^(1/12)))-$U578))</f>
        <v>1920000</v>
      </c>
      <c r="AB578" s="2">
        <f ca="1">IF(MIN($AB$4:AB577)=0,0,MAX(0,($AB577+$K578-$O578-$P578)*IF(AND(F578="F",$D$3&lt;&gt;$G$3),((1+(J578))^(H578/MIN(G578,365))),((1+(J578))^(1/12)))-$U578))</f>
        <v>19889405.820832141</v>
      </c>
      <c r="AC578" s="5"/>
      <c r="AD578" s="5"/>
      <c r="AE578" s="5"/>
      <c r="AF578" s="282">
        <f t="shared" ca="1" si="312"/>
        <v>164396</v>
      </c>
      <c r="AG578" s="282">
        <f t="shared" ca="1" si="313"/>
        <v>1920000</v>
      </c>
      <c r="AH578" s="282">
        <f t="shared" ca="1" si="314"/>
        <v>19889406</v>
      </c>
      <c r="AI578" s="23" t="str">
        <f t="shared" ca="1" si="331"/>
        <v>48-12</v>
      </c>
      <c r="AJ578" s="282">
        <f ca="1">IF(E578&gt;111,,IF(AND(OP!$C$99=1,T578="F"),Z578,IF(AND(OP!$C$99=2,COUNTIF($T$4:T578,"F")=1),OP!$C$97+IF(F578="F",OP!$C$98,0),"")))</f>
        <v>54527</v>
      </c>
      <c r="AK578" s="282">
        <f ca="1">IF(E578&gt;111,,IF(AND(OP!$D$99=1,T578="F"),AA578,IF(AND(OP!$D$99=2,COUNTIF($T$4:T578,"F")=1),OP!$D$97+IF(F578="F",OP!$D$98,0),"")))</f>
        <v>74177</v>
      </c>
      <c r="AL578" s="282">
        <f ca="1">IF(E578&gt;111,,IF(AND(OP!$E$99=1,T578="F"),AB578,IF(AND(OP!$E$99=2,COUNTIF($T$4:T578,"F")=1),OP!$E$97+IF(F578="F",OP!$E$98,0),"")))</f>
        <v>99404</v>
      </c>
      <c r="AM578" s="1">
        <f t="shared" ca="1" si="340"/>
        <v>12</v>
      </c>
      <c r="AN578" s="1" t="e">
        <f ca="1">IF(OR(VLOOKUP($A578,MP,5,0)="月繳"),1,"")</f>
        <v>#N/A</v>
      </c>
      <c r="AO578" s="1">
        <f t="shared" ca="1" si="315"/>
        <v>0</v>
      </c>
      <c r="AP578" s="1" t="str">
        <f ca="1">IF(AND(A578&lt;=OP!$C$120,COUNTIF(PAY,C578)=1),1,"")</f>
        <v/>
      </c>
      <c r="AR578" s="301">
        <f ca="1">IF(繳費報酬率資料!$A$1=1,$AY578+$AZ578,$BF578+$BG578)</f>
        <v>0</v>
      </c>
      <c r="AS578" s="1">
        <f ca="1">IF(C578&lt;&gt;IF($C$3=1,12,$C$3-1),0,IF(繳費報酬率資料!$A$1&lt;&gt;1,VLOOKUP($A578,MP,8,0),IF(AND($A578&gt;=OP!$C$79,$A578&lt;=OP!$C$80),OP!$C$78,)))</f>
        <v>0</v>
      </c>
      <c r="AT578" s="298">
        <f t="shared" ca="1" si="316"/>
        <v>0</v>
      </c>
      <c r="AU578" s="298">
        <f ca="1">IF(AND(A578&lt;=OP!$C$120,COUNTIF(PAY,C578)=1),OP!$C$123,0)</f>
        <v>0</v>
      </c>
      <c r="AV578" s="298">
        <f ca="1">IF(AND(A578&gt;=OP!$C$132,A578&lt;=OP!$C$133,$C$3=C578),OP!$C$135,0)</f>
        <v>0</v>
      </c>
      <c r="AW578" s="180">
        <f t="shared" ca="1" si="317"/>
        <v>0.05</v>
      </c>
      <c r="AX578" s="180">
        <f t="shared" ca="1" si="318"/>
        <v>0.05</v>
      </c>
      <c r="AY578" s="286">
        <f t="shared" ca="1" si="319"/>
        <v>0</v>
      </c>
      <c r="AZ578" s="286">
        <f t="shared" ca="1" si="320"/>
        <v>0</v>
      </c>
      <c r="BA578" s="286">
        <f t="shared" ca="1" si="321"/>
        <v>0</v>
      </c>
      <c r="BB578" s="286">
        <f t="shared" ca="1" si="322"/>
        <v>0</v>
      </c>
      <c r="BC578" s="286">
        <f t="shared" ca="1" si="323"/>
        <v>0</v>
      </c>
      <c r="BD578" s="180">
        <f t="shared" ca="1" si="324"/>
        <v>0.05</v>
      </c>
      <c r="BE578" s="180">
        <f t="shared" ca="1" si="325"/>
        <v>0.05</v>
      </c>
      <c r="BF578" s="286">
        <f t="shared" ca="1" si="326"/>
        <v>0</v>
      </c>
      <c r="BG578" s="286">
        <f t="shared" ca="1" si="327"/>
        <v>0</v>
      </c>
    </row>
    <row r="579" spans="1:59">
      <c r="A579" s="1">
        <f t="shared" ca="1" si="307"/>
        <v>48</v>
      </c>
      <c r="B579" s="1">
        <f t="shared" ca="1" si="336"/>
        <v>154</v>
      </c>
      <c r="C579" s="1">
        <f t="shared" ca="1" si="337"/>
        <v>5</v>
      </c>
      <c r="D579" s="1">
        <f ca="1">MIN($D$3,VLOOKUP(C579,OP!$S$30:$T$41,2))</f>
        <v>2</v>
      </c>
      <c r="E579" s="1">
        <f t="shared" ca="1" si="338"/>
        <v>102</v>
      </c>
      <c r="F579" s="11" t="str">
        <f t="shared" ca="1" si="308"/>
        <v/>
      </c>
      <c r="G579" s="8">
        <f t="shared" ca="1" si="335"/>
        <v>365</v>
      </c>
      <c r="H579" s="8">
        <f t="shared" ca="1" si="309"/>
        <v>31</v>
      </c>
      <c r="I579" s="8" t="str">
        <f t="shared" ca="1" si="306"/>
        <v>485</v>
      </c>
      <c r="J579" s="13">
        <f>IF(繳費報酬率資料!$A$1=1,VALUE(OP!$C$121),VLOOKUP(A579,MP,2,0))</f>
        <v>0.05</v>
      </c>
      <c r="K579" s="14">
        <f ca="1">IF(SUM($K$4:K578,IF(繳費報酬率資料!$A$1=1,$AU579+$AV579,$BB579+$BC579))&gt;OP!$L$58,0,IF(繳費報酬率資料!$A$1=1,$AU579+$AV579,$BB579+$BC579))</f>
        <v>0</v>
      </c>
      <c r="L579" s="2">
        <f ca="1">ROUND(IF(OP!$C$78&lt;(IF(OR($T579="F",$E579&gt;=111),0,Z578+$K579-$O579+IF($C$1=1,OP!$C$78,IF($C580=$C$3,SUM(AC568:AC579,0)))))*5%,0,(OP!$C$78-((IF(OR($T579="F",$E579&gt;=111),0,Z578+$K579-$O579+IF($C$1=1,AC579,IF($C580=$C$3,SUM(AC568:AC579,0)))))*5%))*$Q579),0)</f>
        <v>0</v>
      </c>
      <c r="M579" s="2">
        <f ca="1">ROUND(IF(OP!$C$78&lt;(IF(OR($T579="F",$E579&gt;=111),0,AA578+$K579-$O579+IF($C$1=1,AD579,IF($C580=$C$3,SUM(AD568:AD579,0)))))*5%,0,(OP!$C$78-((IF(OR($T579="F",$E579&gt;=111),0,AA578+$K579-$O579+IF($C$1=1,AD579,IF($C580=$C$3,SUM(AD568:AD579,0)))))*5%))*$Q579),0)</f>
        <v>0</v>
      </c>
      <c r="N579" s="2">
        <f ca="1">ROUND(IF(OP!$C$78&lt;(IF(OR($T579="F",$E579&gt;=111),0,AB578+$K579-$O579+IF($C$1=1,AE579,IF($C580=$C$3,SUM(AE568:AE579,0)))))*5%,0,(OP!$C$78-((IF(OR($T579="F",$E579&gt;=111),0,AB578+$K579-$O579+IF($C$1=1,AE579,IF($C580=$C$3,SUM(AE568:AE579,0)))))*5%))*$Q579),0)</f>
        <v>0</v>
      </c>
      <c r="O579" s="261">
        <f t="shared" ca="1" si="310"/>
        <v>0</v>
      </c>
      <c r="P579" s="261">
        <f t="shared" ca="1" si="328"/>
        <v>0</v>
      </c>
      <c r="Q579" s="3">
        <f ca="1">IF(A579&gt;MAX(OP!$R$17:$R$26),0,VLOOKUP(A579,fees,3,FALSE))</f>
        <v>0</v>
      </c>
      <c r="R579" s="200">
        <f t="shared" ca="1" si="311"/>
        <v>48</v>
      </c>
      <c r="S579" s="9" t="str">
        <f ca="1">IF(COUNTIF(($T$4:T578),"F")&gt;=1,"",IF(OR(C580&lt;&gt;$C$3,E579=""),"",A579))</f>
        <v/>
      </c>
      <c r="T579" s="20" t="str">
        <f t="shared" ca="1" si="339"/>
        <v/>
      </c>
      <c r="U579" s="2">
        <f ca="1">IF(IF(OP!$C$83=1,$Z578,IF(OP!$C$83=2,$AA578,IF(OP!$C$83=3,$AB578,)))+$K579-$O579-$P579-$AS579&lt;OP!$C$142,0,$AS579)</f>
        <v>0</v>
      </c>
      <c r="V579" s="19">
        <f ca="1">SUM(K568:K579)</f>
        <v>0</v>
      </c>
      <c r="W579" s="19">
        <f ca="1">MAX(SUM($K$4:K579),0)</f>
        <v>2000000</v>
      </c>
      <c r="X579" s="19">
        <f ca="1">SUM(O568:P579)</f>
        <v>0</v>
      </c>
      <c r="Y579" s="19">
        <f t="shared" ca="1" si="329"/>
        <v>1920000</v>
      </c>
      <c r="Z579" s="2">
        <f ca="1">IF(MIN($Z$4:Z578)=0,0,MAX(0,($Z578+$K579-$O579-$P579)*IF(AND(F579="F",$D$3&lt;&gt;$G$3),((1+(-J579))^(H579/MIN(G579,365))),((1+(-J579))^(1/12)))-$U579))</f>
        <v>163694.57344187464</v>
      </c>
      <c r="AA579" s="2">
        <f ca="1">IF(MIN($AA$4:AA578)=0,0,MAX(0,($AA578+$K579-$O579-$P579)*IF(AND(F579="F",$D$3&lt;&gt;$G$3),((1+$AA$1)^(H579/MIN(G579,365))),((1+$AA$1)^(1/12)))-$U579))</f>
        <v>1920000</v>
      </c>
      <c r="AB579" s="2">
        <f ca="1">IF(MIN($AB$4:AB578)=0,0,MAX(0,($AB578+$K579-$O579-$P579)*IF(AND(F579="F",$D$3&lt;&gt;$G$3),((1+(J579))^(H579/MIN(G579,365))),((1+(J579))^(1/12)))-$U579))</f>
        <v>19970437.722129427</v>
      </c>
      <c r="AC579" s="5"/>
      <c r="AD579" s="5"/>
      <c r="AE579" s="5"/>
      <c r="AF579" s="282">
        <f t="shared" ca="1" si="312"/>
        <v>163695</v>
      </c>
      <c r="AG579" s="282">
        <f t="shared" ca="1" si="313"/>
        <v>1920000</v>
      </c>
      <c r="AH579" s="282">
        <f t="shared" ca="1" si="314"/>
        <v>19970438</v>
      </c>
      <c r="AI579" s="23" t="str">
        <f t="shared" ca="1" si="331"/>
        <v>49-1</v>
      </c>
      <c r="AJ579" s="282">
        <f ca="1">IF(E579&gt;111,,IF(AND(OP!$C$99=1,T579="F"),Z579,IF(AND(OP!$C$99=2,COUNTIF($T$4:T579,"F")=1),OP!$C$97+IF(F579="F",OP!$C$98,0),"")))</f>
        <v>54527</v>
      </c>
      <c r="AK579" s="282">
        <f ca="1">IF(E579&gt;111,,IF(AND(OP!$D$99=1,T579="F"),AA579,IF(AND(OP!$D$99=2,COUNTIF($T$4:T579,"F")=1),OP!$D$97+IF(F579="F",OP!$D$98,0),"")))</f>
        <v>74177</v>
      </c>
      <c r="AL579" s="282">
        <f ca="1">IF(E579&gt;111,,IF(AND(OP!$E$99=1,T579="F"),AB579,IF(AND(OP!$E$99=2,COUNTIF($T$4:T579,"F")=1),OP!$E$97+IF(F579="F",OP!$E$98,0),"")))</f>
        <v>99404</v>
      </c>
      <c r="AM579" s="1">
        <f t="shared" ca="1" si="340"/>
        <v>1</v>
      </c>
      <c r="AN579" s="1" t="e">
        <f ca="1">IF(OR(VLOOKUP($A579,MP,5,0)="月繳"),1,"")</f>
        <v>#N/A</v>
      </c>
      <c r="AO579" s="1">
        <f t="shared" ca="1" si="315"/>
        <v>0</v>
      </c>
      <c r="AP579" s="1" t="str">
        <f ca="1">IF(AND(A579&lt;=OP!$C$120,COUNTIF(PAY,C579)=1),1,"")</f>
        <v/>
      </c>
      <c r="AR579" s="301">
        <f ca="1">IF(繳費報酬率資料!$A$1=1,$AY579+$AZ579,$BF579+$BG579)</f>
        <v>0</v>
      </c>
      <c r="AS579" s="1">
        <f ca="1">IF(C579&lt;&gt;IF($C$3=1,12,$C$3-1),0,IF(繳費報酬率資料!$A$1&lt;&gt;1,VLOOKUP($A579,MP,8,0),IF(AND($A579&gt;=OP!$C$79,$A579&lt;=OP!$C$80),OP!$C$78,)))</f>
        <v>0</v>
      </c>
      <c r="AT579" s="298">
        <f t="shared" ca="1" si="316"/>
        <v>0</v>
      </c>
      <c r="AU579" s="298">
        <f ca="1">IF(AND(A579&lt;=OP!$C$120,COUNTIF(PAY,C579)=1),OP!$C$123,0)</f>
        <v>0</v>
      </c>
      <c r="AV579" s="298">
        <f ca="1">IF(AND(A579&gt;=OP!$C$132,A579&lt;=OP!$C$133,$C$3=C579),OP!$C$135,0)</f>
        <v>0</v>
      </c>
      <c r="AW579" s="180">
        <f t="shared" ca="1" si="317"/>
        <v>0.05</v>
      </c>
      <c r="AX579" s="180">
        <f t="shared" ca="1" si="318"/>
        <v>0.05</v>
      </c>
      <c r="AY579" s="286">
        <f t="shared" ca="1" si="319"/>
        <v>0</v>
      </c>
      <c r="AZ579" s="286">
        <f t="shared" ca="1" si="320"/>
        <v>0</v>
      </c>
      <c r="BA579" s="286">
        <f t="shared" ca="1" si="321"/>
        <v>0</v>
      </c>
      <c r="BB579" s="286">
        <f t="shared" ca="1" si="322"/>
        <v>0</v>
      </c>
      <c r="BC579" s="286">
        <f t="shared" ca="1" si="323"/>
        <v>0</v>
      </c>
      <c r="BD579" s="180">
        <f t="shared" ca="1" si="324"/>
        <v>0.05</v>
      </c>
      <c r="BE579" s="180">
        <f t="shared" ca="1" si="325"/>
        <v>0.05</v>
      </c>
      <c r="BF579" s="286">
        <f t="shared" ca="1" si="326"/>
        <v>0</v>
      </c>
      <c r="BG579" s="286">
        <f t="shared" ca="1" si="327"/>
        <v>0</v>
      </c>
    </row>
    <row r="580" spans="1:59">
      <c r="A580" s="1">
        <f t="shared" ca="1" si="307"/>
        <v>49</v>
      </c>
      <c r="B580" s="1">
        <f t="shared" ca="1" si="336"/>
        <v>154</v>
      </c>
      <c r="C580" s="1">
        <f t="shared" ca="1" si="337"/>
        <v>6</v>
      </c>
      <c r="D580" s="1">
        <f ca="1">MIN($D$3,VLOOKUP(C580,OP!$S$30:$T$41,2))</f>
        <v>2</v>
      </c>
      <c r="E580" s="1">
        <f t="shared" ca="1" si="338"/>
        <v>103</v>
      </c>
      <c r="F580" s="11" t="str">
        <f t="shared" ca="1" si="308"/>
        <v/>
      </c>
      <c r="G580" s="6">
        <f ca="1">DATEDIF(DATE(B580+1911,C580,D580),DATE(B592+1911,C592,D592),"d")</f>
        <v>365</v>
      </c>
      <c r="H580" s="8">
        <f t="shared" ca="1" si="309"/>
        <v>30</v>
      </c>
      <c r="I580" s="8" t="str">
        <f t="shared" ref="I580:I643" ca="1" si="341">A580&amp;C580</f>
        <v>496</v>
      </c>
      <c r="J580" s="13">
        <f>IF(繳費報酬率資料!$A$1=1,VALUE(OP!$C$121),VLOOKUP(A580,MP,2,0))</f>
        <v>0.05</v>
      </c>
      <c r="K580" s="14">
        <f ca="1">IF(SUM($K$4:K579,IF(繳費報酬率資料!$A$1=1,$AU580+$AV580,$BB580+$BC580))&gt;OP!$L$58,0,IF(繳費報酬率資料!$A$1=1,$AU580+$AV580,$BB580+$BC580))</f>
        <v>0</v>
      </c>
      <c r="L580" s="2"/>
      <c r="M580" s="2"/>
      <c r="N580" s="2"/>
      <c r="O580" s="261">
        <f t="shared" ca="1" si="310"/>
        <v>0</v>
      </c>
      <c r="P580" s="261">
        <f t="shared" ca="1" si="328"/>
        <v>0</v>
      </c>
      <c r="Q580" s="3">
        <f ca="1">IF(A580&gt;MAX(OP!$R$17:$R$26),0,VLOOKUP(A580,fees,3,FALSE))</f>
        <v>0</v>
      </c>
      <c r="R580" s="200" t="str">
        <f t="shared" ca="1" si="311"/>
        <v/>
      </c>
      <c r="S580" s="9" t="str">
        <f ca="1">IF(COUNTIF(($T$4:T579),"F")&gt;=1,"",IF(OR(C581&lt;&gt;$C$3,E580=""),"",A580))</f>
        <v/>
      </c>
      <c r="T580" s="20" t="str">
        <f t="shared" ca="1" si="339"/>
        <v/>
      </c>
      <c r="U580" s="2">
        <f ca="1">IF(IF(OP!$C$83=1,$Z579,IF(OP!$C$83=2,$AA579,IF(OP!$C$83=3,$AB579,)))+$K580-$O580-$P580-$AS580&lt;OP!$C$142,0,$AS580)</f>
        <v>0</v>
      </c>
      <c r="V580" s="9"/>
      <c r="W580" s="19">
        <f ca="1">MAX(SUM($K$4:K580),0)</f>
        <v>2000000</v>
      </c>
      <c r="X580" s="19"/>
      <c r="Y580" s="19">
        <f t="shared" ca="1" si="329"/>
        <v>1920000</v>
      </c>
      <c r="Z580" s="2">
        <f ca="1">IF(MIN($Z$4:Z579)=0,0,MAX(0,($Z579+$K580-$O580-$P580)*IF(AND(F580="F",$D$3&lt;&gt;$G$3),((1+(-J580))^(H580/MIN(G580,365))),((1+(-J580))^(1/12)))-$U580))</f>
        <v>162996.36390398824</v>
      </c>
      <c r="AA580" s="2">
        <f ca="1">IF(MIN($AA$4:AA579)=0,0,MAX(0,($AA579+$K580-$O580-$P580)*IF(AND(F580="F",$D$3&lt;&gt;$G$3),((1+$AA$1)^(H580/MIN(G580,365))),((1+$AA$1)^(1/12)))-$U580))</f>
        <v>1920000</v>
      </c>
      <c r="AB580" s="2">
        <f ca="1">IF(MIN($AB$4:AB579)=0,0,MAX(0,($AB579+$K580-$O580-$P580)*IF(AND(F580="F",$D$3&lt;&gt;$G$3),((1+(J580))^(H580/MIN(G580,365))),((1+(J580))^(1/12)))-$U580))</f>
        <v>20051799.757423021</v>
      </c>
      <c r="AC580" s="21"/>
      <c r="AD580" s="21"/>
      <c r="AE580" s="21"/>
      <c r="AF580" s="282">
        <f t="shared" ca="1" si="312"/>
        <v>162996</v>
      </c>
      <c r="AG580" s="282">
        <f t="shared" ca="1" si="313"/>
        <v>1920000</v>
      </c>
      <c r="AH580" s="282">
        <f t="shared" ca="1" si="314"/>
        <v>20051800</v>
      </c>
      <c r="AI580" s="23" t="str">
        <f t="shared" ca="1" si="331"/>
        <v>49-2</v>
      </c>
      <c r="AJ580" s="281">
        <f ca="1">IF(E580&gt;111,,IF(AND(OP!$C$99=1,T580="F"),Z580,IF(AND(OP!$C$99=2,COUNTIF($T$4:T580,"F")=1),OP!$C$97+IF(F580="F",OP!$C$98,0),"")))</f>
        <v>54527</v>
      </c>
      <c r="AK580" s="281">
        <f ca="1">IF(E580&gt;111,,IF(AND(OP!$D$99=1,T580="F"),AA580,IF(AND(OP!$D$99=2,COUNTIF($T$4:T580,"F")=1),OP!$D$97+IF(F580="F",OP!$D$98,0),"")))</f>
        <v>74177</v>
      </c>
      <c r="AL580" s="281">
        <f ca="1">IF(E580&gt;111,,IF(AND(OP!$E$99=1,T580="F"),AB580,IF(AND(OP!$E$99=2,COUNTIF($T$4:T580,"F")=1),OP!$E$97+IF(F580="F",OP!$E$98,0),"")))</f>
        <v>99404</v>
      </c>
      <c r="AM580" s="1">
        <f t="shared" ca="1" si="340"/>
        <v>2</v>
      </c>
      <c r="AN580" s="1" t="e">
        <f ca="1">IF(OR(VLOOKUP($A580,MP,5,0)="年繳",VLOOKUP($A580,MP,5,0)="半年繳",VLOOKUP($A580,MP,5,0)="季繳",VLOOKUP($A580,MP,5,0)="月繳"),1,"")</f>
        <v>#N/A</v>
      </c>
      <c r="AO580" s="1">
        <f t="shared" ca="1" si="315"/>
        <v>0</v>
      </c>
      <c r="AP580" s="1" t="str">
        <f ca="1">IF(AND(A580&lt;=OP!$C$120,COUNTIF(PAY,C580)=1),1,"")</f>
        <v/>
      </c>
      <c r="AR580" s="301">
        <f ca="1">IF(繳費報酬率資料!$A$1=1,$AY580+$AZ580,$BF580+$BG580)</f>
        <v>0</v>
      </c>
      <c r="AS580" s="1">
        <f ca="1">IF(C580&lt;&gt;IF($C$3=1,12,$C$3-1),0,IF(繳費報酬率資料!$A$1&lt;&gt;1,VLOOKUP($A580,MP,8,0),IF(AND($A580&gt;=OP!$C$79,$A580&lt;=OP!$C$80),OP!$C$78,)))</f>
        <v>0</v>
      </c>
      <c r="AT580" s="298">
        <f t="shared" ca="1" si="316"/>
        <v>0</v>
      </c>
      <c r="AU580" s="298">
        <f ca="1">IF(AND(A580&lt;=OP!$C$120,COUNTIF(PAY,C580)=1),OP!$C$123,0)</f>
        <v>0</v>
      </c>
      <c r="AV580" s="298">
        <f ca="1">IF(AND(A580&gt;=OP!$C$132,A580&lt;=OP!$C$133,$C$3=C580),OP!$C$135,0)</f>
        <v>0</v>
      </c>
      <c r="AW580" s="180">
        <f t="shared" ca="1" si="317"/>
        <v>0.05</v>
      </c>
      <c r="AX580" s="180">
        <f t="shared" ca="1" si="318"/>
        <v>0.05</v>
      </c>
      <c r="AY580" s="286">
        <f t="shared" ca="1" si="319"/>
        <v>0</v>
      </c>
      <c r="AZ580" s="286">
        <f t="shared" ca="1" si="320"/>
        <v>0</v>
      </c>
      <c r="BA580" s="286">
        <f t="shared" ca="1" si="321"/>
        <v>0</v>
      </c>
      <c r="BB580" s="286">
        <f t="shared" ca="1" si="322"/>
        <v>0</v>
      </c>
      <c r="BC580" s="286">
        <f t="shared" ca="1" si="323"/>
        <v>0</v>
      </c>
      <c r="BD580" s="180">
        <f t="shared" ca="1" si="324"/>
        <v>0.05</v>
      </c>
      <c r="BE580" s="180">
        <f t="shared" ca="1" si="325"/>
        <v>0.05</v>
      </c>
      <c r="BF580" s="286">
        <f t="shared" ca="1" si="326"/>
        <v>0</v>
      </c>
      <c r="BG580" s="286">
        <f t="shared" ca="1" si="327"/>
        <v>0</v>
      </c>
    </row>
    <row r="581" spans="1:59">
      <c r="A581" s="1">
        <f t="shared" ref="A581:A644" ca="1" si="342">IF(C581=$C$4,A580+1,A580)</f>
        <v>49</v>
      </c>
      <c r="B581" s="1">
        <f t="shared" ca="1" si="336"/>
        <v>154</v>
      </c>
      <c r="C581" s="1">
        <f t="shared" ca="1" si="337"/>
        <v>7</v>
      </c>
      <c r="D581" s="1">
        <f ca="1">MIN($D$3,VLOOKUP(C581,OP!$S$30:$T$41,2))</f>
        <v>2</v>
      </c>
      <c r="E581" s="1">
        <f t="shared" ca="1" si="338"/>
        <v>103</v>
      </c>
      <c r="F581" s="11" t="str">
        <f t="shared" ref="F581:F644" ca="1" si="343">IF(AND(DATE($E$3+1911,$F$3,$G$3)&gt;DATE(B581+1911,C581,D581),DATE($E$3+1911,$F$3,$G$3)&lt;=DATE(B582+1911,C582,D582)),"F","")</f>
        <v/>
      </c>
      <c r="G581" s="8">
        <f t="shared" ref="G581:G591" ca="1" si="344">G580</f>
        <v>365</v>
      </c>
      <c r="H581" s="8">
        <f t="shared" ref="H581:H644" ca="1" si="345">DATEDIF(DATE(B581+1911,C581,D581),IF(F581="F",DATE($E$3+1911,$F$3,$G$3),DATE(B582+1911,C582,D582)),"d")</f>
        <v>31</v>
      </c>
      <c r="I581" s="8" t="str">
        <f t="shared" ca="1" si="341"/>
        <v>497</v>
      </c>
      <c r="J581" s="13">
        <f>IF(繳費報酬率資料!$A$1=1,VALUE(OP!$C$121),VLOOKUP(A581,MP,2,0))</f>
        <v>0.05</v>
      </c>
      <c r="K581" s="14">
        <f ca="1">IF(SUM($K$4:K580,IF(繳費報酬率資料!$A$1=1,$AU581+$AV581,$BB581+$BC581))&gt;OP!$L$58,0,IF(繳費報酬率資料!$A$1=1,$AU581+$AV581,$BB581+$BC581))</f>
        <v>0</v>
      </c>
      <c r="L581" s="2"/>
      <c r="M581" s="2"/>
      <c r="N581" s="2"/>
      <c r="O581" s="261">
        <f t="shared" ref="O581:O644" ca="1" si="346">IF(K581=0,0,$AR581)</f>
        <v>0</v>
      </c>
      <c r="P581" s="261">
        <f t="shared" ca="1" si="328"/>
        <v>0</v>
      </c>
      <c r="Q581" s="3">
        <f ca="1">IF(A581&gt;MAX(OP!$R$17:$R$26),0,VLOOKUP(A581,fees,3,FALSE))</f>
        <v>0</v>
      </c>
      <c r="R581" s="200" t="str">
        <f t="shared" ref="R581:R644" ca="1" si="347">IF(OR(C582&lt;&gt;$C$3,E581=""),"",A581)</f>
        <v/>
      </c>
      <c r="S581" s="9" t="str">
        <f ca="1">IF(COUNTIF(($T$4:T580),"F")&gt;=1,"",IF(OR(C582&lt;&gt;$C$3,E581=""),"",A581))</f>
        <v/>
      </c>
      <c r="T581" s="20" t="str">
        <f t="shared" ca="1" si="339"/>
        <v/>
      </c>
      <c r="U581" s="2">
        <f ca="1">IF(IF(OP!$C$83=1,$Z580,IF(OP!$C$83=2,$AA580,IF(OP!$C$83=3,$AB580,)))+$K581-$O581-$P581-$AS581&lt;OP!$C$142,0,$AS581)</f>
        <v>0</v>
      </c>
      <c r="V581" s="9"/>
      <c r="W581" s="19">
        <f ca="1">MAX(SUM($K$4:K581),0)</f>
        <v>2000000</v>
      </c>
      <c r="X581" s="19"/>
      <c r="Y581" s="19">
        <f t="shared" ca="1" si="329"/>
        <v>1920000</v>
      </c>
      <c r="Z581" s="2">
        <f ca="1">IF(MIN($Z$4:Z580)=0,0,MAX(0,($Z580+$K581-$O581-$P581)*IF(AND(F581="F",$D$3&lt;&gt;$G$3),((1+(-J581))^(H581/MIN(G581,365))),((1+(-J581))^(1/12)))-$U581))</f>
        <v>162301.13245235445</v>
      </c>
      <c r="AA581" s="2">
        <f ca="1">IF(MIN($AA$4:AA580)=0,0,MAX(0,($AA580+$K581-$O581-$P581)*IF(AND(F581="F",$D$3&lt;&gt;$G$3),((1+$AA$1)^(H581/MIN(G581,365))),((1+$AA$1)^(1/12)))-$U581))</f>
        <v>1920000</v>
      </c>
      <c r="AB581" s="2">
        <f ca="1">IF(MIN($AB$4:AB580)=0,0,MAX(0,($AB580+$K581-$O581-$P581)*IF(AND(F581="F",$D$3&lt;&gt;$G$3),((1+(J581))^(H581/MIN(G581,365))),((1+(J581))^(1/12)))-$U581))</f>
        <v>20133493.271719694</v>
      </c>
      <c r="AC581" s="5"/>
      <c r="AD581" s="5"/>
      <c r="AE581" s="5"/>
      <c r="AF581" s="282">
        <f t="shared" ref="AF581:AF644" ca="1" si="348">ROUND(Z581*(1-$Q581),$AF$1)</f>
        <v>162301</v>
      </c>
      <c r="AG581" s="282">
        <f t="shared" ref="AG581:AG644" ca="1" si="349">ROUND(AA581*(1-$Q581),$AF$1)</f>
        <v>1920000</v>
      </c>
      <c r="AH581" s="282">
        <f t="shared" ref="AH581:AH644" ca="1" si="350">ROUND(AB581*(1-$Q581),$AF$1)</f>
        <v>20133493</v>
      </c>
      <c r="AI581" s="23" t="str">
        <f t="shared" ca="1" si="331"/>
        <v>49-3</v>
      </c>
      <c r="AJ581" s="282">
        <f ca="1">IF(E581&gt;111,,IF(AND(OP!$C$99=1,T581="F"),Z581,IF(AND(OP!$C$99=2,COUNTIF($T$4:T581,"F")=1),OP!$C$97+IF(F581="F",OP!$C$98,0),"")))</f>
        <v>54527</v>
      </c>
      <c r="AK581" s="282">
        <f ca="1">IF(E581&gt;111,,IF(AND(OP!$D$99=1,T581="F"),AA581,IF(AND(OP!$D$99=2,COUNTIF($T$4:T581,"F")=1),OP!$D$97+IF(F581="F",OP!$D$98,0),"")))</f>
        <v>74177</v>
      </c>
      <c r="AL581" s="282">
        <f ca="1">IF(E581&gt;111,,IF(AND(OP!$E$99=1,T581="F"),AB581,IF(AND(OP!$E$99=2,COUNTIF($T$4:T581,"F")=1),OP!$E$97+IF(F581="F",OP!$E$98,0),"")))</f>
        <v>99404</v>
      </c>
      <c r="AM581" s="1">
        <f t="shared" ca="1" si="340"/>
        <v>3</v>
      </c>
      <c r="AN581" s="1" t="e">
        <f ca="1">IF(OR(VLOOKUP($A581,MP,5,0)="月繳"),1,"")</f>
        <v>#N/A</v>
      </c>
      <c r="AO581" s="1">
        <f t="shared" ref="AO581:AO644" ca="1" si="351">IF(ISNA(VLOOKUP(A581,MP,2,0)),,IF(C581=$C$3,ROUND(VLOOKUP(A581,MP,4,0),0),0)+IF(AN581=1,ROUND(VLOOKUP(A581,MP,6,0),0),0))</f>
        <v>0</v>
      </c>
      <c r="AP581" s="1" t="str">
        <f ca="1">IF(AND(A581&lt;=OP!$C$120,COUNTIF(PAY,C581)=1),1,"")</f>
        <v/>
      </c>
      <c r="AR581" s="301">
        <f ca="1">IF(繳費報酬率資料!$A$1=1,$AY581+$AZ581,$BF581+$BG581)</f>
        <v>0</v>
      </c>
      <c r="AS581" s="1">
        <f ca="1">IF(C581&lt;&gt;IF($C$3=1,12,$C$3-1),0,IF(繳費報酬率資料!$A$1&lt;&gt;1,VLOOKUP($A581,MP,8,0),IF(AND($A581&gt;=OP!$C$79,$A581&lt;=OP!$C$80),OP!$C$78,)))</f>
        <v>0</v>
      </c>
      <c r="AT581" s="298">
        <f t="shared" ref="AT581:AT644" ca="1" si="352">AU581+AV581</f>
        <v>0</v>
      </c>
      <c r="AU581" s="298">
        <f ca="1">IF(AND(A581&lt;=OP!$C$120,COUNTIF(PAY,C581)=1),OP!$C$123,0)</f>
        <v>0</v>
      </c>
      <c r="AV581" s="298">
        <f ca="1">IF(AND(A581&gt;=OP!$C$132,A581&lt;=OP!$C$133,$C$3=C581),OP!$C$135,0)</f>
        <v>0</v>
      </c>
      <c r="AW581" s="180">
        <f t="shared" ref="AW581:AW644" ca="1" si="353">HLOOKUP(IF($AU581&lt;$AY$1,1,IF(AND($AU581&gt;=$AY$1,$AU581&lt;$AZ$1),2,IF(AND($AU581&gt;=$AZ$1,$AU581&lt;$BA$1),3,IF(AND($AU581&gt;=$BA$1),4,1)))),PR,2,0)</f>
        <v>0.05</v>
      </c>
      <c r="AX581" s="180">
        <f t="shared" ref="AX581:AX644" ca="1" si="354">HLOOKUP(IF($AV581&lt;$AY$1,1,IF(AND($AV581&gt;=$AY$1,$AV581&lt;$AZ$1),2,IF(AND($AV581&gt;=$AZ$1,$AV581&lt;$BA$1),3,IF(AND($AV581&gt;=$BA$1),4,1)))),PR,2,0)</f>
        <v>0.05</v>
      </c>
      <c r="AY581" s="286">
        <f t="shared" ref="AY581:AY644" ca="1" si="355">ROUND(AU581*AW581,0)</f>
        <v>0</v>
      </c>
      <c r="AZ581" s="286">
        <f t="shared" ref="AZ581:AZ644" ca="1" si="356">ROUND(AV581*AX581,0)</f>
        <v>0</v>
      </c>
      <c r="BA581" s="286">
        <f t="shared" ref="BA581:BA644" ca="1" si="357">BB581+BC581</f>
        <v>0</v>
      </c>
      <c r="BB581" s="286">
        <f t="shared" ref="BB581:BB644" ca="1" si="358">IF(ISNA(VLOOKUP(A581,MP,2,0)),,IF(C581=$C$3,ROUND(VLOOKUP(A581,MP,6,0),0),0))</f>
        <v>0</v>
      </c>
      <c r="BC581" s="286">
        <f t="shared" ref="BC581:BC644" ca="1" si="359">IF(ISNA(VLOOKUP(A581,MP,4,0)),,IF(AND(C581=$C$3,AN581=1),ROUND(VLOOKUP(A581,MP,4,0),0),0))</f>
        <v>0</v>
      </c>
      <c r="BD581" s="180">
        <f t="shared" ref="BD581:BD644" ca="1" si="360">HLOOKUP(IF($BB581&lt;$AY$1,1,IF(AND($BB581&gt;=$AY$1,$BB581&lt;$AZ$1),2,IF(AND($BB581&gt;=$AZ$1,$BB581&lt;$BA$1),3,IF(AND($BB581&gt;=$BA$1),4,1)))),PR,2,0)</f>
        <v>0.05</v>
      </c>
      <c r="BE581" s="180">
        <f t="shared" ref="BE581:BE644" ca="1" si="361">HLOOKUP(IF($BC581&lt;$AY$1,1,IF(AND($BC581&gt;=$AY$1,$BC581&lt;$AZ$1),2,IF(AND($BC581&gt;=$AZ$1,$BC581&lt;$BA$1),3,IF(AND($BC581&gt;=$BA$1),4,1)))),PR,2,0)</f>
        <v>0.05</v>
      </c>
      <c r="BF581" s="286">
        <f t="shared" ref="BF581:BF644" ca="1" si="362">ROUND(BB581*BD581,0)</f>
        <v>0</v>
      </c>
      <c r="BG581" s="286">
        <f t="shared" ref="BG581:BG644" ca="1" si="363">ROUND(BC581*BE581,0)</f>
        <v>0</v>
      </c>
    </row>
    <row r="582" spans="1:59">
      <c r="A582" s="1">
        <f t="shared" ca="1" si="342"/>
        <v>49</v>
      </c>
      <c r="B582" s="1">
        <f t="shared" ca="1" si="336"/>
        <v>154</v>
      </c>
      <c r="C582" s="1">
        <f t="shared" ca="1" si="337"/>
        <v>8</v>
      </c>
      <c r="D582" s="1">
        <f ca="1">MIN($D$3,VLOOKUP(C582,OP!$S$30:$T$41,2))</f>
        <v>2</v>
      </c>
      <c r="E582" s="1">
        <f t="shared" ca="1" si="338"/>
        <v>103</v>
      </c>
      <c r="F582" s="11" t="str">
        <f t="shared" ca="1" si="343"/>
        <v/>
      </c>
      <c r="G582" s="8">
        <f t="shared" ca="1" si="344"/>
        <v>365</v>
      </c>
      <c r="H582" s="8">
        <f t="shared" ca="1" si="345"/>
        <v>31</v>
      </c>
      <c r="I582" s="8" t="str">
        <f t="shared" ca="1" si="341"/>
        <v>498</v>
      </c>
      <c r="J582" s="13">
        <f>IF(繳費報酬率資料!$A$1=1,VALUE(OP!$C$121),VLOOKUP(A582,MP,2,0))</f>
        <v>0.05</v>
      </c>
      <c r="K582" s="14">
        <f ca="1">IF(SUM($K$4:K581,IF(繳費報酬率資料!$A$1=1,$AU582+$AV582,$BB582+$BC582))&gt;OP!$L$58,0,IF(繳費報酬率資料!$A$1=1,$AU582+$AV582,$BB582+$BC582))</f>
        <v>0</v>
      </c>
      <c r="L582" s="2"/>
      <c r="M582" s="2"/>
      <c r="N582" s="2"/>
      <c r="O582" s="261">
        <f t="shared" ca="1" si="346"/>
        <v>0</v>
      </c>
      <c r="P582" s="261">
        <f t="shared" ref="P582:P645" ca="1" si="364">IF(MAX(Z581:AB581)=0,0,P581)</f>
        <v>0</v>
      </c>
      <c r="Q582" s="3">
        <f ca="1">IF(A582&gt;MAX(OP!$R$17:$R$26),0,VLOOKUP(A582,fees,3,FALSE))</f>
        <v>0</v>
      </c>
      <c r="R582" s="200" t="str">
        <f t="shared" ca="1" si="347"/>
        <v/>
      </c>
      <c r="S582" s="9" t="str">
        <f ca="1">IF(COUNTIF(($T$4:T581),"F")&gt;=1,"",IF(OR(C583&lt;&gt;$C$3,E582=""),"",A582))</f>
        <v/>
      </c>
      <c r="T582" s="20" t="str">
        <f t="shared" ca="1" si="339"/>
        <v/>
      </c>
      <c r="U582" s="2">
        <f ca="1">IF(IF(OP!$C$83=1,$Z581,IF(OP!$C$83=2,$AA581,IF(OP!$C$83=3,$AB581,)))+$K582-$O582-$P582-$AS582&lt;OP!$C$142,0,$AS582)</f>
        <v>0</v>
      </c>
      <c r="V582" s="9"/>
      <c r="W582" s="19">
        <f ca="1">MAX(SUM($K$4:K582),0)</f>
        <v>2000000</v>
      </c>
      <c r="X582" s="19"/>
      <c r="Y582" s="19">
        <f t="shared" ref="Y582:Y645" ca="1" si="365">Y581+K582-O582</f>
        <v>1920000</v>
      </c>
      <c r="Z582" s="2">
        <f ca="1">IF(MIN($Z$4:Z581)=0,0,MAX(0,($Z581+$K582-$O582-$P582)*IF(AND(F582="F",$D$3&lt;&gt;$G$3),((1+(-J582))^(H582/MIN(G582,365))),((1+(-J582))^(1/12)))-$U582))</f>
        <v>161608.86638448606</v>
      </c>
      <c r="AA582" s="2">
        <f ca="1">IF(MIN($AA$4:AA581)=0,0,MAX(0,($AA581+$K582-$O582-$P582)*IF(AND(F582="F",$D$3&lt;&gt;$G$3),((1+$AA$1)^(H582/MIN(G582,365))),((1+$AA$1)^(1/12)))-$U582))</f>
        <v>1920000</v>
      </c>
      <c r="AB582" s="2">
        <f ca="1">IF(MIN($AB$4:AB581)=0,0,MAX(0,($AB581+$K582-$O582-$P582)*IF(AND(F582="F",$D$3&lt;&gt;$G$3),((1+(J582))^(H582/MIN(G582,365))),((1+(J582))^(1/12)))-$U582))</f>
        <v>20215519.61550593</v>
      </c>
      <c r="AC582" s="5"/>
      <c r="AD582" s="5"/>
      <c r="AE582" s="5"/>
      <c r="AF582" s="282">
        <f t="shared" ca="1" si="348"/>
        <v>161609</v>
      </c>
      <c r="AG582" s="282">
        <f t="shared" ca="1" si="349"/>
        <v>1920000</v>
      </c>
      <c r="AH582" s="282">
        <f t="shared" ca="1" si="350"/>
        <v>20215520</v>
      </c>
      <c r="AI582" s="23" t="str">
        <f t="shared" ca="1" si="331"/>
        <v>49-4</v>
      </c>
      <c r="AJ582" s="282">
        <f ca="1">IF(E582&gt;111,,IF(AND(OP!$C$99=1,T582="F"),Z582,IF(AND(OP!$C$99=2,COUNTIF($T$4:T582,"F")=1),OP!$C$97+IF(F582="F",OP!$C$98,0),"")))</f>
        <v>54527</v>
      </c>
      <c r="AK582" s="282">
        <f ca="1">IF(E582&gt;111,,IF(AND(OP!$D$99=1,T582="F"),AA582,IF(AND(OP!$D$99=2,COUNTIF($T$4:T582,"F")=1),OP!$D$97+IF(F582="F",OP!$D$98,0),"")))</f>
        <v>74177</v>
      </c>
      <c r="AL582" s="282">
        <f ca="1">IF(E582&gt;111,,IF(AND(OP!$E$99=1,T582="F"),AB582,IF(AND(OP!$E$99=2,COUNTIF($T$4:T582,"F")=1),OP!$E$97+IF(F582="F",OP!$E$98,0),"")))</f>
        <v>99404</v>
      </c>
      <c r="AM582" s="1">
        <f t="shared" ca="1" si="340"/>
        <v>4</v>
      </c>
      <c r="AN582" s="1" t="e">
        <f ca="1">IF(OR(VLOOKUP($A582,MP,5,0)="月繳"),1,"")</f>
        <v>#N/A</v>
      </c>
      <c r="AO582" s="1">
        <f t="shared" ca="1" si="351"/>
        <v>0</v>
      </c>
      <c r="AP582" s="1" t="str">
        <f ca="1">IF(AND(A582&lt;=OP!$C$120,COUNTIF(PAY,C582)=1),1,"")</f>
        <v/>
      </c>
      <c r="AR582" s="301">
        <f ca="1">IF(繳費報酬率資料!$A$1=1,$AY582+$AZ582,$BF582+$BG582)</f>
        <v>0</v>
      </c>
      <c r="AS582" s="1">
        <f ca="1">IF(C582&lt;&gt;IF($C$3=1,12,$C$3-1),0,IF(繳費報酬率資料!$A$1&lt;&gt;1,VLOOKUP($A582,MP,8,0),IF(AND($A582&gt;=OP!$C$79,$A582&lt;=OP!$C$80),OP!$C$78,)))</f>
        <v>0</v>
      </c>
      <c r="AT582" s="298">
        <f t="shared" ca="1" si="352"/>
        <v>0</v>
      </c>
      <c r="AU582" s="298">
        <f ca="1">IF(AND(A582&lt;=OP!$C$120,COUNTIF(PAY,C582)=1),OP!$C$123,0)</f>
        <v>0</v>
      </c>
      <c r="AV582" s="298">
        <f ca="1">IF(AND(A582&gt;=OP!$C$132,A582&lt;=OP!$C$133,$C$3=C582),OP!$C$135,0)</f>
        <v>0</v>
      </c>
      <c r="AW582" s="180">
        <f t="shared" ca="1" si="353"/>
        <v>0.05</v>
      </c>
      <c r="AX582" s="180">
        <f t="shared" ca="1" si="354"/>
        <v>0.05</v>
      </c>
      <c r="AY582" s="286">
        <f t="shared" ca="1" si="355"/>
        <v>0</v>
      </c>
      <c r="AZ582" s="286">
        <f t="shared" ca="1" si="356"/>
        <v>0</v>
      </c>
      <c r="BA582" s="286">
        <f t="shared" ca="1" si="357"/>
        <v>0</v>
      </c>
      <c r="BB582" s="286">
        <f t="shared" ca="1" si="358"/>
        <v>0</v>
      </c>
      <c r="BC582" s="286">
        <f t="shared" ca="1" si="359"/>
        <v>0</v>
      </c>
      <c r="BD582" s="180">
        <f t="shared" ca="1" si="360"/>
        <v>0.05</v>
      </c>
      <c r="BE582" s="180">
        <f t="shared" ca="1" si="361"/>
        <v>0.05</v>
      </c>
      <c r="BF582" s="286">
        <f t="shared" ca="1" si="362"/>
        <v>0</v>
      </c>
      <c r="BG582" s="286">
        <f t="shared" ca="1" si="363"/>
        <v>0</v>
      </c>
    </row>
    <row r="583" spans="1:59">
      <c r="A583" s="1">
        <f t="shared" ca="1" si="342"/>
        <v>49</v>
      </c>
      <c r="B583" s="1">
        <f t="shared" ca="1" si="336"/>
        <v>154</v>
      </c>
      <c r="C583" s="1">
        <f t="shared" ca="1" si="337"/>
        <v>9</v>
      </c>
      <c r="D583" s="1">
        <f ca="1">MIN($D$3,VLOOKUP(C583,OP!$S$30:$T$41,2))</f>
        <v>2</v>
      </c>
      <c r="E583" s="1">
        <f t="shared" ca="1" si="338"/>
        <v>103</v>
      </c>
      <c r="F583" s="11" t="str">
        <f t="shared" ca="1" si="343"/>
        <v/>
      </c>
      <c r="G583" s="8">
        <f t="shared" ca="1" si="344"/>
        <v>365</v>
      </c>
      <c r="H583" s="8">
        <f t="shared" ca="1" si="345"/>
        <v>30</v>
      </c>
      <c r="I583" s="8" t="str">
        <f t="shared" ca="1" si="341"/>
        <v>499</v>
      </c>
      <c r="J583" s="13">
        <f>IF(繳費報酬率資料!$A$1=1,VALUE(OP!$C$121),VLOOKUP(A583,MP,2,0))</f>
        <v>0.05</v>
      </c>
      <c r="K583" s="14">
        <f ca="1">IF(SUM($K$4:K582,IF(繳費報酬率資料!$A$1=1,$AU583+$AV583,$BB583+$BC583))&gt;OP!$L$58,0,IF(繳費報酬率資料!$A$1=1,$AU583+$AV583,$BB583+$BC583))</f>
        <v>0</v>
      </c>
      <c r="L583" s="2"/>
      <c r="M583" s="2"/>
      <c r="N583" s="2"/>
      <c r="O583" s="261">
        <f t="shared" ca="1" si="346"/>
        <v>0</v>
      </c>
      <c r="P583" s="261">
        <f t="shared" ca="1" si="364"/>
        <v>0</v>
      </c>
      <c r="Q583" s="3">
        <f ca="1">IF(A583&gt;MAX(OP!$R$17:$R$26),0,VLOOKUP(A583,fees,3,FALSE))</f>
        <v>0</v>
      </c>
      <c r="R583" s="200" t="str">
        <f t="shared" ca="1" si="347"/>
        <v/>
      </c>
      <c r="S583" s="9" t="str">
        <f ca="1">IF(COUNTIF(($T$4:T582),"F")&gt;=1,"",IF(OR(C584&lt;&gt;$C$3,E583=""),"",A583))</f>
        <v/>
      </c>
      <c r="T583" s="20" t="str">
        <f t="shared" ca="1" si="339"/>
        <v/>
      </c>
      <c r="U583" s="2">
        <f ca="1">IF(IF(OP!$C$83=1,$Z582,IF(OP!$C$83=2,$AA582,IF(OP!$C$83=3,$AB582,)))+$K583-$O583-$P583-$AS583&lt;OP!$C$142,0,$AS583)</f>
        <v>0</v>
      </c>
      <c r="V583" s="9"/>
      <c r="W583" s="19">
        <f ca="1">MAX(SUM($K$4:K583),0)</f>
        <v>2000000</v>
      </c>
      <c r="X583" s="19"/>
      <c r="Y583" s="19">
        <f t="shared" ca="1" si="365"/>
        <v>1920000</v>
      </c>
      <c r="Z583" s="2">
        <f ca="1">IF(MIN($Z$4:Z582)=0,0,MAX(0,($Z582+$K583-$O583-$P583)*IF(AND(F583="F",$D$3&lt;&gt;$G$3),((1+(-J583))^(H583/MIN(G583,365))),((1+(-J583))^(1/12)))-$U583))</f>
        <v>160919.55305207602</v>
      </c>
      <c r="AA583" s="2">
        <f ca="1">IF(MIN($AA$4:AA582)=0,0,MAX(0,($AA582+$K583-$O583-$P583)*IF(AND(F583="F",$D$3&lt;&gt;$G$3),((1+$AA$1)^(H583/MIN(G583,365))),((1+$AA$1)^(1/12)))-$U583))</f>
        <v>1920000</v>
      </c>
      <c r="AB583" s="2">
        <f ca="1">IF(MIN($AB$4:AB582)=0,0,MAX(0,($AB582+$K583-$O583-$P583)*IF(AND(F583="F",$D$3&lt;&gt;$G$3),((1+(J583))^(H583/MIN(G583,365))),((1+(J583))^(1/12)))-$U583))</f>
        <v>20297880.144770272</v>
      </c>
      <c r="AC583" s="5"/>
      <c r="AD583" s="5"/>
      <c r="AE583" s="5"/>
      <c r="AF583" s="282">
        <f t="shared" ca="1" si="348"/>
        <v>160920</v>
      </c>
      <c r="AG583" s="282">
        <f t="shared" ca="1" si="349"/>
        <v>1920000</v>
      </c>
      <c r="AH583" s="282">
        <f t="shared" ca="1" si="350"/>
        <v>20297880</v>
      </c>
      <c r="AI583" s="23" t="str">
        <f t="shared" ca="1" si="331"/>
        <v>49-5</v>
      </c>
      <c r="AJ583" s="282">
        <f ca="1">IF(E583&gt;111,,IF(AND(OP!$C$99=1,T583="F"),Z583,IF(AND(OP!$C$99=2,COUNTIF($T$4:T583,"F")=1),OP!$C$97+IF(F583="F",OP!$C$98,0),"")))</f>
        <v>54527</v>
      </c>
      <c r="AK583" s="282">
        <f ca="1">IF(E583&gt;111,,IF(AND(OP!$D$99=1,T583="F"),AA583,IF(AND(OP!$D$99=2,COUNTIF($T$4:T583,"F")=1),OP!$D$97+IF(F583="F",OP!$D$98,0),"")))</f>
        <v>74177</v>
      </c>
      <c r="AL583" s="282">
        <f ca="1">IF(E583&gt;111,,IF(AND(OP!$E$99=1,T583="F"),AB583,IF(AND(OP!$E$99=2,COUNTIF($T$4:T583,"F")=1),OP!$E$97+IF(F583="F",OP!$E$98,0),"")))</f>
        <v>99404</v>
      </c>
      <c r="AM583" s="1">
        <f t="shared" ca="1" si="340"/>
        <v>5</v>
      </c>
      <c r="AN583" s="1" t="e">
        <f ca="1">IF(OR(VLOOKUP($A583,MP,5,0)="季繳",VLOOKUP($A583,MP,5,0)="月繳"),1,"")</f>
        <v>#N/A</v>
      </c>
      <c r="AO583" s="1">
        <f t="shared" ca="1" si="351"/>
        <v>0</v>
      </c>
      <c r="AP583" s="1" t="str">
        <f ca="1">IF(AND(A583&lt;=OP!$C$120,COUNTIF(PAY,C583)=1),1,"")</f>
        <v/>
      </c>
      <c r="AR583" s="301">
        <f ca="1">IF(繳費報酬率資料!$A$1=1,$AY583+$AZ583,$BF583+$BG583)</f>
        <v>0</v>
      </c>
      <c r="AS583" s="1">
        <f ca="1">IF(C583&lt;&gt;IF($C$3=1,12,$C$3-1),0,IF(繳費報酬率資料!$A$1&lt;&gt;1,VLOOKUP($A583,MP,8,0),IF(AND($A583&gt;=OP!$C$79,$A583&lt;=OP!$C$80),OP!$C$78,)))</f>
        <v>0</v>
      </c>
      <c r="AT583" s="298">
        <f t="shared" ca="1" si="352"/>
        <v>0</v>
      </c>
      <c r="AU583" s="298">
        <f ca="1">IF(AND(A583&lt;=OP!$C$120,COUNTIF(PAY,C583)=1),OP!$C$123,0)</f>
        <v>0</v>
      </c>
      <c r="AV583" s="298">
        <f ca="1">IF(AND(A583&gt;=OP!$C$132,A583&lt;=OP!$C$133,$C$3=C583),OP!$C$135,0)</f>
        <v>0</v>
      </c>
      <c r="AW583" s="180">
        <f t="shared" ca="1" si="353"/>
        <v>0.05</v>
      </c>
      <c r="AX583" s="180">
        <f t="shared" ca="1" si="354"/>
        <v>0.05</v>
      </c>
      <c r="AY583" s="286">
        <f t="shared" ca="1" si="355"/>
        <v>0</v>
      </c>
      <c r="AZ583" s="286">
        <f t="shared" ca="1" si="356"/>
        <v>0</v>
      </c>
      <c r="BA583" s="286">
        <f t="shared" ca="1" si="357"/>
        <v>0</v>
      </c>
      <c r="BB583" s="286">
        <f t="shared" ca="1" si="358"/>
        <v>0</v>
      </c>
      <c r="BC583" s="286">
        <f t="shared" ca="1" si="359"/>
        <v>0</v>
      </c>
      <c r="BD583" s="180">
        <f t="shared" ca="1" si="360"/>
        <v>0.05</v>
      </c>
      <c r="BE583" s="180">
        <f t="shared" ca="1" si="361"/>
        <v>0.05</v>
      </c>
      <c r="BF583" s="286">
        <f t="shared" ca="1" si="362"/>
        <v>0</v>
      </c>
      <c r="BG583" s="286">
        <f t="shared" ca="1" si="363"/>
        <v>0</v>
      </c>
    </row>
    <row r="584" spans="1:59">
      <c r="A584" s="1">
        <f t="shared" ca="1" si="342"/>
        <v>49</v>
      </c>
      <c r="B584" s="1">
        <f t="shared" ca="1" si="336"/>
        <v>154</v>
      </c>
      <c r="C584" s="1">
        <f t="shared" ca="1" si="337"/>
        <v>10</v>
      </c>
      <c r="D584" s="1">
        <f ca="1">MIN($D$3,VLOOKUP(C584,OP!$S$30:$T$41,2))</f>
        <v>2</v>
      </c>
      <c r="E584" s="1">
        <f t="shared" ca="1" si="338"/>
        <v>103</v>
      </c>
      <c r="F584" s="11" t="str">
        <f t="shared" ca="1" si="343"/>
        <v/>
      </c>
      <c r="G584" s="8">
        <f t="shared" ca="1" si="344"/>
        <v>365</v>
      </c>
      <c r="H584" s="8">
        <f t="shared" ca="1" si="345"/>
        <v>31</v>
      </c>
      <c r="I584" s="8" t="str">
        <f t="shared" ca="1" si="341"/>
        <v>4910</v>
      </c>
      <c r="J584" s="13">
        <f>IF(繳費報酬率資料!$A$1=1,VALUE(OP!$C$121),VLOOKUP(A584,MP,2,0))</f>
        <v>0.05</v>
      </c>
      <c r="K584" s="14">
        <f ca="1">IF(SUM($K$4:K583,IF(繳費報酬率資料!$A$1=1,$AU584+$AV584,$BB584+$BC584))&gt;OP!$L$58,0,IF(繳費報酬率資料!$A$1=1,$AU584+$AV584,$BB584+$BC584))</f>
        <v>0</v>
      </c>
      <c r="L584" s="2"/>
      <c r="M584" s="2"/>
      <c r="N584" s="2"/>
      <c r="O584" s="261">
        <f t="shared" ca="1" si="346"/>
        <v>0</v>
      </c>
      <c r="P584" s="261">
        <f t="shared" ca="1" si="364"/>
        <v>0</v>
      </c>
      <c r="Q584" s="3">
        <f ca="1">IF(A584&gt;MAX(OP!$R$17:$R$26),0,VLOOKUP(A584,fees,3,FALSE))</f>
        <v>0</v>
      </c>
      <c r="R584" s="200" t="str">
        <f t="shared" ca="1" si="347"/>
        <v/>
      </c>
      <c r="S584" s="9" t="str">
        <f ca="1">IF(COUNTIF(($T$4:T583),"F")&gt;=1,"",IF(OR(C585&lt;&gt;$C$3,E584=""),"",A584))</f>
        <v/>
      </c>
      <c r="T584" s="20" t="str">
        <f t="shared" ca="1" si="339"/>
        <v/>
      </c>
      <c r="U584" s="2">
        <f ca="1">IF(IF(OP!$C$83=1,$Z583,IF(OP!$C$83=2,$AA583,IF(OP!$C$83=3,$AB583,)))+$K584-$O584-$P584-$AS584&lt;OP!$C$142,0,$AS584)</f>
        <v>0</v>
      </c>
      <c r="V584" s="9"/>
      <c r="W584" s="19">
        <f ca="1">MAX(SUM($K$4:K584),0)</f>
        <v>2000000</v>
      </c>
      <c r="X584" s="19"/>
      <c r="Y584" s="19">
        <f t="shared" ca="1" si="365"/>
        <v>1920000</v>
      </c>
      <c r="Z584" s="2">
        <f ca="1">IF(MIN($Z$4:Z583)=0,0,MAX(0,($Z583+$K584-$O584-$P584)*IF(AND(F584="F",$D$3&lt;&gt;$G$3),((1+(-J584))^(H584/MIN(G584,365))),((1+(-J584))^(1/12)))-$U584))</f>
        <v>160233.17986076634</v>
      </c>
      <c r="AA584" s="2">
        <f ca="1">IF(MIN($AA$4:AA583)=0,0,MAX(0,($AA583+$K584-$O584-$P584)*IF(AND(F584="F",$D$3&lt;&gt;$G$3),((1+$AA$1)^(H584/MIN(G584,365))),((1+$AA$1)^(1/12)))-$U584))</f>
        <v>1920000</v>
      </c>
      <c r="AB584" s="2">
        <f ca="1">IF(MIN($AB$4:AB583)=0,0,MAX(0,($AB583+$K584-$O584-$P584)*IF(AND(F584="F",$D$3&lt;&gt;$G$3),((1+(J584))^(H584/MIN(G584,365))),((1+(J584))^(1/12)))-$U584))</f>
        <v>20380576.221025724</v>
      </c>
      <c r="AC584" s="5"/>
      <c r="AD584" s="5"/>
      <c r="AE584" s="5"/>
      <c r="AF584" s="282">
        <f t="shared" ca="1" si="348"/>
        <v>160233</v>
      </c>
      <c r="AG584" s="282">
        <f t="shared" ca="1" si="349"/>
        <v>1920000</v>
      </c>
      <c r="AH584" s="282">
        <f t="shared" ca="1" si="350"/>
        <v>20380576</v>
      </c>
      <c r="AI584" s="23" t="str">
        <f t="shared" ca="1" si="331"/>
        <v>49-6</v>
      </c>
      <c r="AJ584" s="282">
        <f ca="1">IF(E584&gt;111,,IF(AND(OP!$C$99=1,T584="F"),Z584,IF(AND(OP!$C$99=2,COUNTIF($T$4:T584,"F")=1),OP!$C$97+IF(F584="F",OP!$C$98,0),"")))</f>
        <v>54527</v>
      </c>
      <c r="AK584" s="282">
        <f ca="1">IF(E584&gt;111,,IF(AND(OP!$D$99=1,T584="F"),AA584,IF(AND(OP!$D$99=2,COUNTIF($T$4:T584,"F")=1),OP!$D$97+IF(F584="F",OP!$D$98,0),"")))</f>
        <v>74177</v>
      </c>
      <c r="AL584" s="282">
        <f ca="1">IF(E584&gt;111,,IF(AND(OP!$E$99=1,T584="F"),AB584,IF(AND(OP!$E$99=2,COUNTIF($T$4:T584,"F")=1),OP!$E$97+IF(F584="F",OP!$E$98,0),"")))</f>
        <v>99404</v>
      </c>
      <c r="AM584" s="1">
        <f t="shared" ca="1" si="340"/>
        <v>6</v>
      </c>
      <c r="AN584" s="1" t="e">
        <f ca="1">IF(OR(VLOOKUP($A584,MP,5,0)="月繳"),1,"")</f>
        <v>#N/A</v>
      </c>
      <c r="AO584" s="1">
        <f t="shared" ca="1" si="351"/>
        <v>0</v>
      </c>
      <c r="AP584" s="1" t="str">
        <f ca="1">IF(AND(A584&lt;=OP!$C$120,COUNTIF(PAY,C584)=1),1,"")</f>
        <v/>
      </c>
      <c r="AR584" s="301">
        <f ca="1">IF(繳費報酬率資料!$A$1=1,$AY584+$AZ584,$BF584+$BG584)</f>
        <v>0</v>
      </c>
      <c r="AS584" s="1">
        <f ca="1">IF(C584&lt;&gt;IF($C$3=1,12,$C$3-1),0,IF(繳費報酬率資料!$A$1&lt;&gt;1,VLOOKUP($A584,MP,8,0),IF(AND($A584&gt;=OP!$C$79,$A584&lt;=OP!$C$80),OP!$C$78,)))</f>
        <v>0</v>
      </c>
      <c r="AT584" s="298">
        <f t="shared" ca="1" si="352"/>
        <v>0</v>
      </c>
      <c r="AU584" s="298">
        <f ca="1">IF(AND(A584&lt;=OP!$C$120,COUNTIF(PAY,C584)=1),OP!$C$123,0)</f>
        <v>0</v>
      </c>
      <c r="AV584" s="298">
        <f ca="1">IF(AND(A584&gt;=OP!$C$132,A584&lt;=OP!$C$133,$C$3=C584),OP!$C$135,0)</f>
        <v>0</v>
      </c>
      <c r="AW584" s="180">
        <f t="shared" ca="1" si="353"/>
        <v>0.05</v>
      </c>
      <c r="AX584" s="180">
        <f t="shared" ca="1" si="354"/>
        <v>0.05</v>
      </c>
      <c r="AY584" s="286">
        <f t="shared" ca="1" si="355"/>
        <v>0</v>
      </c>
      <c r="AZ584" s="286">
        <f t="shared" ca="1" si="356"/>
        <v>0</v>
      </c>
      <c r="BA584" s="286">
        <f t="shared" ca="1" si="357"/>
        <v>0</v>
      </c>
      <c r="BB584" s="286">
        <f t="shared" ca="1" si="358"/>
        <v>0</v>
      </c>
      <c r="BC584" s="286">
        <f t="shared" ca="1" si="359"/>
        <v>0</v>
      </c>
      <c r="BD584" s="180">
        <f t="shared" ca="1" si="360"/>
        <v>0.05</v>
      </c>
      <c r="BE584" s="180">
        <f t="shared" ca="1" si="361"/>
        <v>0.05</v>
      </c>
      <c r="BF584" s="286">
        <f t="shared" ca="1" si="362"/>
        <v>0</v>
      </c>
      <c r="BG584" s="286">
        <f t="shared" ca="1" si="363"/>
        <v>0</v>
      </c>
    </row>
    <row r="585" spans="1:59">
      <c r="A585" s="1">
        <f t="shared" ca="1" si="342"/>
        <v>49</v>
      </c>
      <c r="B585" s="1">
        <f t="shared" ca="1" si="336"/>
        <v>154</v>
      </c>
      <c r="C585" s="1">
        <f t="shared" ca="1" si="337"/>
        <v>11</v>
      </c>
      <c r="D585" s="1">
        <f ca="1">MIN($D$3,VLOOKUP(C585,OP!$S$30:$T$41,2))</f>
        <v>2</v>
      </c>
      <c r="E585" s="1">
        <f t="shared" ca="1" si="338"/>
        <v>103</v>
      </c>
      <c r="F585" s="11" t="str">
        <f t="shared" ca="1" si="343"/>
        <v/>
      </c>
      <c r="G585" s="8">
        <f t="shared" ca="1" si="344"/>
        <v>365</v>
      </c>
      <c r="H585" s="8">
        <f t="shared" ca="1" si="345"/>
        <v>30</v>
      </c>
      <c r="I585" s="8" t="str">
        <f t="shared" ca="1" si="341"/>
        <v>4911</v>
      </c>
      <c r="J585" s="13">
        <f>IF(繳費報酬率資料!$A$1=1,VALUE(OP!$C$121),VLOOKUP(A585,MP,2,0))</f>
        <v>0.05</v>
      </c>
      <c r="K585" s="14">
        <f ca="1">IF(SUM($K$4:K584,IF(繳費報酬率資料!$A$1=1,$AU585+$AV585,$BB585+$BC585))&gt;OP!$L$58,0,IF(繳費報酬率資料!$A$1=1,$AU585+$AV585,$BB585+$BC585))</f>
        <v>0</v>
      </c>
      <c r="L585" s="2"/>
      <c r="M585" s="2"/>
      <c r="N585" s="2"/>
      <c r="O585" s="261">
        <f t="shared" ca="1" si="346"/>
        <v>0</v>
      </c>
      <c r="P585" s="261">
        <f t="shared" ca="1" si="364"/>
        <v>0</v>
      </c>
      <c r="Q585" s="3">
        <f ca="1">IF(A585&gt;MAX(OP!$R$17:$R$26),0,VLOOKUP(A585,fees,3,FALSE))</f>
        <v>0</v>
      </c>
      <c r="R585" s="200" t="str">
        <f t="shared" ca="1" si="347"/>
        <v/>
      </c>
      <c r="S585" s="9" t="str">
        <f ca="1">IF(COUNTIF(($T$4:T584),"F")&gt;=1,"",IF(OR(C586&lt;&gt;$C$3,E585=""),"",A585))</f>
        <v/>
      </c>
      <c r="T585" s="20" t="str">
        <f t="shared" ca="1" si="339"/>
        <v/>
      </c>
      <c r="U585" s="2">
        <f ca="1">IF(IF(OP!$C$83=1,$Z584,IF(OP!$C$83=2,$AA584,IF(OP!$C$83=3,$AB584,)))+$K585-$O585-$P585-$AS585&lt;OP!$C$142,0,$AS585)</f>
        <v>0</v>
      </c>
      <c r="V585" s="9"/>
      <c r="W585" s="19">
        <f ca="1">MAX(SUM($K$4:K585),0)</f>
        <v>2000000</v>
      </c>
      <c r="X585" s="19"/>
      <c r="Y585" s="19">
        <f t="shared" ca="1" si="365"/>
        <v>1920000</v>
      </c>
      <c r="Z585" s="2">
        <f ca="1">IF(MIN($Z$4:Z584)=0,0,MAX(0,($Z584+$K585-$O585-$P585)*IF(AND(F585="F",$D$3&lt;&gt;$G$3),((1+(-J585))^(H585/MIN(G585,365))),((1+(-J585))^(1/12)))-$U585))</f>
        <v>159549.73426991797</v>
      </c>
      <c r="AA585" s="2">
        <f ca="1">IF(MIN($AA$4:AA584)=0,0,MAX(0,($AA584+$K585-$O585-$P585)*IF(AND(F585="F",$D$3&lt;&gt;$G$3),((1+$AA$1)^(H585/MIN(G585,365))),((1+$AA$1)^(1/12)))-$U585))</f>
        <v>1920000</v>
      </c>
      <c r="AB585" s="2">
        <f ca="1">IF(MIN($AB$4:AB584)=0,0,MAX(0,($AB584+$K585-$O585-$P585)*IF(AND(F585="F",$D$3&lt;&gt;$G$3),((1+(J585))^(H585/MIN(G585,365))),((1+(J585))^(1/12)))-$U585))</f>
        <v>20463609.211332262</v>
      </c>
      <c r="AC585" s="5"/>
      <c r="AD585" s="5"/>
      <c r="AE585" s="5"/>
      <c r="AF585" s="282">
        <f t="shared" ca="1" si="348"/>
        <v>159550</v>
      </c>
      <c r="AG585" s="282">
        <f t="shared" ca="1" si="349"/>
        <v>1920000</v>
      </c>
      <c r="AH585" s="282">
        <f t="shared" ca="1" si="350"/>
        <v>20463609</v>
      </c>
      <c r="AI585" s="23" t="str">
        <f t="shared" ca="1" si="331"/>
        <v>49-7</v>
      </c>
      <c r="AJ585" s="282">
        <f ca="1">IF(E585&gt;111,,IF(AND(OP!$C$99=1,T585="F"),Z585,IF(AND(OP!$C$99=2,COUNTIF($T$4:T585,"F")=1),OP!$C$97+IF(F585="F",OP!$C$98,0),"")))</f>
        <v>54527</v>
      </c>
      <c r="AK585" s="282">
        <f ca="1">IF(E585&gt;111,,IF(AND(OP!$D$99=1,T585="F"),AA585,IF(AND(OP!$D$99=2,COUNTIF($T$4:T585,"F")=1),OP!$D$97+IF(F585="F",OP!$D$98,0),"")))</f>
        <v>74177</v>
      </c>
      <c r="AL585" s="282">
        <f ca="1">IF(E585&gt;111,,IF(AND(OP!$E$99=1,T585="F"),AB585,IF(AND(OP!$E$99=2,COUNTIF($T$4:T585,"F")=1),OP!$E$97+IF(F585="F",OP!$E$98,0),"")))</f>
        <v>99404</v>
      </c>
      <c r="AM585" s="1">
        <f t="shared" ca="1" si="340"/>
        <v>7</v>
      </c>
      <c r="AN585" s="1" t="e">
        <f ca="1">IF(OR(VLOOKUP($A585,MP,5,0)="月繳"),1,"")</f>
        <v>#N/A</v>
      </c>
      <c r="AO585" s="1">
        <f t="shared" ca="1" si="351"/>
        <v>0</v>
      </c>
      <c r="AP585" s="1" t="str">
        <f ca="1">IF(AND(A585&lt;=OP!$C$120,COUNTIF(PAY,C585)=1),1,"")</f>
        <v/>
      </c>
      <c r="AR585" s="301">
        <f ca="1">IF(繳費報酬率資料!$A$1=1,$AY585+$AZ585,$BF585+$BG585)</f>
        <v>0</v>
      </c>
      <c r="AS585" s="1">
        <f ca="1">IF(C585&lt;&gt;IF($C$3=1,12,$C$3-1),0,IF(繳費報酬率資料!$A$1&lt;&gt;1,VLOOKUP($A585,MP,8,0),IF(AND($A585&gt;=OP!$C$79,$A585&lt;=OP!$C$80),OP!$C$78,)))</f>
        <v>0</v>
      </c>
      <c r="AT585" s="298">
        <f t="shared" ca="1" si="352"/>
        <v>0</v>
      </c>
      <c r="AU585" s="298">
        <f ca="1">IF(AND(A585&lt;=OP!$C$120,COUNTIF(PAY,C585)=1),OP!$C$123,0)</f>
        <v>0</v>
      </c>
      <c r="AV585" s="298">
        <f ca="1">IF(AND(A585&gt;=OP!$C$132,A585&lt;=OP!$C$133,$C$3=C585),OP!$C$135,0)</f>
        <v>0</v>
      </c>
      <c r="AW585" s="180">
        <f t="shared" ca="1" si="353"/>
        <v>0.05</v>
      </c>
      <c r="AX585" s="180">
        <f t="shared" ca="1" si="354"/>
        <v>0.05</v>
      </c>
      <c r="AY585" s="286">
        <f t="shared" ca="1" si="355"/>
        <v>0</v>
      </c>
      <c r="AZ585" s="286">
        <f t="shared" ca="1" si="356"/>
        <v>0</v>
      </c>
      <c r="BA585" s="286">
        <f t="shared" ca="1" si="357"/>
        <v>0</v>
      </c>
      <c r="BB585" s="286">
        <f t="shared" ca="1" si="358"/>
        <v>0</v>
      </c>
      <c r="BC585" s="286">
        <f t="shared" ca="1" si="359"/>
        <v>0</v>
      </c>
      <c r="BD585" s="180">
        <f t="shared" ca="1" si="360"/>
        <v>0.05</v>
      </c>
      <c r="BE585" s="180">
        <f t="shared" ca="1" si="361"/>
        <v>0.05</v>
      </c>
      <c r="BF585" s="286">
        <f t="shared" ca="1" si="362"/>
        <v>0</v>
      </c>
      <c r="BG585" s="286">
        <f t="shared" ca="1" si="363"/>
        <v>0</v>
      </c>
    </row>
    <row r="586" spans="1:59">
      <c r="A586" s="1">
        <f t="shared" ca="1" si="342"/>
        <v>49</v>
      </c>
      <c r="B586" s="1">
        <f t="shared" ca="1" si="336"/>
        <v>154</v>
      </c>
      <c r="C586" s="1">
        <f t="shared" ca="1" si="337"/>
        <v>12</v>
      </c>
      <c r="D586" s="1">
        <f ca="1">MIN($D$3,VLOOKUP(C586,OP!$S$30:$T$41,2))</f>
        <v>2</v>
      </c>
      <c r="E586" s="1">
        <f t="shared" ca="1" si="338"/>
        <v>103</v>
      </c>
      <c r="F586" s="11" t="str">
        <f t="shared" ca="1" si="343"/>
        <v/>
      </c>
      <c r="G586" s="8">
        <f t="shared" ca="1" si="344"/>
        <v>365</v>
      </c>
      <c r="H586" s="8">
        <f t="shared" ca="1" si="345"/>
        <v>31</v>
      </c>
      <c r="I586" s="8" t="str">
        <f t="shared" ca="1" si="341"/>
        <v>4912</v>
      </c>
      <c r="J586" s="13">
        <f>IF(繳費報酬率資料!$A$1=1,VALUE(OP!$C$121),VLOOKUP(A586,MP,2,0))</f>
        <v>0.05</v>
      </c>
      <c r="K586" s="14">
        <f ca="1">IF(SUM($K$4:K585,IF(繳費報酬率資料!$A$1=1,$AU586+$AV586,$BB586+$BC586))&gt;OP!$L$58,0,IF(繳費報酬率資料!$A$1=1,$AU586+$AV586,$BB586+$BC586))</f>
        <v>0</v>
      </c>
      <c r="L586" s="2"/>
      <c r="M586" s="2"/>
      <c r="N586" s="2"/>
      <c r="O586" s="261">
        <f t="shared" ca="1" si="346"/>
        <v>0</v>
      </c>
      <c r="P586" s="261">
        <f t="shared" ca="1" si="364"/>
        <v>0</v>
      </c>
      <c r="Q586" s="3">
        <f ca="1">IF(A586&gt;MAX(OP!$R$17:$R$26),0,VLOOKUP(A586,fees,3,FALSE))</f>
        <v>0</v>
      </c>
      <c r="R586" s="200" t="str">
        <f t="shared" ca="1" si="347"/>
        <v/>
      </c>
      <c r="S586" s="9" t="str">
        <f ca="1">IF(COUNTIF(($T$4:T585),"F")&gt;=1,"",IF(OR(C587&lt;&gt;$C$3,E586=""),"",A586))</f>
        <v/>
      </c>
      <c r="T586" s="20" t="str">
        <f t="shared" ca="1" si="339"/>
        <v/>
      </c>
      <c r="U586" s="2">
        <f ca="1">IF(IF(OP!$C$83=1,$Z585,IF(OP!$C$83=2,$AA585,IF(OP!$C$83=3,$AB585,)))+$K586-$O586-$P586-$AS586&lt;OP!$C$142,0,$AS586)</f>
        <v>0</v>
      </c>
      <c r="V586" s="9"/>
      <c r="W586" s="19">
        <f ca="1">MAX(SUM($K$4:K586),0)</f>
        <v>2000000</v>
      </c>
      <c r="X586" s="19"/>
      <c r="Y586" s="19">
        <f t="shared" ca="1" si="365"/>
        <v>1920000</v>
      </c>
      <c r="Z586" s="2">
        <f ca="1">IF(MIN($Z$4:Z585)=0,0,MAX(0,($Z585+$K586-$O586-$P586)*IF(AND(F586="F",$D$3&lt;&gt;$G$3),((1+(-J586))^(H586/MIN(G586,365))),((1+(-J586))^(1/12)))-$U586))</f>
        <v>158869.20379238168</v>
      </c>
      <c r="AA586" s="2">
        <f ca="1">IF(MIN($AA$4:AA585)=0,0,MAX(0,($AA585+$K586-$O586-$P586)*IF(AND(F586="F",$D$3&lt;&gt;$G$3),((1+$AA$1)^(H586/MIN(G586,365))),((1+$AA$1)^(1/12)))-$U586))</f>
        <v>1920000</v>
      </c>
      <c r="AB586" s="2">
        <f ca="1">IF(MIN($AB$4:AB585)=0,0,MAX(0,($AB585+$K586-$O586-$P586)*IF(AND(F586="F",$D$3&lt;&gt;$G$3),((1+(J586))^(H586/MIN(G586,365))),((1+(J586))^(1/12)))-$U586))</f>
        <v>20546980.488319434</v>
      </c>
      <c r="AC586" s="5"/>
      <c r="AD586" s="5"/>
      <c r="AE586" s="5"/>
      <c r="AF586" s="282">
        <f t="shared" ca="1" si="348"/>
        <v>158869</v>
      </c>
      <c r="AG586" s="282">
        <f t="shared" ca="1" si="349"/>
        <v>1920000</v>
      </c>
      <c r="AH586" s="282">
        <f t="shared" ca="1" si="350"/>
        <v>20546980</v>
      </c>
      <c r="AI586" s="23" t="str">
        <f t="shared" ca="1" si="331"/>
        <v>49-8</v>
      </c>
      <c r="AJ586" s="282">
        <f ca="1">IF(E586&gt;111,,IF(AND(OP!$C$99=1,T586="F"),Z586,IF(AND(OP!$C$99=2,COUNTIF($T$4:T586,"F")=1),OP!$C$97+IF(F586="F",OP!$C$98,0),"")))</f>
        <v>54527</v>
      </c>
      <c r="AK586" s="282">
        <f ca="1">IF(E586&gt;111,,IF(AND(OP!$D$99=1,T586="F"),AA586,IF(AND(OP!$D$99=2,COUNTIF($T$4:T586,"F")=1),OP!$D$97+IF(F586="F",OP!$D$98,0),"")))</f>
        <v>74177</v>
      </c>
      <c r="AL586" s="282">
        <f ca="1">IF(E586&gt;111,,IF(AND(OP!$E$99=1,T586="F"),AB586,IF(AND(OP!$E$99=2,COUNTIF($T$4:T586,"F")=1),OP!$E$97+IF(F586="F",OP!$E$98,0),"")))</f>
        <v>99404</v>
      </c>
      <c r="AM586" s="1">
        <f t="shared" ca="1" si="340"/>
        <v>8</v>
      </c>
      <c r="AN586" s="1" t="e">
        <f ca="1">IF(OR(VLOOKUP($A586,MP,5,0)="半年繳",VLOOKUP($A586,MP,5,0)="季繳",VLOOKUP($A586,MP,5,0)="月繳"),1,"")</f>
        <v>#N/A</v>
      </c>
      <c r="AO586" s="1">
        <f t="shared" ca="1" si="351"/>
        <v>0</v>
      </c>
      <c r="AP586" s="1" t="str">
        <f ca="1">IF(AND(A586&lt;=OP!$C$120,COUNTIF(PAY,C586)=1),1,"")</f>
        <v/>
      </c>
      <c r="AR586" s="301">
        <f ca="1">IF(繳費報酬率資料!$A$1=1,$AY586+$AZ586,$BF586+$BG586)</f>
        <v>0</v>
      </c>
      <c r="AS586" s="1">
        <f ca="1">IF(C586&lt;&gt;IF($C$3=1,12,$C$3-1),0,IF(繳費報酬率資料!$A$1&lt;&gt;1,VLOOKUP($A586,MP,8,0),IF(AND($A586&gt;=OP!$C$79,$A586&lt;=OP!$C$80),OP!$C$78,)))</f>
        <v>0</v>
      </c>
      <c r="AT586" s="298">
        <f t="shared" ca="1" si="352"/>
        <v>0</v>
      </c>
      <c r="AU586" s="298">
        <f ca="1">IF(AND(A586&lt;=OP!$C$120,COUNTIF(PAY,C586)=1),OP!$C$123,0)</f>
        <v>0</v>
      </c>
      <c r="AV586" s="298">
        <f ca="1">IF(AND(A586&gt;=OP!$C$132,A586&lt;=OP!$C$133,$C$3=C586),OP!$C$135,0)</f>
        <v>0</v>
      </c>
      <c r="AW586" s="180">
        <f t="shared" ca="1" si="353"/>
        <v>0.05</v>
      </c>
      <c r="AX586" s="180">
        <f t="shared" ca="1" si="354"/>
        <v>0.05</v>
      </c>
      <c r="AY586" s="286">
        <f t="shared" ca="1" si="355"/>
        <v>0</v>
      </c>
      <c r="AZ586" s="286">
        <f t="shared" ca="1" si="356"/>
        <v>0</v>
      </c>
      <c r="BA586" s="286">
        <f t="shared" ca="1" si="357"/>
        <v>0</v>
      </c>
      <c r="BB586" s="286">
        <f t="shared" ca="1" si="358"/>
        <v>0</v>
      </c>
      <c r="BC586" s="286">
        <f t="shared" ca="1" si="359"/>
        <v>0</v>
      </c>
      <c r="BD586" s="180">
        <f t="shared" ca="1" si="360"/>
        <v>0.05</v>
      </c>
      <c r="BE586" s="180">
        <f t="shared" ca="1" si="361"/>
        <v>0.05</v>
      </c>
      <c r="BF586" s="286">
        <f t="shared" ca="1" si="362"/>
        <v>0</v>
      </c>
      <c r="BG586" s="286">
        <f t="shared" ca="1" si="363"/>
        <v>0</v>
      </c>
    </row>
    <row r="587" spans="1:59">
      <c r="A587" s="1">
        <f t="shared" ca="1" si="342"/>
        <v>49</v>
      </c>
      <c r="B587" s="1">
        <f t="shared" ca="1" si="336"/>
        <v>155</v>
      </c>
      <c r="C587" s="1">
        <f t="shared" ca="1" si="337"/>
        <v>1</v>
      </c>
      <c r="D587" s="1">
        <f ca="1">MIN($D$3,VLOOKUP(C587,OP!$S$30:$T$41,2))</f>
        <v>2</v>
      </c>
      <c r="E587" s="1">
        <f t="shared" ca="1" si="338"/>
        <v>103</v>
      </c>
      <c r="F587" s="11" t="str">
        <f t="shared" ca="1" si="343"/>
        <v/>
      </c>
      <c r="G587" s="8">
        <f t="shared" ca="1" si="344"/>
        <v>365</v>
      </c>
      <c r="H587" s="8">
        <f t="shared" ca="1" si="345"/>
        <v>31</v>
      </c>
      <c r="I587" s="8" t="str">
        <f t="shared" ca="1" si="341"/>
        <v>491</v>
      </c>
      <c r="J587" s="13">
        <f>IF(繳費報酬率資料!$A$1=1,VALUE(OP!$C$121),VLOOKUP(A587,MP,2,0))</f>
        <v>0.05</v>
      </c>
      <c r="K587" s="14">
        <f ca="1">IF(SUM($K$4:K586,IF(繳費報酬率資料!$A$1=1,$AU587+$AV587,$BB587+$BC587))&gt;OP!$L$58,0,IF(繳費報酬率資料!$A$1=1,$AU587+$AV587,$BB587+$BC587))</f>
        <v>0</v>
      </c>
      <c r="L587" s="2"/>
      <c r="M587" s="2"/>
      <c r="N587" s="2"/>
      <c r="O587" s="261">
        <f t="shared" ca="1" si="346"/>
        <v>0</v>
      </c>
      <c r="P587" s="261">
        <f t="shared" ca="1" si="364"/>
        <v>0</v>
      </c>
      <c r="Q587" s="3">
        <f ca="1">IF(A587&gt;MAX(OP!$R$17:$R$26),0,VLOOKUP(A587,fees,3,FALSE))</f>
        <v>0</v>
      </c>
      <c r="R587" s="200" t="str">
        <f t="shared" ca="1" si="347"/>
        <v/>
      </c>
      <c r="S587" s="9" t="str">
        <f ca="1">IF(COUNTIF(($T$4:T586),"F")&gt;=1,"",IF(OR(C588&lt;&gt;$C$3,E587=""),"",A587))</f>
        <v/>
      </c>
      <c r="T587" s="20" t="str">
        <f t="shared" ca="1" si="339"/>
        <v/>
      </c>
      <c r="U587" s="2">
        <f ca="1">IF(IF(OP!$C$83=1,$Z586,IF(OP!$C$83=2,$AA586,IF(OP!$C$83=3,$AB586,)))+$K587-$O587-$P587-$AS587&lt;OP!$C$142,0,$AS587)</f>
        <v>0</v>
      </c>
      <c r="V587" s="9"/>
      <c r="W587" s="19">
        <f ca="1">MAX(SUM($K$4:K587),0)</f>
        <v>2000000</v>
      </c>
      <c r="X587" s="19"/>
      <c r="Y587" s="19">
        <f t="shared" ca="1" si="365"/>
        <v>1920000</v>
      </c>
      <c r="Z587" s="2">
        <f ca="1">IF(MIN($Z$4:Z586)=0,0,MAX(0,($Z586+$K587-$O587-$P587)*IF(AND(F587="F",$D$3&lt;&gt;$G$3),((1+(-J587))^(H587/MIN(G587,365))),((1+(-J587))^(1/12)))-$U587))</f>
        <v>158191.57599426992</v>
      </c>
      <c r="AA587" s="2">
        <f ca="1">IF(MIN($AA$4:AA586)=0,0,MAX(0,($AA586+$K587-$O587-$P587)*IF(AND(F587="F",$D$3&lt;&gt;$G$3),((1+$AA$1)^(H587/MIN(G587,365))),((1+$AA$1)^(1/12)))-$U587))</f>
        <v>1920000</v>
      </c>
      <c r="AB587" s="2">
        <f ca="1">IF(MIN($AB$4:AB586)=0,0,MAX(0,($AB586+$K587-$O587-$P587)*IF(AND(F587="F",$D$3&lt;&gt;$G$3),((1+(J587))^(H587/MIN(G587,365))),((1+(J587))^(1/12)))-$U587))</f>
        <v>20630691.430209056</v>
      </c>
      <c r="AC587" s="5"/>
      <c r="AD587" s="5"/>
      <c r="AE587" s="5"/>
      <c r="AF587" s="282">
        <f t="shared" ca="1" si="348"/>
        <v>158192</v>
      </c>
      <c r="AG587" s="282">
        <f t="shared" ca="1" si="349"/>
        <v>1920000</v>
      </c>
      <c r="AH587" s="282">
        <f t="shared" ca="1" si="350"/>
        <v>20630691</v>
      </c>
      <c r="AI587" s="23" t="str">
        <f t="shared" ca="1" si="331"/>
        <v>49-9</v>
      </c>
      <c r="AJ587" s="282">
        <f ca="1">IF(E587&gt;111,,IF(AND(OP!$C$99=1,T587="F"),Z587,IF(AND(OP!$C$99=2,COUNTIF($T$4:T587,"F")=1),OP!$C$97+IF(F587="F",OP!$C$98,0),"")))</f>
        <v>54527</v>
      </c>
      <c r="AK587" s="282">
        <f ca="1">IF(E587&gt;111,,IF(AND(OP!$D$99=1,T587="F"),AA587,IF(AND(OP!$D$99=2,COUNTIF($T$4:T587,"F")=1),OP!$D$97+IF(F587="F",OP!$D$98,0),"")))</f>
        <v>74177</v>
      </c>
      <c r="AL587" s="282">
        <f ca="1">IF(E587&gt;111,,IF(AND(OP!$E$99=1,T587="F"),AB587,IF(AND(OP!$E$99=2,COUNTIF($T$4:T587,"F")=1),OP!$E$97+IF(F587="F",OP!$E$98,0),"")))</f>
        <v>99404</v>
      </c>
      <c r="AM587" s="1">
        <f t="shared" ca="1" si="340"/>
        <v>9</v>
      </c>
      <c r="AN587" s="1" t="e">
        <f ca="1">IF(OR(VLOOKUP($A587,MP,5,0)="月繳"),1,"")</f>
        <v>#N/A</v>
      </c>
      <c r="AO587" s="1">
        <f t="shared" ca="1" si="351"/>
        <v>0</v>
      </c>
      <c r="AP587" s="1" t="str">
        <f ca="1">IF(AND(A587&lt;=OP!$C$120,COUNTIF(PAY,C587)=1),1,"")</f>
        <v/>
      </c>
      <c r="AR587" s="301">
        <f ca="1">IF(繳費報酬率資料!$A$1=1,$AY587+$AZ587,$BF587+$BG587)</f>
        <v>0</v>
      </c>
      <c r="AS587" s="1">
        <f ca="1">IF(C587&lt;&gt;IF($C$3=1,12,$C$3-1),0,IF(繳費報酬率資料!$A$1&lt;&gt;1,VLOOKUP($A587,MP,8,0),IF(AND($A587&gt;=OP!$C$79,$A587&lt;=OP!$C$80),OP!$C$78,)))</f>
        <v>0</v>
      </c>
      <c r="AT587" s="298">
        <f t="shared" ca="1" si="352"/>
        <v>0</v>
      </c>
      <c r="AU587" s="298">
        <f ca="1">IF(AND(A587&lt;=OP!$C$120,COUNTIF(PAY,C587)=1),OP!$C$123,0)</f>
        <v>0</v>
      </c>
      <c r="AV587" s="298">
        <f ca="1">IF(AND(A587&gt;=OP!$C$132,A587&lt;=OP!$C$133,$C$3=C587),OP!$C$135,0)</f>
        <v>0</v>
      </c>
      <c r="AW587" s="180">
        <f t="shared" ca="1" si="353"/>
        <v>0.05</v>
      </c>
      <c r="AX587" s="180">
        <f t="shared" ca="1" si="354"/>
        <v>0.05</v>
      </c>
      <c r="AY587" s="286">
        <f t="shared" ca="1" si="355"/>
        <v>0</v>
      </c>
      <c r="AZ587" s="286">
        <f t="shared" ca="1" si="356"/>
        <v>0</v>
      </c>
      <c r="BA587" s="286">
        <f t="shared" ca="1" si="357"/>
        <v>0</v>
      </c>
      <c r="BB587" s="286">
        <f t="shared" ca="1" si="358"/>
        <v>0</v>
      </c>
      <c r="BC587" s="286">
        <f t="shared" ca="1" si="359"/>
        <v>0</v>
      </c>
      <c r="BD587" s="180">
        <f t="shared" ca="1" si="360"/>
        <v>0.05</v>
      </c>
      <c r="BE587" s="180">
        <f t="shared" ca="1" si="361"/>
        <v>0.05</v>
      </c>
      <c r="BF587" s="286">
        <f t="shared" ca="1" si="362"/>
        <v>0</v>
      </c>
      <c r="BG587" s="286">
        <f t="shared" ca="1" si="363"/>
        <v>0</v>
      </c>
    </row>
    <row r="588" spans="1:59">
      <c r="A588" s="1">
        <f t="shared" ca="1" si="342"/>
        <v>49</v>
      </c>
      <c r="B588" s="1">
        <f t="shared" ca="1" si="336"/>
        <v>155</v>
      </c>
      <c r="C588" s="1">
        <f t="shared" ca="1" si="337"/>
        <v>2</v>
      </c>
      <c r="D588" s="1">
        <f ca="1">MIN($D$3,VLOOKUP(C588,OP!$S$30:$T$41,2))</f>
        <v>2</v>
      </c>
      <c r="E588" s="1">
        <f t="shared" ca="1" si="338"/>
        <v>103</v>
      </c>
      <c r="F588" s="11" t="str">
        <f t="shared" ca="1" si="343"/>
        <v/>
      </c>
      <c r="G588" s="8">
        <f t="shared" ca="1" si="344"/>
        <v>365</v>
      </c>
      <c r="H588" s="8">
        <f t="shared" ca="1" si="345"/>
        <v>28</v>
      </c>
      <c r="I588" s="8" t="str">
        <f t="shared" ca="1" si="341"/>
        <v>492</v>
      </c>
      <c r="J588" s="13">
        <f>IF(繳費報酬率資料!$A$1=1,VALUE(OP!$C$121),VLOOKUP(A588,MP,2,0))</f>
        <v>0.05</v>
      </c>
      <c r="K588" s="14">
        <f ca="1">IF(SUM($K$4:K587,IF(繳費報酬率資料!$A$1=1,$AU588+$AV588,$BB588+$BC588))&gt;OP!$L$58,0,IF(繳費報酬率資料!$A$1=1,$AU588+$AV588,$BB588+$BC588))</f>
        <v>0</v>
      </c>
      <c r="L588" s="2"/>
      <c r="M588" s="2"/>
      <c r="N588" s="2"/>
      <c r="O588" s="261">
        <f t="shared" ca="1" si="346"/>
        <v>0</v>
      </c>
      <c r="P588" s="261">
        <f t="shared" ca="1" si="364"/>
        <v>0</v>
      </c>
      <c r="Q588" s="3">
        <f ca="1">IF(A588&gt;MAX(OP!$R$17:$R$26),0,VLOOKUP(A588,fees,3,FALSE))</f>
        <v>0</v>
      </c>
      <c r="R588" s="200" t="str">
        <f t="shared" ca="1" si="347"/>
        <v/>
      </c>
      <c r="S588" s="9" t="str">
        <f ca="1">IF(COUNTIF(($T$4:T587),"F")&gt;=1,"",IF(OR(C589&lt;&gt;$C$3,E588=""),"",A588))</f>
        <v/>
      </c>
      <c r="T588" s="20" t="str">
        <f t="shared" ca="1" si="339"/>
        <v/>
      </c>
      <c r="U588" s="2">
        <f ca="1">IF(IF(OP!$C$83=1,$Z587,IF(OP!$C$83=2,$AA587,IF(OP!$C$83=3,$AB587,)))+$K588-$O588-$P588-$AS588&lt;OP!$C$142,0,$AS588)</f>
        <v>0</v>
      </c>
      <c r="V588" s="9"/>
      <c r="W588" s="19">
        <f ca="1">MAX(SUM($K$4:K588),0)</f>
        <v>2000000</v>
      </c>
      <c r="X588" s="19"/>
      <c r="Y588" s="19">
        <f t="shared" ca="1" si="365"/>
        <v>1920000</v>
      </c>
      <c r="Z588" s="2">
        <f ca="1">IF(MIN($Z$4:Z587)=0,0,MAX(0,($Z587+$K588-$O588-$P588)*IF(AND(F588="F",$D$3&lt;&gt;$G$3),((1+(-J588))^(H588/MIN(G588,365))),((1+(-J588))^(1/12)))-$U588))</f>
        <v>157516.83849472966</v>
      </c>
      <c r="AA588" s="2">
        <f ca="1">IF(MIN($AA$4:AA587)=0,0,MAX(0,($AA587+$K588-$O588-$P588)*IF(AND(F588="F",$D$3&lt;&gt;$G$3),((1+$AA$1)^(H588/MIN(G588,365))),((1+$AA$1)^(1/12)))-$U588))</f>
        <v>1920000</v>
      </c>
      <c r="AB588" s="2">
        <f ca="1">IF(MIN($AB$4:AB587)=0,0,MAX(0,($AB587+$K588-$O588-$P588)*IF(AND(F588="F",$D$3&lt;&gt;$G$3),((1+(J588))^(H588/MIN(G588,365))),((1+(J588))^(1/12)))-$U588))</f>
        <v>20714743.42083798</v>
      </c>
      <c r="AC588" s="5"/>
      <c r="AD588" s="5"/>
      <c r="AE588" s="5"/>
      <c r="AF588" s="282">
        <f t="shared" ca="1" si="348"/>
        <v>157517</v>
      </c>
      <c r="AG588" s="282">
        <f t="shared" ca="1" si="349"/>
        <v>1920000</v>
      </c>
      <c r="AH588" s="282">
        <f t="shared" ca="1" si="350"/>
        <v>20714743</v>
      </c>
      <c r="AI588" s="23" t="str">
        <f t="shared" ref="AI588:AI651" ca="1" si="366">IF($G$3=D589,A589,A588)&amp;"-"&amp;AM588</f>
        <v>49-10</v>
      </c>
      <c r="AJ588" s="282">
        <f ca="1">IF(E588&gt;111,,IF(AND(OP!$C$99=1,T588="F"),Z588,IF(AND(OP!$C$99=2,COUNTIF($T$4:T588,"F")=1),OP!$C$97+IF(F588="F",OP!$C$98,0),"")))</f>
        <v>54527</v>
      </c>
      <c r="AK588" s="282">
        <f ca="1">IF(E588&gt;111,,IF(AND(OP!$D$99=1,T588="F"),AA588,IF(AND(OP!$D$99=2,COUNTIF($T$4:T588,"F")=1),OP!$D$97+IF(F588="F",OP!$D$98,0),"")))</f>
        <v>74177</v>
      </c>
      <c r="AL588" s="282">
        <f ca="1">IF(E588&gt;111,,IF(AND(OP!$E$99=1,T588="F"),AB588,IF(AND(OP!$E$99=2,COUNTIF($T$4:T588,"F")=1),OP!$E$97+IF(F588="F",OP!$E$98,0),"")))</f>
        <v>99404</v>
      </c>
      <c r="AM588" s="1">
        <f t="shared" ca="1" si="340"/>
        <v>10</v>
      </c>
      <c r="AN588" s="1" t="e">
        <f ca="1">IF(OR(VLOOKUP($A588,MP,5,0)="月繳"),1,"")</f>
        <v>#N/A</v>
      </c>
      <c r="AO588" s="1">
        <f t="shared" ca="1" si="351"/>
        <v>0</v>
      </c>
      <c r="AP588" s="1" t="str">
        <f ca="1">IF(AND(A588&lt;=OP!$C$120,COUNTIF(PAY,C588)=1),1,"")</f>
        <v/>
      </c>
      <c r="AR588" s="301">
        <f ca="1">IF(繳費報酬率資料!$A$1=1,$AY588+$AZ588,$BF588+$BG588)</f>
        <v>0</v>
      </c>
      <c r="AS588" s="1">
        <f ca="1">IF(C588&lt;&gt;IF($C$3=1,12,$C$3-1),0,IF(繳費報酬率資料!$A$1&lt;&gt;1,VLOOKUP($A588,MP,8,0),IF(AND($A588&gt;=OP!$C$79,$A588&lt;=OP!$C$80),OP!$C$78,)))</f>
        <v>0</v>
      </c>
      <c r="AT588" s="298">
        <f t="shared" ca="1" si="352"/>
        <v>0</v>
      </c>
      <c r="AU588" s="298">
        <f ca="1">IF(AND(A588&lt;=OP!$C$120,COUNTIF(PAY,C588)=1),OP!$C$123,0)</f>
        <v>0</v>
      </c>
      <c r="AV588" s="298">
        <f ca="1">IF(AND(A588&gt;=OP!$C$132,A588&lt;=OP!$C$133,$C$3=C588),OP!$C$135,0)</f>
        <v>0</v>
      </c>
      <c r="AW588" s="180">
        <f t="shared" ca="1" si="353"/>
        <v>0.05</v>
      </c>
      <c r="AX588" s="180">
        <f t="shared" ca="1" si="354"/>
        <v>0.05</v>
      </c>
      <c r="AY588" s="286">
        <f t="shared" ca="1" si="355"/>
        <v>0</v>
      </c>
      <c r="AZ588" s="286">
        <f t="shared" ca="1" si="356"/>
        <v>0</v>
      </c>
      <c r="BA588" s="286">
        <f t="shared" ca="1" si="357"/>
        <v>0</v>
      </c>
      <c r="BB588" s="286">
        <f t="shared" ca="1" si="358"/>
        <v>0</v>
      </c>
      <c r="BC588" s="286">
        <f t="shared" ca="1" si="359"/>
        <v>0</v>
      </c>
      <c r="BD588" s="180">
        <f t="shared" ca="1" si="360"/>
        <v>0.05</v>
      </c>
      <c r="BE588" s="180">
        <f t="shared" ca="1" si="361"/>
        <v>0.05</v>
      </c>
      <c r="BF588" s="286">
        <f t="shared" ca="1" si="362"/>
        <v>0</v>
      </c>
      <c r="BG588" s="286">
        <f t="shared" ca="1" si="363"/>
        <v>0</v>
      </c>
    </row>
    <row r="589" spans="1:59">
      <c r="A589" s="1">
        <f t="shared" ca="1" si="342"/>
        <v>49</v>
      </c>
      <c r="B589" s="1">
        <f t="shared" ca="1" si="336"/>
        <v>155</v>
      </c>
      <c r="C589" s="1">
        <f t="shared" ca="1" si="337"/>
        <v>3</v>
      </c>
      <c r="D589" s="1">
        <f ca="1">MIN($D$3,VLOOKUP(C589,OP!$S$30:$T$41,2))</f>
        <v>2</v>
      </c>
      <c r="E589" s="1">
        <f t="shared" ca="1" si="338"/>
        <v>103</v>
      </c>
      <c r="F589" s="11" t="str">
        <f t="shared" ca="1" si="343"/>
        <v/>
      </c>
      <c r="G589" s="8">
        <f t="shared" ca="1" si="344"/>
        <v>365</v>
      </c>
      <c r="H589" s="8">
        <f t="shared" ca="1" si="345"/>
        <v>31</v>
      </c>
      <c r="I589" s="8" t="str">
        <f t="shared" ca="1" si="341"/>
        <v>493</v>
      </c>
      <c r="J589" s="13">
        <f>IF(繳費報酬率資料!$A$1=1,VALUE(OP!$C$121),VLOOKUP(A589,MP,2,0))</f>
        <v>0.05</v>
      </c>
      <c r="K589" s="14">
        <f ca="1">IF(SUM($K$4:K588,IF(繳費報酬率資料!$A$1=1,$AU589+$AV589,$BB589+$BC589))&gt;OP!$L$58,0,IF(繳費報酬率資料!$A$1=1,$AU589+$AV589,$BB589+$BC589))</f>
        <v>0</v>
      </c>
      <c r="L589" s="2"/>
      <c r="M589" s="2"/>
      <c r="N589" s="2"/>
      <c r="O589" s="261">
        <f t="shared" ca="1" si="346"/>
        <v>0</v>
      </c>
      <c r="P589" s="261">
        <f t="shared" ca="1" si="364"/>
        <v>0</v>
      </c>
      <c r="Q589" s="3">
        <f ca="1">IF(A589&gt;MAX(OP!$R$17:$R$26),0,VLOOKUP(A589,fees,3,FALSE))</f>
        <v>0</v>
      </c>
      <c r="R589" s="200" t="str">
        <f t="shared" ca="1" si="347"/>
        <v/>
      </c>
      <c r="S589" s="9" t="str">
        <f ca="1">IF(COUNTIF(($T$4:T588),"F")&gt;=1,"",IF(OR(C590&lt;&gt;$C$3,E589=""),"",A589))</f>
        <v/>
      </c>
      <c r="T589" s="20" t="str">
        <f t="shared" ca="1" si="339"/>
        <v/>
      </c>
      <c r="U589" s="2">
        <f ca="1">IF(IF(OP!$C$83=1,$Z588,IF(OP!$C$83=2,$AA588,IF(OP!$C$83=3,$AB588,)))+$K589-$O589-$P589-$AS589&lt;OP!$C$142,0,$AS589)</f>
        <v>0</v>
      </c>
      <c r="V589" s="9"/>
      <c r="W589" s="19">
        <f ca="1">MAX(SUM($K$4:K589),0)</f>
        <v>2000000</v>
      </c>
      <c r="X589" s="19"/>
      <c r="Y589" s="19">
        <f t="shared" ca="1" si="365"/>
        <v>1920000</v>
      </c>
      <c r="Z589" s="2">
        <f ca="1">IF(MIN($Z$4:Z588)=0,0,MAX(0,($Z588+$K589-$O589-$P589)*IF(AND(F589="F",$D$3&lt;&gt;$G$3),((1+(-J589))^(H589/MIN(G589,365))),((1+(-J589))^(1/12)))-$U589))</f>
        <v>156844.97896571609</v>
      </c>
      <c r="AA589" s="2">
        <f ca="1">IF(MIN($AA$4:AA588)=0,0,MAX(0,($AA588+$K589-$O589-$P589)*IF(AND(F589="F",$D$3&lt;&gt;$G$3),((1+$AA$1)^(H589/MIN(G589,365))),((1+$AA$1)^(1/12)))-$U589))</f>
        <v>1920000</v>
      </c>
      <c r="AB589" s="2">
        <f ca="1">IF(MIN($AB$4:AB588)=0,0,MAX(0,($AB588+$K589-$O589-$P589)*IF(AND(F589="F",$D$3&lt;&gt;$G$3),((1+(J589))^(H589/MIN(G589,365))),((1+(J589))^(1/12)))-$U589))</f>
        <v>20799137.84968099</v>
      </c>
      <c r="AC589" s="5"/>
      <c r="AD589" s="5"/>
      <c r="AE589" s="5"/>
      <c r="AF589" s="282">
        <f t="shared" ca="1" si="348"/>
        <v>156845</v>
      </c>
      <c r="AG589" s="282">
        <f t="shared" ca="1" si="349"/>
        <v>1920000</v>
      </c>
      <c r="AH589" s="282">
        <f t="shared" ca="1" si="350"/>
        <v>20799138</v>
      </c>
      <c r="AI589" s="23" t="str">
        <f t="shared" ca="1" si="366"/>
        <v>49-11</v>
      </c>
      <c r="AJ589" s="282">
        <f ca="1">IF(E589&gt;111,,IF(AND(OP!$C$99=1,T589="F"),Z589,IF(AND(OP!$C$99=2,COUNTIF($T$4:T589,"F")=1),OP!$C$97+IF(F589="F",OP!$C$98,0),"")))</f>
        <v>54527</v>
      </c>
      <c r="AK589" s="282">
        <f ca="1">IF(E589&gt;111,,IF(AND(OP!$D$99=1,T589="F"),AA589,IF(AND(OP!$D$99=2,COUNTIF($T$4:T589,"F")=1),OP!$D$97+IF(F589="F",OP!$D$98,0),"")))</f>
        <v>74177</v>
      </c>
      <c r="AL589" s="282">
        <f ca="1">IF(E589&gt;111,,IF(AND(OP!$E$99=1,T589="F"),AB589,IF(AND(OP!$E$99=2,COUNTIF($T$4:T589,"F")=1),OP!$E$97+IF(F589="F",OP!$E$98,0),"")))</f>
        <v>99404</v>
      </c>
      <c r="AM589" s="1">
        <f t="shared" ca="1" si="340"/>
        <v>11</v>
      </c>
      <c r="AN589" s="1" t="e">
        <f ca="1">IF(OR(VLOOKUP($A589,MP,5,0)="季繳",VLOOKUP($A589,MP,5,0)="月繳"),1,"")</f>
        <v>#N/A</v>
      </c>
      <c r="AO589" s="1">
        <f t="shared" ca="1" si="351"/>
        <v>0</v>
      </c>
      <c r="AP589" s="1" t="str">
        <f ca="1">IF(AND(A589&lt;=OP!$C$120,COUNTIF(PAY,C589)=1),1,"")</f>
        <v/>
      </c>
      <c r="AR589" s="301">
        <f ca="1">IF(繳費報酬率資料!$A$1=1,$AY589+$AZ589,$BF589+$BG589)</f>
        <v>0</v>
      </c>
      <c r="AS589" s="1">
        <f ca="1">IF(C589&lt;&gt;IF($C$3=1,12,$C$3-1),0,IF(繳費報酬率資料!$A$1&lt;&gt;1,VLOOKUP($A589,MP,8,0),IF(AND($A589&gt;=OP!$C$79,$A589&lt;=OP!$C$80),OP!$C$78,)))</f>
        <v>0</v>
      </c>
      <c r="AT589" s="298">
        <f t="shared" ca="1" si="352"/>
        <v>0</v>
      </c>
      <c r="AU589" s="298">
        <f ca="1">IF(AND(A589&lt;=OP!$C$120,COUNTIF(PAY,C589)=1),OP!$C$123,0)</f>
        <v>0</v>
      </c>
      <c r="AV589" s="298">
        <f ca="1">IF(AND(A589&gt;=OP!$C$132,A589&lt;=OP!$C$133,$C$3=C589),OP!$C$135,0)</f>
        <v>0</v>
      </c>
      <c r="AW589" s="180">
        <f t="shared" ca="1" si="353"/>
        <v>0.05</v>
      </c>
      <c r="AX589" s="180">
        <f t="shared" ca="1" si="354"/>
        <v>0.05</v>
      </c>
      <c r="AY589" s="286">
        <f t="shared" ca="1" si="355"/>
        <v>0</v>
      </c>
      <c r="AZ589" s="286">
        <f t="shared" ca="1" si="356"/>
        <v>0</v>
      </c>
      <c r="BA589" s="286">
        <f t="shared" ca="1" si="357"/>
        <v>0</v>
      </c>
      <c r="BB589" s="286">
        <f t="shared" ca="1" si="358"/>
        <v>0</v>
      </c>
      <c r="BC589" s="286">
        <f t="shared" ca="1" si="359"/>
        <v>0</v>
      </c>
      <c r="BD589" s="180">
        <f t="shared" ca="1" si="360"/>
        <v>0.05</v>
      </c>
      <c r="BE589" s="180">
        <f t="shared" ca="1" si="361"/>
        <v>0.05</v>
      </c>
      <c r="BF589" s="286">
        <f t="shared" ca="1" si="362"/>
        <v>0</v>
      </c>
      <c r="BG589" s="286">
        <f t="shared" ca="1" si="363"/>
        <v>0</v>
      </c>
    </row>
    <row r="590" spans="1:59">
      <c r="A590" s="1">
        <f t="shared" ca="1" si="342"/>
        <v>49</v>
      </c>
      <c r="B590" s="1">
        <f t="shared" ca="1" si="336"/>
        <v>155</v>
      </c>
      <c r="C590" s="1">
        <f t="shared" ca="1" si="337"/>
        <v>4</v>
      </c>
      <c r="D590" s="1">
        <f ca="1">MIN($D$3,VLOOKUP(C590,OP!$S$30:$T$41,2))</f>
        <v>2</v>
      </c>
      <c r="E590" s="1">
        <f t="shared" ca="1" si="338"/>
        <v>103</v>
      </c>
      <c r="F590" s="11" t="str">
        <f t="shared" ca="1" si="343"/>
        <v/>
      </c>
      <c r="G590" s="8">
        <f t="shared" ca="1" si="344"/>
        <v>365</v>
      </c>
      <c r="H590" s="8">
        <f t="shared" ca="1" si="345"/>
        <v>30</v>
      </c>
      <c r="I590" s="8" t="str">
        <f t="shared" ca="1" si="341"/>
        <v>494</v>
      </c>
      <c r="J590" s="13">
        <f>IF(繳費報酬率資料!$A$1=1,VALUE(OP!$C$121),VLOOKUP(A590,MP,2,0))</f>
        <v>0.05</v>
      </c>
      <c r="K590" s="14">
        <f ca="1">IF(SUM($K$4:K589,IF(繳費報酬率資料!$A$1=1,$AU590+$AV590,$BB590+$BC590))&gt;OP!$L$58,0,IF(繳費報酬率資料!$A$1=1,$AU590+$AV590,$BB590+$BC590))</f>
        <v>0</v>
      </c>
      <c r="L590" s="2"/>
      <c r="M590" s="2"/>
      <c r="N590" s="2"/>
      <c r="O590" s="261">
        <f t="shared" ca="1" si="346"/>
        <v>0</v>
      </c>
      <c r="P590" s="261">
        <f t="shared" ca="1" si="364"/>
        <v>0</v>
      </c>
      <c r="Q590" s="3">
        <f ca="1">IF(A590&gt;MAX(OP!$R$17:$R$26),0,VLOOKUP(A590,fees,3,FALSE))</f>
        <v>0</v>
      </c>
      <c r="R590" s="200" t="str">
        <f t="shared" ca="1" si="347"/>
        <v/>
      </c>
      <c r="S590" s="9" t="str">
        <f ca="1">IF(COUNTIF(($T$4:T589),"F")&gt;=1,"",IF(OR(C591&lt;&gt;$C$3,E590=""),"",A590))</f>
        <v/>
      </c>
      <c r="T590" s="20" t="str">
        <f t="shared" ca="1" si="339"/>
        <v/>
      </c>
      <c r="U590" s="2">
        <f ca="1">IF(IF(OP!$C$83=1,$Z589,IF(OP!$C$83=2,$AA589,IF(OP!$C$83=3,$AB589,)))+$K590-$O590-$P590-$AS590&lt;OP!$C$142,0,$AS590)</f>
        <v>0</v>
      </c>
      <c r="V590" s="9"/>
      <c r="W590" s="19">
        <f ca="1">MAX(SUM($K$4:K590),0)</f>
        <v>2000000</v>
      </c>
      <c r="X590" s="19"/>
      <c r="Y590" s="19">
        <f t="shared" ca="1" si="365"/>
        <v>1920000</v>
      </c>
      <c r="Z590" s="2">
        <f ca="1">IF(MIN($Z$4:Z589)=0,0,MAX(0,($Z589+$K590-$O590-$P590)*IF(AND(F590="F",$D$3&lt;&gt;$G$3),((1+(-J590))^(H590/MIN(G590,365))),((1+(-J590))^(1/12)))-$U590))</f>
        <v>156175.98513176752</v>
      </c>
      <c r="AA590" s="2">
        <f ca="1">IF(MIN($AA$4:AA589)=0,0,MAX(0,($AA589+$K590-$O590-$P590)*IF(AND(F590="F",$D$3&lt;&gt;$G$3),((1+$AA$1)^(H590/MIN(G590,365))),((1+$AA$1)^(1/12)))-$U590))</f>
        <v>1920000</v>
      </c>
      <c r="AB590" s="2">
        <f ca="1">IF(MIN($AB$4:AB589)=0,0,MAX(0,($AB589+$K590-$O590-$P590)*IF(AND(F590="F",$D$3&lt;&gt;$G$3),((1+(J590))^(H590/MIN(G590,365))),((1+(J590))^(1/12)))-$U590))</f>
        <v>20883876.111873757</v>
      </c>
      <c r="AC590" s="5"/>
      <c r="AD590" s="5"/>
      <c r="AE590" s="5"/>
      <c r="AF590" s="282">
        <f t="shared" ca="1" si="348"/>
        <v>156176</v>
      </c>
      <c r="AG590" s="282">
        <f t="shared" ca="1" si="349"/>
        <v>1920000</v>
      </c>
      <c r="AH590" s="282">
        <f t="shared" ca="1" si="350"/>
        <v>20883876</v>
      </c>
      <c r="AI590" s="23" t="str">
        <f t="shared" ca="1" si="366"/>
        <v>49-12</v>
      </c>
      <c r="AJ590" s="282">
        <f ca="1">IF(E590&gt;111,,IF(AND(OP!$C$99=1,T590="F"),Z590,IF(AND(OP!$C$99=2,COUNTIF($T$4:T590,"F")=1),OP!$C$97+IF(F590="F",OP!$C$98,0),"")))</f>
        <v>54527</v>
      </c>
      <c r="AK590" s="282">
        <f ca="1">IF(E590&gt;111,,IF(AND(OP!$D$99=1,T590="F"),AA590,IF(AND(OP!$D$99=2,COUNTIF($T$4:T590,"F")=1),OP!$D$97+IF(F590="F",OP!$D$98,0),"")))</f>
        <v>74177</v>
      </c>
      <c r="AL590" s="282">
        <f ca="1">IF(E590&gt;111,,IF(AND(OP!$E$99=1,T590="F"),AB590,IF(AND(OP!$E$99=2,COUNTIF($T$4:T590,"F")=1),OP!$E$97+IF(F590="F",OP!$E$98,0),"")))</f>
        <v>99404</v>
      </c>
      <c r="AM590" s="1">
        <f t="shared" ca="1" si="340"/>
        <v>12</v>
      </c>
      <c r="AN590" s="1" t="e">
        <f ca="1">IF(OR(VLOOKUP($A590,MP,5,0)="月繳"),1,"")</f>
        <v>#N/A</v>
      </c>
      <c r="AO590" s="1">
        <f t="shared" ca="1" si="351"/>
        <v>0</v>
      </c>
      <c r="AP590" s="1" t="str">
        <f ca="1">IF(AND(A590&lt;=OP!$C$120,COUNTIF(PAY,C590)=1),1,"")</f>
        <v/>
      </c>
      <c r="AR590" s="301">
        <f ca="1">IF(繳費報酬率資料!$A$1=1,$AY590+$AZ590,$BF590+$BG590)</f>
        <v>0</v>
      </c>
      <c r="AS590" s="1">
        <f ca="1">IF(C590&lt;&gt;IF($C$3=1,12,$C$3-1),0,IF(繳費報酬率資料!$A$1&lt;&gt;1,VLOOKUP($A590,MP,8,0),IF(AND($A590&gt;=OP!$C$79,$A590&lt;=OP!$C$80),OP!$C$78,)))</f>
        <v>0</v>
      </c>
      <c r="AT590" s="298">
        <f t="shared" ca="1" si="352"/>
        <v>0</v>
      </c>
      <c r="AU590" s="298">
        <f ca="1">IF(AND(A590&lt;=OP!$C$120,COUNTIF(PAY,C590)=1),OP!$C$123,0)</f>
        <v>0</v>
      </c>
      <c r="AV590" s="298">
        <f ca="1">IF(AND(A590&gt;=OP!$C$132,A590&lt;=OP!$C$133,$C$3=C590),OP!$C$135,0)</f>
        <v>0</v>
      </c>
      <c r="AW590" s="180">
        <f t="shared" ca="1" si="353"/>
        <v>0.05</v>
      </c>
      <c r="AX590" s="180">
        <f t="shared" ca="1" si="354"/>
        <v>0.05</v>
      </c>
      <c r="AY590" s="286">
        <f t="shared" ca="1" si="355"/>
        <v>0</v>
      </c>
      <c r="AZ590" s="286">
        <f t="shared" ca="1" si="356"/>
        <v>0</v>
      </c>
      <c r="BA590" s="286">
        <f t="shared" ca="1" si="357"/>
        <v>0</v>
      </c>
      <c r="BB590" s="286">
        <f t="shared" ca="1" si="358"/>
        <v>0</v>
      </c>
      <c r="BC590" s="286">
        <f t="shared" ca="1" si="359"/>
        <v>0</v>
      </c>
      <c r="BD590" s="180">
        <f t="shared" ca="1" si="360"/>
        <v>0.05</v>
      </c>
      <c r="BE590" s="180">
        <f t="shared" ca="1" si="361"/>
        <v>0.05</v>
      </c>
      <c r="BF590" s="286">
        <f t="shared" ca="1" si="362"/>
        <v>0</v>
      </c>
      <c r="BG590" s="286">
        <f t="shared" ca="1" si="363"/>
        <v>0</v>
      </c>
    </row>
    <row r="591" spans="1:59">
      <c r="A591" s="1">
        <f t="shared" ca="1" si="342"/>
        <v>49</v>
      </c>
      <c r="B591" s="1">
        <f t="shared" ca="1" si="336"/>
        <v>155</v>
      </c>
      <c r="C591" s="1">
        <f t="shared" ca="1" si="337"/>
        <v>5</v>
      </c>
      <c r="D591" s="1">
        <f ca="1">MIN($D$3,VLOOKUP(C591,OP!$S$30:$T$41,2))</f>
        <v>2</v>
      </c>
      <c r="E591" s="1">
        <f t="shared" ca="1" si="338"/>
        <v>103</v>
      </c>
      <c r="F591" s="11" t="str">
        <f t="shared" ca="1" si="343"/>
        <v/>
      </c>
      <c r="G591" s="8">
        <f t="shared" ca="1" si="344"/>
        <v>365</v>
      </c>
      <c r="H591" s="8">
        <f t="shared" ca="1" si="345"/>
        <v>31</v>
      </c>
      <c r="I591" s="8" t="str">
        <f t="shared" ca="1" si="341"/>
        <v>495</v>
      </c>
      <c r="J591" s="13">
        <f>IF(繳費報酬率資料!$A$1=1,VALUE(OP!$C$121),VLOOKUP(A591,MP,2,0))</f>
        <v>0.05</v>
      </c>
      <c r="K591" s="14">
        <f ca="1">IF(SUM($K$4:K590,IF(繳費報酬率資料!$A$1=1,$AU591+$AV591,$BB591+$BC591))&gt;OP!$L$58,0,IF(繳費報酬率資料!$A$1=1,$AU591+$AV591,$BB591+$BC591))</f>
        <v>0</v>
      </c>
      <c r="L591" s="2">
        <f ca="1">ROUND(IF(OP!$C$78&lt;(IF(OR($T591="F",$E591&gt;=111),0,Z590+$K591-$O591+IF($C$1=1,OP!$C$78,IF($C592=$C$3,SUM(AC580:AC591,0)))))*5%,0,(OP!$C$78-((IF(OR($T591="F",$E591&gt;=111),0,Z590+$K591-$O591+IF($C$1=1,AC591,IF($C592=$C$3,SUM(AC580:AC591,0)))))*5%))*$Q591),0)</f>
        <v>0</v>
      </c>
      <c r="M591" s="2">
        <f ca="1">ROUND(IF(OP!$C$78&lt;(IF(OR($T591="F",$E591&gt;=111),0,AA590+$K591-$O591+IF($C$1=1,AD591,IF($C592=$C$3,SUM(AD580:AD591,0)))))*5%,0,(OP!$C$78-((IF(OR($T591="F",$E591&gt;=111),0,AA590+$K591-$O591+IF($C$1=1,AD591,IF($C592=$C$3,SUM(AD580:AD591,0)))))*5%))*$Q591),0)</f>
        <v>0</v>
      </c>
      <c r="N591" s="2">
        <f ca="1">ROUND(IF(OP!$C$78&lt;(IF(OR($T591="F",$E591&gt;=111),0,AB590+$K591-$O591+IF($C$1=1,AE591,IF($C592=$C$3,SUM(AE580:AE591,0)))))*5%,0,(OP!$C$78-((IF(OR($T591="F",$E591&gt;=111),0,AB590+$K591-$O591+IF($C$1=1,AE591,IF($C592=$C$3,SUM(AE580:AE591,0)))))*5%))*$Q591),0)</f>
        <v>0</v>
      </c>
      <c r="O591" s="261">
        <f t="shared" ca="1" si="346"/>
        <v>0</v>
      </c>
      <c r="P591" s="261">
        <f t="shared" ca="1" si="364"/>
        <v>0</v>
      </c>
      <c r="Q591" s="3">
        <f ca="1">IF(A591&gt;MAX(OP!$R$17:$R$26),0,VLOOKUP(A591,fees,3,FALSE))</f>
        <v>0</v>
      </c>
      <c r="R591" s="200">
        <f t="shared" ca="1" si="347"/>
        <v>49</v>
      </c>
      <c r="S591" s="9" t="str">
        <f ca="1">IF(COUNTIF(($T$4:T590),"F")&gt;=1,"",IF(OR(C592&lt;&gt;$C$3,E591=""),"",A591))</f>
        <v/>
      </c>
      <c r="T591" s="20" t="str">
        <f t="shared" ca="1" si="339"/>
        <v/>
      </c>
      <c r="U591" s="2">
        <f ca="1">IF(IF(OP!$C$83=1,$Z590,IF(OP!$C$83=2,$AA590,IF(OP!$C$83=3,$AB590,)))+$K591-$O591-$P591-$AS591&lt;OP!$C$142,0,$AS591)</f>
        <v>0</v>
      </c>
      <c r="V591" s="19">
        <f ca="1">SUM(K580:K591)</f>
        <v>0</v>
      </c>
      <c r="W591" s="19">
        <f ca="1">MAX(SUM($K$4:K591),0)</f>
        <v>2000000</v>
      </c>
      <c r="X591" s="19">
        <f ca="1">SUM(O580:P591)</f>
        <v>0</v>
      </c>
      <c r="Y591" s="19">
        <f t="shared" ca="1" si="365"/>
        <v>1920000</v>
      </c>
      <c r="Z591" s="2">
        <f ca="1">IF(MIN($Z$4:Z590)=0,0,MAX(0,($Z590+$K591-$O591-$P591)*IF(AND(F591="F",$D$3&lt;&gt;$G$3),((1+(-J591))^(H591/MIN(G591,365))),((1+(-J591))^(1/12)))-$U591))</f>
        <v>155509.84476978096</v>
      </c>
      <c r="AA591" s="2">
        <f ca="1">IF(MIN($AA$4:AA590)=0,0,MAX(0,($AA590+$K591-$O591-$P591)*IF(AND(F591="F",$D$3&lt;&gt;$G$3),((1+$AA$1)^(H591/MIN(G591,365))),((1+$AA$1)^(1/12)))-$U591))</f>
        <v>1920000</v>
      </c>
      <c r="AB591" s="2">
        <f ca="1">IF(MIN($AB$4:AB590)=0,0,MAX(0,($AB590+$K591-$O591-$P591)*IF(AND(F591="F",$D$3&lt;&gt;$G$3),((1+(J591))^(H591/MIN(G591,365))),((1+(J591))^(1/12)))-$U591))</f>
        <v>20968959.608235907</v>
      </c>
      <c r="AC591" s="5"/>
      <c r="AD591" s="5"/>
      <c r="AE591" s="5"/>
      <c r="AF591" s="282">
        <f t="shared" ca="1" si="348"/>
        <v>155510</v>
      </c>
      <c r="AG591" s="282">
        <f t="shared" ca="1" si="349"/>
        <v>1920000</v>
      </c>
      <c r="AH591" s="282">
        <f t="shared" ca="1" si="350"/>
        <v>20968960</v>
      </c>
      <c r="AI591" s="23" t="str">
        <f t="shared" ca="1" si="366"/>
        <v>50-1</v>
      </c>
      <c r="AJ591" s="282">
        <f ca="1">IF(E591&gt;111,,IF(AND(OP!$C$99=1,T591="F"),Z591,IF(AND(OP!$C$99=2,COUNTIF($T$4:T591,"F")=1),OP!$C$97+IF(F591="F",OP!$C$98,0),"")))</f>
        <v>54527</v>
      </c>
      <c r="AK591" s="282">
        <f ca="1">IF(E591&gt;111,,IF(AND(OP!$D$99=1,T591="F"),AA591,IF(AND(OP!$D$99=2,COUNTIF($T$4:T591,"F")=1),OP!$D$97+IF(F591="F",OP!$D$98,0),"")))</f>
        <v>74177</v>
      </c>
      <c r="AL591" s="282">
        <f ca="1">IF(E591&gt;111,,IF(AND(OP!$E$99=1,T591="F"),AB591,IF(AND(OP!$E$99=2,COUNTIF($T$4:T591,"F")=1),OP!$E$97+IF(F591="F",OP!$E$98,0),"")))</f>
        <v>99404</v>
      </c>
      <c r="AM591" s="1">
        <f t="shared" ca="1" si="340"/>
        <v>1</v>
      </c>
      <c r="AN591" s="1" t="e">
        <f ca="1">IF(OR(VLOOKUP($A591,MP,5,0)="月繳"),1,"")</f>
        <v>#N/A</v>
      </c>
      <c r="AO591" s="1">
        <f t="shared" ca="1" si="351"/>
        <v>0</v>
      </c>
      <c r="AP591" s="1" t="str">
        <f ca="1">IF(AND(A591&lt;=OP!$C$120,COUNTIF(PAY,C591)=1),1,"")</f>
        <v/>
      </c>
      <c r="AR591" s="301">
        <f ca="1">IF(繳費報酬率資料!$A$1=1,$AY591+$AZ591,$BF591+$BG591)</f>
        <v>0</v>
      </c>
      <c r="AS591" s="1">
        <f ca="1">IF(C591&lt;&gt;IF($C$3=1,12,$C$3-1),0,IF(繳費報酬率資料!$A$1&lt;&gt;1,VLOOKUP($A591,MP,8,0),IF(AND($A591&gt;=OP!$C$79,$A591&lt;=OP!$C$80),OP!$C$78,)))</f>
        <v>0</v>
      </c>
      <c r="AT591" s="298">
        <f t="shared" ca="1" si="352"/>
        <v>0</v>
      </c>
      <c r="AU591" s="298">
        <f ca="1">IF(AND(A591&lt;=OP!$C$120,COUNTIF(PAY,C591)=1),OP!$C$123,0)</f>
        <v>0</v>
      </c>
      <c r="AV591" s="298">
        <f ca="1">IF(AND(A591&gt;=OP!$C$132,A591&lt;=OP!$C$133,$C$3=C591),OP!$C$135,0)</f>
        <v>0</v>
      </c>
      <c r="AW591" s="180">
        <f t="shared" ca="1" si="353"/>
        <v>0.05</v>
      </c>
      <c r="AX591" s="180">
        <f t="shared" ca="1" si="354"/>
        <v>0.05</v>
      </c>
      <c r="AY591" s="286">
        <f t="shared" ca="1" si="355"/>
        <v>0</v>
      </c>
      <c r="AZ591" s="286">
        <f t="shared" ca="1" si="356"/>
        <v>0</v>
      </c>
      <c r="BA591" s="286">
        <f t="shared" ca="1" si="357"/>
        <v>0</v>
      </c>
      <c r="BB591" s="286">
        <f t="shared" ca="1" si="358"/>
        <v>0</v>
      </c>
      <c r="BC591" s="286">
        <f t="shared" ca="1" si="359"/>
        <v>0</v>
      </c>
      <c r="BD591" s="180">
        <f t="shared" ca="1" si="360"/>
        <v>0.05</v>
      </c>
      <c r="BE591" s="180">
        <f t="shared" ca="1" si="361"/>
        <v>0.05</v>
      </c>
      <c r="BF591" s="286">
        <f t="shared" ca="1" si="362"/>
        <v>0</v>
      </c>
      <c r="BG591" s="286">
        <f t="shared" ca="1" si="363"/>
        <v>0</v>
      </c>
    </row>
    <row r="592" spans="1:59">
      <c r="A592" s="1">
        <f t="shared" ca="1" si="342"/>
        <v>50</v>
      </c>
      <c r="B592" s="1">
        <f t="shared" ca="1" si="336"/>
        <v>155</v>
      </c>
      <c r="C592" s="1">
        <f t="shared" ca="1" si="337"/>
        <v>6</v>
      </c>
      <c r="D592" s="1">
        <f ca="1">MIN($D$3,VLOOKUP(C592,OP!$S$30:$T$41,2))</f>
        <v>2</v>
      </c>
      <c r="E592" s="1">
        <f t="shared" ca="1" si="338"/>
        <v>104</v>
      </c>
      <c r="F592" s="11" t="str">
        <f t="shared" ca="1" si="343"/>
        <v/>
      </c>
      <c r="G592" s="6">
        <f ca="1">DATEDIF(DATE(B592+1911,C592,D592),DATE(B604+1911,C604,D604),"d")</f>
        <v>365</v>
      </c>
      <c r="H592" s="8">
        <f t="shared" ca="1" si="345"/>
        <v>30</v>
      </c>
      <c r="I592" s="8" t="str">
        <f t="shared" ca="1" si="341"/>
        <v>506</v>
      </c>
      <c r="J592" s="13">
        <f>IF(繳費報酬率資料!$A$1=1,VALUE(OP!$C$121),VLOOKUP(A592,MP,2,0))</f>
        <v>0.05</v>
      </c>
      <c r="K592" s="14">
        <f ca="1">IF(SUM($K$4:K591,IF(繳費報酬率資料!$A$1=1,$AU592+$AV592,$BB592+$BC592))&gt;OP!$L$58,0,IF(繳費報酬率資料!$A$1=1,$AU592+$AV592,$BB592+$BC592))</f>
        <v>0</v>
      </c>
      <c r="L592" s="2"/>
      <c r="M592" s="2"/>
      <c r="N592" s="2"/>
      <c r="O592" s="261">
        <f t="shared" ca="1" si="346"/>
        <v>0</v>
      </c>
      <c r="P592" s="261">
        <f t="shared" ca="1" si="364"/>
        <v>0</v>
      </c>
      <c r="Q592" s="3">
        <f ca="1">IF(A592&gt;MAX(OP!$R$17:$R$26),0,VLOOKUP(A592,fees,3,FALSE))</f>
        <v>0</v>
      </c>
      <c r="R592" s="200" t="str">
        <f t="shared" ca="1" si="347"/>
        <v/>
      </c>
      <c r="S592" s="9" t="str">
        <f ca="1">IF(COUNTIF(($T$4:T591),"F")&gt;=1,"",IF(OR(C593&lt;&gt;$C$3,E592=""),"",A592))</f>
        <v/>
      </c>
      <c r="T592" s="20" t="str">
        <f t="shared" ca="1" si="339"/>
        <v/>
      </c>
      <c r="U592" s="2">
        <f ca="1">IF(IF(OP!$C$83=1,$Z591,IF(OP!$C$83=2,$AA591,IF(OP!$C$83=3,$AB591,)))+$K592-$O592-$P592-$AS592&lt;OP!$C$142,0,$AS592)</f>
        <v>0</v>
      </c>
      <c r="V592" s="9"/>
      <c r="W592" s="19">
        <f ca="1">MAX(SUM($K$4:K592),0)</f>
        <v>2000000</v>
      </c>
      <c r="X592" s="19"/>
      <c r="Y592" s="19">
        <f t="shared" ca="1" si="365"/>
        <v>1920000</v>
      </c>
      <c r="Z592" s="2">
        <f ca="1">IF(MIN($Z$4:Z591)=0,0,MAX(0,($Z591+$K592-$O592-$P592)*IF(AND(F592="F",$D$3&lt;&gt;$G$3),((1+(-J592))^(H592/MIN(G592,365))),((1+(-J592))^(1/12)))-$U592))</f>
        <v>154846.54570878888</v>
      </c>
      <c r="AA592" s="2">
        <f ca="1">IF(MIN($AA$4:AA591)=0,0,MAX(0,($AA591+$K592-$O592-$P592)*IF(AND(F592="F",$D$3&lt;&gt;$G$3),((1+$AA$1)^(H592/MIN(G592,365))),((1+$AA$1)^(1/12)))-$U592))</f>
        <v>1920000</v>
      </c>
      <c r="AB592" s="2">
        <f ca="1">IF(MIN($AB$4:AB591)=0,0,MAX(0,($AB591+$K592-$O592-$P592)*IF(AND(F592="F",$D$3&lt;&gt;$G$3),((1+(J592))^(H592/MIN(G592,365))),((1+(J592))^(1/12)))-$U592))</f>
        <v>21054389.745294183</v>
      </c>
      <c r="AC592" s="21"/>
      <c r="AD592" s="21"/>
      <c r="AE592" s="21"/>
      <c r="AF592" s="282">
        <f t="shared" ca="1" si="348"/>
        <v>154847</v>
      </c>
      <c r="AG592" s="282">
        <f t="shared" ca="1" si="349"/>
        <v>1920000</v>
      </c>
      <c r="AH592" s="282">
        <f t="shared" ca="1" si="350"/>
        <v>21054390</v>
      </c>
      <c r="AI592" s="23" t="str">
        <f t="shared" ca="1" si="366"/>
        <v>50-2</v>
      </c>
      <c r="AJ592" s="281">
        <f ca="1">IF(E592&gt;111,,IF(AND(OP!$C$99=1,T592="F"),Z592,IF(AND(OP!$C$99=2,COUNTIF($T$4:T592,"F")=1),OP!$C$97+IF(F592="F",OP!$C$98,0),"")))</f>
        <v>54527</v>
      </c>
      <c r="AK592" s="281">
        <f ca="1">IF(E592&gt;111,,IF(AND(OP!$D$99=1,T592="F"),AA592,IF(AND(OP!$D$99=2,COUNTIF($T$4:T592,"F")=1),OP!$D$97+IF(F592="F",OP!$D$98,0),"")))</f>
        <v>74177</v>
      </c>
      <c r="AL592" s="281">
        <f ca="1">IF(E592&gt;111,,IF(AND(OP!$E$99=1,T592="F"),AB592,IF(AND(OP!$E$99=2,COUNTIF($T$4:T592,"F")=1),OP!$E$97+IF(F592="F",OP!$E$98,0),"")))</f>
        <v>99404</v>
      </c>
      <c r="AM592" s="1">
        <f t="shared" ca="1" si="340"/>
        <v>2</v>
      </c>
      <c r="AN592" s="1" t="e">
        <f ca="1">IF(OR(VLOOKUP($A592,MP,5,0)="年繳",VLOOKUP($A592,MP,5,0)="半年繳",VLOOKUP($A592,MP,5,0)="季繳",VLOOKUP($A592,MP,5,0)="月繳"),1,"")</f>
        <v>#N/A</v>
      </c>
      <c r="AO592" s="1">
        <f t="shared" ca="1" si="351"/>
        <v>0</v>
      </c>
      <c r="AP592" s="1" t="str">
        <f ca="1">IF(AND(A592&lt;=OP!$C$120,COUNTIF(PAY,C592)=1),1,"")</f>
        <v/>
      </c>
      <c r="AR592" s="301">
        <f ca="1">IF(繳費報酬率資料!$A$1=1,$AY592+$AZ592,$BF592+$BG592)</f>
        <v>0</v>
      </c>
      <c r="AS592" s="1">
        <f ca="1">IF(C592&lt;&gt;IF($C$3=1,12,$C$3-1),0,IF(繳費報酬率資料!$A$1&lt;&gt;1,VLOOKUP($A592,MP,8,0),IF(AND($A592&gt;=OP!$C$79,$A592&lt;=OP!$C$80),OP!$C$78,)))</f>
        <v>0</v>
      </c>
      <c r="AT592" s="298">
        <f t="shared" ca="1" si="352"/>
        <v>0</v>
      </c>
      <c r="AU592" s="298">
        <f ca="1">IF(AND(A592&lt;=OP!$C$120,COUNTIF(PAY,C592)=1),OP!$C$123,0)</f>
        <v>0</v>
      </c>
      <c r="AV592" s="298">
        <f ca="1">IF(AND(A592&gt;=OP!$C$132,A592&lt;=OP!$C$133,$C$3=C592),OP!$C$135,0)</f>
        <v>0</v>
      </c>
      <c r="AW592" s="180">
        <f t="shared" ca="1" si="353"/>
        <v>0.05</v>
      </c>
      <c r="AX592" s="180">
        <f t="shared" ca="1" si="354"/>
        <v>0.05</v>
      </c>
      <c r="AY592" s="286">
        <f t="shared" ca="1" si="355"/>
        <v>0</v>
      </c>
      <c r="AZ592" s="286">
        <f t="shared" ca="1" si="356"/>
        <v>0</v>
      </c>
      <c r="BA592" s="286">
        <f t="shared" ca="1" si="357"/>
        <v>0</v>
      </c>
      <c r="BB592" s="286">
        <f t="shared" ca="1" si="358"/>
        <v>0</v>
      </c>
      <c r="BC592" s="286">
        <f t="shared" ca="1" si="359"/>
        <v>0</v>
      </c>
      <c r="BD592" s="180">
        <f t="shared" ca="1" si="360"/>
        <v>0.05</v>
      </c>
      <c r="BE592" s="180">
        <f t="shared" ca="1" si="361"/>
        <v>0.05</v>
      </c>
      <c r="BF592" s="286">
        <f t="shared" ca="1" si="362"/>
        <v>0</v>
      </c>
      <c r="BG592" s="286">
        <f t="shared" ca="1" si="363"/>
        <v>0</v>
      </c>
    </row>
    <row r="593" spans="1:59">
      <c r="A593" s="1">
        <f t="shared" ca="1" si="342"/>
        <v>50</v>
      </c>
      <c r="B593" s="1">
        <f t="shared" ca="1" si="336"/>
        <v>155</v>
      </c>
      <c r="C593" s="1">
        <f t="shared" ca="1" si="337"/>
        <v>7</v>
      </c>
      <c r="D593" s="1">
        <f ca="1">MIN($D$3,VLOOKUP(C593,OP!$S$30:$T$41,2))</f>
        <v>2</v>
      </c>
      <c r="E593" s="1">
        <f t="shared" ca="1" si="338"/>
        <v>104</v>
      </c>
      <c r="F593" s="11" t="str">
        <f t="shared" ca="1" si="343"/>
        <v/>
      </c>
      <c r="G593" s="8">
        <f t="shared" ref="G593:G603" ca="1" si="367">G592</f>
        <v>365</v>
      </c>
      <c r="H593" s="8">
        <f t="shared" ca="1" si="345"/>
        <v>31</v>
      </c>
      <c r="I593" s="8" t="str">
        <f t="shared" ca="1" si="341"/>
        <v>507</v>
      </c>
      <c r="J593" s="13">
        <f>IF(繳費報酬率資料!$A$1=1,VALUE(OP!$C$121),VLOOKUP(A593,MP,2,0))</f>
        <v>0.05</v>
      </c>
      <c r="K593" s="14">
        <f ca="1">IF(SUM($K$4:K592,IF(繳費報酬率資料!$A$1=1,$AU593+$AV593,$BB593+$BC593))&gt;OP!$L$58,0,IF(繳費報酬率資料!$A$1=1,$AU593+$AV593,$BB593+$BC593))</f>
        <v>0</v>
      </c>
      <c r="L593" s="2"/>
      <c r="M593" s="2"/>
      <c r="N593" s="2"/>
      <c r="O593" s="261">
        <f t="shared" ca="1" si="346"/>
        <v>0</v>
      </c>
      <c r="P593" s="261">
        <f t="shared" ca="1" si="364"/>
        <v>0</v>
      </c>
      <c r="Q593" s="3">
        <f ca="1">IF(A593&gt;MAX(OP!$R$17:$R$26),0,VLOOKUP(A593,fees,3,FALSE))</f>
        <v>0</v>
      </c>
      <c r="R593" s="200" t="str">
        <f t="shared" ca="1" si="347"/>
        <v/>
      </c>
      <c r="S593" s="9" t="str">
        <f ca="1">IF(COUNTIF(($T$4:T592),"F")&gt;=1,"",IF(OR(C594&lt;&gt;$C$3,E593=""),"",A593))</f>
        <v/>
      </c>
      <c r="T593" s="20" t="str">
        <f t="shared" ca="1" si="339"/>
        <v/>
      </c>
      <c r="U593" s="2">
        <f ca="1">IF(IF(OP!$C$83=1,$Z592,IF(OP!$C$83=2,$AA592,IF(OP!$C$83=3,$AB592,)))+$K593-$O593-$P593-$AS593&lt;OP!$C$142,0,$AS593)</f>
        <v>0</v>
      </c>
      <c r="V593" s="9"/>
      <c r="W593" s="19">
        <f ca="1">MAX(SUM($K$4:K593),0)</f>
        <v>2000000</v>
      </c>
      <c r="X593" s="19"/>
      <c r="Y593" s="19">
        <f t="shared" ca="1" si="365"/>
        <v>1920000</v>
      </c>
      <c r="Z593" s="2">
        <f ca="1">IF(MIN($Z$4:Z592)=0,0,MAX(0,($Z592+$K593-$O593-$P593)*IF(AND(F593="F",$D$3&lt;&gt;$G$3),((1+(-J593))^(H593/MIN(G593,365))),((1+(-J593))^(1/12)))-$U593))</f>
        <v>154186.07582973677</v>
      </c>
      <c r="AA593" s="2">
        <f ca="1">IF(MIN($AA$4:AA592)=0,0,MAX(0,($AA592+$K593-$O593-$P593)*IF(AND(F593="F",$D$3&lt;&gt;$G$3),((1+$AA$1)^(H593/MIN(G593,365))),((1+$AA$1)^(1/12)))-$U593))</f>
        <v>1920000</v>
      </c>
      <c r="AB593" s="2">
        <f ca="1">IF(MIN($AB$4:AB592)=0,0,MAX(0,($AB592+$K593-$O593-$P593)*IF(AND(F593="F",$D$3&lt;&gt;$G$3),((1+(J593))^(H593/MIN(G593,365))),((1+(J593))^(1/12)))-$U593))</f>
        <v>21140167.935305689</v>
      </c>
      <c r="AC593" s="5"/>
      <c r="AD593" s="5"/>
      <c r="AE593" s="5"/>
      <c r="AF593" s="282">
        <f t="shared" ca="1" si="348"/>
        <v>154186</v>
      </c>
      <c r="AG593" s="282">
        <f t="shared" ca="1" si="349"/>
        <v>1920000</v>
      </c>
      <c r="AH593" s="282">
        <f t="shared" ca="1" si="350"/>
        <v>21140168</v>
      </c>
      <c r="AI593" s="23" t="str">
        <f t="shared" ca="1" si="366"/>
        <v>50-3</v>
      </c>
      <c r="AJ593" s="282">
        <f ca="1">IF(E593&gt;111,,IF(AND(OP!$C$99=1,T593="F"),Z593,IF(AND(OP!$C$99=2,COUNTIF($T$4:T593,"F")=1),OP!$C$97+IF(F593="F",OP!$C$98,0),"")))</f>
        <v>54527</v>
      </c>
      <c r="AK593" s="282">
        <f ca="1">IF(E593&gt;111,,IF(AND(OP!$D$99=1,T593="F"),AA593,IF(AND(OP!$D$99=2,COUNTIF($T$4:T593,"F")=1),OP!$D$97+IF(F593="F",OP!$D$98,0),"")))</f>
        <v>74177</v>
      </c>
      <c r="AL593" s="282">
        <f ca="1">IF(E593&gt;111,,IF(AND(OP!$E$99=1,T593="F"),AB593,IF(AND(OP!$E$99=2,COUNTIF($T$4:T593,"F")=1),OP!$E$97+IF(F593="F",OP!$E$98,0),"")))</f>
        <v>99404</v>
      </c>
      <c r="AM593" s="1">
        <f t="shared" ca="1" si="340"/>
        <v>3</v>
      </c>
      <c r="AN593" s="1" t="e">
        <f ca="1">IF(OR(VLOOKUP($A593,MP,5,0)="月繳"),1,"")</f>
        <v>#N/A</v>
      </c>
      <c r="AO593" s="1">
        <f t="shared" ca="1" si="351"/>
        <v>0</v>
      </c>
      <c r="AP593" s="1" t="str">
        <f ca="1">IF(AND(A593&lt;=OP!$C$120,COUNTIF(PAY,C593)=1),1,"")</f>
        <v/>
      </c>
      <c r="AR593" s="301">
        <f ca="1">IF(繳費報酬率資料!$A$1=1,$AY593+$AZ593,$BF593+$BG593)</f>
        <v>0</v>
      </c>
      <c r="AS593" s="1">
        <f ca="1">IF(C593&lt;&gt;IF($C$3=1,12,$C$3-1),0,IF(繳費報酬率資料!$A$1&lt;&gt;1,VLOOKUP($A593,MP,8,0),IF(AND($A593&gt;=OP!$C$79,$A593&lt;=OP!$C$80),OP!$C$78,)))</f>
        <v>0</v>
      </c>
      <c r="AT593" s="298">
        <f t="shared" ca="1" si="352"/>
        <v>0</v>
      </c>
      <c r="AU593" s="298">
        <f ca="1">IF(AND(A593&lt;=OP!$C$120,COUNTIF(PAY,C593)=1),OP!$C$123,0)</f>
        <v>0</v>
      </c>
      <c r="AV593" s="298">
        <f ca="1">IF(AND(A593&gt;=OP!$C$132,A593&lt;=OP!$C$133,$C$3=C593),OP!$C$135,0)</f>
        <v>0</v>
      </c>
      <c r="AW593" s="180">
        <f t="shared" ca="1" si="353"/>
        <v>0.05</v>
      </c>
      <c r="AX593" s="180">
        <f t="shared" ca="1" si="354"/>
        <v>0.05</v>
      </c>
      <c r="AY593" s="286">
        <f t="shared" ca="1" si="355"/>
        <v>0</v>
      </c>
      <c r="AZ593" s="286">
        <f t="shared" ca="1" si="356"/>
        <v>0</v>
      </c>
      <c r="BA593" s="286">
        <f t="shared" ca="1" si="357"/>
        <v>0</v>
      </c>
      <c r="BB593" s="286">
        <f t="shared" ca="1" si="358"/>
        <v>0</v>
      </c>
      <c r="BC593" s="286">
        <f t="shared" ca="1" si="359"/>
        <v>0</v>
      </c>
      <c r="BD593" s="180">
        <f t="shared" ca="1" si="360"/>
        <v>0.05</v>
      </c>
      <c r="BE593" s="180">
        <f t="shared" ca="1" si="361"/>
        <v>0.05</v>
      </c>
      <c r="BF593" s="286">
        <f t="shared" ca="1" si="362"/>
        <v>0</v>
      </c>
      <c r="BG593" s="286">
        <f t="shared" ca="1" si="363"/>
        <v>0</v>
      </c>
    </row>
    <row r="594" spans="1:59">
      <c r="A594" s="1">
        <f t="shared" ca="1" si="342"/>
        <v>50</v>
      </c>
      <c r="B594" s="1">
        <f t="shared" ca="1" si="336"/>
        <v>155</v>
      </c>
      <c r="C594" s="1">
        <f t="shared" ca="1" si="337"/>
        <v>8</v>
      </c>
      <c r="D594" s="1">
        <f ca="1">MIN($D$3,VLOOKUP(C594,OP!$S$30:$T$41,2))</f>
        <v>2</v>
      </c>
      <c r="E594" s="1">
        <f t="shared" ca="1" si="338"/>
        <v>104</v>
      </c>
      <c r="F594" s="11" t="str">
        <f t="shared" ca="1" si="343"/>
        <v/>
      </c>
      <c r="G594" s="8">
        <f t="shared" ca="1" si="367"/>
        <v>365</v>
      </c>
      <c r="H594" s="8">
        <f t="shared" ca="1" si="345"/>
        <v>31</v>
      </c>
      <c r="I594" s="8" t="str">
        <f t="shared" ca="1" si="341"/>
        <v>508</v>
      </c>
      <c r="J594" s="13">
        <f>IF(繳費報酬率資料!$A$1=1,VALUE(OP!$C$121),VLOOKUP(A594,MP,2,0))</f>
        <v>0.05</v>
      </c>
      <c r="K594" s="14">
        <f ca="1">IF(SUM($K$4:K593,IF(繳費報酬率資料!$A$1=1,$AU594+$AV594,$BB594+$BC594))&gt;OP!$L$58,0,IF(繳費報酬率資料!$A$1=1,$AU594+$AV594,$BB594+$BC594))</f>
        <v>0</v>
      </c>
      <c r="L594" s="2"/>
      <c r="M594" s="2"/>
      <c r="N594" s="2"/>
      <c r="O594" s="261">
        <f t="shared" ca="1" si="346"/>
        <v>0</v>
      </c>
      <c r="P594" s="261">
        <f t="shared" ca="1" si="364"/>
        <v>0</v>
      </c>
      <c r="Q594" s="3">
        <f ca="1">IF(A594&gt;MAX(OP!$R$17:$R$26),0,VLOOKUP(A594,fees,3,FALSE))</f>
        <v>0</v>
      </c>
      <c r="R594" s="200" t="str">
        <f t="shared" ca="1" si="347"/>
        <v/>
      </c>
      <c r="S594" s="9" t="str">
        <f ca="1">IF(COUNTIF(($T$4:T593),"F")&gt;=1,"",IF(OR(C595&lt;&gt;$C$3,E594=""),"",A594))</f>
        <v/>
      </c>
      <c r="T594" s="20" t="str">
        <f t="shared" ca="1" si="339"/>
        <v/>
      </c>
      <c r="U594" s="2">
        <f ca="1">IF(IF(OP!$C$83=1,$Z593,IF(OP!$C$83=2,$AA593,IF(OP!$C$83=3,$AB593,)))+$K594-$O594-$P594-$AS594&lt;OP!$C$142,0,$AS594)</f>
        <v>0</v>
      </c>
      <c r="V594" s="9"/>
      <c r="W594" s="19">
        <f ca="1">MAX(SUM($K$4:K594),0)</f>
        <v>2000000</v>
      </c>
      <c r="X594" s="19"/>
      <c r="Y594" s="19">
        <f t="shared" ca="1" si="365"/>
        <v>1920000</v>
      </c>
      <c r="Z594" s="2">
        <f ca="1">IF(MIN($Z$4:Z593)=0,0,MAX(0,($Z593+$K594-$O594-$P594)*IF(AND(F594="F",$D$3&lt;&gt;$G$3),((1+(-J594))^(H594/MIN(G594,365))),((1+(-J594))^(1/12)))-$U594))</f>
        <v>153528.4230652618</v>
      </c>
      <c r="AA594" s="2">
        <f ca="1">IF(MIN($AA$4:AA593)=0,0,MAX(0,($AA593+$K594-$O594-$P594)*IF(AND(F594="F",$D$3&lt;&gt;$G$3),((1+$AA$1)^(H594/MIN(G594,365))),((1+$AA$1)^(1/12)))-$U594))</f>
        <v>1920000</v>
      </c>
      <c r="AB594" s="2">
        <f ca="1">IF(MIN($AB$4:AB593)=0,0,MAX(0,($AB593+$K594-$O594-$P594)*IF(AND(F594="F",$D$3&lt;&gt;$G$3),((1+(J594))^(H594/MIN(G594,365))),((1+(J594))^(1/12)))-$U594))</f>
        <v>21226295.596281238</v>
      </c>
      <c r="AC594" s="5"/>
      <c r="AD594" s="5"/>
      <c r="AE594" s="5"/>
      <c r="AF594" s="282">
        <f t="shared" ca="1" si="348"/>
        <v>153528</v>
      </c>
      <c r="AG594" s="282">
        <f t="shared" ca="1" si="349"/>
        <v>1920000</v>
      </c>
      <c r="AH594" s="282">
        <f t="shared" ca="1" si="350"/>
        <v>21226296</v>
      </c>
      <c r="AI594" s="23" t="str">
        <f t="shared" ca="1" si="366"/>
        <v>50-4</v>
      </c>
      <c r="AJ594" s="282">
        <f ca="1">IF(E594&gt;111,,IF(AND(OP!$C$99=1,T594="F"),Z594,IF(AND(OP!$C$99=2,COUNTIF($T$4:T594,"F")=1),OP!$C$97+IF(F594="F",OP!$C$98,0),"")))</f>
        <v>54527</v>
      </c>
      <c r="AK594" s="282">
        <f ca="1">IF(E594&gt;111,,IF(AND(OP!$D$99=1,T594="F"),AA594,IF(AND(OP!$D$99=2,COUNTIF($T$4:T594,"F")=1),OP!$D$97+IF(F594="F",OP!$D$98,0),"")))</f>
        <v>74177</v>
      </c>
      <c r="AL594" s="282">
        <f ca="1">IF(E594&gt;111,,IF(AND(OP!$E$99=1,T594="F"),AB594,IF(AND(OP!$E$99=2,COUNTIF($T$4:T594,"F")=1),OP!$E$97+IF(F594="F",OP!$E$98,0),"")))</f>
        <v>99404</v>
      </c>
      <c r="AM594" s="1">
        <f t="shared" ca="1" si="340"/>
        <v>4</v>
      </c>
      <c r="AN594" s="1" t="e">
        <f ca="1">IF(OR(VLOOKUP($A594,MP,5,0)="月繳"),1,"")</f>
        <v>#N/A</v>
      </c>
      <c r="AO594" s="1">
        <f t="shared" ca="1" si="351"/>
        <v>0</v>
      </c>
      <c r="AP594" s="1" t="str">
        <f ca="1">IF(AND(A594&lt;=OP!$C$120,COUNTIF(PAY,C594)=1),1,"")</f>
        <v/>
      </c>
      <c r="AR594" s="301">
        <f ca="1">IF(繳費報酬率資料!$A$1=1,$AY594+$AZ594,$BF594+$BG594)</f>
        <v>0</v>
      </c>
      <c r="AS594" s="1">
        <f ca="1">IF(C594&lt;&gt;IF($C$3=1,12,$C$3-1),0,IF(繳費報酬率資料!$A$1&lt;&gt;1,VLOOKUP($A594,MP,8,0),IF(AND($A594&gt;=OP!$C$79,$A594&lt;=OP!$C$80),OP!$C$78,)))</f>
        <v>0</v>
      </c>
      <c r="AT594" s="298">
        <f t="shared" ca="1" si="352"/>
        <v>0</v>
      </c>
      <c r="AU594" s="298">
        <f ca="1">IF(AND(A594&lt;=OP!$C$120,COUNTIF(PAY,C594)=1),OP!$C$123,0)</f>
        <v>0</v>
      </c>
      <c r="AV594" s="298">
        <f ca="1">IF(AND(A594&gt;=OP!$C$132,A594&lt;=OP!$C$133,$C$3=C594),OP!$C$135,0)</f>
        <v>0</v>
      </c>
      <c r="AW594" s="180">
        <f t="shared" ca="1" si="353"/>
        <v>0.05</v>
      </c>
      <c r="AX594" s="180">
        <f t="shared" ca="1" si="354"/>
        <v>0.05</v>
      </c>
      <c r="AY594" s="286">
        <f t="shared" ca="1" si="355"/>
        <v>0</v>
      </c>
      <c r="AZ594" s="286">
        <f t="shared" ca="1" si="356"/>
        <v>0</v>
      </c>
      <c r="BA594" s="286">
        <f t="shared" ca="1" si="357"/>
        <v>0</v>
      </c>
      <c r="BB594" s="286">
        <f t="shared" ca="1" si="358"/>
        <v>0</v>
      </c>
      <c r="BC594" s="286">
        <f t="shared" ca="1" si="359"/>
        <v>0</v>
      </c>
      <c r="BD594" s="180">
        <f t="shared" ca="1" si="360"/>
        <v>0.05</v>
      </c>
      <c r="BE594" s="180">
        <f t="shared" ca="1" si="361"/>
        <v>0.05</v>
      </c>
      <c r="BF594" s="286">
        <f t="shared" ca="1" si="362"/>
        <v>0</v>
      </c>
      <c r="BG594" s="286">
        <f t="shared" ca="1" si="363"/>
        <v>0</v>
      </c>
    </row>
    <row r="595" spans="1:59">
      <c r="A595" s="1">
        <f t="shared" ca="1" si="342"/>
        <v>50</v>
      </c>
      <c r="B595" s="1">
        <f t="shared" ca="1" si="336"/>
        <v>155</v>
      </c>
      <c r="C595" s="1">
        <f t="shared" ca="1" si="337"/>
        <v>9</v>
      </c>
      <c r="D595" s="1">
        <f ca="1">MIN($D$3,VLOOKUP(C595,OP!$S$30:$T$41,2))</f>
        <v>2</v>
      </c>
      <c r="E595" s="1">
        <f t="shared" ca="1" si="338"/>
        <v>104</v>
      </c>
      <c r="F595" s="11" t="str">
        <f t="shared" ca="1" si="343"/>
        <v/>
      </c>
      <c r="G595" s="8">
        <f t="shared" ca="1" si="367"/>
        <v>365</v>
      </c>
      <c r="H595" s="8">
        <f t="shared" ca="1" si="345"/>
        <v>30</v>
      </c>
      <c r="I595" s="8" t="str">
        <f t="shared" ca="1" si="341"/>
        <v>509</v>
      </c>
      <c r="J595" s="13">
        <f>IF(繳費報酬率資料!$A$1=1,VALUE(OP!$C$121),VLOOKUP(A595,MP,2,0))</f>
        <v>0.05</v>
      </c>
      <c r="K595" s="14">
        <f ca="1">IF(SUM($K$4:K594,IF(繳費報酬率資料!$A$1=1,$AU595+$AV595,$BB595+$BC595))&gt;OP!$L$58,0,IF(繳費報酬率資料!$A$1=1,$AU595+$AV595,$BB595+$BC595))</f>
        <v>0</v>
      </c>
      <c r="L595" s="2"/>
      <c r="M595" s="2"/>
      <c r="N595" s="2"/>
      <c r="O595" s="261">
        <f t="shared" ca="1" si="346"/>
        <v>0</v>
      </c>
      <c r="P595" s="261">
        <f t="shared" ca="1" si="364"/>
        <v>0</v>
      </c>
      <c r="Q595" s="3">
        <f ca="1">IF(A595&gt;MAX(OP!$R$17:$R$26),0,VLOOKUP(A595,fees,3,FALSE))</f>
        <v>0</v>
      </c>
      <c r="R595" s="200" t="str">
        <f t="shared" ca="1" si="347"/>
        <v/>
      </c>
      <c r="S595" s="9" t="str">
        <f ca="1">IF(COUNTIF(($T$4:T594),"F")&gt;=1,"",IF(OR(C596&lt;&gt;$C$3,E595=""),"",A595))</f>
        <v/>
      </c>
      <c r="T595" s="20" t="str">
        <f t="shared" ca="1" si="339"/>
        <v/>
      </c>
      <c r="U595" s="2">
        <f ca="1">IF(IF(OP!$C$83=1,$Z594,IF(OP!$C$83=2,$AA594,IF(OP!$C$83=3,$AB594,)))+$K595-$O595-$P595-$AS595&lt;OP!$C$142,0,$AS595)</f>
        <v>0</v>
      </c>
      <c r="V595" s="9"/>
      <c r="W595" s="19">
        <f ca="1">MAX(SUM($K$4:K595),0)</f>
        <v>2000000</v>
      </c>
      <c r="X595" s="19"/>
      <c r="Y595" s="19">
        <f t="shared" ca="1" si="365"/>
        <v>1920000</v>
      </c>
      <c r="Z595" s="2">
        <f ca="1">IF(MIN($Z$4:Z594)=0,0,MAX(0,($Z594+$K595-$O595-$P595)*IF(AND(F595="F",$D$3&lt;&gt;$G$3),((1+(-J595))^(H595/MIN(G595,365))),((1+(-J595))^(1/12)))-$U595))</f>
        <v>152873.57539947226</v>
      </c>
      <c r="AA595" s="2">
        <f ca="1">IF(MIN($AA$4:AA594)=0,0,MAX(0,($AA594+$K595-$O595-$P595)*IF(AND(F595="F",$D$3&lt;&gt;$G$3),((1+$AA$1)^(H595/MIN(G595,365))),((1+$AA$1)^(1/12)))-$U595))</f>
        <v>1920000</v>
      </c>
      <c r="AB595" s="2">
        <f ca="1">IF(MIN($AB$4:AB594)=0,0,MAX(0,($AB594+$K595-$O595-$P595)*IF(AND(F595="F",$D$3&lt;&gt;$G$3),((1+(J595))^(H595/MIN(G595,365))),((1+(J595))^(1/12)))-$U595))</f>
        <v>21312774.152008798</v>
      </c>
      <c r="AC595" s="5"/>
      <c r="AD595" s="5"/>
      <c r="AE595" s="5"/>
      <c r="AF595" s="282">
        <f t="shared" ca="1" si="348"/>
        <v>152874</v>
      </c>
      <c r="AG595" s="282">
        <f t="shared" ca="1" si="349"/>
        <v>1920000</v>
      </c>
      <c r="AH595" s="282">
        <f t="shared" ca="1" si="350"/>
        <v>21312774</v>
      </c>
      <c r="AI595" s="23" t="str">
        <f t="shared" ca="1" si="366"/>
        <v>50-5</v>
      </c>
      <c r="AJ595" s="282">
        <f ca="1">IF(E595&gt;111,,IF(AND(OP!$C$99=1,T595="F"),Z595,IF(AND(OP!$C$99=2,COUNTIF($T$4:T595,"F")=1),OP!$C$97+IF(F595="F",OP!$C$98,0),"")))</f>
        <v>54527</v>
      </c>
      <c r="AK595" s="282">
        <f ca="1">IF(E595&gt;111,,IF(AND(OP!$D$99=1,T595="F"),AA595,IF(AND(OP!$D$99=2,COUNTIF($T$4:T595,"F")=1),OP!$D$97+IF(F595="F",OP!$D$98,0),"")))</f>
        <v>74177</v>
      </c>
      <c r="AL595" s="282">
        <f ca="1">IF(E595&gt;111,,IF(AND(OP!$E$99=1,T595="F"),AB595,IF(AND(OP!$E$99=2,COUNTIF($T$4:T595,"F")=1),OP!$E$97+IF(F595="F",OP!$E$98,0),"")))</f>
        <v>99404</v>
      </c>
      <c r="AM595" s="1">
        <f t="shared" ca="1" si="340"/>
        <v>5</v>
      </c>
      <c r="AN595" s="1" t="e">
        <f ca="1">IF(OR(VLOOKUP($A595,MP,5,0)="季繳",VLOOKUP($A595,MP,5,0)="月繳"),1,"")</f>
        <v>#N/A</v>
      </c>
      <c r="AO595" s="1">
        <f t="shared" ca="1" si="351"/>
        <v>0</v>
      </c>
      <c r="AP595" s="1" t="str">
        <f ca="1">IF(AND(A595&lt;=OP!$C$120,COUNTIF(PAY,C595)=1),1,"")</f>
        <v/>
      </c>
      <c r="AR595" s="301">
        <f ca="1">IF(繳費報酬率資料!$A$1=1,$AY595+$AZ595,$BF595+$BG595)</f>
        <v>0</v>
      </c>
      <c r="AS595" s="1">
        <f ca="1">IF(C595&lt;&gt;IF($C$3=1,12,$C$3-1),0,IF(繳費報酬率資料!$A$1&lt;&gt;1,VLOOKUP($A595,MP,8,0),IF(AND($A595&gt;=OP!$C$79,$A595&lt;=OP!$C$80),OP!$C$78,)))</f>
        <v>0</v>
      </c>
      <c r="AT595" s="298">
        <f t="shared" ca="1" si="352"/>
        <v>0</v>
      </c>
      <c r="AU595" s="298">
        <f ca="1">IF(AND(A595&lt;=OP!$C$120,COUNTIF(PAY,C595)=1),OP!$C$123,0)</f>
        <v>0</v>
      </c>
      <c r="AV595" s="298">
        <f ca="1">IF(AND(A595&gt;=OP!$C$132,A595&lt;=OP!$C$133,$C$3=C595),OP!$C$135,0)</f>
        <v>0</v>
      </c>
      <c r="AW595" s="180">
        <f t="shared" ca="1" si="353"/>
        <v>0.05</v>
      </c>
      <c r="AX595" s="180">
        <f t="shared" ca="1" si="354"/>
        <v>0.05</v>
      </c>
      <c r="AY595" s="286">
        <f t="shared" ca="1" si="355"/>
        <v>0</v>
      </c>
      <c r="AZ595" s="286">
        <f t="shared" ca="1" si="356"/>
        <v>0</v>
      </c>
      <c r="BA595" s="286">
        <f t="shared" ca="1" si="357"/>
        <v>0</v>
      </c>
      <c r="BB595" s="286">
        <f t="shared" ca="1" si="358"/>
        <v>0</v>
      </c>
      <c r="BC595" s="286">
        <f t="shared" ca="1" si="359"/>
        <v>0</v>
      </c>
      <c r="BD595" s="180">
        <f t="shared" ca="1" si="360"/>
        <v>0.05</v>
      </c>
      <c r="BE595" s="180">
        <f t="shared" ca="1" si="361"/>
        <v>0.05</v>
      </c>
      <c r="BF595" s="286">
        <f t="shared" ca="1" si="362"/>
        <v>0</v>
      </c>
      <c r="BG595" s="286">
        <f t="shared" ca="1" si="363"/>
        <v>0</v>
      </c>
    </row>
    <row r="596" spans="1:59">
      <c r="A596" s="1">
        <f t="shared" ca="1" si="342"/>
        <v>50</v>
      </c>
      <c r="B596" s="1">
        <f t="shared" ca="1" si="336"/>
        <v>155</v>
      </c>
      <c r="C596" s="1">
        <f t="shared" ca="1" si="337"/>
        <v>10</v>
      </c>
      <c r="D596" s="1">
        <f ca="1">MIN($D$3,VLOOKUP(C596,OP!$S$30:$T$41,2))</f>
        <v>2</v>
      </c>
      <c r="E596" s="1">
        <f t="shared" ca="1" si="338"/>
        <v>104</v>
      </c>
      <c r="F596" s="11" t="str">
        <f t="shared" ca="1" si="343"/>
        <v/>
      </c>
      <c r="G596" s="8">
        <f t="shared" ca="1" si="367"/>
        <v>365</v>
      </c>
      <c r="H596" s="8">
        <f t="shared" ca="1" si="345"/>
        <v>31</v>
      </c>
      <c r="I596" s="8" t="str">
        <f t="shared" ca="1" si="341"/>
        <v>5010</v>
      </c>
      <c r="J596" s="13">
        <f>IF(繳費報酬率資料!$A$1=1,VALUE(OP!$C$121),VLOOKUP(A596,MP,2,0))</f>
        <v>0.05</v>
      </c>
      <c r="K596" s="14">
        <f ca="1">IF(SUM($K$4:K595,IF(繳費報酬率資料!$A$1=1,$AU596+$AV596,$BB596+$BC596))&gt;OP!$L$58,0,IF(繳費報酬率資料!$A$1=1,$AU596+$AV596,$BB596+$BC596))</f>
        <v>0</v>
      </c>
      <c r="L596" s="2"/>
      <c r="M596" s="2"/>
      <c r="N596" s="2"/>
      <c r="O596" s="261">
        <f t="shared" ca="1" si="346"/>
        <v>0</v>
      </c>
      <c r="P596" s="261">
        <f t="shared" ca="1" si="364"/>
        <v>0</v>
      </c>
      <c r="Q596" s="3">
        <f ca="1">IF(A596&gt;MAX(OP!$R$17:$R$26),0,VLOOKUP(A596,fees,3,FALSE))</f>
        <v>0</v>
      </c>
      <c r="R596" s="200" t="str">
        <f t="shared" ca="1" si="347"/>
        <v/>
      </c>
      <c r="S596" s="9" t="str">
        <f ca="1">IF(COUNTIF(($T$4:T595),"F")&gt;=1,"",IF(OR(C597&lt;&gt;$C$3,E596=""),"",A596))</f>
        <v/>
      </c>
      <c r="T596" s="20" t="str">
        <f t="shared" ca="1" si="339"/>
        <v/>
      </c>
      <c r="U596" s="2">
        <f ca="1">IF(IF(OP!$C$83=1,$Z595,IF(OP!$C$83=2,$AA595,IF(OP!$C$83=3,$AB595,)))+$K596-$O596-$P596-$AS596&lt;OP!$C$142,0,$AS596)</f>
        <v>0</v>
      </c>
      <c r="V596" s="9"/>
      <c r="W596" s="19">
        <f ca="1">MAX(SUM($K$4:K596),0)</f>
        <v>2000000</v>
      </c>
      <c r="X596" s="19"/>
      <c r="Y596" s="19">
        <f t="shared" ca="1" si="365"/>
        <v>1920000</v>
      </c>
      <c r="Z596" s="2">
        <f ca="1">IF(MIN($Z$4:Z595)=0,0,MAX(0,($Z595+$K596-$O596-$P596)*IF(AND(F596="F",$D$3&lt;&gt;$G$3),((1+(-J596))^(H596/MIN(G596,365))),((1+(-J596))^(1/12)))-$U596))</f>
        <v>152221.52086772805</v>
      </c>
      <c r="AA596" s="2">
        <f ca="1">IF(MIN($AA$4:AA595)=0,0,MAX(0,($AA595+$K596-$O596-$P596)*IF(AND(F596="F",$D$3&lt;&gt;$G$3),((1+$AA$1)^(H596/MIN(G596,365))),((1+$AA$1)^(1/12)))-$U596))</f>
        <v>1920000</v>
      </c>
      <c r="AB596" s="2">
        <f ca="1">IF(MIN($AB$4:AB595)=0,0,MAX(0,($AB595+$K596-$O596-$P596)*IF(AND(F596="F",$D$3&lt;&gt;$G$3),((1+(J596))^(H596/MIN(G596,365))),((1+(J596))^(1/12)))-$U596))</f>
        <v>21399605.032077022</v>
      </c>
      <c r="AC596" s="5"/>
      <c r="AD596" s="5"/>
      <c r="AE596" s="5"/>
      <c r="AF596" s="282">
        <f t="shared" ca="1" si="348"/>
        <v>152222</v>
      </c>
      <c r="AG596" s="282">
        <f t="shared" ca="1" si="349"/>
        <v>1920000</v>
      </c>
      <c r="AH596" s="282">
        <f t="shared" ca="1" si="350"/>
        <v>21399605</v>
      </c>
      <c r="AI596" s="23" t="str">
        <f t="shared" ca="1" si="366"/>
        <v>50-6</v>
      </c>
      <c r="AJ596" s="282">
        <f ca="1">IF(E596&gt;111,,IF(AND(OP!$C$99=1,T596="F"),Z596,IF(AND(OP!$C$99=2,COUNTIF($T$4:T596,"F")=1),OP!$C$97+IF(F596="F",OP!$C$98,0),"")))</f>
        <v>54527</v>
      </c>
      <c r="AK596" s="282">
        <f ca="1">IF(E596&gt;111,,IF(AND(OP!$D$99=1,T596="F"),AA596,IF(AND(OP!$D$99=2,COUNTIF($T$4:T596,"F")=1),OP!$D$97+IF(F596="F",OP!$D$98,0),"")))</f>
        <v>74177</v>
      </c>
      <c r="AL596" s="282">
        <f ca="1">IF(E596&gt;111,,IF(AND(OP!$E$99=1,T596="F"),AB596,IF(AND(OP!$E$99=2,COUNTIF($T$4:T596,"F")=1),OP!$E$97+IF(F596="F",OP!$E$98,0),"")))</f>
        <v>99404</v>
      </c>
      <c r="AM596" s="1">
        <f t="shared" ca="1" si="340"/>
        <v>6</v>
      </c>
      <c r="AN596" s="1" t="e">
        <f ca="1">IF(OR(VLOOKUP($A596,MP,5,0)="月繳"),1,"")</f>
        <v>#N/A</v>
      </c>
      <c r="AO596" s="1">
        <f t="shared" ca="1" si="351"/>
        <v>0</v>
      </c>
      <c r="AP596" s="1" t="str">
        <f ca="1">IF(AND(A596&lt;=OP!$C$120,COUNTIF(PAY,C596)=1),1,"")</f>
        <v/>
      </c>
      <c r="AR596" s="301">
        <f ca="1">IF(繳費報酬率資料!$A$1=1,$AY596+$AZ596,$BF596+$BG596)</f>
        <v>0</v>
      </c>
      <c r="AS596" s="1">
        <f ca="1">IF(C596&lt;&gt;IF($C$3=1,12,$C$3-1),0,IF(繳費報酬率資料!$A$1&lt;&gt;1,VLOOKUP($A596,MP,8,0),IF(AND($A596&gt;=OP!$C$79,$A596&lt;=OP!$C$80),OP!$C$78,)))</f>
        <v>0</v>
      </c>
      <c r="AT596" s="298">
        <f t="shared" ca="1" si="352"/>
        <v>0</v>
      </c>
      <c r="AU596" s="298">
        <f ca="1">IF(AND(A596&lt;=OP!$C$120,COUNTIF(PAY,C596)=1),OP!$C$123,0)</f>
        <v>0</v>
      </c>
      <c r="AV596" s="298">
        <f ca="1">IF(AND(A596&gt;=OP!$C$132,A596&lt;=OP!$C$133,$C$3=C596),OP!$C$135,0)</f>
        <v>0</v>
      </c>
      <c r="AW596" s="180">
        <f t="shared" ca="1" si="353"/>
        <v>0.05</v>
      </c>
      <c r="AX596" s="180">
        <f t="shared" ca="1" si="354"/>
        <v>0.05</v>
      </c>
      <c r="AY596" s="286">
        <f t="shared" ca="1" si="355"/>
        <v>0</v>
      </c>
      <c r="AZ596" s="286">
        <f t="shared" ca="1" si="356"/>
        <v>0</v>
      </c>
      <c r="BA596" s="286">
        <f t="shared" ca="1" si="357"/>
        <v>0</v>
      </c>
      <c r="BB596" s="286">
        <f t="shared" ca="1" si="358"/>
        <v>0</v>
      </c>
      <c r="BC596" s="286">
        <f t="shared" ca="1" si="359"/>
        <v>0</v>
      </c>
      <c r="BD596" s="180">
        <f t="shared" ca="1" si="360"/>
        <v>0.05</v>
      </c>
      <c r="BE596" s="180">
        <f t="shared" ca="1" si="361"/>
        <v>0.05</v>
      </c>
      <c r="BF596" s="286">
        <f t="shared" ca="1" si="362"/>
        <v>0</v>
      </c>
      <c r="BG596" s="286">
        <f t="shared" ca="1" si="363"/>
        <v>0</v>
      </c>
    </row>
    <row r="597" spans="1:59">
      <c r="A597" s="1">
        <f t="shared" ca="1" si="342"/>
        <v>50</v>
      </c>
      <c r="B597" s="1">
        <f t="shared" ca="1" si="336"/>
        <v>155</v>
      </c>
      <c r="C597" s="1">
        <f t="shared" ca="1" si="337"/>
        <v>11</v>
      </c>
      <c r="D597" s="1">
        <f ca="1">MIN($D$3,VLOOKUP(C597,OP!$S$30:$T$41,2))</f>
        <v>2</v>
      </c>
      <c r="E597" s="1">
        <f t="shared" ca="1" si="338"/>
        <v>104</v>
      </c>
      <c r="F597" s="11" t="str">
        <f t="shared" ca="1" si="343"/>
        <v/>
      </c>
      <c r="G597" s="8">
        <f t="shared" ca="1" si="367"/>
        <v>365</v>
      </c>
      <c r="H597" s="8">
        <f t="shared" ca="1" si="345"/>
        <v>30</v>
      </c>
      <c r="I597" s="8" t="str">
        <f t="shared" ca="1" si="341"/>
        <v>5011</v>
      </c>
      <c r="J597" s="13">
        <f>IF(繳費報酬率資料!$A$1=1,VALUE(OP!$C$121),VLOOKUP(A597,MP,2,0))</f>
        <v>0.05</v>
      </c>
      <c r="K597" s="14">
        <f ca="1">IF(SUM($K$4:K596,IF(繳費報酬率資料!$A$1=1,$AU597+$AV597,$BB597+$BC597))&gt;OP!$L$58,0,IF(繳費報酬率資料!$A$1=1,$AU597+$AV597,$BB597+$BC597))</f>
        <v>0</v>
      </c>
      <c r="L597" s="2"/>
      <c r="M597" s="2"/>
      <c r="N597" s="2"/>
      <c r="O597" s="261">
        <f t="shared" ca="1" si="346"/>
        <v>0</v>
      </c>
      <c r="P597" s="261">
        <f t="shared" ca="1" si="364"/>
        <v>0</v>
      </c>
      <c r="Q597" s="3">
        <f ca="1">IF(A597&gt;MAX(OP!$R$17:$R$26),0,VLOOKUP(A597,fees,3,FALSE))</f>
        <v>0</v>
      </c>
      <c r="R597" s="200" t="str">
        <f t="shared" ca="1" si="347"/>
        <v/>
      </c>
      <c r="S597" s="9" t="str">
        <f ca="1">IF(COUNTIF(($T$4:T596),"F")&gt;=1,"",IF(OR(C598&lt;&gt;$C$3,E597=""),"",A597))</f>
        <v/>
      </c>
      <c r="T597" s="20" t="str">
        <f t="shared" ca="1" si="339"/>
        <v/>
      </c>
      <c r="U597" s="2">
        <f ca="1">IF(IF(OP!$C$83=1,$Z596,IF(OP!$C$83=2,$AA596,IF(OP!$C$83=3,$AB596,)))+$K597-$O597-$P597-$AS597&lt;OP!$C$142,0,$AS597)</f>
        <v>0</v>
      </c>
      <c r="V597" s="9"/>
      <c r="W597" s="19">
        <f ca="1">MAX(SUM($K$4:K597),0)</f>
        <v>2000000</v>
      </c>
      <c r="X597" s="19"/>
      <c r="Y597" s="19">
        <f t="shared" ca="1" si="365"/>
        <v>1920000</v>
      </c>
      <c r="Z597" s="2">
        <f ca="1">IF(MIN($Z$4:Z596)=0,0,MAX(0,($Z596+$K597-$O597-$P597)*IF(AND(F597="F",$D$3&lt;&gt;$G$3),((1+(-J597))^(H597/MIN(G597,365))),((1+(-J597))^(1/12)))-$U597))</f>
        <v>151572.24755642208</v>
      </c>
      <c r="AA597" s="2">
        <f ca="1">IF(MIN($AA$4:AA596)=0,0,MAX(0,($AA596+$K597-$O597-$P597)*IF(AND(F597="F",$D$3&lt;&gt;$G$3),((1+$AA$1)^(H597/MIN(G597,365))),((1+$AA$1)^(1/12)))-$U597))</f>
        <v>1920000</v>
      </c>
      <c r="AB597" s="2">
        <f ca="1">IF(MIN($AB$4:AB596)=0,0,MAX(0,($AB596+$K597-$O597-$P597)*IF(AND(F597="F",$D$3&lt;&gt;$G$3),((1+(J597))^(H597/MIN(G597,365))),((1+(J597))^(1/12)))-$U597))</f>
        <v>21486789.671898887</v>
      </c>
      <c r="AC597" s="5"/>
      <c r="AD597" s="5"/>
      <c r="AE597" s="5"/>
      <c r="AF597" s="282">
        <f t="shared" ca="1" si="348"/>
        <v>151572</v>
      </c>
      <c r="AG597" s="282">
        <f t="shared" ca="1" si="349"/>
        <v>1920000</v>
      </c>
      <c r="AH597" s="282">
        <f t="shared" ca="1" si="350"/>
        <v>21486790</v>
      </c>
      <c r="AI597" s="23" t="str">
        <f t="shared" ca="1" si="366"/>
        <v>50-7</v>
      </c>
      <c r="AJ597" s="282">
        <f ca="1">IF(E597&gt;111,,IF(AND(OP!$C$99=1,T597="F"),Z597,IF(AND(OP!$C$99=2,COUNTIF($T$4:T597,"F")=1),OP!$C$97+IF(F597="F",OP!$C$98,0),"")))</f>
        <v>54527</v>
      </c>
      <c r="AK597" s="282">
        <f ca="1">IF(E597&gt;111,,IF(AND(OP!$D$99=1,T597="F"),AA597,IF(AND(OP!$D$99=2,COUNTIF($T$4:T597,"F")=1),OP!$D$97+IF(F597="F",OP!$D$98,0),"")))</f>
        <v>74177</v>
      </c>
      <c r="AL597" s="282">
        <f ca="1">IF(E597&gt;111,,IF(AND(OP!$E$99=1,T597="F"),AB597,IF(AND(OP!$E$99=2,COUNTIF($T$4:T597,"F")=1),OP!$E$97+IF(F597="F",OP!$E$98,0),"")))</f>
        <v>99404</v>
      </c>
      <c r="AM597" s="1">
        <f t="shared" ca="1" si="340"/>
        <v>7</v>
      </c>
      <c r="AN597" s="1" t="e">
        <f ca="1">IF(OR(VLOOKUP($A597,MP,5,0)="月繳"),1,"")</f>
        <v>#N/A</v>
      </c>
      <c r="AO597" s="1">
        <f t="shared" ca="1" si="351"/>
        <v>0</v>
      </c>
      <c r="AP597" s="1" t="str">
        <f ca="1">IF(AND(A597&lt;=OP!$C$120,COUNTIF(PAY,C597)=1),1,"")</f>
        <v/>
      </c>
      <c r="AR597" s="301">
        <f ca="1">IF(繳費報酬率資料!$A$1=1,$AY597+$AZ597,$BF597+$BG597)</f>
        <v>0</v>
      </c>
      <c r="AS597" s="1">
        <f ca="1">IF(C597&lt;&gt;IF($C$3=1,12,$C$3-1),0,IF(繳費報酬率資料!$A$1&lt;&gt;1,VLOOKUP($A597,MP,8,0),IF(AND($A597&gt;=OP!$C$79,$A597&lt;=OP!$C$80),OP!$C$78,)))</f>
        <v>0</v>
      </c>
      <c r="AT597" s="298">
        <f t="shared" ca="1" si="352"/>
        <v>0</v>
      </c>
      <c r="AU597" s="298">
        <f ca="1">IF(AND(A597&lt;=OP!$C$120,COUNTIF(PAY,C597)=1),OP!$C$123,0)</f>
        <v>0</v>
      </c>
      <c r="AV597" s="298">
        <f ca="1">IF(AND(A597&gt;=OP!$C$132,A597&lt;=OP!$C$133,$C$3=C597),OP!$C$135,0)</f>
        <v>0</v>
      </c>
      <c r="AW597" s="180">
        <f t="shared" ca="1" si="353"/>
        <v>0.05</v>
      </c>
      <c r="AX597" s="180">
        <f t="shared" ca="1" si="354"/>
        <v>0.05</v>
      </c>
      <c r="AY597" s="286">
        <f t="shared" ca="1" si="355"/>
        <v>0</v>
      </c>
      <c r="AZ597" s="286">
        <f t="shared" ca="1" si="356"/>
        <v>0</v>
      </c>
      <c r="BA597" s="286">
        <f t="shared" ca="1" si="357"/>
        <v>0</v>
      </c>
      <c r="BB597" s="286">
        <f t="shared" ca="1" si="358"/>
        <v>0</v>
      </c>
      <c r="BC597" s="286">
        <f t="shared" ca="1" si="359"/>
        <v>0</v>
      </c>
      <c r="BD597" s="180">
        <f t="shared" ca="1" si="360"/>
        <v>0.05</v>
      </c>
      <c r="BE597" s="180">
        <f t="shared" ca="1" si="361"/>
        <v>0.05</v>
      </c>
      <c r="BF597" s="286">
        <f t="shared" ca="1" si="362"/>
        <v>0</v>
      </c>
      <c r="BG597" s="286">
        <f t="shared" ca="1" si="363"/>
        <v>0</v>
      </c>
    </row>
    <row r="598" spans="1:59">
      <c r="A598" s="1">
        <f t="shared" ca="1" si="342"/>
        <v>50</v>
      </c>
      <c r="B598" s="1">
        <f t="shared" ca="1" si="336"/>
        <v>155</v>
      </c>
      <c r="C598" s="1">
        <f t="shared" ca="1" si="337"/>
        <v>12</v>
      </c>
      <c r="D598" s="1">
        <f ca="1">MIN($D$3,VLOOKUP(C598,OP!$S$30:$T$41,2))</f>
        <v>2</v>
      </c>
      <c r="E598" s="1">
        <f t="shared" ca="1" si="338"/>
        <v>104</v>
      </c>
      <c r="F598" s="11" t="str">
        <f t="shared" ca="1" si="343"/>
        <v/>
      </c>
      <c r="G598" s="8">
        <f t="shared" ca="1" si="367"/>
        <v>365</v>
      </c>
      <c r="H598" s="8">
        <f t="shared" ca="1" si="345"/>
        <v>31</v>
      </c>
      <c r="I598" s="8" t="str">
        <f t="shared" ca="1" si="341"/>
        <v>5012</v>
      </c>
      <c r="J598" s="13">
        <f>IF(繳費報酬率資料!$A$1=1,VALUE(OP!$C$121),VLOOKUP(A598,MP,2,0))</f>
        <v>0.05</v>
      </c>
      <c r="K598" s="14">
        <f ca="1">IF(SUM($K$4:K597,IF(繳費報酬率資料!$A$1=1,$AU598+$AV598,$BB598+$BC598))&gt;OP!$L$58,0,IF(繳費報酬率資料!$A$1=1,$AU598+$AV598,$BB598+$BC598))</f>
        <v>0</v>
      </c>
      <c r="L598" s="2"/>
      <c r="M598" s="2"/>
      <c r="N598" s="2"/>
      <c r="O598" s="261">
        <f t="shared" ca="1" si="346"/>
        <v>0</v>
      </c>
      <c r="P598" s="261">
        <f t="shared" ca="1" si="364"/>
        <v>0</v>
      </c>
      <c r="Q598" s="3">
        <f ca="1">IF(A598&gt;MAX(OP!$R$17:$R$26),0,VLOOKUP(A598,fees,3,FALSE))</f>
        <v>0</v>
      </c>
      <c r="R598" s="200" t="str">
        <f t="shared" ca="1" si="347"/>
        <v/>
      </c>
      <c r="S598" s="9" t="str">
        <f ca="1">IF(COUNTIF(($T$4:T597),"F")&gt;=1,"",IF(OR(C599&lt;&gt;$C$3,E598=""),"",A598))</f>
        <v/>
      </c>
      <c r="T598" s="20" t="str">
        <f t="shared" ca="1" si="339"/>
        <v/>
      </c>
      <c r="U598" s="2">
        <f ca="1">IF(IF(OP!$C$83=1,$Z597,IF(OP!$C$83=2,$AA597,IF(OP!$C$83=3,$AB597,)))+$K598-$O598-$P598-$AS598&lt;OP!$C$142,0,$AS598)</f>
        <v>0</v>
      </c>
      <c r="V598" s="9"/>
      <c r="W598" s="19">
        <f ca="1">MAX(SUM($K$4:K598),0)</f>
        <v>2000000</v>
      </c>
      <c r="X598" s="19"/>
      <c r="Y598" s="19">
        <f t="shared" ca="1" si="365"/>
        <v>1920000</v>
      </c>
      <c r="Z598" s="2">
        <f ca="1">IF(MIN($Z$4:Z597)=0,0,MAX(0,($Z597+$K598-$O598-$P598)*IF(AND(F598="F",$D$3&lt;&gt;$G$3),((1+(-J598))^(H598/MIN(G598,365))),((1+(-J598))^(1/12)))-$U598))</f>
        <v>150925.74360276261</v>
      </c>
      <c r="AA598" s="2">
        <f ca="1">IF(MIN($AA$4:AA597)=0,0,MAX(0,($AA597+$K598-$O598-$P598)*IF(AND(F598="F",$D$3&lt;&gt;$G$3),((1+$AA$1)^(H598/MIN(G598,365))),((1+$AA$1)^(1/12)))-$U598))</f>
        <v>1920000</v>
      </c>
      <c r="AB598" s="2">
        <f ca="1">IF(MIN($AB$4:AB597)=0,0,MAX(0,($AB597+$K598-$O598-$P598)*IF(AND(F598="F",$D$3&lt;&gt;$G$3),((1+(J598))^(H598/MIN(G598,365))),((1+(J598))^(1/12)))-$U598))</f>
        <v>21574329.512735419</v>
      </c>
      <c r="AC598" s="5"/>
      <c r="AD598" s="5"/>
      <c r="AE598" s="5"/>
      <c r="AF598" s="282">
        <f t="shared" ca="1" si="348"/>
        <v>150926</v>
      </c>
      <c r="AG598" s="282">
        <f t="shared" ca="1" si="349"/>
        <v>1920000</v>
      </c>
      <c r="AH598" s="282">
        <f t="shared" ca="1" si="350"/>
        <v>21574330</v>
      </c>
      <c r="AI598" s="23" t="str">
        <f t="shared" ca="1" si="366"/>
        <v>50-8</v>
      </c>
      <c r="AJ598" s="282">
        <f ca="1">IF(E598&gt;111,,IF(AND(OP!$C$99=1,T598="F"),Z598,IF(AND(OP!$C$99=2,COUNTIF($T$4:T598,"F")=1),OP!$C$97+IF(F598="F",OP!$C$98,0),"")))</f>
        <v>54527</v>
      </c>
      <c r="AK598" s="282">
        <f ca="1">IF(E598&gt;111,,IF(AND(OP!$D$99=1,T598="F"),AA598,IF(AND(OP!$D$99=2,COUNTIF($T$4:T598,"F")=1),OP!$D$97+IF(F598="F",OP!$D$98,0),"")))</f>
        <v>74177</v>
      </c>
      <c r="AL598" s="282">
        <f ca="1">IF(E598&gt;111,,IF(AND(OP!$E$99=1,T598="F"),AB598,IF(AND(OP!$E$99=2,COUNTIF($T$4:T598,"F")=1),OP!$E$97+IF(F598="F",OP!$E$98,0),"")))</f>
        <v>99404</v>
      </c>
      <c r="AM598" s="1">
        <f t="shared" ca="1" si="340"/>
        <v>8</v>
      </c>
      <c r="AN598" s="1" t="e">
        <f ca="1">IF(OR(VLOOKUP($A598,MP,5,0)="半年繳",VLOOKUP($A598,MP,5,0)="季繳",VLOOKUP($A598,MP,5,0)="月繳"),1,"")</f>
        <v>#N/A</v>
      </c>
      <c r="AO598" s="1">
        <f t="shared" ca="1" si="351"/>
        <v>0</v>
      </c>
      <c r="AP598" s="1" t="str">
        <f ca="1">IF(AND(A598&lt;=OP!$C$120,COUNTIF(PAY,C598)=1),1,"")</f>
        <v/>
      </c>
      <c r="AR598" s="301">
        <f ca="1">IF(繳費報酬率資料!$A$1=1,$AY598+$AZ598,$BF598+$BG598)</f>
        <v>0</v>
      </c>
      <c r="AS598" s="1">
        <f ca="1">IF(C598&lt;&gt;IF($C$3=1,12,$C$3-1),0,IF(繳費報酬率資料!$A$1&lt;&gt;1,VLOOKUP($A598,MP,8,0),IF(AND($A598&gt;=OP!$C$79,$A598&lt;=OP!$C$80),OP!$C$78,)))</f>
        <v>0</v>
      </c>
      <c r="AT598" s="298">
        <f t="shared" ca="1" si="352"/>
        <v>0</v>
      </c>
      <c r="AU598" s="298">
        <f ca="1">IF(AND(A598&lt;=OP!$C$120,COUNTIF(PAY,C598)=1),OP!$C$123,0)</f>
        <v>0</v>
      </c>
      <c r="AV598" s="298">
        <f ca="1">IF(AND(A598&gt;=OP!$C$132,A598&lt;=OP!$C$133,$C$3=C598),OP!$C$135,0)</f>
        <v>0</v>
      </c>
      <c r="AW598" s="180">
        <f t="shared" ca="1" si="353"/>
        <v>0.05</v>
      </c>
      <c r="AX598" s="180">
        <f t="shared" ca="1" si="354"/>
        <v>0.05</v>
      </c>
      <c r="AY598" s="286">
        <f t="shared" ca="1" si="355"/>
        <v>0</v>
      </c>
      <c r="AZ598" s="286">
        <f t="shared" ca="1" si="356"/>
        <v>0</v>
      </c>
      <c r="BA598" s="286">
        <f t="shared" ca="1" si="357"/>
        <v>0</v>
      </c>
      <c r="BB598" s="286">
        <f t="shared" ca="1" si="358"/>
        <v>0</v>
      </c>
      <c r="BC598" s="286">
        <f t="shared" ca="1" si="359"/>
        <v>0</v>
      </c>
      <c r="BD598" s="180">
        <f t="shared" ca="1" si="360"/>
        <v>0.05</v>
      </c>
      <c r="BE598" s="180">
        <f t="shared" ca="1" si="361"/>
        <v>0.05</v>
      </c>
      <c r="BF598" s="286">
        <f t="shared" ca="1" si="362"/>
        <v>0</v>
      </c>
      <c r="BG598" s="286">
        <f t="shared" ca="1" si="363"/>
        <v>0</v>
      </c>
    </row>
    <row r="599" spans="1:59">
      <c r="A599" s="1">
        <f t="shared" ca="1" si="342"/>
        <v>50</v>
      </c>
      <c r="B599" s="1">
        <f t="shared" ca="1" si="336"/>
        <v>156</v>
      </c>
      <c r="C599" s="1">
        <f t="shared" ca="1" si="337"/>
        <v>1</v>
      </c>
      <c r="D599" s="1">
        <f ca="1">MIN($D$3,VLOOKUP(C599,OP!$S$30:$T$41,2))</f>
        <v>2</v>
      </c>
      <c r="E599" s="1">
        <f t="shared" ca="1" si="338"/>
        <v>104</v>
      </c>
      <c r="F599" s="11" t="str">
        <f t="shared" ca="1" si="343"/>
        <v/>
      </c>
      <c r="G599" s="8">
        <f t="shared" ca="1" si="367"/>
        <v>365</v>
      </c>
      <c r="H599" s="8">
        <f t="shared" ca="1" si="345"/>
        <v>31</v>
      </c>
      <c r="I599" s="8" t="str">
        <f t="shared" ca="1" si="341"/>
        <v>501</v>
      </c>
      <c r="J599" s="13">
        <f>IF(繳費報酬率資料!$A$1=1,VALUE(OP!$C$121),VLOOKUP(A599,MP,2,0))</f>
        <v>0.05</v>
      </c>
      <c r="K599" s="14">
        <f ca="1">IF(SUM($K$4:K598,IF(繳費報酬率資料!$A$1=1,$AU599+$AV599,$BB599+$BC599))&gt;OP!$L$58,0,IF(繳費報酬率資料!$A$1=1,$AU599+$AV599,$BB599+$BC599))</f>
        <v>0</v>
      </c>
      <c r="L599" s="2"/>
      <c r="M599" s="2"/>
      <c r="N599" s="2"/>
      <c r="O599" s="261">
        <f t="shared" ca="1" si="346"/>
        <v>0</v>
      </c>
      <c r="P599" s="261">
        <f t="shared" ca="1" si="364"/>
        <v>0</v>
      </c>
      <c r="Q599" s="3">
        <f ca="1">IF(A599&gt;MAX(OP!$R$17:$R$26),0,VLOOKUP(A599,fees,3,FALSE))</f>
        <v>0</v>
      </c>
      <c r="R599" s="200" t="str">
        <f t="shared" ca="1" si="347"/>
        <v/>
      </c>
      <c r="S599" s="9" t="str">
        <f ca="1">IF(COUNTIF(($T$4:T598),"F")&gt;=1,"",IF(OR(C600&lt;&gt;$C$3,E599=""),"",A599))</f>
        <v/>
      </c>
      <c r="T599" s="20" t="str">
        <f t="shared" ca="1" si="339"/>
        <v/>
      </c>
      <c r="U599" s="2">
        <f ca="1">IF(IF(OP!$C$83=1,$Z598,IF(OP!$C$83=2,$AA598,IF(OP!$C$83=3,$AB598,)))+$K599-$O599-$P599-$AS599&lt;OP!$C$142,0,$AS599)</f>
        <v>0</v>
      </c>
      <c r="V599" s="9"/>
      <c r="W599" s="19">
        <f ca="1">MAX(SUM($K$4:K599),0)</f>
        <v>2000000</v>
      </c>
      <c r="X599" s="19"/>
      <c r="Y599" s="19">
        <f t="shared" ca="1" si="365"/>
        <v>1920000</v>
      </c>
      <c r="Z599" s="2">
        <f ca="1">IF(MIN($Z$4:Z598)=0,0,MAX(0,($Z598+$K599-$O599-$P599)*IF(AND(F599="F",$D$3&lt;&gt;$G$3),((1+(-J599))^(H599/MIN(G599,365))),((1+(-J599))^(1/12)))-$U599))</f>
        <v>150281.99719455643</v>
      </c>
      <c r="AA599" s="2">
        <f ca="1">IF(MIN($AA$4:AA598)=0,0,MAX(0,($AA598+$K599-$O599-$P599)*IF(AND(F599="F",$D$3&lt;&gt;$G$3),((1+$AA$1)^(H599/MIN(G599,365))),((1+$AA$1)^(1/12)))-$U599))</f>
        <v>1920000</v>
      </c>
      <c r="AB599" s="2">
        <f ca="1">IF(MIN($AB$4:AB598)=0,0,MAX(0,($AB598+$K599-$O599-$P599)*IF(AND(F599="F",$D$3&lt;&gt;$G$3),((1+(J599))^(H599/MIN(G599,365))),((1+(J599))^(1/12)))-$U599))</f>
        <v>21662226.001719519</v>
      </c>
      <c r="AC599" s="5"/>
      <c r="AD599" s="5"/>
      <c r="AE599" s="5"/>
      <c r="AF599" s="282">
        <f t="shared" ca="1" si="348"/>
        <v>150282</v>
      </c>
      <c r="AG599" s="282">
        <f t="shared" ca="1" si="349"/>
        <v>1920000</v>
      </c>
      <c r="AH599" s="282">
        <f t="shared" ca="1" si="350"/>
        <v>21662226</v>
      </c>
      <c r="AI599" s="23" t="str">
        <f t="shared" ca="1" si="366"/>
        <v>50-9</v>
      </c>
      <c r="AJ599" s="282">
        <f ca="1">IF(E599&gt;111,,IF(AND(OP!$C$99=1,T599="F"),Z599,IF(AND(OP!$C$99=2,COUNTIF($T$4:T599,"F")=1),OP!$C$97+IF(F599="F",OP!$C$98,0),"")))</f>
        <v>54527</v>
      </c>
      <c r="AK599" s="282">
        <f ca="1">IF(E599&gt;111,,IF(AND(OP!$D$99=1,T599="F"),AA599,IF(AND(OP!$D$99=2,COUNTIF($T$4:T599,"F")=1),OP!$D$97+IF(F599="F",OP!$D$98,0),"")))</f>
        <v>74177</v>
      </c>
      <c r="AL599" s="282">
        <f ca="1">IF(E599&gt;111,,IF(AND(OP!$E$99=1,T599="F"),AB599,IF(AND(OP!$E$99=2,COUNTIF($T$4:T599,"F")=1),OP!$E$97+IF(F599="F",OP!$E$98,0),"")))</f>
        <v>99404</v>
      </c>
      <c r="AM599" s="1">
        <f t="shared" ca="1" si="340"/>
        <v>9</v>
      </c>
      <c r="AN599" s="1" t="e">
        <f ca="1">IF(OR(VLOOKUP($A599,MP,5,0)="月繳"),1,"")</f>
        <v>#N/A</v>
      </c>
      <c r="AO599" s="1">
        <f t="shared" ca="1" si="351"/>
        <v>0</v>
      </c>
      <c r="AP599" s="1" t="str">
        <f ca="1">IF(AND(A599&lt;=OP!$C$120,COUNTIF(PAY,C599)=1),1,"")</f>
        <v/>
      </c>
      <c r="AR599" s="301">
        <f ca="1">IF(繳費報酬率資料!$A$1=1,$AY599+$AZ599,$BF599+$BG599)</f>
        <v>0</v>
      </c>
      <c r="AS599" s="1">
        <f ca="1">IF(C599&lt;&gt;IF($C$3=1,12,$C$3-1),0,IF(繳費報酬率資料!$A$1&lt;&gt;1,VLOOKUP($A599,MP,8,0),IF(AND($A599&gt;=OP!$C$79,$A599&lt;=OP!$C$80),OP!$C$78,)))</f>
        <v>0</v>
      </c>
      <c r="AT599" s="298">
        <f t="shared" ca="1" si="352"/>
        <v>0</v>
      </c>
      <c r="AU599" s="298">
        <f ca="1">IF(AND(A599&lt;=OP!$C$120,COUNTIF(PAY,C599)=1),OP!$C$123,0)</f>
        <v>0</v>
      </c>
      <c r="AV599" s="298">
        <f ca="1">IF(AND(A599&gt;=OP!$C$132,A599&lt;=OP!$C$133,$C$3=C599),OP!$C$135,0)</f>
        <v>0</v>
      </c>
      <c r="AW599" s="180">
        <f t="shared" ca="1" si="353"/>
        <v>0.05</v>
      </c>
      <c r="AX599" s="180">
        <f t="shared" ca="1" si="354"/>
        <v>0.05</v>
      </c>
      <c r="AY599" s="286">
        <f t="shared" ca="1" si="355"/>
        <v>0</v>
      </c>
      <c r="AZ599" s="286">
        <f t="shared" ca="1" si="356"/>
        <v>0</v>
      </c>
      <c r="BA599" s="286">
        <f t="shared" ca="1" si="357"/>
        <v>0</v>
      </c>
      <c r="BB599" s="286">
        <f t="shared" ca="1" si="358"/>
        <v>0</v>
      </c>
      <c r="BC599" s="286">
        <f t="shared" ca="1" si="359"/>
        <v>0</v>
      </c>
      <c r="BD599" s="180">
        <f t="shared" ca="1" si="360"/>
        <v>0.05</v>
      </c>
      <c r="BE599" s="180">
        <f t="shared" ca="1" si="361"/>
        <v>0.05</v>
      </c>
      <c r="BF599" s="286">
        <f t="shared" ca="1" si="362"/>
        <v>0</v>
      </c>
      <c r="BG599" s="286">
        <f t="shared" ca="1" si="363"/>
        <v>0</v>
      </c>
    </row>
    <row r="600" spans="1:59">
      <c r="A600" s="1">
        <f t="shared" ca="1" si="342"/>
        <v>50</v>
      </c>
      <c r="B600" s="1">
        <f t="shared" ca="1" si="336"/>
        <v>156</v>
      </c>
      <c r="C600" s="1">
        <f t="shared" ca="1" si="337"/>
        <v>2</v>
      </c>
      <c r="D600" s="1">
        <f ca="1">MIN($D$3,VLOOKUP(C600,OP!$S$30:$T$41,2))</f>
        <v>2</v>
      </c>
      <c r="E600" s="1">
        <f t="shared" ca="1" si="338"/>
        <v>104</v>
      </c>
      <c r="F600" s="11" t="str">
        <f t="shared" ca="1" si="343"/>
        <v/>
      </c>
      <c r="G600" s="8">
        <f t="shared" ca="1" si="367"/>
        <v>365</v>
      </c>
      <c r="H600" s="8">
        <f t="shared" ca="1" si="345"/>
        <v>28</v>
      </c>
      <c r="I600" s="8" t="str">
        <f t="shared" ca="1" si="341"/>
        <v>502</v>
      </c>
      <c r="J600" s="13">
        <f>IF(繳費報酬率資料!$A$1=1,VALUE(OP!$C$121),VLOOKUP(A600,MP,2,0))</f>
        <v>0.05</v>
      </c>
      <c r="K600" s="14">
        <f ca="1">IF(SUM($K$4:K599,IF(繳費報酬率資料!$A$1=1,$AU600+$AV600,$BB600+$BC600))&gt;OP!$L$58,0,IF(繳費報酬率資料!$A$1=1,$AU600+$AV600,$BB600+$BC600))</f>
        <v>0</v>
      </c>
      <c r="L600" s="2"/>
      <c r="M600" s="2"/>
      <c r="N600" s="2"/>
      <c r="O600" s="261">
        <f t="shared" ca="1" si="346"/>
        <v>0</v>
      </c>
      <c r="P600" s="261">
        <f t="shared" ca="1" si="364"/>
        <v>0</v>
      </c>
      <c r="Q600" s="3">
        <f ca="1">IF(A600&gt;MAX(OP!$R$17:$R$26),0,VLOOKUP(A600,fees,3,FALSE))</f>
        <v>0</v>
      </c>
      <c r="R600" s="200" t="str">
        <f t="shared" ca="1" si="347"/>
        <v/>
      </c>
      <c r="S600" s="9" t="str">
        <f ca="1">IF(COUNTIF(($T$4:T599),"F")&gt;=1,"",IF(OR(C601&lt;&gt;$C$3,E600=""),"",A600))</f>
        <v/>
      </c>
      <c r="T600" s="20" t="str">
        <f t="shared" ca="1" si="339"/>
        <v/>
      </c>
      <c r="U600" s="2">
        <f ca="1">IF(IF(OP!$C$83=1,$Z599,IF(OP!$C$83=2,$AA599,IF(OP!$C$83=3,$AB599,)))+$K600-$O600-$P600-$AS600&lt;OP!$C$142,0,$AS600)</f>
        <v>0</v>
      </c>
      <c r="V600" s="9"/>
      <c r="W600" s="19">
        <f ca="1">MAX(SUM($K$4:K600),0)</f>
        <v>2000000</v>
      </c>
      <c r="X600" s="19"/>
      <c r="Y600" s="19">
        <f t="shared" ca="1" si="365"/>
        <v>1920000</v>
      </c>
      <c r="Z600" s="2">
        <f ca="1">IF(MIN($Z$4:Z599)=0,0,MAX(0,($Z599+$K600-$O600-$P600)*IF(AND(F600="F",$D$3&lt;&gt;$G$3),((1+(-J600))^(H600/MIN(G600,365))),((1+(-J600))^(1/12)))-$U600))</f>
        <v>149640.99656999318</v>
      </c>
      <c r="AA600" s="2">
        <f ca="1">IF(MIN($AA$4:AA599)=0,0,MAX(0,($AA599+$K600-$O600-$P600)*IF(AND(F600="F",$D$3&lt;&gt;$G$3),((1+$AA$1)^(H600/MIN(G600,365))),((1+$AA$1)^(1/12)))-$U600))</f>
        <v>1920000</v>
      </c>
      <c r="AB600" s="2">
        <f ca="1">IF(MIN($AB$4:AB599)=0,0,MAX(0,($AB599+$K600-$O600-$P600)*IF(AND(F600="F",$D$3&lt;&gt;$G$3),((1+(J600))^(H600/MIN(G600,365))),((1+(J600))^(1/12)))-$U600))</f>
        <v>21750480.591879889</v>
      </c>
      <c r="AC600" s="5"/>
      <c r="AD600" s="5"/>
      <c r="AE600" s="5"/>
      <c r="AF600" s="282">
        <f t="shared" ca="1" si="348"/>
        <v>149641</v>
      </c>
      <c r="AG600" s="282">
        <f t="shared" ca="1" si="349"/>
        <v>1920000</v>
      </c>
      <c r="AH600" s="282">
        <f t="shared" ca="1" si="350"/>
        <v>21750481</v>
      </c>
      <c r="AI600" s="23" t="str">
        <f t="shared" ca="1" si="366"/>
        <v>50-10</v>
      </c>
      <c r="AJ600" s="282">
        <f ca="1">IF(E600&gt;111,,IF(AND(OP!$C$99=1,T600="F"),Z600,IF(AND(OP!$C$99=2,COUNTIF($T$4:T600,"F")=1),OP!$C$97+IF(F600="F",OP!$C$98,0),"")))</f>
        <v>54527</v>
      </c>
      <c r="AK600" s="282">
        <f ca="1">IF(E600&gt;111,,IF(AND(OP!$D$99=1,T600="F"),AA600,IF(AND(OP!$D$99=2,COUNTIF($T$4:T600,"F")=1),OP!$D$97+IF(F600="F",OP!$D$98,0),"")))</f>
        <v>74177</v>
      </c>
      <c r="AL600" s="282">
        <f ca="1">IF(E600&gt;111,,IF(AND(OP!$E$99=1,T600="F"),AB600,IF(AND(OP!$E$99=2,COUNTIF($T$4:T600,"F")=1),OP!$E$97+IF(F600="F",OP!$E$98,0),"")))</f>
        <v>99404</v>
      </c>
      <c r="AM600" s="1">
        <f t="shared" ca="1" si="340"/>
        <v>10</v>
      </c>
      <c r="AN600" s="1" t="e">
        <f ca="1">IF(OR(VLOOKUP($A600,MP,5,0)="月繳"),1,"")</f>
        <v>#N/A</v>
      </c>
      <c r="AO600" s="1">
        <f t="shared" ca="1" si="351"/>
        <v>0</v>
      </c>
      <c r="AP600" s="1" t="str">
        <f ca="1">IF(AND(A600&lt;=OP!$C$120,COUNTIF(PAY,C600)=1),1,"")</f>
        <v/>
      </c>
      <c r="AR600" s="301">
        <f ca="1">IF(繳費報酬率資料!$A$1=1,$AY600+$AZ600,$BF600+$BG600)</f>
        <v>0</v>
      </c>
      <c r="AS600" s="1">
        <f ca="1">IF(C600&lt;&gt;IF($C$3=1,12,$C$3-1),0,IF(繳費報酬率資料!$A$1&lt;&gt;1,VLOOKUP($A600,MP,8,0),IF(AND($A600&gt;=OP!$C$79,$A600&lt;=OP!$C$80),OP!$C$78,)))</f>
        <v>0</v>
      </c>
      <c r="AT600" s="298">
        <f t="shared" ca="1" si="352"/>
        <v>0</v>
      </c>
      <c r="AU600" s="298">
        <f ca="1">IF(AND(A600&lt;=OP!$C$120,COUNTIF(PAY,C600)=1),OP!$C$123,0)</f>
        <v>0</v>
      </c>
      <c r="AV600" s="298">
        <f ca="1">IF(AND(A600&gt;=OP!$C$132,A600&lt;=OP!$C$133,$C$3=C600),OP!$C$135,0)</f>
        <v>0</v>
      </c>
      <c r="AW600" s="180">
        <f t="shared" ca="1" si="353"/>
        <v>0.05</v>
      </c>
      <c r="AX600" s="180">
        <f t="shared" ca="1" si="354"/>
        <v>0.05</v>
      </c>
      <c r="AY600" s="286">
        <f t="shared" ca="1" si="355"/>
        <v>0</v>
      </c>
      <c r="AZ600" s="286">
        <f t="shared" ca="1" si="356"/>
        <v>0</v>
      </c>
      <c r="BA600" s="286">
        <f t="shared" ca="1" si="357"/>
        <v>0</v>
      </c>
      <c r="BB600" s="286">
        <f t="shared" ca="1" si="358"/>
        <v>0</v>
      </c>
      <c r="BC600" s="286">
        <f t="shared" ca="1" si="359"/>
        <v>0</v>
      </c>
      <c r="BD600" s="180">
        <f t="shared" ca="1" si="360"/>
        <v>0.05</v>
      </c>
      <c r="BE600" s="180">
        <f t="shared" ca="1" si="361"/>
        <v>0.05</v>
      </c>
      <c r="BF600" s="286">
        <f t="shared" ca="1" si="362"/>
        <v>0</v>
      </c>
      <c r="BG600" s="286">
        <f t="shared" ca="1" si="363"/>
        <v>0</v>
      </c>
    </row>
    <row r="601" spans="1:59">
      <c r="A601" s="1">
        <f t="shared" ca="1" si="342"/>
        <v>50</v>
      </c>
      <c r="B601" s="1">
        <f t="shared" ca="1" si="336"/>
        <v>156</v>
      </c>
      <c r="C601" s="1">
        <f t="shared" ca="1" si="337"/>
        <v>3</v>
      </c>
      <c r="D601" s="1">
        <f ca="1">MIN($D$3,VLOOKUP(C601,OP!$S$30:$T$41,2))</f>
        <v>2</v>
      </c>
      <c r="E601" s="1">
        <f t="shared" ca="1" si="338"/>
        <v>104</v>
      </c>
      <c r="F601" s="11" t="str">
        <f t="shared" ca="1" si="343"/>
        <v/>
      </c>
      <c r="G601" s="8">
        <f t="shared" ca="1" si="367"/>
        <v>365</v>
      </c>
      <c r="H601" s="8">
        <f t="shared" ca="1" si="345"/>
        <v>31</v>
      </c>
      <c r="I601" s="8" t="str">
        <f t="shared" ca="1" si="341"/>
        <v>503</v>
      </c>
      <c r="J601" s="13">
        <f>IF(繳費報酬率資料!$A$1=1,VALUE(OP!$C$121),VLOOKUP(A601,MP,2,0))</f>
        <v>0.05</v>
      </c>
      <c r="K601" s="14">
        <f ca="1">IF(SUM($K$4:K600,IF(繳費報酬率資料!$A$1=1,$AU601+$AV601,$BB601+$BC601))&gt;OP!$L$58,0,IF(繳費報酬率資料!$A$1=1,$AU601+$AV601,$BB601+$BC601))</f>
        <v>0</v>
      </c>
      <c r="L601" s="2"/>
      <c r="M601" s="2"/>
      <c r="N601" s="2"/>
      <c r="O601" s="261">
        <f t="shared" ca="1" si="346"/>
        <v>0</v>
      </c>
      <c r="P601" s="261">
        <f t="shared" ca="1" si="364"/>
        <v>0</v>
      </c>
      <c r="Q601" s="3">
        <f ca="1">IF(A601&gt;MAX(OP!$R$17:$R$26),0,VLOOKUP(A601,fees,3,FALSE))</f>
        <v>0</v>
      </c>
      <c r="R601" s="200" t="str">
        <f t="shared" ca="1" si="347"/>
        <v/>
      </c>
      <c r="S601" s="9" t="str">
        <f ca="1">IF(COUNTIF(($T$4:T600),"F")&gt;=1,"",IF(OR(C602&lt;&gt;$C$3,E601=""),"",A601))</f>
        <v/>
      </c>
      <c r="T601" s="20" t="str">
        <f t="shared" ca="1" si="339"/>
        <v/>
      </c>
      <c r="U601" s="2">
        <f ca="1">IF(IF(OP!$C$83=1,$Z600,IF(OP!$C$83=2,$AA600,IF(OP!$C$83=3,$AB600,)))+$K601-$O601-$P601-$AS601&lt;OP!$C$142,0,$AS601)</f>
        <v>0</v>
      </c>
      <c r="V601" s="9"/>
      <c r="W601" s="19">
        <f ca="1">MAX(SUM($K$4:K601),0)</f>
        <v>2000000</v>
      </c>
      <c r="X601" s="19"/>
      <c r="Y601" s="19">
        <f t="shared" ca="1" si="365"/>
        <v>1920000</v>
      </c>
      <c r="Z601" s="2">
        <f ca="1">IF(MIN($Z$4:Z600)=0,0,MAX(0,($Z600+$K601-$O601-$P601)*IF(AND(F601="F",$D$3&lt;&gt;$G$3),((1+(-J601))^(H601/MIN(G601,365))),((1+(-J601))^(1/12)))-$U601))</f>
        <v>149002.73001743029</v>
      </c>
      <c r="AA601" s="2">
        <f ca="1">IF(MIN($AA$4:AA600)=0,0,MAX(0,($AA600+$K601-$O601-$P601)*IF(AND(F601="F",$D$3&lt;&gt;$G$3),((1+$AA$1)^(H601/MIN(G601,365))),((1+$AA$1)^(1/12)))-$U601))</f>
        <v>1920000</v>
      </c>
      <c r="AB601" s="2">
        <f ca="1">IF(MIN($AB$4:AB600)=0,0,MAX(0,($AB600+$K601-$O601-$P601)*IF(AND(F601="F",$D$3&lt;&gt;$G$3),((1+(J601))^(H601/MIN(G601,365))),((1+(J601))^(1/12)))-$U601))</f>
        <v>21839094.742165048</v>
      </c>
      <c r="AC601" s="5"/>
      <c r="AD601" s="5"/>
      <c r="AE601" s="5"/>
      <c r="AF601" s="282">
        <f t="shared" ca="1" si="348"/>
        <v>149003</v>
      </c>
      <c r="AG601" s="282">
        <f t="shared" ca="1" si="349"/>
        <v>1920000</v>
      </c>
      <c r="AH601" s="282">
        <f t="shared" ca="1" si="350"/>
        <v>21839095</v>
      </c>
      <c r="AI601" s="23" t="str">
        <f t="shared" ca="1" si="366"/>
        <v>50-11</v>
      </c>
      <c r="AJ601" s="282">
        <f ca="1">IF(E601&gt;111,,IF(AND(OP!$C$99=1,T601="F"),Z601,IF(AND(OP!$C$99=2,COUNTIF($T$4:T601,"F")=1),OP!$C$97+IF(F601="F",OP!$C$98,0),"")))</f>
        <v>54527</v>
      </c>
      <c r="AK601" s="282">
        <f ca="1">IF(E601&gt;111,,IF(AND(OP!$D$99=1,T601="F"),AA601,IF(AND(OP!$D$99=2,COUNTIF($T$4:T601,"F")=1),OP!$D$97+IF(F601="F",OP!$D$98,0),"")))</f>
        <v>74177</v>
      </c>
      <c r="AL601" s="282">
        <f ca="1">IF(E601&gt;111,,IF(AND(OP!$E$99=1,T601="F"),AB601,IF(AND(OP!$E$99=2,COUNTIF($T$4:T601,"F")=1),OP!$E$97+IF(F601="F",OP!$E$98,0),"")))</f>
        <v>99404</v>
      </c>
      <c r="AM601" s="1">
        <f t="shared" ca="1" si="340"/>
        <v>11</v>
      </c>
      <c r="AN601" s="1" t="e">
        <f ca="1">IF(OR(VLOOKUP($A601,MP,5,0)="季繳",VLOOKUP($A601,MP,5,0)="月繳"),1,"")</f>
        <v>#N/A</v>
      </c>
      <c r="AO601" s="1">
        <f t="shared" ca="1" si="351"/>
        <v>0</v>
      </c>
      <c r="AP601" s="1" t="str">
        <f ca="1">IF(AND(A601&lt;=OP!$C$120,COUNTIF(PAY,C601)=1),1,"")</f>
        <v/>
      </c>
      <c r="AR601" s="301">
        <f ca="1">IF(繳費報酬率資料!$A$1=1,$AY601+$AZ601,$BF601+$BG601)</f>
        <v>0</v>
      </c>
      <c r="AS601" s="1">
        <f ca="1">IF(C601&lt;&gt;IF($C$3=1,12,$C$3-1),0,IF(繳費報酬率資料!$A$1&lt;&gt;1,VLOOKUP($A601,MP,8,0),IF(AND($A601&gt;=OP!$C$79,$A601&lt;=OP!$C$80),OP!$C$78,)))</f>
        <v>0</v>
      </c>
      <c r="AT601" s="298">
        <f t="shared" ca="1" si="352"/>
        <v>0</v>
      </c>
      <c r="AU601" s="298">
        <f ca="1">IF(AND(A601&lt;=OP!$C$120,COUNTIF(PAY,C601)=1),OP!$C$123,0)</f>
        <v>0</v>
      </c>
      <c r="AV601" s="298">
        <f ca="1">IF(AND(A601&gt;=OP!$C$132,A601&lt;=OP!$C$133,$C$3=C601),OP!$C$135,0)</f>
        <v>0</v>
      </c>
      <c r="AW601" s="180">
        <f t="shared" ca="1" si="353"/>
        <v>0.05</v>
      </c>
      <c r="AX601" s="180">
        <f t="shared" ca="1" si="354"/>
        <v>0.05</v>
      </c>
      <c r="AY601" s="286">
        <f t="shared" ca="1" si="355"/>
        <v>0</v>
      </c>
      <c r="AZ601" s="286">
        <f t="shared" ca="1" si="356"/>
        <v>0</v>
      </c>
      <c r="BA601" s="286">
        <f t="shared" ca="1" si="357"/>
        <v>0</v>
      </c>
      <c r="BB601" s="286">
        <f t="shared" ca="1" si="358"/>
        <v>0</v>
      </c>
      <c r="BC601" s="286">
        <f t="shared" ca="1" si="359"/>
        <v>0</v>
      </c>
      <c r="BD601" s="180">
        <f t="shared" ca="1" si="360"/>
        <v>0.05</v>
      </c>
      <c r="BE601" s="180">
        <f t="shared" ca="1" si="361"/>
        <v>0.05</v>
      </c>
      <c r="BF601" s="286">
        <f t="shared" ca="1" si="362"/>
        <v>0</v>
      </c>
      <c r="BG601" s="286">
        <f t="shared" ca="1" si="363"/>
        <v>0</v>
      </c>
    </row>
    <row r="602" spans="1:59">
      <c r="A602" s="1">
        <f t="shared" ca="1" si="342"/>
        <v>50</v>
      </c>
      <c r="B602" s="1">
        <f t="shared" ca="1" si="336"/>
        <v>156</v>
      </c>
      <c r="C602" s="1">
        <f t="shared" ca="1" si="337"/>
        <v>4</v>
      </c>
      <c r="D602" s="1">
        <f ca="1">MIN($D$3,VLOOKUP(C602,OP!$S$30:$T$41,2))</f>
        <v>2</v>
      </c>
      <c r="E602" s="1">
        <f t="shared" ca="1" si="338"/>
        <v>104</v>
      </c>
      <c r="F602" s="11" t="str">
        <f t="shared" ca="1" si="343"/>
        <v/>
      </c>
      <c r="G602" s="8">
        <f t="shared" ca="1" si="367"/>
        <v>365</v>
      </c>
      <c r="H602" s="8">
        <f t="shared" ca="1" si="345"/>
        <v>30</v>
      </c>
      <c r="I602" s="8" t="str">
        <f t="shared" ca="1" si="341"/>
        <v>504</v>
      </c>
      <c r="J602" s="13">
        <f>IF(繳費報酬率資料!$A$1=1,VALUE(OP!$C$121),VLOOKUP(A602,MP,2,0))</f>
        <v>0.05</v>
      </c>
      <c r="K602" s="14">
        <f ca="1">IF(SUM($K$4:K601,IF(繳費報酬率資料!$A$1=1,$AU602+$AV602,$BB602+$BC602))&gt;OP!$L$58,0,IF(繳費報酬率資料!$A$1=1,$AU602+$AV602,$BB602+$BC602))</f>
        <v>0</v>
      </c>
      <c r="L602" s="2"/>
      <c r="M602" s="2"/>
      <c r="N602" s="2"/>
      <c r="O602" s="261">
        <f t="shared" ca="1" si="346"/>
        <v>0</v>
      </c>
      <c r="P602" s="261">
        <f t="shared" ca="1" si="364"/>
        <v>0</v>
      </c>
      <c r="Q602" s="3">
        <f ca="1">IF(A602&gt;MAX(OP!$R$17:$R$26),0,VLOOKUP(A602,fees,3,FALSE))</f>
        <v>0</v>
      </c>
      <c r="R602" s="200" t="str">
        <f t="shared" ca="1" si="347"/>
        <v/>
      </c>
      <c r="S602" s="9" t="str">
        <f ca="1">IF(COUNTIF(($T$4:T601),"F")&gt;=1,"",IF(OR(C603&lt;&gt;$C$3,E602=""),"",A602))</f>
        <v/>
      </c>
      <c r="T602" s="20" t="str">
        <f t="shared" ca="1" si="339"/>
        <v/>
      </c>
      <c r="U602" s="2">
        <f ca="1">IF(IF(OP!$C$83=1,$Z601,IF(OP!$C$83=2,$AA601,IF(OP!$C$83=3,$AB601,)))+$K602-$O602-$P602-$AS602&lt;OP!$C$142,0,$AS602)</f>
        <v>0</v>
      </c>
      <c r="V602" s="9"/>
      <c r="W602" s="19">
        <f ca="1">MAX(SUM($K$4:K602),0)</f>
        <v>2000000</v>
      </c>
      <c r="X602" s="19"/>
      <c r="Y602" s="19">
        <f t="shared" ca="1" si="365"/>
        <v>1920000</v>
      </c>
      <c r="Z602" s="2">
        <f ca="1">IF(MIN($Z$4:Z601)=0,0,MAX(0,($Z601+$K602-$O602-$P602)*IF(AND(F602="F",$D$3&lt;&gt;$G$3),((1+(-J602))^(H602/MIN(G602,365))),((1+(-J602))^(1/12)))-$U602))</f>
        <v>148367.18587517916</v>
      </c>
      <c r="AA602" s="2">
        <f ca="1">IF(MIN($AA$4:AA601)=0,0,MAX(0,($AA601+$K602-$O602-$P602)*IF(AND(F602="F",$D$3&lt;&gt;$G$3),((1+$AA$1)^(H602/MIN(G602,365))),((1+$AA$1)^(1/12)))-$U602))</f>
        <v>1920000</v>
      </c>
      <c r="AB602" s="2">
        <f ca="1">IF(MIN($AB$4:AB601)=0,0,MAX(0,($AB601+$K602-$O602-$P602)*IF(AND(F602="F",$D$3&lt;&gt;$G$3),((1+(J602))^(H602/MIN(G602,365))),((1+(J602))^(1/12)))-$U602))</f>
        <v>21928069.917467453</v>
      </c>
      <c r="AC602" s="5"/>
      <c r="AD602" s="5"/>
      <c r="AE602" s="5"/>
      <c r="AF602" s="282">
        <f t="shared" ca="1" si="348"/>
        <v>148367</v>
      </c>
      <c r="AG602" s="282">
        <f t="shared" ca="1" si="349"/>
        <v>1920000</v>
      </c>
      <c r="AH602" s="282">
        <f t="shared" ca="1" si="350"/>
        <v>21928070</v>
      </c>
      <c r="AI602" s="23" t="str">
        <f t="shared" ca="1" si="366"/>
        <v>50-12</v>
      </c>
      <c r="AJ602" s="282">
        <f ca="1">IF(E602&gt;111,,IF(AND(OP!$C$99=1,T602="F"),Z602,IF(AND(OP!$C$99=2,COUNTIF($T$4:T602,"F")=1),OP!$C$97+IF(F602="F",OP!$C$98,0),"")))</f>
        <v>54527</v>
      </c>
      <c r="AK602" s="282">
        <f ca="1">IF(E602&gt;111,,IF(AND(OP!$D$99=1,T602="F"),AA602,IF(AND(OP!$D$99=2,COUNTIF($T$4:T602,"F")=1),OP!$D$97+IF(F602="F",OP!$D$98,0),"")))</f>
        <v>74177</v>
      </c>
      <c r="AL602" s="282">
        <f ca="1">IF(E602&gt;111,,IF(AND(OP!$E$99=1,T602="F"),AB602,IF(AND(OP!$E$99=2,COUNTIF($T$4:T602,"F")=1),OP!$E$97+IF(F602="F",OP!$E$98,0),"")))</f>
        <v>99404</v>
      </c>
      <c r="AM602" s="1">
        <f t="shared" ca="1" si="340"/>
        <v>12</v>
      </c>
      <c r="AN602" s="1" t="e">
        <f ca="1">IF(OR(VLOOKUP($A602,MP,5,0)="月繳"),1,"")</f>
        <v>#N/A</v>
      </c>
      <c r="AO602" s="1">
        <f t="shared" ca="1" si="351"/>
        <v>0</v>
      </c>
      <c r="AP602" s="1" t="str">
        <f ca="1">IF(AND(A602&lt;=OP!$C$120,COUNTIF(PAY,C602)=1),1,"")</f>
        <v/>
      </c>
      <c r="AR602" s="301">
        <f ca="1">IF(繳費報酬率資料!$A$1=1,$AY602+$AZ602,$BF602+$BG602)</f>
        <v>0</v>
      </c>
      <c r="AS602" s="1">
        <f ca="1">IF(C602&lt;&gt;IF($C$3=1,12,$C$3-1),0,IF(繳費報酬率資料!$A$1&lt;&gt;1,VLOOKUP($A602,MP,8,0),IF(AND($A602&gt;=OP!$C$79,$A602&lt;=OP!$C$80),OP!$C$78,)))</f>
        <v>0</v>
      </c>
      <c r="AT602" s="298">
        <f t="shared" ca="1" si="352"/>
        <v>0</v>
      </c>
      <c r="AU602" s="298">
        <f ca="1">IF(AND(A602&lt;=OP!$C$120,COUNTIF(PAY,C602)=1),OP!$C$123,0)</f>
        <v>0</v>
      </c>
      <c r="AV602" s="298">
        <f ca="1">IF(AND(A602&gt;=OP!$C$132,A602&lt;=OP!$C$133,$C$3=C602),OP!$C$135,0)</f>
        <v>0</v>
      </c>
      <c r="AW602" s="180">
        <f t="shared" ca="1" si="353"/>
        <v>0.05</v>
      </c>
      <c r="AX602" s="180">
        <f t="shared" ca="1" si="354"/>
        <v>0.05</v>
      </c>
      <c r="AY602" s="286">
        <f t="shared" ca="1" si="355"/>
        <v>0</v>
      </c>
      <c r="AZ602" s="286">
        <f t="shared" ca="1" si="356"/>
        <v>0</v>
      </c>
      <c r="BA602" s="286">
        <f t="shared" ca="1" si="357"/>
        <v>0</v>
      </c>
      <c r="BB602" s="286">
        <f t="shared" ca="1" si="358"/>
        <v>0</v>
      </c>
      <c r="BC602" s="286">
        <f t="shared" ca="1" si="359"/>
        <v>0</v>
      </c>
      <c r="BD602" s="180">
        <f t="shared" ca="1" si="360"/>
        <v>0.05</v>
      </c>
      <c r="BE602" s="180">
        <f t="shared" ca="1" si="361"/>
        <v>0.05</v>
      </c>
      <c r="BF602" s="286">
        <f t="shared" ca="1" si="362"/>
        <v>0</v>
      </c>
      <c r="BG602" s="286">
        <f t="shared" ca="1" si="363"/>
        <v>0</v>
      </c>
    </row>
    <row r="603" spans="1:59">
      <c r="A603" s="1">
        <f t="shared" ca="1" si="342"/>
        <v>50</v>
      </c>
      <c r="B603" s="1">
        <f t="shared" ca="1" si="336"/>
        <v>156</v>
      </c>
      <c r="C603" s="1">
        <f t="shared" ca="1" si="337"/>
        <v>5</v>
      </c>
      <c r="D603" s="1">
        <f ca="1">MIN($D$3,VLOOKUP(C603,OP!$S$30:$T$41,2))</f>
        <v>2</v>
      </c>
      <c r="E603" s="1">
        <f t="shared" ca="1" si="338"/>
        <v>104</v>
      </c>
      <c r="F603" s="11" t="str">
        <f t="shared" ca="1" si="343"/>
        <v/>
      </c>
      <c r="G603" s="8">
        <f t="shared" ca="1" si="367"/>
        <v>365</v>
      </c>
      <c r="H603" s="8">
        <f t="shared" ca="1" si="345"/>
        <v>31</v>
      </c>
      <c r="I603" s="8" t="str">
        <f t="shared" ca="1" si="341"/>
        <v>505</v>
      </c>
      <c r="J603" s="13">
        <f>IF(繳費報酬率資料!$A$1=1,VALUE(OP!$C$121),VLOOKUP(A603,MP,2,0))</f>
        <v>0.05</v>
      </c>
      <c r="K603" s="14">
        <f ca="1">IF(SUM($K$4:K602,IF(繳費報酬率資料!$A$1=1,$AU603+$AV603,$BB603+$BC603))&gt;OP!$L$58,0,IF(繳費報酬率資料!$A$1=1,$AU603+$AV603,$BB603+$BC603))</f>
        <v>0</v>
      </c>
      <c r="L603" s="2">
        <f ca="1">ROUND(IF(OP!$C$78&lt;(IF(OR($T603="F",$E603&gt;=111),0,Z602+$K603-$O603+IF($C$1=1,OP!$C$78,IF($C604=$C$3,SUM(AC592:AC603,0)))))*5%,0,(OP!$C$78-((IF(OR($T603="F",$E603&gt;=111),0,Z602+$K603-$O603+IF($C$1=1,AC603,IF($C604=$C$3,SUM(AC592:AC603,0)))))*5%))*$Q603),0)</f>
        <v>0</v>
      </c>
      <c r="M603" s="2">
        <f ca="1">ROUND(IF(OP!$C$78&lt;(IF(OR($T603="F",$E603&gt;=111),0,AA602+$K603-$O603+IF($C$1=1,AD603,IF($C604=$C$3,SUM(AD592:AD603,0)))))*5%,0,(OP!$C$78-((IF(OR($T603="F",$E603&gt;=111),0,AA602+$K603-$O603+IF($C$1=1,AD603,IF($C604=$C$3,SUM(AD592:AD603,0)))))*5%))*$Q603),0)</f>
        <v>0</v>
      </c>
      <c r="N603" s="2">
        <f ca="1">ROUND(IF(OP!$C$78&lt;(IF(OR($T603="F",$E603&gt;=111),0,AB602+$K603-$O603+IF($C$1=1,AE603,IF($C604=$C$3,SUM(AE592:AE603,0)))))*5%,0,(OP!$C$78-((IF(OR($T603="F",$E603&gt;=111),0,AB602+$K603-$O603+IF($C$1=1,AE603,IF($C604=$C$3,SUM(AE592:AE603,0)))))*5%))*$Q603),0)</f>
        <v>0</v>
      </c>
      <c r="O603" s="261">
        <f t="shared" ca="1" si="346"/>
        <v>0</v>
      </c>
      <c r="P603" s="261">
        <f t="shared" ca="1" si="364"/>
        <v>0</v>
      </c>
      <c r="Q603" s="3">
        <f ca="1">IF(A603&gt;MAX(OP!$R$17:$R$26),0,VLOOKUP(A603,fees,3,FALSE))</f>
        <v>0</v>
      </c>
      <c r="R603" s="200">
        <f t="shared" ca="1" si="347"/>
        <v>50</v>
      </c>
      <c r="S603" s="9" t="str">
        <f ca="1">IF(COUNTIF(($T$4:T602),"F")&gt;=1,"",IF(OR(C604&lt;&gt;$C$3,E603=""),"",A603))</f>
        <v/>
      </c>
      <c r="T603" s="20" t="str">
        <f t="shared" ca="1" si="339"/>
        <v/>
      </c>
      <c r="U603" s="2">
        <f ca="1">IF(IF(OP!$C$83=1,$Z602,IF(OP!$C$83=2,$AA602,IF(OP!$C$83=3,$AB602,)))+$K603-$O603-$P603-$AS603&lt;OP!$C$142,0,$AS603)</f>
        <v>0</v>
      </c>
      <c r="V603" s="19">
        <f ca="1">SUM(K592:K603)</f>
        <v>0</v>
      </c>
      <c r="W603" s="19">
        <f ca="1">MAX(SUM($K$4:K603),0)</f>
        <v>2000000</v>
      </c>
      <c r="X603" s="19">
        <f ca="1">SUM(O592:P603)</f>
        <v>0</v>
      </c>
      <c r="Y603" s="19">
        <f t="shared" ca="1" si="365"/>
        <v>1920000</v>
      </c>
      <c r="Z603" s="2">
        <f ca="1">IF(MIN($Z$4:Z602)=0,0,MAX(0,($Z602+$K603-$O603-$P603)*IF(AND(F603="F",$D$3&lt;&gt;$G$3),((1+(-J603))^(H603/MIN(G603,365))),((1+(-J603))^(1/12)))-$U603))</f>
        <v>147734.35253129192</v>
      </c>
      <c r="AA603" s="2">
        <f ca="1">IF(MIN($AA$4:AA602)=0,0,MAX(0,($AA602+$K603-$O603-$P603)*IF(AND(F603="F",$D$3&lt;&gt;$G$3),((1+$AA$1)^(H603/MIN(G603,365))),((1+$AA$1)^(1/12)))-$U603))</f>
        <v>1920000</v>
      </c>
      <c r="AB603" s="2">
        <f ca="1">IF(MIN($AB$4:AB602)=0,0,MAX(0,($AB602+$K603-$O603-$P603)*IF(AND(F603="F",$D$3&lt;&gt;$G$3),((1+(J603))^(H603/MIN(G603,365))),((1+(J603))^(1/12)))-$U603))</f>
        <v>22017407.588647712</v>
      </c>
      <c r="AC603" s="5"/>
      <c r="AD603" s="5"/>
      <c r="AE603" s="5"/>
      <c r="AF603" s="282">
        <f t="shared" ca="1" si="348"/>
        <v>147734</v>
      </c>
      <c r="AG603" s="282">
        <f t="shared" ca="1" si="349"/>
        <v>1920000</v>
      </c>
      <c r="AH603" s="282">
        <f t="shared" ca="1" si="350"/>
        <v>22017408</v>
      </c>
      <c r="AI603" s="23" t="str">
        <f t="shared" ca="1" si="366"/>
        <v>51-1</v>
      </c>
      <c r="AJ603" s="282">
        <f ca="1">IF(E603&gt;111,,IF(AND(OP!$C$99=1,T603="F"),Z603,IF(AND(OP!$C$99=2,COUNTIF($T$4:T603,"F")=1),OP!$C$97+IF(F603="F",OP!$C$98,0),"")))</f>
        <v>54527</v>
      </c>
      <c r="AK603" s="282">
        <f ca="1">IF(E603&gt;111,,IF(AND(OP!$D$99=1,T603="F"),AA603,IF(AND(OP!$D$99=2,COUNTIF($T$4:T603,"F")=1),OP!$D$97+IF(F603="F",OP!$D$98,0),"")))</f>
        <v>74177</v>
      </c>
      <c r="AL603" s="282">
        <f ca="1">IF(E603&gt;111,,IF(AND(OP!$E$99=1,T603="F"),AB603,IF(AND(OP!$E$99=2,COUNTIF($T$4:T603,"F")=1),OP!$E$97+IF(F603="F",OP!$E$98,0),"")))</f>
        <v>99404</v>
      </c>
      <c r="AM603" s="1">
        <f t="shared" ca="1" si="340"/>
        <v>1</v>
      </c>
      <c r="AN603" s="1" t="e">
        <f ca="1">IF(OR(VLOOKUP($A603,MP,5,0)="月繳"),1,"")</f>
        <v>#N/A</v>
      </c>
      <c r="AO603" s="1">
        <f t="shared" ca="1" si="351"/>
        <v>0</v>
      </c>
      <c r="AP603" s="1" t="str">
        <f ca="1">IF(AND(A603&lt;=OP!$C$120,COUNTIF(PAY,C603)=1),1,"")</f>
        <v/>
      </c>
      <c r="AR603" s="301">
        <f ca="1">IF(繳費報酬率資料!$A$1=1,$AY603+$AZ603,$BF603+$BG603)</f>
        <v>0</v>
      </c>
      <c r="AS603" s="1">
        <f ca="1">IF(C603&lt;&gt;IF($C$3=1,12,$C$3-1),0,IF(繳費報酬率資料!$A$1&lt;&gt;1,VLOOKUP($A603,MP,8,0),IF(AND($A603&gt;=OP!$C$79,$A603&lt;=OP!$C$80),OP!$C$78,)))</f>
        <v>0</v>
      </c>
      <c r="AT603" s="298">
        <f t="shared" ca="1" si="352"/>
        <v>0</v>
      </c>
      <c r="AU603" s="298">
        <f ca="1">IF(AND(A603&lt;=OP!$C$120,COUNTIF(PAY,C603)=1),OP!$C$123,0)</f>
        <v>0</v>
      </c>
      <c r="AV603" s="298">
        <f ca="1">IF(AND(A603&gt;=OP!$C$132,A603&lt;=OP!$C$133,$C$3=C603),OP!$C$135,0)</f>
        <v>0</v>
      </c>
      <c r="AW603" s="180">
        <f t="shared" ca="1" si="353"/>
        <v>0.05</v>
      </c>
      <c r="AX603" s="180">
        <f t="shared" ca="1" si="354"/>
        <v>0.05</v>
      </c>
      <c r="AY603" s="286">
        <f t="shared" ca="1" si="355"/>
        <v>0</v>
      </c>
      <c r="AZ603" s="286">
        <f t="shared" ca="1" si="356"/>
        <v>0</v>
      </c>
      <c r="BA603" s="286">
        <f t="shared" ca="1" si="357"/>
        <v>0</v>
      </c>
      <c r="BB603" s="286">
        <f t="shared" ca="1" si="358"/>
        <v>0</v>
      </c>
      <c r="BC603" s="286">
        <f t="shared" ca="1" si="359"/>
        <v>0</v>
      </c>
      <c r="BD603" s="180">
        <f t="shared" ca="1" si="360"/>
        <v>0.05</v>
      </c>
      <c r="BE603" s="180">
        <f t="shared" ca="1" si="361"/>
        <v>0.05</v>
      </c>
      <c r="BF603" s="286">
        <f t="shared" ca="1" si="362"/>
        <v>0</v>
      </c>
      <c r="BG603" s="286">
        <f t="shared" ca="1" si="363"/>
        <v>0</v>
      </c>
    </row>
    <row r="604" spans="1:59">
      <c r="A604" s="1">
        <f t="shared" ca="1" si="342"/>
        <v>51</v>
      </c>
      <c r="B604" s="1">
        <f t="shared" ca="1" si="336"/>
        <v>156</v>
      </c>
      <c r="C604" s="1">
        <f t="shared" ca="1" si="337"/>
        <v>6</v>
      </c>
      <c r="D604" s="1">
        <f ca="1">MIN($D$3,VLOOKUP(C604,OP!$S$30:$T$41,2))</f>
        <v>2</v>
      </c>
      <c r="E604" s="1">
        <f t="shared" ca="1" si="338"/>
        <v>105</v>
      </c>
      <c r="F604" s="11" t="str">
        <f t="shared" ca="1" si="343"/>
        <v/>
      </c>
      <c r="G604" s="6">
        <f ca="1">DATEDIF(DATE(B604+1911,C604,D604),DATE(B616+1911,C616,D616),"d")</f>
        <v>366</v>
      </c>
      <c r="H604" s="8">
        <f t="shared" ca="1" si="345"/>
        <v>30</v>
      </c>
      <c r="I604" s="8" t="str">
        <f t="shared" ca="1" si="341"/>
        <v>516</v>
      </c>
      <c r="J604" s="13">
        <f>IF(繳費報酬率資料!$A$1=1,VALUE(OP!$C$121),VLOOKUP(A604,MP,2,0))</f>
        <v>0.05</v>
      </c>
      <c r="K604" s="14">
        <f ca="1">IF(SUM($K$4:K603,IF(繳費報酬率資料!$A$1=1,$AU604+$AV604,$BB604+$BC604))&gt;OP!$L$58,0,IF(繳費報酬率資料!$A$1=1,$AU604+$AV604,$BB604+$BC604))</f>
        <v>0</v>
      </c>
      <c r="L604" s="2"/>
      <c r="M604" s="2"/>
      <c r="N604" s="2"/>
      <c r="O604" s="261">
        <f t="shared" ca="1" si="346"/>
        <v>0</v>
      </c>
      <c r="P604" s="261">
        <f t="shared" ca="1" si="364"/>
        <v>0</v>
      </c>
      <c r="Q604" s="3">
        <f ca="1">IF(A604&gt;MAX(OP!$R$17:$R$26),0,VLOOKUP(A604,fees,3,FALSE))</f>
        <v>0</v>
      </c>
      <c r="R604" s="200" t="str">
        <f t="shared" ca="1" si="347"/>
        <v/>
      </c>
      <c r="S604" s="9" t="str">
        <f ca="1">IF(COUNTIF(($T$4:T603),"F")&gt;=1,"",IF(OR(C605&lt;&gt;$C$3,E604=""),"",A604))</f>
        <v/>
      </c>
      <c r="T604" s="20" t="str">
        <f t="shared" ca="1" si="339"/>
        <v/>
      </c>
      <c r="U604" s="2">
        <f ca="1">IF(IF(OP!$C$83=1,$Z603,IF(OP!$C$83=2,$AA603,IF(OP!$C$83=3,$AB603,)))+$K604-$O604-$P604-$AS604&lt;OP!$C$142,0,$AS604)</f>
        <v>0</v>
      </c>
      <c r="V604" s="9"/>
      <c r="W604" s="19">
        <f ca="1">MAX(SUM($K$4:K604),0)</f>
        <v>2000000</v>
      </c>
      <c r="X604" s="19"/>
      <c r="Y604" s="19">
        <f t="shared" ca="1" si="365"/>
        <v>1920000</v>
      </c>
      <c r="Z604" s="2">
        <f ca="1">IF(MIN($Z$4:Z603)=0,0,MAX(0,($Z603+$K604-$O604-$P604)*IF(AND(F604="F",$D$3&lt;&gt;$G$3),((1+(-J604))^(H604/MIN(G604,365))),((1+(-J604))^(1/12)))-$U604))</f>
        <v>147104.21842334943</v>
      </c>
      <c r="AA604" s="2">
        <f ca="1">IF(MIN($AA$4:AA603)=0,0,MAX(0,($AA603+$K604-$O604-$P604)*IF(AND(F604="F",$D$3&lt;&gt;$G$3),((1+$AA$1)^(H604/MIN(G604,365))),((1+$AA$1)^(1/12)))-$U604))</f>
        <v>1920000</v>
      </c>
      <c r="AB604" s="2">
        <f ca="1">IF(MIN($AB$4:AB603)=0,0,MAX(0,($AB603+$K604-$O604-$P604)*IF(AND(F604="F",$D$3&lt;&gt;$G$3),((1+(J604))^(H604/MIN(G604,365))),((1+(J604))^(1/12)))-$U604))</f>
        <v>22107109.232558902</v>
      </c>
      <c r="AC604" s="21"/>
      <c r="AD604" s="21"/>
      <c r="AE604" s="21"/>
      <c r="AF604" s="282">
        <f t="shared" ca="1" si="348"/>
        <v>147104</v>
      </c>
      <c r="AG604" s="282">
        <f t="shared" ca="1" si="349"/>
        <v>1920000</v>
      </c>
      <c r="AH604" s="282">
        <f t="shared" ca="1" si="350"/>
        <v>22107109</v>
      </c>
      <c r="AI604" s="23" t="str">
        <f t="shared" ca="1" si="366"/>
        <v>51-2</v>
      </c>
      <c r="AJ604" s="281">
        <f ca="1">IF(E604&gt;111,,IF(AND(OP!$C$99=1,T604="F"),Z604,IF(AND(OP!$C$99=2,COUNTIF($T$4:T604,"F")=1),OP!$C$97+IF(F604="F",OP!$C$98,0),"")))</f>
        <v>54527</v>
      </c>
      <c r="AK604" s="281">
        <f ca="1">IF(E604&gt;111,,IF(AND(OP!$D$99=1,T604="F"),AA604,IF(AND(OP!$D$99=2,COUNTIF($T$4:T604,"F")=1),OP!$D$97+IF(F604="F",OP!$D$98,0),"")))</f>
        <v>74177</v>
      </c>
      <c r="AL604" s="281">
        <f ca="1">IF(E604&gt;111,,IF(AND(OP!$E$99=1,T604="F"),AB604,IF(AND(OP!$E$99=2,COUNTIF($T$4:T604,"F")=1),OP!$E$97+IF(F604="F",OP!$E$98,0),"")))</f>
        <v>99404</v>
      </c>
      <c r="AM604" s="1">
        <f t="shared" ca="1" si="340"/>
        <v>2</v>
      </c>
      <c r="AN604" s="1" t="e">
        <f ca="1">IF(OR(VLOOKUP($A604,MP,5,0)="年繳",VLOOKUP($A604,MP,5,0)="半年繳",VLOOKUP($A604,MP,5,0)="季繳",VLOOKUP($A604,MP,5,0)="月繳"),1,"")</f>
        <v>#N/A</v>
      </c>
      <c r="AO604" s="1">
        <f t="shared" ca="1" si="351"/>
        <v>0</v>
      </c>
      <c r="AP604" s="1" t="str">
        <f ca="1">IF(AND(A604&lt;=OP!$C$120,COUNTIF(PAY,C604)=1),1,"")</f>
        <v/>
      </c>
      <c r="AR604" s="301">
        <f ca="1">IF(繳費報酬率資料!$A$1=1,$AY604+$AZ604,$BF604+$BG604)</f>
        <v>0</v>
      </c>
      <c r="AS604" s="1">
        <f ca="1">IF(C604&lt;&gt;IF($C$3=1,12,$C$3-1),0,IF(繳費報酬率資料!$A$1&lt;&gt;1,VLOOKUP($A604,MP,8,0),IF(AND($A604&gt;=OP!$C$79,$A604&lt;=OP!$C$80),OP!$C$78,)))</f>
        <v>0</v>
      </c>
      <c r="AT604" s="298">
        <f t="shared" ca="1" si="352"/>
        <v>0</v>
      </c>
      <c r="AU604" s="298">
        <f ca="1">IF(AND(A604&lt;=OP!$C$120,COUNTIF(PAY,C604)=1),OP!$C$123,0)</f>
        <v>0</v>
      </c>
      <c r="AV604" s="298">
        <f ca="1">IF(AND(A604&gt;=OP!$C$132,A604&lt;=OP!$C$133,$C$3=C604),OP!$C$135,0)</f>
        <v>0</v>
      </c>
      <c r="AW604" s="180">
        <f t="shared" ca="1" si="353"/>
        <v>0.05</v>
      </c>
      <c r="AX604" s="180">
        <f t="shared" ca="1" si="354"/>
        <v>0.05</v>
      </c>
      <c r="AY604" s="286">
        <f t="shared" ca="1" si="355"/>
        <v>0</v>
      </c>
      <c r="AZ604" s="286">
        <f t="shared" ca="1" si="356"/>
        <v>0</v>
      </c>
      <c r="BA604" s="286">
        <f t="shared" ca="1" si="357"/>
        <v>0</v>
      </c>
      <c r="BB604" s="286">
        <f t="shared" ca="1" si="358"/>
        <v>0</v>
      </c>
      <c r="BC604" s="286">
        <f t="shared" ca="1" si="359"/>
        <v>0</v>
      </c>
      <c r="BD604" s="180">
        <f t="shared" ca="1" si="360"/>
        <v>0.05</v>
      </c>
      <c r="BE604" s="180">
        <f t="shared" ca="1" si="361"/>
        <v>0.05</v>
      </c>
      <c r="BF604" s="286">
        <f t="shared" ca="1" si="362"/>
        <v>0</v>
      </c>
      <c r="BG604" s="286">
        <f t="shared" ca="1" si="363"/>
        <v>0</v>
      </c>
    </row>
    <row r="605" spans="1:59">
      <c r="A605" s="1">
        <f t="shared" ca="1" si="342"/>
        <v>51</v>
      </c>
      <c r="B605" s="1">
        <f t="shared" ca="1" si="336"/>
        <v>156</v>
      </c>
      <c r="C605" s="1">
        <f t="shared" ca="1" si="337"/>
        <v>7</v>
      </c>
      <c r="D605" s="1">
        <f ca="1">MIN($D$3,VLOOKUP(C605,OP!$S$30:$T$41,2))</f>
        <v>2</v>
      </c>
      <c r="E605" s="1">
        <f t="shared" ca="1" si="338"/>
        <v>105</v>
      </c>
      <c r="F605" s="11" t="str">
        <f t="shared" ca="1" si="343"/>
        <v/>
      </c>
      <c r="G605" s="8">
        <f t="shared" ref="G605:G615" ca="1" si="368">G604</f>
        <v>366</v>
      </c>
      <c r="H605" s="8">
        <f t="shared" ca="1" si="345"/>
        <v>31</v>
      </c>
      <c r="I605" s="8" t="str">
        <f t="shared" ca="1" si="341"/>
        <v>517</v>
      </c>
      <c r="J605" s="13">
        <f>IF(繳費報酬率資料!$A$1=1,VALUE(OP!$C$121),VLOOKUP(A605,MP,2,0))</f>
        <v>0.05</v>
      </c>
      <c r="K605" s="14">
        <f ca="1">IF(SUM($K$4:K604,IF(繳費報酬率資料!$A$1=1,$AU605+$AV605,$BB605+$BC605))&gt;OP!$L$58,0,IF(繳費報酬率資料!$A$1=1,$AU605+$AV605,$BB605+$BC605))</f>
        <v>0</v>
      </c>
      <c r="L605" s="2"/>
      <c r="M605" s="2"/>
      <c r="N605" s="2"/>
      <c r="O605" s="261">
        <f t="shared" ca="1" si="346"/>
        <v>0</v>
      </c>
      <c r="P605" s="261">
        <f t="shared" ca="1" si="364"/>
        <v>0</v>
      </c>
      <c r="Q605" s="3">
        <f ca="1">IF(A605&gt;MAX(OP!$R$17:$R$26),0,VLOOKUP(A605,fees,3,FALSE))</f>
        <v>0</v>
      </c>
      <c r="R605" s="200" t="str">
        <f t="shared" ca="1" si="347"/>
        <v/>
      </c>
      <c r="S605" s="9" t="str">
        <f ca="1">IF(COUNTIF(($T$4:T604),"F")&gt;=1,"",IF(OR(C606&lt;&gt;$C$3,E605=""),"",A605))</f>
        <v/>
      </c>
      <c r="T605" s="20" t="str">
        <f t="shared" ca="1" si="339"/>
        <v/>
      </c>
      <c r="U605" s="2">
        <f ca="1">IF(IF(OP!$C$83=1,$Z604,IF(OP!$C$83=2,$AA604,IF(OP!$C$83=3,$AB604,)))+$K605-$O605-$P605-$AS605&lt;OP!$C$142,0,$AS605)</f>
        <v>0</v>
      </c>
      <c r="V605" s="9"/>
      <c r="W605" s="19">
        <f ca="1">MAX(SUM($K$4:K605),0)</f>
        <v>2000000</v>
      </c>
      <c r="X605" s="19"/>
      <c r="Y605" s="19">
        <f t="shared" ca="1" si="365"/>
        <v>1920000</v>
      </c>
      <c r="Z605" s="2">
        <f ca="1">IF(MIN($Z$4:Z604)=0,0,MAX(0,($Z604+$K605-$O605-$P605)*IF(AND(F605="F",$D$3&lt;&gt;$G$3),((1+(-J605))^(H605/MIN(G605,365))),((1+(-J605))^(1/12)))-$U605))</f>
        <v>146476.77203824994</v>
      </c>
      <c r="AA605" s="2">
        <f ca="1">IF(MIN($AA$4:AA604)=0,0,MAX(0,($AA604+$K605-$O605-$P605)*IF(AND(F605="F",$D$3&lt;&gt;$G$3),((1+$AA$1)^(H605/MIN(G605,365))),((1+$AA$1)^(1/12)))-$U605))</f>
        <v>1920000</v>
      </c>
      <c r="AB605" s="2">
        <f ca="1">IF(MIN($AB$4:AB604)=0,0,MAX(0,($AB604+$K605-$O605-$P605)*IF(AND(F605="F",$D$3&lt;&gt;$G$3),((1+(J605))^(H605/MIN(G605,365))),((1+(J605))^(1/12)))-$U605))</f>
        <v>22197176.332070984</v>
      </c>
      <c r="AC605" s="5"/>
      <c r="AD605" s="5"/>
      <c r="AE605" s="5"/>
      <c r="AF605" s="282">
        <f t="shared" ca="1" si="348"/>
        <v>146477</v>
      </c>
      <c r="AG605" s="282">
        <f t="shared" ca="1" si="349"/>
        <v>1920000</v>
      </c>
      <c r="AH605" s="282">
        <f t="shared" ca="1" si="350"/>
        <v>22197176</v>
      </c>
      <c r="AI605" s="23" t="str">
        <f t="shared" ca="1" si="366"/>
        <v>51-3</v>
      </c>
      <c r="AJ605" s="282">
        <f ca="1">IF(E605&gt;111,,IF(AND(OP!$C$99=1,T605="F"),Z605,IF(AND(OP!$C$99=2,COUNTIF($T$4:T605,"F")=1),OP!$C$97+IF(F605="F",OP!$C$98,0),"")))</f>
        <v>54527</v>
      </c>
      <c r="AK605" s="282">
        <f ca="1">IF(E605&gt;111,,IF(AND(OP!$D$99=1,T605="F"),AA605,IF(AND(OP!$D$99=2,COUNTIF($T$4:T605,"F")=1),OP!$D$97+IF(F605="F",OP!$D$98,0),"")))</f>
        <v>74177</v>
      </c>
      <c r="AL605" s="282">
        <f ca="1">IF(E605&gt;111,,IF(AND(OP!$E$99=1,T605="F"),AB605,IF(AND(OP!$E$99=2,COUNTIF($T$4:T605,"F")=1),OP!$E$97+IF(F605="F",OP!$E$98,0),"")))</f>
        <v>99404</v>
      </c>
      <c r="AM605" s="1">
        <f t="shared" ca="1" si="340"/>
        <v>3</v>
      </c>
      <c r="AN605" s="1" t="e">
        <f ca="1">IF(OR(VLOOKUP($A605,MP,5,0)="月繳"),1,"")</f>
        <v>#N/A</v>
      </c>
      <c r="AO605" s="1">
        <f t="shared" ca="1" si="351"/>
        <v>0</v>
      </c>
      <c r="AP605" s="1" t="str">
        <f ca="1">IF(AND(A605&lt;=OP!$C$120,COUNTIF(PAY,C605)=1),1,"")</f>
        <v/>
      </c>
      <c r="AR605" s="301">
        <f ca="1">IF(繳費報酬率資料!$A$1=1,$AY605+$AZ605,$BF605+$BG605)</f>
        <v>0</v>
      </c>
      <c r="AS605" s="1">
        <f ca="1">IF(C605&lt;&gt;IF($C$3=1,12,$C$3-1),0,IF(繳費報酬率資料!$A$1&lt;&gt;1,VLOOKUP($A605,MP,8,0),IF(AND($A605&gt;=OP!$C$79,$A605&lt;=OP!$C$80),OP!$C$78,)))</f>
        <v>0</v>
      </c>
      <c r="AT605" s="298">
        <f t="shared" ca="1" si="352"/>
        <v>0</v>
      </c>
      <c r="AU605" s="298">
        <f ca="1">IF(AND(A605&lt;=OP!$C$120,COUNTIF(PAY,C605)=1),OP!$C$123,0)</f>
        <v>0</v>
      </c>
      <c r="AV605" s="298">
        <f ca="1">IF(AND(A605&gt;=OP!$C$132,A605&lt;=OP!$C$133,$C$3=C605),OP!$C$135,0)</f>
        <v>0</v>
      </c>
      <c r="AW605" s="180">
        <f t="shared" ca="1" si="353"/>
        <v>0.05</v>
      </c>
      <c r="AX605" s="180">
        <f t="shared" ca="1" si="354"/>
        <v>0.05</v>
      </c>
      <c r="AY605" s="286">
        <f t="shared" ca="1" si="355"/>
        <v>0</v>
      </c>
      <c r="AZ605" s="286">
        <f t="shared" ca="1" si="356"/>
        <v>0</v>
      </c>
      <c r="BA605" s="286">
        <f t="shared" ca="1" si="357"/>
        <v>0</v>
      </c>
      <c r="BB605" s="286">
        <f t="shared" ca="1" si="358"/>
        <v>0</v>
      </c>
      <c r="BC605" s="286">
        <f t="shared" ca="1" si="359"/>
        <v>0</v>
      </c>
      <c r="BD605" s="180">
        <f t="shared" ca="1" si="360"/>
        <v>0.05</v>
      </c>
      <c r="BE605" s="180">
        <f t="shared" ca="1" si="361"/>
        <v>0.05</v>
      </c>
      <c r="BF605" s="286">
        <f t="shared" ca="1" si="362"/>
        <v>0</v>
      </c>
      <c r="BG605" s="286">
        <f t="shared" ca="1" si="363"/>
        <v>0</v>
      </c>
    </row>
    <row r="606" spans="1:59">
      <c r="A606" s="1">
        <f t="shared" ca="1" si="342"/>
        <v>51</v>
      </c>
      <c r="B606" s="1">
        <f t="shared" ca="1" si="336"/>
        <v>156</v>
      </c>
      <c r="C606" s="1">
        <f t="shared" ca="1" si="337"/>
        <v>8</v>
      </c>
      <c r="D606" s="1">
        <f ca="1">MIN($D$3,VLOOKUP(C606,OP!$S$30:$T$41,2))</f>
        <v>2</v>
      </c>
      <c r="E606" s="1">
        <f t="shared" ca="1" si="338"/>
        <v>105</v>
      </c>
      <c r="F606" s="11" t="str">
        <f t="shared" ca="1" si="343"/>
        <v/>
      </c>
      <c r="G606" s="8">
        <f t="shared" ca="1" si="368"/>
        <v>366</v>
      </c>
      <c r="H606" s="8">
        <f t="shared" ca="1" si="345"/>
        <v>31</v>
      </c>
      <c r="I606" s="8" t="str">
        <f t="shared" ca="1" si="341"/>
        <v>518</v>
      </c>
      <c r="J606" s="13">
        <f>IF(繳費報酬率資料!$A$1=1,VALUE(OP!$C$121),VLOOKUP(A606,MP,2,0))</f>
        <v>0.05</v>
      </c>
      <c r="K606" s="14">
        <f ca="1">IF(SUM($K$4:K605,IF(繳費報酬率資料!$A$1=1,$AU606+$AV606,$BB606+$BC606))&gt;OP!$L$58,0,IF(繳費報酬率資料!$A$1=1,$AU606+$AV606,$BB606+$BC606))</f>
        <v>0</v>
      </c>
      <c r="L606" s="2"/>
      <c r="M606" s="2"/>
      <c r="N606" s="2"/>
      <c r="O606" s="261">
        <f t="shared" ca="1" si="346"/>
        <v>0</v>
      </c>
      <c r="P606" s="261">
        <f t="shared" ca="1" si="364"/>
        <v>0</v>
      </c>
      <c r="Q606" s="3">
        <f ca="1">IF(A606&gt;MAX(OP!$R$17:$R$26),0,VLOOKUP(A606,fees,3,FALSE))</f>
        <v>0</v>
      </c>
      <c r="R606" s="200" t="str">
        <f t="shared" ca="1" si="347"/>
        <v/>
      </c>
      <c r="S606" s="9" t="str">
        <f ca="1">IF(COUNTIF(($T$4:T605),"F")&gt;=1,"",IF(OR(C607&lt;&gt;$C$3,E606=""),"",A606))</f>
        <v/>
      </c>
      <c r="T606" s="20" t="str">
        <f t="shared" ca="1" si="339"/>
        <v/>
      </c>
      <c r="U606" s="2">
        <f ca="1">IF(IF(OP!$C$83=1,$Z605,IF(OP!$C$83=2,$AA605,IF(OP!$C$83=3,$AB605,)))+$K606-$O606-$P606-$AS606&lt;OP!$C$142,0,$AS606)</f>
        <v>0</v>
      </c>
      <c r="V606" s="9"/>
      <c r="W606" s="19">
        <f ca="1">MAX(SUM($K$4:K606),0)</f>
        <v>2000000</v>
      </c>
      <c r="X606" s="19"/>
      <c r="Y606" s="19">
        <f t="shared" ca="1" si="365"/>
        <v>1920000</v>
      </c>
      <c r="Z606" s="2">
        <f ca="1">IF(MIN($Z$4:Z605)=0,0,MAX(0,($Z605+$K606-$O606-$P606)*IF(AND(F606="F",$D$3&lt;&gt;$G$3),((1+(-J606))^(H606/MIN(G606,365))),((1+(-J606))^(1/12)))-$U606))</f>
        <v>145852.00191199873</v>
      </c>
      <c r="AA606" s="2">
        <f ca="1">IF(MIN($AA$4:AA605)=0,0,MAX(0,($AA605+$K606-$O606-$P606)*IF(AND(F606="F",$D$3&lt;&gt;$G$3),((1+$AA$1)^(H606/MIN(G606,365))),((1+$AA$1)^(1/12)))-$U606))</f>
        <v>1920000</v>
      </c>
      <c r="AB606" s="2">
        <f ca="1">IF(MIN($AB$4:AB605)=0,0,MAX(0,($AB605+$K606-$O606-$P606)*IF(AND(F606="F",$D$3&lt;&gt;$G$3),((1+(J606))^(H606/MIN(G606,365))),((1+(J606))^(1/12)))-$U606))</f>
        <v>22287610.37609531</v>
      </c>
      <c r="AC606" s="5"/>
      <c r="AD606" s="5"/>
      <c r="AE606" s="5"/>
      <c r="AF606" s="282">
        <f t="shared" ca="1" si="348"/>
        <v>145852</v>
      </c>
      <c r="AG606" s="282">
        <f t="shared" ca="1" si="349"/>
        <v>1920000</v>
      </c>
      <c r="AH606" s="282">
        <f t="shared" ca="1" si="350"/>
        <v>22287610</v>
      </c>
      <c r="AI606" s="23" t="str">
        <f t="shared" ca="1" si="366"/>
        <v>51-4</v>
      </c>
      <c r="AJ606" s="282">
        <f ca="1">IF(E606&gt;111,,IF(AND(OP!$C$99=1,T606="F"),Z606,IF(AND(OP!$C$99=2,COUNTIF($T$4:T606,"F")=1),OP!$C$97+IF(F606="F",OP!$C$98,0),"")))</f>
        <v>54527</v>
      </c>
      <c r="AK606" s="282">
        <f ca="1">IF(E606&gt;111,,IF(AND(OP!$D$99=1,T606="F"),AA606,IF(AND(OP!$D$99=2,COUNTIF($T$4:T606,"F")=1),OP!$D$97+IF(F606="F",OP!$D$98,0),"")))</f>
        <v>74177</v>
      </c>
      <c r="AL606" s="282">
        <f ca="1">IF(E606&gt;111,,IF(AND(OP!$E$99=1,T606="F"),AB606,IF(AND(OP!$E$99=2,COUNTIF($T$4:T606,"F")=1),OP!$E$97+IF(F606="F",OP!$E$98,0),"")))</f>
        <v>99404</v>
      </c>
      <c r="AM606" s="1">
        <f t="shared" ca="1" si="340"/>
        <v>4</v>
      </c>
      <c r="AN606" s="1" t="e">
        <f ca="1">IF(OR(VLOOKUP($A606,MP,5,0)="月繳"),1,"")</f>
        <v>#N/A</v>
      </c>
      <c r="AO606" s="1">
        <f t="shared" ca="1" si="351"/>
        <v>0</v>
      </c>
      <c r="AP606" s="1" t="str">
        <f ca="1">IF(AND(A606&lt;=OP!$C$120,COUNTIF(PAY,C606)=1),1,"")</f>
        <v/>
      </c>
      <c r="AR606" s="301">
        <f ca="1">IF(繳費報酬率資料!$A$1=1,$AY606+$AZ606,$BF606+$BG606)</f>
        <v>0</v>
      </c>
      <c r="AS606" s="1">
        <f ca="1">IF(C606&lt;&gt;IF($C$3=1,12,$C$3-1),0,IF(繳費報酬率資料!$A$1&lt;&gt;1,VLOOKUP($A606,MP,8,0),IF(AND($A606&gt;=OP!$C$79,$A606&lt;=OP!$C$80),OP!$C$78,)))</f>
        <v>0</v>
      </c>
      <c r="AT606" s="298">
        <f t="shared" ca="1" si="352"/>
        <v>0</v>
      </c>
      <c r="AU606" s="298">
        <f ca="1">IF(AND(A606&lt;=OP!$C$120,COUNTIF(PAY,C606)=1),OP!$C$123,0)</f>
        <v>0</v>
      </c>
      <c r="AV606" s="298">
        <f ca="1">IF(AND(A606&gt;=OP!$C$132,A606&lt;=OP!$C$133,$C$3=C606),OP!$C$135,0)</f>
        <v>0</v>
      </c>
      <c r="AW606" s="180">
        <f t="shared" ca="1" si="353"/>
        <v>0.05</v>
      </c>
      <c r="AX606" s="180">
        <f t="shared" ca="1" si="354"/>
        <v>0.05</v>
      </c>
      <c r="AY606" s="286">
        <f t="shared" ca="1" si="355"/>
        <v>0</v>
      </c>
      <c r="AZ606" s="286">
        <f t="shared" ca="1" si="356"/>
        <v>0</v>
      </c>
      <c r="BA606" s="286">
        <f t="shared" ca="1" si="357"/>
        <v>0</v>
      </c>
      <c r="BB606" s="286">
        <f t="shared" ca="1" si="358"/>
        <v>0</v>
      </c>
      <c r="BC606" s="286">
        <f t="shared" ca="1" si="359"/>
        <v>0</v>
      </c>
      <c r="BD606" s="180">
        <f t="shared" ca="1" si="360"/>
        <v>0.05</v>
      </c>
      <c r="BE606" s="180">
        <f t="shared" ca="1" si="361"/>
        <v>0.05</v>
      </c>
      <c r="BF606" s="286">
        <f t="shared" ca="1" si="362"/>
        <v>0</v>
      </c>
      <c r="BG606" s="286">
        <f t="shared" ca="1" si="363"/>
        <v>0</v>
      </c>
    </row>
    <row r="607" spans="1:59">
      <c r="A607" s="1">
        <f t="shared" ca="1" si="342"/>
        <v>51</v>
      </c>
      <c r="B607" s="1">
        <f t="shared" ca="1" si="336"/>
        <v>156</v>
      </c>
      <c r="C607" s="1">
        <f t="shared" ca="1" si="337"/>
        <v>9</v>
      </c>
      <c r="D607" s="1">
        <f ca="1">MIN($D$3,VLOOKUP(C607,OP!$S$30:$T$41,2))</f>
        <v>2</v>
      </c>
      <c r="E607" s="1">
        <f t="shared" ca="1" si="338"/>
        <v>105</v>
      </c>
      <c r="F607" s="11" t="str">
        <f t="shared" ca="1" si="343"/>
        <v/>
      </c>
      <c r="G607" s="8">
        <f t="shared" ca="1" si="368"/>
        <v>366</v>
      </c>
      <c r="H607" s="8">
        <f t="shared" ca="1" si="345"/>
        <v>30</v>
      </c>
      <c r="I607" s="8" t="str">
        <f t="shared" ca="1" si="341"/>
        <v>519</v>
      </c>
      <c r="J607" s="13">
        <f>IF(繳費報酬率資料!$A$1=1,VALUE(OP!$C$121),VLOOKUP(A607,MP,2,0))</f>
        <v>0.05</v>
      </c>
      <c r="K607" s="14">
        <f ca="1">IF(SUM($K$4:K606,IF(繳費報酬率資料!$A$1=1,$AU607+$AV607,$BB607+$BC607))&gt;OP!$L$58,0,IF(繳費報酬率資料!$A$1=1,$AU607+$AV607,$BB607+$BC607))</f>
        <v>0</v>
      </c>
      <c r="L607" s="2"/>
      <c r="M607" s="2"/>
      <c r="N607" s="2"/>
      <c r="O607" s="261">
        <f t="shared" ca="1" si="346"/>
        <v>0</v>
      </c>
      <c r="P607" s="261">
        <f t="shared" ca="1" si="364"/>
        <v>0</v>
      </c>
      <c r="Q607" s="3">
        <f ca="1">IF(A607&gt;MAX(OP!$R$17:$R$26),0,VLOOKUP(A607,fees,3,FALSE))</f>
        <v>0</v>
      </c>
      <c r="R607" s="200" t="str">
        <f t="shared" ca="1" si="347"/>
        <v/>
      </c>
      <c r="S607" s="9" t="str">
        <f ca="1">IF(COUNTIF(($T$4:T606),"F")&gt;=1,"",IF(OR(C608&lt;&gt;$C$3,E607=""),"",A607))</f>
        <v/>
      </c>
      <c r="T607" s="20" t="str">
        <f t="shared" ca="1" si="339"/>
        <v/>
      </c>
      <c r="U607" s="2">
        <f ca="1">IF(IF(OP!$C$83=1,$Z606,IF(OP!$C$83=2,$AA606,IF(OP!$C$83=3,$AB606,)))+$K607-$O607-$P607-$AS607&lt;OP!$C$142,0,$AS607)</f>
        <v>0</v>
      </c>
      <c r="V607" s="9"/>
      <c r="W607" s="19">
        <f ca="1">MAX(SUM($K$4:K607),0)</f>
        <v>2000000</v>
      </c>
      <c r="X607" s="19"/>
      <c r="Y607" s="19">
        <f t="shared" ca="1" si="365"/>
        <v>1920000</v>
      </c>
      <c r="Z607" s="2">
        <f ca="1">IF(MIN($Z$4:Z606)=0,0,MAX(0,($Z606+$K607-$O607-$P607)*IF(AND(F607="F",$D$3&lt;&gt;$G$3),((1+(-J607))^(H607/MIN(G607,365))),((1+(-J607))^(1/12)))-$U607))</f>
        <v>145229.89662949866</v>
      </c>
      <c r="AA607" s="2">
        <f ca="1">IF(MIN($AA$4:AA606)=0,0,MAX(0,($AA606+$K607-$O607-$P607)*IF(AND(F607="F",$D$3&lt;&gt;$G$3),((1+$AA$1)^(H607/MIN(G607,365))),((1+$AA$1)^(1/12)))-$U607))</f>
        <v>1920000</v>
      </c>
      <c r="AB607" s="2">
        <f ca="1">IF(MIN($AB$4:AB606)=0,0,MAX(0,($AB606+$K607-$O607-$P607)*IF(AND(F607="F",$D$3&lt;&gt;$G$3),((1+(J607))^(H607/MIN(G607,365))),((1+(J607))^(1/12)))-$U607))</f>
        <v>22378412.859609246</v>
      </c>
      <c r="AC607" s="5"/>
      <c r="AD607" s="5"/>
      <c r="AE607" s="5"/>
      <c r="AF607" s="282">
        <f t="shared" ca="1" si="348"/>
        <v>145230</v>
      </c>
      <c r="AG607" s="282">
        <f t="shared" ca="1" si="349"/>
        <v>1920000</v>
      </c>
      <c r="AH607" s="282">
        <f t="shared" ca="1" si="350"/>
        <v>22378413</v>
      </c>
      <c r="AI607" s="23" t="str">
        <f t="shared" ca="1" si="366"/>
        <v>51-5</v>
      </c>
      <c r="AJ607" s="282">
        <f ca="1">IF(E607&gt;111,,IF(AND(OP!$C$99=1,T607="F"),Z607,IF(AND(OP!$C$99=2,COUNTIF($T$4:T607,"F")=1),OP!$C$97+IF(F607="F",OP!$C$98,0),"")))</f>
        <v>54527</v>
      </c>
      <c r="AK607" s="282">
        <f ca="1">IF(E607&gt;111,,IF(AND(OP!$D$99=1,T607="F"),AA607,IF(AND(OP!$D$99=2,COUNTIF($T$4:T607,"F")=1),OP!$D$97+IF(F607="F",OP!$D$98,0),"")))</f>
        <v>74177</v>
      </c>
      <c r="AL607" s="282">
        <f ca="1">IF(E607&gt;111,,IF(AND(OP!$E$99=1,T607="F"),AB607,IF(AND(OP!$E$99=2,COUNTIF($T$4:T607,"F")=1),OP!$E$97+IF(F607="F",OP!$E$98,0),"")))</f>
        <v>99404</v>
      </c>
      <c r="AM607" s="1">
        <f t="shared" ca="1" si="340"/>
        <v>5</v>
      </c>
      <c r="AN607" s="1" t="e">
        <f ca="1">IF(OR(VLOOKUP($A607,MP,5,0)="季繳",VLOOKUP($A607,MP,5,0)="月繳"),1,"")</f>
        <v>#N/A</v>
      </c>
      <c r="AO607" s="1">
        <f t="shared" ca="1" si="351"/>
        <v>0</v>
      </c>
      <c r="AP607" s="1" t="str">
        <f ca="1">IF(AND(A607&lt;=OP!$C$120,COUNTIF(PAY,C607)=1),1,"")</f>
        <v/>
      </c>
      <c r="AR607" s="301">
        <f ca="1">IF(繳費報酬率資料!$A$1=1,$AY607+$AZ607,$BF607+$BG607)</f>
        <v>0</v>
      </c>
      <c r="AS607" s="1">
        <f ca="1">IF(C607&lt;&gt;IF($C$3=1,12,$C$3-1),0,IF(繳費報酬率資料!$A$1&lt;&gt;1,VLOOKUP($A607,MP,8,0),IF(AND($A607&gt;=OP!$C$79,$A607&lt;=OP!$C$80),OP!$C$78,)))</f>
        <v>0</v>
      </c>
      <c r="AT607" s="298">
        <f t="shared" ca="1" si="352"/>
        <v>0</v>
      </c>
      <c r="AU607" s="298">
        <f ca="1">IF(AND(A607&lt;=OP!$C$120,COUNTIF(PAY,C607)=1),OP!$C$123,0)</f>
        <v>0</v>
      </c>
      <c r="AV607" s="298">
        <f ca="1">IF(AND(A607&gt;=OP!$C$132,A607&lt;=OP!$C$133,$C$3=C607),OP!$C$135,0)</f>
        <v>0</v>
      </c>
      <c r="AW607" s="180">
        <f t="shared" ca="1" si="353"/>
        <v>0.05</v>
      </c>
      <c r="AX607" s="180">
        <f t="shared" ca="1" si="354"/>
        <v>0.05</v>
      </c>
      <c r="AY607" s="286">
        <f t="shared" ca="1" si="355"/>
        <v>0</v>
      </c>
      <c r="AZ607" s="286">
        <f t="shared" ca="1" si="356"/>
        <v>0</v>
      </c>
      <c r="BA607" s="286">
        <f t="shared" ca="1" si="357"/>
        <v>0</v>
      </c>
      <c r="BB607" s="286">
        <f t="shared" ca="1" si="358"/>
        <v>0</v>
      </c>
      <c r="BC607" s="286">
        <f t="shared" ca="1" si="359"/>
        <v>0</v>
      </c>
      <c r="BD607" s="180">
        <f t="shared" ca="1" si="360"/>
        <v>0.05</v>
      </c>
      <c r="BE607" s="180">
        <f t="shared" ca="1" si="361"/>
        <v>0.05</v>
      </c>
      <c r="BF607" s="286">
        <f t="shared" ca="1" si="362"/>
        <v>0</v>
      </c>
      <c r="BG607" s="286">
        <f t="shared" ca="1" si="363"/>
        <v>0</v>
      </c>
    </row>
    <row r="608" spans="1:59">
      <c r="A608" s="1">
        <f t="shared" ca="1" si="342"/>
        <v>51</v>
      </c>
      <c r="B608" s="1">
        <f t="shared" ca="1" si="336"/>
        <v>156</v>
      </c>
      <c r="C608" s="1">
        <f t="shared" ca="1" si="337"/>
        <v>10</v>
      </c>
      <c r="D608" s="1">
        <f ca="1">MIN($D$3,VLOOKUP(C608,OP!$S$30:$T$41,2))</f>
        <v>2</v>
      </c>
      <c r="E608" s="1">
        <f t="shared" ca="1" si="338"/>
        <v>105</v>
      </c>
      <c r="F608" s="11" t="str">
        <f t="shared" ca="1" si="343"/>
        <v/>
      </c>
      <c r="G608" s="8">
        <f t="shared" ca="1" si="368"/>
        <v>366</v>
      </c>
      <c r="H608" s="8">
        <f t="shared" ca="1" si="345"/>
        <v>31</v>
      </c>
      <c r="I608" s="8" t="str">
        <f t="shared" ca="1" si="341"/>
        <v>5110</v>
      </c>
      <c r="J608" s="13">
        <f>IF(繳費報酬率資料!$A$1=1,VALUE(OP!$C$121),VLOOKUP(A608,MP,2,0))</f>
        <v>0.05</v>
      </c>
      <c r="K608" s="14">
        <f ca="1">IF(SUM($K$4:K607,IF(繳費報酬率資料!$A$1=1,$AU608+$AV608,$BB608+$BC608))&gt;OP!$L$58,0,IF(繳費報酬率資料!$A$1=1,$AU608+$AV608,$BB608+$BC608))</f>
        <v>0</v>
      </c>
      <c r="L608" s="2"/>
      <c r="M608" s="2"/>
      <c r="N608" s="2"/>
      <c r="O608" s="261">
        <f t="shared" ca="1" si="346"/>
        <v>0</v>
      </c>
      <c r="P608" s="261">
        <f t="shared" ca="1" si="364"/>
        <v>0</v>
      </c>
      <c r="Q608" s="3">
        <f ca="1">IF(A608&gt;MAX(OP!$R$17:$R$26),0,VLOOKUP(A608,fees,3,FALSE))</f>
        <v>0</v>
      </c>
      <c r="R608" s="200" t="str">
        <f t="shared" ca="1" si="347"/>
        <v/>
      </c>
      <c r="S608" s="9" t="str">
        <f ca="1">IF(COUNTIF(($T$4:T607),"F")&gt;=1,"",IF(OR(C609&lt;&gt;$C$3,E608=""),"",A608))</f>
        <v/>
      </c>
      <c r="T608" s="20" t="str">
        <f t="shared" ca="1" si="339"/>
        <v/>
      </c>
      <c r="U608" s="2">
        <f ca="1">IF(IF(OP!$C$83=1,$Z607,IF(OP!$C$83=2,$AA607,IF(OP!$C$83=3,$AB607,)))+$K608-$O608-$P608-$AS608&lt;OP!$C$142,0,$AS608)</f>
        <v>0</v>
      </c>
      <c r="V608" s="9"/>
      <c r="W608" s="19">
        <f ca="1">MAX(SUM($K$4:K608),0)</f>
        <v>2000000</v>
      </c>
      <c r="X608" s="19"/>
      <c r="Y608" s="19">
        <f t="shared" ca="1" si="365"/>
        <v>1920000</v>
      </c>
      <c r="Z608" s="2">
        <f ca="1">IF(MIN($Z$4:Z607)=0,0,MAX(0,($Z607+$K608-$O608-$P608)*IF(AND(F608="F",$D$3&lt;&gt;$G$3),((1+(-J608))^(H608/MIN(G608,365))),((1+(-J608))^(1/12)))-$U608))</f>
        <v>144610.44482434166</v>
      </c>
      <c r="AA608" s="2">
        <f ca="1">IF(MIN($AA$4:AA607)=0,0,MAX(0,($AA607+$K608-$O608-$P608)*IF(AND(F608="F",$D$3&lt;&gt;$G$3),((1+$AA$1)^(H608/MIN(G608,365))),((1+$AA$1)^(1/12)))-$U608))</f>
        <v>1920000</v>
      </c>
      <c r="AB608" s="2">
        <f ca="1">IF(MIN($AB$4:AB607)=0,0,MAX(0,($AB607+$K608-$O608-$P608)*IF(AND(F608="F",$D$3&lt;&gt;$G$3),((1+(J608))^(H608/MIN(G608,365))),((1+(J608))^(1/12)))-$U608))</f>
        <v>22469585.283680882</v>
      </c>
      <c r="AC608" s="5"/>
      <c r="AD608" s="5"/>
      <c r="AE608" s="5"/>
      <c r="AF608" s="282">
        <f t="shared" ca="1" si="348"/>
        <v>144610</v>
      </c>
      <c r="AG608" s="282">
        <f t="shared" ca="1" si="349"/>
        <v>1920000</v>
      </c>
      <c r="AH608" s="282">
        <f t="shared" ca="1" si="350"/>
        <v>22469585</v>
      </c>
      <c r="AI608" s="23" t="str">
        <f t="shared" ca="1" si="366"/>
        <v>51-6</v>
      </c>
      <c r="AJ608" s="282">
        <f ca="1">IF(E608&gt;111,,IF(AND(OP!$C$99=1,T608="F"),Z608,IF(AND(OP!$C$99=2,COUNTIF($T$4:T608,"F")=1),OP!$C$97+IF(F608="F",OP!$C$98,0),"")))</f>
        <v>54527</v>
      </c>
      <c r="AK608" s="282">
        <f ca="1">IF(E608&gt;111,,IF(AND(OP!$D$99=1,T608="F"),AA608,IF(AND(OP!$D$99=2,COUNTIF($T$4:T608,"F")=1),OP!$D$97+IF(F608="F",OP!$D$98,0),"")))</f>
        <v>74177</v>
      </c>
      <c r="AL608" s="282">
        <f ca="1">IF(E608&gt;111,,IF(AND(OP!$E$99=1,T608="F"),AB608,IF(AND(OP!$E$99=2,COUNTIF($T$4:T608,"F")=1),OP!$E$97+IF(F608="F",OP!$E$98,0),"")))</f>
        <v>99404</v>
      </c>
      <c r="AM608" s="1">
        <f t="shared" ca="1" si="340"/>
        <v>6</v>
      </c>
      <c r="AN608" s="1" t="e">
        <f ca="1">IF(OR(VLOOKUP($A608,MP,5,0)="月繳"),1,"")</f>
        <v>#N/A</v>
      </c>
      <c r="AO608" s="1">
        <f t="shared" ca="1" si="351"/>
        <v>0</v>
      </c>
      <c r="AP608" s="1" t="str">
        <f ca="1">IF(AND(A608&lt;=OP!$C$120,COUNTIF(PAY,C608)=1),1,"")</f>
        <v/>
      </c>
      <c r="AR608" s="301">
        <f ca="1">IF(繳費報酬率資料!$A$1=1,$AY608+$AZ608,$BF608+$BG608)</f>
        <v>0</v>
      </c>
      <c r="AS608" s="1">
        <f ca="1">IF(C608&lt;&gt;IF($C$3=1,12,$C$3-1),0,IF(繳費報酬率資料!$A$1&lt;&gt;1,VLOOKUP($A608,MP,8,0),IF(AND($A608&gt;=OP!$C$79,$A608&lt;=OP!$C$80),OP!$C$78,)))</f>
        <v>0</v>
      </c>
      <c r="AT608" s="298">
        <f t="shared" ca="1" si="352"/>
        <v>0</v>
      </c>
      <c r="AU608" s="298">
        <f ca="1">IF(AND(A608&lt;=OP!$C$120,COUNTIF(PAY,C608)=1),OP!$C$123,0)</f>
        <v>0</v>
      </c>
      <c r="AV608" s="298">
        <f ca="1">IF(AND(A608&gt;=OP!$C$132,A608&lt;=OP!$C$133,$C$3=C608),OP!$C$135,0)</f>
        <v>0</v>
      </c>
      <c r="AW608" s="180">
        <f t="shared" ca="1" si="353"/>
        <v>0.05</v>
      </c>
      <c r="AX608" s="180">
        <f t="shared" ca="1" si="354"/>
        <v>0.05</v>
      </c>
      <c r="AY608" s="286">
        <f t="shared" ca="1" si="355"/>
        <v>0</v>
      </c>
      <c r="AZ608" s="286">
        <f t="shared" ca="1" si="356"/>
        <v>0</v>
      </c>
      <c r="BA608" s="286">
        <f t="shared" ca="1" si="357"/>
        <v>0</v>
      </c>
      <c r="BB608" s="286">
        <f t="shared" ca="1" si="358"/>
        <v>0</v>
      </c>
      <c r="BC608" s="286">
        <f t="shared" ca="1" si="359"/>
        <v>0</v>
      </c>
      <c r="BD608" s="180">
        <f t="shared" ca="1" si="360"/>
        <v>0.05</v>
      </c>
      <c r="BE608" s="180">
        <f t="shared" ca="1" si="361"/>
        <v>0.05</v>
      </c>
      <c r="BF608" s="286">
        <f t="shared" ca="1" si="362"/>
        <v>0</v>
      </c>
      <c r="BG608" s="286">
        <f t="shared" ca="1" si="363"/>
        <v>0</v>
      </c>
    </row>
    <row r="609" spans="1:59">
      <c r="A609" s="1">
        <f t="shared" ca="1" si="342"/>
        <v>51</v>
      </c>
      <c r="B609" s="1">
        <f t="shared" ca="1" si="336"/>
        <v>156</v>
      </c>
      <c r="C609" s="1">
        <f t="shared" ca="1" si="337"/>
        <v>11</v>
      </c>
      <c r="D609" s="1">
        <f ca="1">MIN($D$3,VLOOKUP(C609,OP!$S$30:$T$41,2))</f>
        <v>2</v>
      </c>
      <c r="E609" s="1">
        <f t="shared" ca="1" si="338"/>
        <v>105</v>
      </c>
      <c r="F609" s="11" t="str">
        <f t="shared" ca="1" si="343"/>
        <v/>
      </c>
      <c r="G609" s="8">
        <f t="shared" ca="1" si="368"/>
        <v>366</v>
      </c>
      <c r="H609" s="8">
        <f t="shared" ca="1" si="345"/>
        <v>30</v>
      </c>
      <c r="I609" s="8" t="str">
        <f t="shared" ca="1" si="341"/>
        <v>5111</v>
      </c>
      <c r="J609" s="13">
        <f>IF(繳費報酬率資料!$A$1=1,VALUE(OP!$C$121),VLOOKUP(A609,MP,2,0))</f>
        <v>0.05</v>
      </c>
      <c r="K609" s="14">
        <f ca="1">IF(SUM($K$4:K608,IF(繳費報酬率資料!$A$1=1,$AU609+$AV609,$BB609+$BC609))&gt;OP!$L$58,0,IF(繳費報酬率資料!$A$1=1,$AU609+$AV609,$BB609+$BC609))</f>
        <v>0</v>
      </c>
      <c r="L609" s="2"/>
      <c r="M609" s="2"/>
      <c r="N609" s="2"/>
      <c r="O609" s="261">
        <f t="shared" ca="1" si="346"/>
        <v>0</v>
      </c>
      <c r="P609" s="261">
        <f t="shared" ca="1" si="364"/>
        <v>0</v>
      </c>
      <c r="Q609" s="3">
        <f ca="1">IF(A609&gt;MAX(OP!$R$17:$R$26),0,VLOOKUP(A609,fees,3,FALSE))</f>
        <v>0</v>
      </c>
      <c r="R609" s="200" t="str">
        <f t="shared" ca="1" si="347"/>
        <v/>
      </c>
      <c r="S609" s="9" t="str">
        <f ca="1">IF(COUNTIF(($T$4:T608),"F")&gt;=1,"",IF(OR(C610&lt;&gt;$C$3,E609=""),"",A609))</f>
        <v/>
      </c>
      <c r="T609" s="20" t="str">
        <f t="shared" ca="1" si="339"/>
        <v/>
      </c>
      <c r="U609" s="2">
        <f ca="1">IF(IF(OP!$C$83=1,$Z608,IF(OP!$C$83=2,$AA608,IF(OP!$C$83=3,$AB608,)))+$K609-$O609-$P609-$AS609&lt;OP!$C$142,0,$AS609)</f>
        <v>0</v>
      </c>
      <c r="V609" s="9"/>
      <c r="W609" s="19">
        <f ca="1">MAX(SUM($K$4:K609),0)</f>
        <v>2000000</v>
      </c>
      <c r="X609" s="19"/>
      <c r="Y609" s="19">
        <f t="shared" ca="1" si="365"/>
        <v>1920000</v>
      </c>
      <c r="Z609" s="2">
        <f ca="1">IF(MIN($Z$4:Z608)=0,0,MAX(0,($Z608+$K609-$O609-$P609)*IF(AND(F609="F",$D$3&lt;&gt;$G$3),((1+(-J609))^(H609/MIN(G609,365))),((1+(-J609))^(1/12)))-$U609))</f>
        <v>143993.63517860099</v>
      </c>
      <c r="AA609" s="2">
        <f ca="1">IF(MIN($AA$4:AA608)=0,0,MAX(0,($AA608+$K609-$O609-$P609)*IF(AND(F609="F",$D$3&lt;&gt;$G$3),((1+$AA$1)^(H609/MIN(G609,365))),((1+$AA$1)^(1/12)))-$U609))</f>
        <v>1920000</v>
      </c>
      <c r="AB609" s="2">
        <f ca="1">IF(MIN($AB$4:AB608)=0,0,MAX(0,($AB608+$K609-$O609-$P609)*IF(AND(F609="F",$D$3&lt;&gt;$G$3),((1+(J609))^(H609/MIN(G609,365))),((1+(J609))^(1/12)))-$U609))</f>
        <v>22561129.155493841</v>
      </c>
      <c r="AC609" s="5"/>
      <c r="AD609" s="5"/>
      <c r="AE609" s="5"/>
      <c r="AF609" s="282">
        <f t="shared" ca="1" si="348"/>
        <v>143994</v>
      </c>
      <c r="AG609" s="282">
        <f t="shared" ca="1" si="349"/>
        <v>1920000</v>
      </c>
      <c r="AH609" s="282">
        <f t="shared" ca="1" si="350"/>
        <v>22561129</v>
      </c>
      <c r="AI609" s="23" t="str">
        <f t="shared" ca="1" si="366"/>
        <v>51-7</v>
      </c>
      <c r="AJ609" s="282">
        <f ca="1">IF(E609&gt;111,,IF(AND(OP!$C$99=1,T609="F"),Z609,IF(AND(OP!$C$99=2,COUNTIF($T$4:T609,"F")=1),OP!$C$97+IF(F609="F",OP!$C$98,0),"")))</f>
        <v>54527</v>
      </c>
      <c r="AK609" s="282">
        <f ca="1">IF(E609&gt;111,,IF(AND(OP!$D$99=1,T609="F"),AA609,IF(AND(OP!$D$99=2,COUNTIF($T$4:T609,"F")=1),OP!$D$97+IF(F609="F",OP!$D$98,0),"")))</f>
        <v>74177</v>
      </c>
      <c r="AL609" s="282">
        <f ca="1">IF(E609&gt;111,,IF(AND(OP!$E$99=1,T609="F"),AB609,IF(AND(OP!$E$99=2,COUNTIF($T$4:T609,"F")=1),OP!$E$97+IF(F609="F",OP!$E$98,0),"")))</f>
        <v>99404</v>
      </c>
      <c r="AM609" s="1">
        <f t="shared" ca="1" si="340"/>
        <v>7</v>
      </c>
      <c r="AN609" s="1" t="e">
        <f ca="1">IF(OR(VLOOKUP($A609,MP,5,0)="月繳"),1,"")</f>
        <v>#N/A</v>
      </c>
      <c r="AO609" s="1">
        <f t="shared" ca="1" si="351"/>
        <v>0</v>
      </c>
      <c r="AP609" s="1" t="str">
        <f ca="1">IF(AND(A609&lt;=OP!$C$120,COUNTIF(PAY,C609)=1),1,"")</f>
        <v/>
      </c>
      <c r="AR609" s="301">
        <f ca="1">IF(繳費報酬率資料!$A$1=1,$AY609+$AZ609,$BF609+$BG609)</f>
        <v>0</v>
      </c>
      <c r="AS609" s="1">
        <f ca="1">IF(C609&lt;&gt;IF($C$3=1,12,$C$3-1),0,IF(繳費報酬率資料!$A$1&lt;&gt;1,VLOOKUP($A609,MP,8,0),IF(AND($A609&gt;=OP!$C$79,$A609&lt;=OP!$C$80),OP!$C$78,)))</f>
        <v>0</v>
      </c>
      <c r="AT609" s="298">
        <f t="shared" ca="1" si="352"/>
        <v>0</v>
      </c>
      <c r="AU609" s="298">
        <f ca="1">IF(AND(A609&lt;=OP!$C$120,COUNTIF(PAY,C609)=1),OP!$C$123,0)</f>
        <v>0</v>
      </c>
      <c r="AV609" s="298">
        <f ca="1">IF(AND(A609&gt;=OP!$C$132,A609&lt;=OP!$C$133,$C$3=C609),OP!$C$135,0)</f>
        <v>0</v>
      </c>
      <c r="AW609" s="180">
        <f t="shared" ca="1" si="353"/>
        <v>0.05</v>
      </c>
      <c r="AX609" s="180">
        <f t="shared" ca="1" si="354"/>
        <v>0.05</v>
      </c>
      <c r="AY609" s="286">
        <f t="shared" ca="1" si="355"/>
        <v>0</v>
      </c>
      <c r="AZ609" s="286">
        <f t="shared" ca="1" si="356"/>
        <v>0</v>
      </c>
      <c r="BA609" s="286">
        <f t="shared" ca="1" si="357"/>
        <v>0</v>
      </c>
      <c r="BB609" s="286">
        <f t="shared" ca="1" si="358"/>
        <v>0</v>
      </c>
      <c r="BC609" s="286">
        <f t="shared" ca="1" si="359"/>
        <v>0</v>
      </c>
      <c r="BD609" s="180">
        <f t="shared" ca="1" si="360"/>
        <v>0.05</v>
      </c>
      <c r="BE609" s="180">
        <f t="shared" ca="1" si="361"/>
        <v>0.05</v>
      </c>
      <c r="BF609" s="286">
        <f t="shared" ca="1" si="362"/>
        <v>0</v>
      </c>
      <c r="BG609" s="286">
        <f t="shared" ca="1" si="363"/>
        <v>0</v>
      </c>
    </row>
    <row r="610" spans="1:59">
      <c r="A610" s="1">
        <f t="shared" ca="1" si="342"/>
        <v>51</v>
      </c>
      <c r="B610" s="1">
        <f t="shared" ca="1" si="336"/>
        <v>156</v>
      </c>
      <c r="C610" s="1">
        <f t="shared" ca="1" si="337"/>
        <v>12</v>
      </c>
      <c r="D610" s="1">
        <f ca="1">MIN($D$3,VLOOKUP(C610,OP!$S$30:$T$41,2))</f>
        <v>2</v>
      </c>
      <c r="E610" s="1">
        <f t="shared" ca="1" si="338"/>
        <v>105</v>
      </c>
      <c r="F610" s="11" t="str">
        <f t="shared" ca="1" si="343"/>
        <v/>
      </c>
      <c r="G610" s="8">
        <f t="shared" ca="1" si="368"/>
        <v>366</v>
      </c>
      <c r="H610" s="8">
        <f t="shared" ca="1" si="345"/>
        <v>31</v>
      </c>
      <c r="I610" s="8" t="str">
        <f t="shared" ca="1" si="341"/>
        <v>5112</v>
      </c>
      <c r="J610" s="13">
        <f>IF(繳費報酬率資料!$A$1=1,VALUE(OP!$C$121),VLOOKUP(A610,MP,2,0))</f>
        <v>0.05</v>
      </c>
      <c r="K610" s="14">
        <f ca="1">IF(SUM($K$4:K609,IF(繳費報酬率資料!$A$1=1,$AU610+$AV610,$BB610+$BC610))&gt;OP!$L$58,0,IF(繳費報酬率資料!$A$1=1,$AU610+$AV610,$BB610+$BC610))</f>
        <v>0</v>
      </c>
      <c r="L610" s="2"/>
      <c r="M610" s="2"/>
      <c r="N610" s="2"/>
      <c r="O610" s="261">
        <f t="shared" ca="1" si="346"/>
        <v>0</v>
      </c>
      <c r="P610" s="261">
        <f t="shared" ca="1" si="364"/>
        <v>0</v>
      </c>
      <c r="Q610" s="3">
        <f ca="1">IF(A610&gt;MAX(OP!$R$17:$R$26),0,VLOOKUP(A610,fees,3,FALSE))</f>
        <v>0</v>
      </c>
      <c r="R610" s="200" t="str">
        <f t="shared" ca="1" si="347"/>
        <v/>
      </c>
      <c r="S610" s="9" t="str">
        <f ca="1">IF(COUNTIF(($T$4:T609),"F")&gt;=1,"",IF(OR(C611&lt;&gt;$C$3,E610=""),"",A610))</f>
        <v/>
      </c>
      <c r="T610" s="20" t="str">
        <f t="shared" ca="1" si="339"/>
        <v/>
      </c>
      <c r="U610" s="2">
        <f ca="1">IF(IF(OP!$C$83=1,$Z609,IF(OP!$C$83=2,$AA609,IF(OP!$C$83=3,$AB609,)))+$K610-$O610-$P610-$AS610&lt;OP!$C$142,0,$AS610)</f>
        <v>0</v>
      </c>
      <c r="V610" s="9"/>
      <c r="W610" s="19">
        <f ca="1">MAX(SUM($K$4:K610),0)</f>
        <v>2000000</v>
      </c>
      <c r="X610" s="19"/>
      <c r="Y610" s="19">
        <f t="shared" ca="1" si="365"/>
        <v>1920000</v>
      </c>
      <c r="Z610" s="2">
        <f ca="1">IF(MIN($Z$4:Z609)=0,0,MAX(0,($Z609+$K610-$O610-$P610)*IF(AND(F610="F",$D$3&lt;&gt;$G$3),((1+(-J610))^(H610/MIN(G610,365))),((1+(-J610))^(1/12)))-$U610))</f>
        <v>143379.4564226245</v>
      </c>
      <c r="AA610" s="2">
        <f ca="1">IF(MIN($AA$4:AA609)=0,0,MAX(0,($AA609+$K610-$O610-$P610)*IF(AND(F610="F",$D$3&lt;&gt;$G$3),((1+$AA$1)^(H610/MIN(G610,365))),((1+$AA$1)^(1/12)))-$U610))</f>
        <v>1920000</v>
      </c>
      <c r="AB610" s="2">
        <f ca="1">IF(MIN($AB$4:AB609)=0,0,MAX(0,($AB609+$K610-$O610-$P610)*IF(AND(F610="F",$D$3&lt;&gt;$G$3),((1+(J610))^(H610/MIN(G610,365))),((1+(J610))^(1/12)))-$U610))</f>
        <v>22653045.988372199</v>
      </c>
      <c r="AC610" s="5"/>
      <c r="AD610" s="5"/>
      <c r="AE610" s="5"/>
      <c r="AF610" s="282">
        <f t="shared" ca="1" si="348"/>
        <v>143379</v>
      </c>
      <c r="AG610" s="282">
        <f t="shared" ca="1" si="349"/>
        <v>1920000</v>
      </c>
      <c r="AH610" s="282">
        <f t="shared" ca="1" si="350"/>
        <v>22653046</v>
      </c>
      <c r="AI610" s="23" t="str">
        <f t="shared" ca="1" si="366"/>
        <v>51-8</v>
      </c>
      <c r="AJ610" s="282">
        <f ca="1">IF(E610&gt;111,,IF(AND(OP!$C$99=1,T610="F"),Z610,IF(AND(OP!$C$99=2,COUNTIF($T$4:T610,"F")=1),OP!$C$97+IF(F610="F",OP!$C$98,0),"")))</f>
        <v>54527</v>
      </c>
      <c r="AK610" s="282">
        <f ca="1">IF(E610&gt;111,,IF(AND(OP!$D$99=1,T610="F"),AA610,IF(AND(OP!$D$99=2,COUNTIF($T$4:T610,"F")=1),OP!$D$97+IF(F610="F",OP!$D$98,0),"")))</f>
        <v>74177</v>
      </c>
      <c r="AL610" s="282">
        <f ca="1">IF(E610&gt;111,,IF(AND(OP!$E$99=1,T610="F"),AB610,IF(AND(OP!$E$99=2,COUNTIF($T$4:T610,"F")=1),OP!$E$97+IF(F610="F",OP!$E$98,0),"")))</f>
        <v>99404</v>
      </c>
      <c r="AM610" s="1">
        <f t="shared" ca="1" si="340"/>
        <v>8</v>
      </c>
      <c r="AN610" s="1" t="e">
        <f ca="1">IF(OR(VLOOKUP($A610,MP,5,0)="半年繳",VLOOKUP($A610,MP,5,0)="季繳",VLOOKUP($A610,MP,5,0)="月繳"),1,"")</f>
        <v>#N/A</v>
      </c>
      <c r="AO610" s="1">
        <f t="shared" ca="1" si="351"/>
        <v>0</v>
      </c>
      <c r="AP610" s="1" t="str">
        <f ca="1">IF(AND(A610&lt;=OP!$C$120,COUNTIF(PAY,C610)=1),1,"")</f>
        <v/>
      </c>
      <c r="AR610" s="301">
        <f ca="1">IF(繳費報酬率資料!$A$1=1,$AY610+$AZ610,$BF610+$BG610)</f>
        <v>0</v>
      </c>
      <c r="AS610" s="1">
        <f ca="1">IF(C610&lt;&gt;IF($C$3=1,12,$C$3-1),0,IF(繳費報酬率資料!$A$1&lt;&gt;1,VLOOKUP($A610,MP,8,0),IF(AND($A610&gt;=OP!$C$79,$A610&lt;=OP!$C$80),OP!$C$78,)))</f>
        <v>0</v>
      </c>
      <c r="AT610" s="298">
        <f t="shared" ca="1" si="352"/>
        <v>0</v>
      </c>
      <c r="AU610" s="298">
        <f ca="1">IF(AND(A610&lt;=OP!$C$120,COUNTIF(PAY,C610)=1),OP!$C$123,0)</f>
        <v>0</v>
      </c>
      <c r="AV610" s="298">
        <f ca="1">IF(AND(A610&gt;=OP!$C$132,A610&lt;=OP!$C$133,$C$3=C610),OP!$C$135,0)</f>
        <v>0</v>
      </c>
      <c r="AW610" s="180">
        <f t="shared" ca="1" si="353"/>
        <v>0.05</v>
      </c>
      <c r="AX610" s="180">
        <f t="shared" ca="1" si="354"/>
        <v>0.05</v>
      </c>
      <c r="AY610" s="286">
        <f t="shared" ca="1" si="355"/>
        <v>0</v>
      </c>
      <c r="AZ610" s="286">
        <f t="shared" ca="1" si="356"/>
        <v>0</v>
      </c>
      <c r="BA610" s="286">
        <f t="shared" ca="1" si="357"/>
        <v>0</v>
      </c>
      <c r="BB610" s="286">
        <f t="shared" ca="1" si="358"/>
        <v>0</v>
      </c>
      <c r="BC610" s="286">
        <f t="shared" ca="1" si="359"/>
        <v>0</v>
      </c>
      <c r="BD610" s="180">
        <f t="shared" ca="1" si="360"/>
        <v>0.05</v>
      </c>
      <c r="BE610" s="180">
        <f t="shared" ca="1" si="361"/>
        <v>0.05</v>
      </c>
      <c r="BF610" s="286">
        <f t="shared" ca="1" si="362"/>
        <v>0</v>
      </c>
      <c r="BG610" s="286">
        <f t="shared" ca="1" si="363"/>
        <v>0</v>
      </c>
    </row>
    <row r="611" spans="1:59">
      <c r="A611" s="1">
        <f t="shared" ca="1" si="342"/>
        <v>51</v>
      </c>
      <c r="B611" s="1">
        <f t="shared" ca="1" si="336"/>
        <v>157</v>
      </c>
      <c r="C611" s="1">
        <f t="shared" ca="1" si="337"/>
        <v>1</v>
      </c>
      <c r="D611" s="1">
        <f ca="1">MIN($D$3,VLOOKUP(C611,OP!$S$30:$T$41,2))</f>
        <v>2</v>
      </c>
      <c r="E611" s="1">
        <f t="shared" ca="1" si="338"/>
        <v>105</v>
      </c>
      <c r="F611" s="11" t="str">
        <f t="shared" ca="1" si="343"/>
        <v/>
      </c>
      <c r="G611" s="8">
        <f t="shared" ca="1" si="368"/>
        <v>366</v>
      </c>
      <c r="H611" s="8">
        <f t="shared" ca="1" si="345"/>
        <v>31</v>
      </c>
      <c r="I611" s="8" t="str">
        <f t="shared" ca="1" si="341"/>
        <v>511</v>
      </c>
      <c r="J611" s="13">
        <f>IF(繳費報酬率資料!$A$1=1,VALUE(OP!$C$121),VLOOKUP(A611,MP,2,0))</f>
        <v>0.05</v>
      </c>
      <c r="K611" s="14">
        <f ca="1">IF(SUM($K$4:K610,IF(繳費報酬率資料!$A$1=1,$AU611+$AV611,$BB611+$BC611))&gt;OP!$L$58,0,IF(繳費報酬率資料!$A$1=1,$AU611+$AV611,$BB611+$BC611))</f>
        <v>0</v>
      </c>
      <c r="L611" s="2"/>
      <c r="M611" s="2"/>
      <c r="N611" s="2"/>
      <c r="O611" s="261">
        <f t="shared" ca="1" si="346"/>
        <v>0</v>
      </c>
      <c r="P611" s="261">
        <f t="shared" ca="1" si="364"/>
        <v>0</v>
      </c>
      <c r="Q611" s="3">
        <f ca="1">IF(A611&gt;MAX(OP!$R$17:$R$26),0,VLOOKUP(A611,fees,3,FALSE))</f>
        <v>0</v>
      </c>
      <c r="R611" s="200" t="str">
        <f t="shared" ca="1" si="347"/>
        <v/>
      </c>
      <c r="S611" s="9" t="str">
        <f ca="1">IF(COUNTIF(($T$4:T610),"F")&gt;=1,"",IF(OR(C612&lt;&gt;$C$3,E611=""),"",A611))</f>
        <v/>
      </c>
      <c r="T611" s="20" t="str">
        <f t="shared" ca="1" si="339"/>
        <v/>
      </c>
      <c r="U611" s="2">
        <f ca="1">IF(IF(OP!$C$83=1,$Z610,IF(OP!$C$83=2,$AA610,IF(OP!$C$83=3,$AB610,)))+$K611-$O611-$P611-$AS611&lt;OP!$C$142,0,$AS611)</f>
        <v>0</v>
      </c>
      <c r="V611" s="9"/>
      <c r="W611" s="19">
        <f ca="1">MAX(SUM($K$4:K611),0)</f>
        <v>2000000</v>
      </c>
      <c r="X611" s="19"/>
      <c r="Y611" s="19">
        <f t="shared" ca="1" si="365"/>
        <v>1920000</v>
      </c>
      <c r="Z611" s="2">
        <f ca="1">IF(MIN($Z$4:Z610)=0,0,MAX(0,($Z610+$K611-$O611-$P611)*IF(AND(F611="F",$D$3&lt;&gt;$G$3),((1+(-J611))^(H611/MIN(G611,365))),((1+(-J611))^(1/12)))-$U611))</f>
        <v>142767.89733482865</v>
      </c>
      <c r="AA611" s="2">
        <f ca="1">IF(MIN($AA$4:AA610)=0,0,MAX(0,($AA610+$K611-$O611-$P611)*IF(AND(F611="F",$D$3&lt;&gt;$G$3),((1+$AA$1)^(H611/MIN(G611,365))),((1+$AA$1)^(1/12)))-$U611))</f>
        <v>1920000</v>
      </c>
      <c r="AB611" s="2">
        <f ca="1">IF(MIN($AB$4:AB610)=0,0,MAX(0,($AB610+$K611-$O611-$P611)*IF(AND(F611="F",$D$3&lt;&gt;$G$3),((1+(J611))^(H611/MIN(G611,365))),((1+(J611))^(1/12)))-$U611))</f>
        <v>22745337.301805507</v>
      </c>
      <c r="AC611" s="5"/>
      <c r="AD611" s="5"/>
      <c r="AE611" s="5"/>
      <c r="AF611" s="282">
        <f t="shared" ca="1" si="348"/>
        <v>142768</v>
      </c>
      <c r="AG611" s="282">
        <f t="shared" ca="1" si="349"/>
        <v>1920000</v>
      </c>
      <c r="AH611" s="282">
        <f t="shared" ca="1" si="350"/>
        <v>22745337</v>
      </c>
      <c r="AI611" s="23" t="str">
        <f t="shared" ca="1" si="366"/>
        <v>51-9</v>
      </c>
      <c r="AJ611" s="282">
        <f ca="1">IF(E611&gt;111,,IF(AND(OP!$C$99=1,T611="F"),Z611,IF(AND(OP!$C$99=2,COUNTIF($T$4:T611,"F")=1),OP!$C$97+IF(F611="F",OP!$C$98,0),"")))</f>
        <v>54527</v>
      </c>
      <c r="AK611" s="282">
        <f ca="1">IF(E611&gt;111,,IF(AND(OP!$D$99=1,T611="F"),AA611,IF(AND(OP!$D$99=2,COUNTIF($T$4:T611,"F")=1),OP!$D$97+IF(F611="F",OP!$D$98,0),"")))</f>
        <v>74177</v>
      </c>
      <c r="AL611" s="282">
        <f ca="1">IF(E611&gt;111,,IF(AND(OP!$E$99=1,T611="F"),AB611,IF(AND(OP!$E$99=2,COUNTIF($T$4:T611,"F")=1),OP!$E$97+IF(F611="F",OP!$E$98,0),"")))</f>
        <v>99404</v>
      </c>
      <c r="AM611" s="1">
        <f t="shared" ca="1" si="340"/>
        <v>9</v>
      </c>
      <c r="AN611" s="1" t="e">
        <f ca="1">IF(OR(VLOOKUP($A611,MP,5,0)="月繳"),1,"")</f>
        <v>#N/A</v>
      </c>
      <c r="AO611" s="1">
        <f t="shared" ca="1" si="351"/>
        <v>0</v>
      </c>
      <c r="AP611" s="1" t="str">
        <f ca="1">IF(AND(A611&lt;=OP!$C$120,COUNTIF(PAY,C611)=1),1,"")</f>
        <v/>
      </c>
      <c r="AR611" s="301">
        <f ca="1">IF(繳費報酬率資料!$A$1=1,$AY611+$AZ611,$BF611+$BG611)</f>
        <v>0</v>
      </c>
      <c r="AS611" s="1">
        <f ca="1">IF(C611&lt;&gt;IF($C$3=1,12,$C$3-1),0,IF(繳費報酬率資料!$A$1&lt;&gt;1,VLOOKUP($A611,MP,8,0),IF(AND($A611&gt;=OP!$C$79,$A611&lt;=OP!$C$80),OP!$C$78,)))</f>
        <v>0</v>
      </c>
      <c r="AT611" s="298">
        <f t="shared" ca="1" si="352"/>
        <v>0</v>
      </c>
      <c r="AU611" s="298">
        <f ca="1">IF(AND(A611&lt;=OP!$C$120,COUNTIF(PAY,C611)=1),OP!$C$123,0)</f>
        <v>0</v>
      </c>
      <c r="AV611" s="298">
        <f ca="1">IF(AND(A611&gt;=OP!$C$132,A611&lt;=OP!$C$133,$C$3=C611),OP!$C$135,0)</f>
        <v>0</v>
      </c>
      <c r="AW611" s="180">
        <f t="shared" ca="1" si="353"/>
        <v>0.05</v>
      </c>
      <c r="AX611" s="180">
        <f t="shared" ca="1" si="354"/>
        <v>0.05</v>
      </c>
      <c r="AY611" s="286">
        <f t="shared" ca="1" si="355"/>
        <v>0</v>
      </c>
      <c r="AZ611" s="286">
        <f t="shared" ca="1" si="356"/>
        <v>0</v>
      </c>
      <c r="BA611" s="286">
        <f t="shared" ca="1" si="357"/>
        <v>0</v>
      </c>
      <c r="BB611" s="286">
        <f t="shared" ca="1" si="358"/>
        <v>0</v>
      </c>
      <c r="BC611" s="286">
        <f t="shared" ca="1" si="359"/>
        <v>0</v>
      </c>
      <c r="BD611" s="180">
        <f t="shared" ca="1" si="360"/>
        <v>0.05</v>
      </c>
      <c r="BE611" s="180">
        <f t="shared" ca="1" si="361"/>
        <v>0.05</v>
      </c>
      <c r="BF611" s="286">
        <f t="shared" ca="1" si="362"/>
        <v>0</v>
      </c>
      <c r="BG611" s="286">
        <f t="shared" ca="1" si="363"/>
        <v>0</v>
      </c>
    </row>
    <row r="612" spans="1:59">
      <c r="A612" s="1">
        <f t="shared" ca="1" si="342"/>
        <v>51</v>
      </c>
      <c r="B612" s="1">
        <f t="shared" ca="1" si="336"/>
        <v>157</v>
      </c>
      <c r="C612" s="1">
        <f t="shared" ca="1" si="337"/>
        <v>2</v>
      </c>
      <c r="D612" s="1">
        <f ca="1">MIN($D$3,VLOOKUP(C612,OP!$S$30:$T$41,2))</f>
        <v>2</v>
      </c>
      <c r="E612" s="1">
        <f t="shared" ca="1" si="338"/>
        <v>105</v>
      </c>
      <c r="F612" s="11" t="str">
        <f t="shared" ca="1" si="343"/>
        <v/>
      </c>
      <c r="G612" s="8">
        <f t="shared" ca="1" si="368"/>
        <v>366</v>
      </c>
      <c r="H612" s="8">
        <f t="shared" ca="1" si="345"/>
        <v>29</v>
      </c>
      <c r="I612" s="8" t="str">
        <f t="shared" ca="1" si="341"/>
        <v>512</v>
      </c>
      <c r="J612" s="13">
        <f>IF(繳費報酬率資料!$A$1=1,VALUE(OP!$C$121),VLOOKUP(A612,MP,2,0))</f>
        <v>0.05</v>
      </c>
      <c r="K612" s="14">
        <f ca="1">IF(SUM($K$4:K611,IF(繳費報酬率資料!$A$1=1,$AU612+$AV612,$BB612+$BC612))&gt;OP!$L$58,0,IF(繳費報酬率資料!$A$1=1,$AU612+$AV612,$BB612+$BC612))</f>
        <v>0</v>
      </c>
      <c r="L612" s="2"/>
      <c r="M612" s="2"/>
      <c r="N612" s="2"/>
      <c r="O612" s="261">
        <f t="shared" ca="1" si="346"/>
        <v>0</v>
      </c>
      <c r="P612" s="261">
        <f t="shared" ca="1" si="364"/>
        <v>0</v>
      </c>
      <c r="Q612" s="3">
        <f ca="1">IF(A612&gt;MAX(OP!$R$17:$R$26),0,VLOOKUP(A612,fees,3,FALSE))</f>
        <v>0</v>
      </c>
      <c r="R612" s="200" t="str">
        <f t="shared" ca="1" si="347"/>
        <v/>
      </c>
      <c r="S612" s="9" t="str">
        <f ca="1">IF(COUNTIF(($T$4:T611),"F")&gt;=1,"",IF(OR(C613&lt;&gt;$C$3,E612=""),"",A612))</f>
        <v/>
      </c>
      <c r="T612" s="20" t="str">
        <f t="shared" ca="1" si="339"/>
        <v/>
      </c>
      <c r="U612" s="2">
        <f ca="1">IF(IF(OP!$C$83=1,$Z611,IF(OP!$C$83=2,$AA611,IF(OP!$C$83=3,$AB611,)))+$K612-$O612-$P612-$AS612&lt;OP!$C$142,0,$AS612)</f>
        <v>0</v>
      </c>
      <c r="V612" s="9"/>
      <c r="W612" s="19">
        <f ca="1">MAX(SUM($K$4:K612),0)</f>
        <v>2000000</v>
      </c>
      <c r="X612" s="19"/>
      <c r="Y612" s="19">
        <f t="shared" ca="1" si="365"/>
        <v>1920000</v>
      </c>
      <c r="Z612" s="2">
        <f ca="1">IF(MIN($Z$4:Z611)=0,0,MAX(0,($Z611+$K612-$O612-$P612)*IF(AND(F612="F",$D$3&lt;&gt;$G$3),((1+(-J612))^(H612/MIN(G612,365))),((1+(-J612))^(1/12)))-$U612))</f>
        <v>142158.94674149356</v>
      </c>
      <c r="AA612" s="2">
        <f ca="1">IF(MIN($AA$4:AA611)=0,0,MAX(0,($AA611+$K612-$O612-$P612)*IF(AND(F612="F",$D$3&lt;&gt;$G$3),((1+$AA$1)^(H612/MIN(G612,365))),((1+$AA$1)^(1/12)))-$U612))</f>
        <v>1920000</v>
      </c>
      <c r="AB612" s="2">
        <f ca="1">IF(MIN($AB$4:AB611)=0,0,MAX(0,($AB611+$K612-$O612-$P612)*IF(AND(F612="F",$D$3&lt;&gt;$G$3),((1+(J612))^(H612/MIN(G612,365))),((1+(J612))^(1/12)))-$U612))</f>
        <v>22838004.621473897</v>
      </c>
      <c r="AC612" s="5"/>
      <c r="AD612" s="5"/>
      <c r="AE612" s="5"/>
      <c r="AF612" s="282">
        <f t="shared" ca="1" si="348"/>
        <v>142159</v>
      </c>
      <c r="AG612" s="282">
        <f t="shared" ca="1" si="349"/>
        <v>1920000</v>
      </c>
      <c r="AH612" s="282">
        <f t="shared" ca="1" si="350"/>
        <v>22838005</v>
      </c>
      <c r="AI612" s="23" t="str">
        <f t="shared" ca="1" si="366"/>
        <v>51-10</v>
      </c>
      <c r="AJ612" s="282">
        <f ca="1">IF(E612&gt;111,,IF(AND(OP!$C$99=1,T612="F"),Z612,IF(AND(OP!$C$99=2,COUNTIF($T$4:T612,"F")=1),OP!$C$97+IF(F612="F",OP!$C$98,0),"")))</f>
        <v>54527</v>
      </c>
      <c r="AK612" s="282">
        <f ca="1">IF(E612&gt;111,,IF(AND(OP!$D$99=1,T612="F"),AA612,IF(AND(OP!$D$99=2,COUNTIF($T$4:T612,"F")=1),OP!$D$97+IF(F612="F",OP!$D$98,0),"")))</f>
        <v>74177</v>
      </c>
      <c r="AL612" s="282">
        <f ca="1">IF(E612&gt;111,,IF(AND(OP!$E$99=1,T612="F"),AB612,IF(AND(OP!$E$99=2,COUNTIF($T$4:T612,"F")=1),OP!$E$97+IF(F612="F",OP!$E$98,0),"")))</f>
        <v>99404</v>
      </c>
      <c r="AM612" s="1">
        <f t="shared" ca="1" si="340"/>
        <v>10</v>
      </c>
      <c r="AN612" s="1" t="e">
        <f ca="1">IF(OR(VLOOKUP($A612,MP,5,0)="月繳"),1,"")</f>
        <v>#N/A</v>
      </c>
      <c r="AO612" s="1">
        <f t="shared" ca="1" si="351"/>
        <v>0</v>
      </c>
      <c r="AP612" s="1" t="str">
        <f ca="1">IF(AND(A612&lt;=OP!$C$120,COUNTIF(PAY,C612)=1),1,"")</f>
        <v/>
      </c>
      <c r="AR612" s="301">
        <f ca="1">IF(繳費報酬率資料!$A$1=1,$AY612+$AZ612,$BF612+$BG612)</f>
        <v>0</v>
      </c>
      <c r="AS612" s="1">
        <f ca="1">IF(C612&lt;&gt;IF($C$3=1,12,$C$3-1),0,IF(繳費報酬率資料!$A$1&lt;&gt;1,VLOOKUP($A612,MP,8,0),IF(AND($A612&gt;=OP!$C$79,$A612&lt;=OP!$C$80),OP!$C$78,)))</f>
        <v>0</v>
      </c>
      <c r="AT612" s="298">
        <f t="shared" ca="1" si="352"/>
        <v>0</v>
      </c>
      <c r="AU612" s="298">
        <f ca="1">IF(AND(A612&lt;=OP!$C$120,COUNTIF(PAY,C612)=1),OP!$C$123,0)</f>
        <v>0</v>
      </c>
      <c r="AV612" s="298">
        <f ca="1">IF(AND(A612&gt;=OP!$C$132,A612&lt;=OP!$C$133,$C$3=C612),OP!$C$135,0)</f>
        <v>0</v>
      </c>
      <c r="AW612" s="180">
        <f t="shared" ca="1" si="353"/>
        <v>0.05</v>
      </c>
      <c r="AX612" s="180">
        <f t="shared" ca="1" si="354"/>
        <v>0.05</v>
      </c>
      <c r="AY612" s="286">
        <f t="shared" ca="1" si="355"/>
        <v>0</v>
      </c>
      <c r="AZ612" s="286">
        <f t="shared" ca="1" si="356"/>
        <v>0</v>
      </c>
      <c r="BA612" s="286">
        <f t="shared" ca="1" si="357"/>
        <v>0</v>
      </c>
      <c r="BB612" s="286">
        <f t="shared" ca="1" si="358"/>
        <v>0</v>
      </c>
      <c r="BC612" s="286">
        <f t="shared" ca="1" si="359"/>
        <v>0</v>
      </c>
      <c r="BD612" s="180">
        <f t="shared" ca="1" si="360"/>
        <v>0.05</v>
      </c>
      <c r="BE612" s="180">
        <f t="shared" ca="1" si="361"/>
        <v>0.05</v>
      </c>
      <c r="BF612" s="286">
        <f t="shared" ca="1" si="362"/>
        <v>0</v>
      </c>
      <c r="BG612" s="286">
        <f t="shared" ca="1" si="363"/>
        <v>0</v>
      </c>
    </row>
    <row r="613" spans="1:59">
      <c r="A613" s="1">
        <f t="shared" ca="1" si="342"/>
        <v>51</v>
      </c>
      <c r="B613" s="1">
        <f t="shared" ca="1" si="336"/>
        <v>157</v>
      </c>
      <c r="C613" s="1">
        <f t="shared" ca="1" si="337"/>
        <v>3</v>
      </c>
      <c r="D613" s="1">
        <f ca="1">MIN($D$3,VLOOKUP(C613,OP!$S$30:$T$41,2))</f>
        <v>2</v>
      </c>
      <c r="E613" s="1">
        <f t="shared" ca="1" si="338"/>
        <v>105</v>
      </c>
      <c r="F613" s="11" t="str">
        <f t="shared" ca="1" si="343"/>
        <v/>
      </c>
      <c r="G613" s="8">
        <f t="shared" ca="1" si="368"/>
        <v>366</v>
      </c>
      <c r="H613" s="8">
        <f t="shared" ca="1" si="345"/>
        <v>31</v>
      </c>
      <c r="I613" s="8" t="str">
        <f t="shared" ca="1" si="341"/>
        <v>513</v>
      </c>
      <c r="J613" s="13">
        <f>IF(繳費報酬率資料!$A$1=1,VALUE(OP!$C$121),VLOOKUP(A613,MP,2,0))</f>
        <v>0.05</v>
      </c>
      <c r="K613" s="14">
        <f ca="1">IF(SUM($K$4:K612,IF(繳費報酬率資料!$A$1=1,$AU613+$AV613,$BB613+$BC613))&gt;OP!$L$58,0,IF(繳費報酬率資料!$A$1=1,$AU613+$AV613,$BB613+$BC613))</f>
        <v>0</v>
      </c>
      <c r="L613" s="2"/>
      <c r="M613" s="2"/>
      <c r="N613" s="2"/>
      <c r="O613" s="261">
        <f t="shared" ca="1" si="346"/>
        <v>0</v>
      </c>
      <c r="P613" s="261">
        <f t="shared" ca="1" si="364"/>
        <v>0</v>
      </c>
      <c r="Q613" s="3">
        <f ca="1">IF(A613&gt;MAX(OP!$R$17:$R$26),0,VLOOKUP(A613,fees,3,FALSE))</f>
        <v>0</v>
      </c>
      <c r="R613" s="200" t="str">
        <f t="shared" ca="1" si="347"/>
        <v/>
      </c>
      <c r="S613" s="9" t="str">
        <f ca="1">IF(COUNTIF(($T$4:T612),"F")&gt;=1,"",IF(OR(C614&lt;&gt;$C$3,E613=""),"",A613))</f>
        <v/>
      </c>
      <c r="T613" s="20" t="str">
        <f t="shared" ca="1" si="339"/>
        <v/>
      </c>
      <c r="U613" s="2">
        <f ca="1">IF(IF(OP!$C$83=1,$Z612,IF(OP!$C$83=2,$AA612,IF(OP!$C$83=3,$AB612,)))+$K613-$O613-$P613-$AS613&lt;OP!$C$142,0,$AS613)</f>
        <v>0</v>
      </c>
      <c r="V613" s="9"/>
      <c r="W613" s="19">
        <f ca="1">MAX(SUM($K$4:K613),0)</f>
        <v>2000000</v>
      </c>
      <c r="X613" s="19"/>
      <c r="Y613" s="19">
        <f t="shared" ca="1" si="365"/>
        <v>1920000</v>
      </c>
      <c r="Z613" s="2">
        <f ca="1">IF(MIN($Z$4:Z612)=0,0,MAX(0,($Z612+$K613-$O613-$P613)*IF(AND(F613="F",$D$3&lt;&gt;$G$3),((1+(-J613))^(H613/MIN(G613,365))),((1+(-J613))^(1/12)))-$U613))</f>
        <v>141552.59351655882</v>
      </c>
      <c r="AA613" s="2">
        <f ca="1">IF(MIN($AA$4:AA612)=0,0,MAX(0,($AA612+$K613-$O613-$P613)*IF(AND(F613="F",$D$3&lt;&gt;$G$3),((1+$AA$1)^(H613/MIN(G613,365))),((1+$AA$1)^(1/12)))-$U613))</f>
        <v>1920000</v>
      </c>
      <c r="AB613" s="2">
        <f ca="1">IF(MIN($AB$4:AB612)=0,0,MAX(0,($AB612+$K613-$O613-$P613)*IF(AND(F613="F",$D$3&lt;&gt;$G$3),((1+(J613))^(H613/MIN(G613,365))),((1+(J613))^(1/12)))-$U613))</f>
        <v>22931049.479273316</v>
      </c>
      <c r="AC613" s="5"/>
      <c r="AD613" s="5"/>
      <c r="AE613" s="5"/>
      <c r="AF613" s="282">
        <f t="shared" ca="1" si="348"/>
        <v>141553</v>
      </c>
      <c r="AG613" s="282">
        <f t="shared" ca="1" si="349"/>
        <v>1920000</v>
      </c>
      <c r="AH613" s="282">
        <f t="shared" ca="1" si="350"/>
        <v>22931049</v>
      </c>
      <c r="AI613" s="23" t="str">
        <f t="shared" ca="1" si="366"/>
        <v>51-11</v>
      </c>
      <c r="AJ613" s="282">
        <f ca="1">IF(E613&gt;111,,IF(AND(OP!$C$99=1,T613="F"),Z613,IF(AND(OP!$C$99=2,COUNTIF($T$4:T613,"F")=1),OP!$C$97+IF(F613="F",OP!$C$98,0),"")))</f>
        <v>54527</v>
      </c>
      <c r="AK613" s="282">
        <f ca="1">IF(E613&gt;111,,IF(AND(OP!$D$99=1,T613="F"),AA613,IF(AND(OP!$D$99=2,COUNTIF($T$4:T613,"F")=1),OP!$D$97+IF(F613="F",OP!$D$98,0),"")))</f>
        <v>74177</v>
      </c>
      <c r="AL613" s="282">
        <f ca="1">IF(E613&gt;111,,IF(AND(OP!$E$99=1,T613="F"),AB613,IF(AND(OP!$E$99=2,COUNTIF($T$4:T613,"F")=1),OP!$E$97+IF(F613="F",OP!$E$98,0),"")))</f>
        <v>99404</v>
      </c>
      <c r="AM613" s="1">
        <f t="shared" ca="1" si="340"/>
        <v>11</v>
      </c>
      <c r="AN613" s="1" t="e">
        <f ca="1">IF(OR(VLOOKUP($A613,MP,5,0)="季繳",VLOOKUP($A613,MP,5,0)="月繳"),1,"")</f>
        <v>#N/A</v>
      </c>
      <c r="AO613" s="1">
        <f t="shared" ca="1" si="351"/>
        <v>0</v>
      </c>
      <c r="AP613" s="1" t="str">
        <f ca="1">IF(AND(A613&lt;=OP!$C$120,COUNTIF(PAY,C613)=1),1,"")</f>
        <v/>
      </c>
      <c r="AR613" s="301">
        <f ca="1">IF(繳費報酬率資料!$A$1=1,$AY613+$AZ613,$BF613+$BG613)</f>
        <v>0</v>
      </c>
      <c r="AS613" s="1">
        <f ca="1">IF(C613&lt;&gt;IF($C$3=1,12,$C$3-1),0,IF(繳費報酬率資料!$A$1&lt;&gt;1,VLOOKUP($A613,MP,8,0),IF(AND($A613&gt;=OP!$C$79,$A613&lt;=OP!$C$80),OP!$C$78,)))</f>
        <v>0</v>
      </c>
      <c r="AT613" s="298">
        <f t="shared" ca="1" si="352"/>
        <v>0</v>
      </c>
      <c r="AU613" s="298">
        <f ca="1">IF(AND(A613&lt;=OP!$C$120,COUNTIF(PAY,C613)=1),OP!$C$123,0)</f>
        <v>0</v>
      </c>
      <c r="AV613" s="298">
        <f ca="1">IF(AND(A613&gt;=OP!$C$132,A613&lt;=OP!$C$133,$C$3=C613),OP!$C$135,0)</f>
        <v>0</v>
      </c>
      <c r="AW613" s="180">
        <f t="shared" ca="1" si="353"/>
        <v>0.05</v>
      </c>
      <c r="AX613" s="180">
        <f t="shared" ca="1" si="354"/>
        <v>0.05</v>
      </c>
      <c r="AY613" s="286">
        <f t="shared" ca="1" si="355"/>
        <v>0</v>
      </c>
      <c r="AZ613" s="286">
        <f t="shared" ca="1" si="356"/>
        <v>0</v>
      </c>
      <c r="BA613" s="286">
        <f t="shared" ca="1" si="357"/>
        <v>0</v>
      </c>
      <c r="BB613" s="286">
        <f t="shared" ca="1" si="358"/>
        <v>0</v>
      </c>
      <c r="BC613" s="286">
        <f t="shared" ca="1" si="359"/>
        <v>0</v>
      </c>
      <c r="BD613" s="180">
        <f t="shared" ca="1" si="360"/>
        <v>0.05</v>
      </c>
      <c r="BE613" s="180">
        <f t="shared" ca="1" si="361"/>
        <v>0.05</v>
      </c>
      <c r="BF613" s="286">
        <f t="shared" ca="1" si="362"/>
        <v>0</v>
      </c>
      <c r="BG613" s="286">
        <f t="shared" ca="1" si="363"/>
        <v>0</v>
      </c>
    </row>
    <row r="614" spans="1:59">
      <c r="A614" s="1">
        <f t="shared" ca="1" si="342"/>
        <v>51</v>
      </c>
      <c r="B614" s="1">
        <f t="shared" ca="1" si="336"/>
        <v>157</v>
      </c>
      <c r="C614" s="1">
        <f t="shared" ca="1" si="337"/>
        <v>4</v>
      </c>
      <c r="D614" s="1">
        <f ca="1">MIN($D$3,VLOOKUP(C614,OP!$S$30:$T$41,2))</f>
        <v>2</v>
      </c>
      <c r="E614" s="1">
        <f t="shared" ca="1" si="338"/>
        <v>105</v>
      </c>
      <c r="F614" s="11" t="str">
        <f t="shared" ca="1" si="343"/>
        <v/>
      </c>
      <c r="G614" s="8">
        <f t="shared" ca="1" si="368"/>
        <v>366</v>
      </c>
      <c r="H614" s="8">
        <f t="shared" ca="1" si="345"/>
        <v>30</v>
      </c>
      <c r="I614" s="8" t="str">
        <f t="shared" ca="1" si="341"/>
        <v>514</v>
      </c>
      <c r="J614" s="13">
        <f>IF(繳費報酬率資料!$A$1=1,VALUE(OP!$C$121),VLOOKUP(A614,MP,2,0))</f>
        <v>0.05</v>
      </c>
      <c r="K614" s="14">
        <f ca="1">IF(SUM($K$4:K613,IF(繳費報酬率資料!$A$1=1,$AU614+$AV614,$BB614+$BC614))&gt;OP!$L$58,0,IF(繳費報酬率資料!$A$1=1,$AU614+$AV614,$BB614+$BC614))</f>
        <v>0</v>
      </c>
      <c r="L614" s="2"/>
      <c r="M614" s="2"/>
      <c r="N614" s="2"/>
      <c r="O614" s="261">
        <f t="shared" ca="1" si="346"/>
        <v>0</v>
      </c>
      <c r="P614" s="261">
        <f t="shared" ca="1" si="364"/>
        <v>0</v>
      </c>
      <c r="Q614" s="3">
        <f ca="1">IF(A614&gt;MAX(OP!$R$17:$R$26),0,VLOOKUP(A614,fees,3,FALSE))</f>
        <v>0</v>
      </c>
      <c r="R614" s="200" t="str">
        <f t="shared" ca="1" si="347"/>
        <v/>
      </c>
      <c r="S614" s="9" t="str">
        <f ca="1">IF(COUNTIF(($T$4:T613),"F")&gt;=1,"",IF(OR(C615&lt;&gt;$C$3,E614=""),"",A614))</f>
        <v/>
      </c>
      <c r="T614" s="20" t="str">
        <f t="shared" ca="1" si="339"/>
        <v/>
      </c>
      <c r="U614" s="2">
        <f ca="1">IF(IF(OP!$C$83=1,$Z613,IF(OP!$C$83=2,$AA613,IF(OP!$C$83=3,$AB613,)))+$K614-$O614-$P614-$AS614&lt;OP!$C$142,0,$AS614)</f>
        <v>0</v>
      </c>
      <c r="V614" s="9"/>
      <c r="W614" s="19">
        <f ca="1">MAX(SUM($K$4:K614),0)</f>
        <v>2000000</v>
      </c>
      <c r="X614" s="19"/>
      <c r="Y614" s="19">
        <f t="shared" ca="1" si="365"/>
        <v>1920000</v>
      </c>
      <c r="Z614" s="2">
        <f ca="1">IF(MIN($Z$4:Z613)=0,0,MAX(0,($Z613+$K614-$O614-$P614)*IF(AND(F614="F",$D$3&lt;&gt;$G$3),((1+(-J614))^(H614/MIN(G614,365))),((1+(-J614))^(1/12)))-$U614))</f>
        <v>140948.82658142023</v>
      </c>
      <c r="AA614" s="2">
        <f ca="1">IF(MIN($AA$4:AA613)=0,0,MAX(0,($AA613+$K614-$O614-$P614)*IF(AND(F614="F",$D$3&lt;&gt;$G$3),((1+$AA$1)^(H614/MIN(G614,365))),((1+$AA$1)^(1/12)))-$U614))</f>
        <v>1920000</v>
      </c>
      <c r="AB614" s="2">
        <f ca="1">IF(MIN($AB$4:AB613)=0,0,MAX(0,($AB613+$K614-$O614-$P614)*IF(AND(F614="F",$D$3&lt;&gt;$G$3),((1+(J614))^(H614/MIN(G614,365))),((1+(J614))^(1/12)))-$U614))</f>
        <v>23024473.41334084</v>
      </c>
      <c r="AC614" s="5"/>
      <c r="AD614" s="5"/>
      <c r="AE614" s="5"/>
      <c r="AF614" s="282">
        <f t="shared" ca="1" si="348"/>
        <v>140949</v>
      </c>
      <c r="AG614" s="282">
        <f t="shared" ca="1" si="349"/>
        <v>1920000</v>
      </c>
      <c r="AH614" s="282">
        <f t="shared" ca="1" si="350"/>
        <v>23024473</v>
      </c>
      <c r="AI614" s="23" t="str">
        <f t="shared" ca="1" si="366"/>
        <v>51-12</v>
      </c>
      <c r="AJ614" s="282">
        <f ca="1">IF(E614&gt;111,,IF(AND(OP!$C$99=1,T614="F"),Z614,IF(AND(OP!$C$99=2,COUNTIF($T$4:T614,"F")=1),OP!$C$97+IF(F614="F",OP!$C$98,0),"")))</f>
        <v>54527</v>
      </c>
      <c r="AK614" s="282">
        <f ca="1">IF(E614&gt;111,,IF(AND(OP!$D$99=1,T614="F"),AA614,IF(AND(OP!$D$99=2,COUNTIF($T$4:T614,"F")=1),OP!$D$97+IF(F614="F",OP!$D$98,0),"")))</f>
        <v>74177</v>
      </c>
      <c r="AL614" s="282">
        <f ca="1">IF(E614&gt;111,,IF(AND(OP!$E$99=1,T614="F"),AB614,IF(AND(OP!$E$99=2,COUNTIF($T$4:T614,"F")=1),OP!$E$97+IF(F614="F",OP!$E$98,0),"")))</f>
        <v>99404</v>
      </c>
      <c r="AM614" s="1">
        <f t="shared" ca="1" si="340"/>
        <v>12</v>
      </c>
      <c r="AN614" s="1" t="e">
        <f ca="1">IF(OR(VLOOKUP($A614,MP,5,0)="月繳"),1,"")</f>
        <v>#N/A</v>
      </c>
      <c r="AO614" s="1">
        <f t="shared" ca="1" si="351"/>
        <v>0</v>
      </c>
      <c r="AP614" s="1" t="str">
        <f ca="1">IF(AND(A614&lt;=OP!$C$120,COUNTIF(PAY,C614)=1),1,"")</f>
        <v/>
      </c>
      <c r="AR614" s="301">
        <f ca="1">IF(繳費報酬率資料!$A$1=1,$AY614+$AZ614,$BF614+$BG614)</f>
        <v>0</v>
      </c>
      <c r="AS614" s="1">
        <f ca="1">IF(C614&lt;&gt;IF($C$3=1,12,$C$3-1),0,IF(繳費報酬率資料!$A$1&lt;&gt;1,VLOOKUP($A614,MP,8,0),IF(AND($A614&gt;=OP!$C$79,$A614&lt;=OP!$C$80),OP!$C$78,)))</f>
        <v>0</v>
      </c>
      <c r="AT614" s="298">
        <f t="shared" ca="1" si="352"/>
        <v>0</v>
      </c>
      <c r="AU614" s="298">
        <f ca="1">IF(AND(A614&lt;=OP!$C$120,COUNTIF(PAY,C614)=1),OP!$C$123,0)</f>
        <v>0</v>
      </c>
      <c r="AV614" s="298">
        <f ca="1">IF(AND(A614&gt;=OP!$C$132,A614&lt;=OP!$C$133,$C$3=C614),OP!$C$135,0)</f>
        <v>0</v>
      </c>
      <c r="AW614" s="180">
        <f t="shared" ca="1" si="353"/>
        <v>0.05</v>
      </c>
      <c r="AX614" s="180">
        <f t="shared" ca="1" si="354"/>
        <v>0.05</v>
      </c>
      <c r="AY614" s="286">
        <f t="shared" ca="1" si="355"/>
        <v>0</v>
      </c>
      <c r="AZ614" s="286">
        <f t="shared" ca="1" si="356"/>
        <v>0</v>
      </c>
      <c r="BA614" s="286">
        <f t="shared" ca="1" si="357"/>
        <v>0</v>
      </c>
      <c r="BB614" s="286">
        <f t="shared" ca="1" si="358"/>
        <v>0</v>
      </c>
      <c r="BC614" s="286">
        <f t="shared" ca="1" si="359"/>
        <v>0</v>
      </c>
      <c r="BD614" s="180">
        <f t="shared" ca="1" si="360"/>
        <v>0.05</v>
      </c>
      <c r="BE614" s="180">
        <f t="shared" ca="1" si="361"/>
        <v>0.05</v>
      </c>
      <c r="BF614" s="286">
        <f t="shared" ca="1" si="362"/>
        <v>0</v>
      </c>
      <c r="BG614" s="286">
        <f t="shared" ca="1" si="363"/>
        <v>0</v>
      </c>
    </row>
    <row r="615" spans="1:59">
      <c r="A615" s="1">
        <f t="shared" ca="1" si="342"/>
        <v>51</v>
      </c>
      <c r="B615" s="1">
        <f t="shared" ca="1" si="336"/>
        <v>157</v>
      </c>
      <c r="C615" s="1">
        <f t="shared" ca="1" si="337"/>
        <v>5</v>
      </c>
      <c r="D615" s="1">
        <f ca="1">MIN($D$3,VLOOKUP(C615,OP!$S$30:$T$41,2))</f>
        <v>2</v>
      </c>
      <c r="E615" s="1">
        <f t="shared" ca="1" si="338"/>
        <v>105</v>
      </c>
      <c r="F615" s="11" t="str">
        <f t="shared" ca="1" si="343"/>
        <v/>
      </c>
      <c r="G615" s="8">
        <f t="shared" ca="1" si="368"/>
        <v>366</v>
      </c>
      <c r="H615" s="8">
        <f t="shared" ca="1" si="345"/>
        <v>31</v>
      </c>
      <c r="I615" s="8" t="str">
        <f t="shared" ca="1" si="341"/>
        <v>515</v>
      </c>
      <c r="J615" s="13">
        <f>IF(繳費報酬率資料!$A$1=1,VALUE(OP!$C$121),VLOOKUP(A615,MP,2,0))</f>
        <v>0.05</v>
      </c>
      <c r="K615" s="14">
        <f ca="1">IF(SUM($K$4:K614,IF(繳費報酬率資料!$A$1=1,$AU615+$AV615,$BB615+$BC615))&gt;OP!$L$58,0,IF(繳費報酬率資料!$A$1=1,$AU615+$AV615,$BB615+$BC615))</f>
        <v>0</v>
      </c>
      <c r="L615" s="2">
        <f ca="1">ROUND(IF(OP!$C$78&lt;(IF(OR($T615="F",$E615&gt;=111),0,Z614+$K615-$O615+IF($C$1=1,OP!$C$78,IF($C616=$C$3,SUM(AC604:AC615,0)))))*5%,0,(OP!$C$78-((IF(OR($T615="F",$E615&gt;=111),0,Z614+$K615-$O615+IF($C$1=1,AC615,IF($C616=$C$3,SUM(AC604:AC615,0)))))*5%))*$Q615),0)</f>
        <v>0</v>
      </c>
      <c r="M615" s="2">
        <f ca="1">ROUND(IF(OP!$C$78&lt;(IF(OR($T615="F",$E615&gt;=111),0,AA614+$K615-$O615+IF($C$1=1,AD615,IF($C616=$C$3,SUM(AD604:AD615,0)))))*5%,0,(OP!$C$78-((IF(OR($T615="F",$E615&gt;=111),0,AA614+$K615-$O615+IF($C$1=1,AD615,IF($C616=$C$3,SUM(AD604:AD615,0)))))*5%))*$Q615),0)</f>
        <v>0</v>
      </c>
      <c r="N615" s="2">
        <f ca="1">ROUND(IF(OP!$C$78&lt;(IF(OR($T615="F",$E615&gt;=111),0,AB614+$K615-$O615+IF($C$1=1,AE615,IF($C616=$C$3,SUM(AE604:AE615,0)))))*5%,0,(OP!$C$78-((IF(OR($T615="F",$E615&gt;=111),0,AB614+$K615-$O615+IF($C$1=1,AE615,IF($C616=$C$3,SUM(AE604:AE615,0)))))*5%))*$Q615),0)</f>
        <v>0</v>
      </c>
      <c r="O615" s="261">
        <f t="shared" ca="1" si="346"/>
        <v>0</v>
      </c>
      <c r="P615" s="261">
        <f t="shared" ca="1" si="364"/>
        <v>0</v>
      </c>
      <c r="Q615" s="3">
        <f ca="1">IF(A615&gt;MAX(OP!$R$17:$R$26),0,VLOOKUP(A615,fees,3,FALSE))</f>
        <v>0</v>
      </c>
      <c r="R615" s="200">
        <f t="shared" ca="1" si="347"/>
        <v>51</v>
      </c>
      <c r="S615" s="9" t="str">
        <f ca="1">IF(COUNTIF(($T$4:T614),"F")&gt;=1,"",IF(OR(C616&lt;&gt;$C$3,E615=""),"",A615))</f>
        <v/>
      </c>
      <c r="T615" s="20" t="str">
        <f t="shared" ca="1" si="339"/>
        <v/>
      </c>
      <c r="U615" s="2">
        <f ca="1">IF(IF(OP!$C$83=1,$Z614,IF(OP!$C$83=2,$AA614,IF(OP!$C$83=3,$AB614,)))+$K615-$O615-$P615-$AS615&lt;OP!$C$142,0,$AS615)</f>
        <v>0</v>
      </c>
      <c r="V615" s="19">
        <f ca="1">SUM(K604:K615)</f>
        <v>0</v>
      </c>
      <c r="W615" s="19">
        <f ca="1">MAX(SUM($K$4:K615),0)</f>
        <v>2000000</v>
      </c>
      <c r="X615" s="19">
        <f ca="1">SUM(O604:P615)</f>
        <v>0</v>
      </c>
      <c r="Y615" s="19">
        <f t="shared" ca="1" si="365"/>
        <v>1920000</v>
      </c>
      <c r="Z615" s="2">
        <f ca="1">IF(MIN($Z$4:Z614)=0,0,MAX(0,($Z614+$K615-$O615-$P615)*IF(AND(F615="F",$D$3&lt;&gt;$G$3),((1+(-J615))^(H615/MIN(G615,365))),((1+(-J615))^(1/12)))-$U615))</f>
        <v>140347.63490472737</v>
      </c>
      <c r="AA615" s="2">
        <f ca="1">IF(MIN($AA$4:AA614)=0,0,MAX(0,($AA614+$K615-$O615-$P615)*IF(AND(F615="F",$D$3&lt;&gt;$G$3),((1+$AA$1)^(H615/MIN(G615,365))),((1+$AA$1)^(1/12)))-$U615))</f>
        <v>1920000</v>
      </c>
      <c r="AB615" s="2">
        <f ca="1">IF(MIN($AB$4:AB614)=0,0,MAX(0,($AB614+$K615-$O615-$P615)*IF(AND(F615="F",$D$3&lt;&gt;$G$3),((1+(J615))^(H615/MIN(G615,365))),((1+(J615))^(1/12)))-$U615))</f>
        <v>23118277.968080111</v>
      </c>
      <c r="AC615" s="5"/>
      <c r="AD615" s="5"/>
      <c r="AE615" s="5"/>
      <c r="AF615" s="282">
        <f t="shared" ca="1" si="348"/>
        <v>140348</v>
      </c>
      <c r="AG615" s="282">
        <f t="shared" ca="1" si="349"/>
        <v>1920000</v>
      </c>
      <c r="AH615" s="282">
        <f t="shared" ca="1" si="350"/>
        <v>23118278</v>
      </c>
      <c r="AI615" s="23" t="str">
        <f t="shared" ca="1" si="366"/>
        <v>52-1</v>
      </c>
      <c r="AJ615" s="282">
        <f ca="1">IF(E615&gt;111,,IF(AND(OP!$C$99=1,T615="F"),Z615,IF(AND(OP!$C$99=2,COUNTIF($T$4:T615,"F")=1),OP!$C$97+IF(F615="F",OP!$C$98,0),"")))</f>
        <v>54527</v>
      </c>
      <c r="AK615" s="282">
        <f ca="1">IF(E615&gt;111,,IF(AND(OP!$D$99=1,T615="F"),AA615,IF(AND(OP!$D$99=2,COUNTIF($T$4:T615,"F")=1),OP!$D$97+IF(F615="F",OP!$D$98,0),"")))</f>
        <v>74177</v>
      </c>
      <c r="AL615" s="282">
        <f ca="1">IF(E615&gt;111,,IF(AND(OP!$E$99=1,T615="F"),AB615,IF(AND(OP!$E$99=2,COUNTIF($T$4:T615,"F")=1),OP!$E$97+IF(F615="F",OP!$E$98,0),"")))</f>
        <v>99404</v>
      </c>
      <c r="AM615" s="1">
        <f t="shared" ca="1" si="340"/>
        <v>1</v>
      </c>
      <c r="AN615" s="1" t="e">
        <f ca="1">IF(OR(VLOOKUP($A615,MP,5,0)="月繳"),1,"")</f>
        <v>#N/A</v>
      </c>
      <c r="AO615" s="1">
        <f t="shared" ca="1" si="351"/>
        <v>0</v>
      </c>
      <c r="AP615" s="1" t="str">
        <f ca="1">IF(AND(A615&lt;=OP!$C$120,COUNTIF(PAY,C615)=1),1,"")</f>
        <v/>
      </c>
      <c r="AR615" s="301">
        <f ca="1">IF(繳費報酬率資料!$A$1=1,$AY615+$AZ615,$BF615+$BG615)</f>
        <v>0</v>
      </c>
      <c r="AS615" s="1">
        <f ca="1">IF(C615&lt;&gt;IF($C$3=1,12,$C$3-1),0,IF(繳費報酬率資料!$A$1&lt;&gt;1,VLOOKUP($A615,MP,8,0),IF(AND($A615&gt;=OP!$C$79,$A615&lt;=OP!$C$80),OP!$C$78,)))</f>
        <v>0</v>
      </c>
      <c r="AT615" s="298">
        <f t="shared" ca="1" si="352"/>
        <v>0</v>
      </c>
      <c r="AU615" s="298">
        <f ca="1">IF(AND(A615&lt;=OP!$C$120,COUNTIF(PAY,C615)=1),OP!$C$123,0)</f>
        <v>0</v>
      </c>
      <c r="AV615" s="298">
        <f ca="1">IF(AND(A615&gt;=OP!$C$132,A615&lt;=OP!$C$133,$C$3=C615),OP!$C$135,0)</f>
        <v>0</v>
      </c>
      <c r="AW615" s="180">
        <f t="shared" ca="1" si="353"/>
        <v>0.05</v>
      </c>
      <c r="AX615" s="180">
        <f t="shared" ca="1" si="354"/>
        <v>0.05</v>
      </c>
      <c r="AY615" s="286">
        <f t="shared" ca="1" si="355"/>
        <v>0</v>
      </c>
      <c r="AZ615" s="286">
        <f t="shared" ca="1" si="356"/>
        <v>0</v>
      </c>
      <c r="BA615" s="286">
        <f t="shared" ca="1" si="357"/>
        <v>0</v>
      </c>
      <c r="BB615" s="286">
        <f t="shared" ca="1" si="358"/>
        <v>0</v>
      </c>
      <c r="BC615" s="286">
        <f t="shared" ca="1" si="359"/>
        <v>0</v>
      </c>
      <c r="BD615" s="180">
        <f t="shared" ca="1" si="360"/>
        <v>0.05</v>
      </c>
      <c r="BE615" s="180">
        <f t="shared" ca="1" si="361"/>
        <v>0.05</v>
      </c>
      <c r="BF615" s="286">
        <f t="shared" ca="1" si="362"/>
        <v>0</v>
      </c>
      <c r="BG615" s="286">
        <f t="shared" ca="1" si="363"/>
        <v>0</v>
      </c>
    </row>
    <row r="616" spans="1:59">
      <c r="A616" s="1">
        <f t="shared" ca="1" si="342"/>
        <v>52</v>
      </c>
      <c r="B616" s="1">
        <f t="shared" ca="1" si="336"/>
        <v>157</v>
      </c>
      <c r="C616" s="1">
        <f t="shared" ca="1" si="337"/>
        <v>6</v>
      </c>
      <c r="D616" s="1">
        <f ca="1">MIN($D$3,VLOOKUP(C616,OP!$S$30:$T$41,2))</f>
        <v>2</v>
      </c>
      <c r="E616" s="1">
        <f t="shared" ca="1" si="338"/>
        <v>106</v>
      </c>
      <c r="F616" s="11" t="str">
        <f t="shared" ca="1" si="343"/>
        <v/>
      </c>
      <c r="G616" s="6">
        <f ca="1">DATEDIF(DATE(B616+1911,C616,D616),DATE(B628+1911,C628,D628),"d")</f>
        <v>365</v>
      </c>
      <c r="H616" s="8">
        <f t="shared" ca="1" si="345"/>
        <v>30</v>
      </c>
      <c r="I616" s="8" t="str">
        <f t="shared" ca="1" si="341"/>
        <v>526</v>
      </c>
      <c r="J616" s="13">
        <f>IF(繳費報酬率資料!$A$1=1,VALUE(OP!$C$121),VLOOKUP(A616,MP,2,0))</f>
        <v>0.05</v>
      </c>
      <c r="K616" s="14">
        <f ca="1">IF(SUM($K$4:K615,IF(繳費報酬率資料!$A$1=1,$AU616+$AV616,$BB616+$BC616))&gt;OP!$L$58,0,IF(繳費報酬率資料!$A$1=1,$AU616+$AV616,$BB616+$BC616))</f>
        <v>0</v>
      </c>
      <c r="L616" s="2"/>
      <c r="M616" s="2"/>
      <c r="N616" s="2"/>
      <c r="O616" s="261">
        <f t="shared" ca="1" si="346"/>
        <v>0</v>
      </c>
      <c r="P616" s="261">
        <f t="shared" ca="1" si="364"/>
        <v>0</v>
      </c>
      <c r="Q616" s="3">
        <f ca="1">IF(A616&gt;MAX(OP!$R$17:$R$26),0,VLOOKUP(A616,fees,3,FALSE))</f>
        <v>0</v>
      </c>
      <c r="R616" s="200" t="str">
        <f t="shared" ca="1" si="347"/>
        <v/>
      </c>
      <c r="S616" s="9" t="str">
        <f ca="1">IF(COUNTIF(($T$4:T615),"F")&gt;=1,"",IF(OR(C617&lt;&gt;$C$3,E616=""),"",A616))</f>
        <v/>
      </c>
      <c r="T616" s="20" t="str">
        <f t="shared" ca="1" si="339"/>
        <v/>
      </c>
      <c r="U616" s="2">
        <f ca="1">IF(IF(OP!$C$83=1,$Z615,IF(OP!$C$83=2,$AA615,IF(OP!$C$83=3,$AB615,)))+$K616-$O616-$P616-$AS616&lt;OP!$C$142,0,$AS616)</f>
        <v>0</v>
      </c>
      <c r="V616" s="9"/>
      <c r="W616" s="19">
        <f ca="1">MAX(SUM($K$4:K616),0)</f>
        <v>2000000</v>
      </c>
      <c r="X616" s="19"/>
      <c r="Y616" s="19">
        <f t="shared" ca="1" si="365"/>
        <v>1920000</v>
      </c>
      <c r="Z616" s="2">
        <f ca="1">IF(MIN($Z$4:Z615)=0,0,MAX(0,($Z615+$K616-$O616-$P616)*IF(AND(F616="F",$D$3&lt;&gt;$G$3),((1+(-J616))^(H616/MIN(G616,365))),((1+(-J616))^(1/12)))-$U616))</f>
        <v>139749.00750218201</v>
      </c>
      <c r="AA616" s="2">
        <f ca="1">IF(MIN($AA$4:AA615)=0,0,MAX(0,($AA615+$K616-$O616-$P616)*IF(AND(F616="F",$D$3&lt;&gt;$G$3),((1+$AA$1)^(H616/MIN(G616,365))),((1+$AA$1)^(1/12)))-$U616))</f>
        <v>1920000</v>
      </c>
      <c r="AB616" s="2">
        <f ca="1">IF(MIN($AB$4:AB615)=0,0,MAX(0,($AB615+$K616-$O616-$P616)*IF(AND(F616="F",$D$3&lt;&gt;$G$3),((1+(J616))^(H616/MIN(G616,365))),((1+(J616))^(1/12)))-$U616))</f>
        <v>23212464.694186859</v>
      </c>
      <c r="AC616" s="21"/>
      <c r="AD616" s="21"/>
      <c r="AE616" s="21"/>
      <c r="AF616" s="282">
        <f t="shared" ca="1" si="348"/>
        <v>139749</v>
      </c>
      <c r="AG616" s="282">
        <f t="shared" ca="1" si="349"/>
        <v>1920000</v>
      </c>
      <c r="AH616" s="282">
        <f t="shared" ca="1" si="350"/>
        <v>23212465</v>
      </c>
      <c r="AI616" s="23" t="str">
        <f t="shared" ca="1" si="366"/>
        <v>52-2</v>
      </c>
      <c r="AJ616" s="281">
        <f ca="1">IF(E616&gt;111,,IF(AND(OP!$C$99=1,T616="F"),Z616,IF(AND(OP!$C$99=2,COUNTIF($T$4:T616,"F")=1),OP!$C$97+IF(F616="F",OP!$C$98,0),"")))</f>
        <v>54527</v>
      </c>
      <c r="AK616" s="281">
        <f ca="1">IF(E616&gt;111,,IF(AND(OP!$D$99=1,T616="F"),AA616,IF(AND(OP!$D$99=2,COUNTIF($T$4:T616,"F")=1),OP!$D$97+IF(F616="F",OP!$D$98,0),"")))</f>
        <v>74177</v>
      </c>
      <c r="AL616" s="281">
        <f ca="1">IF(E616&gt;111,,IF(AND(OP!$E$99=1,T616="F"),AB616,IF(AND(OP!$E$99=2,COUNTIF($T$4:T616,"F")=1),OP!$E$97+IF(F616="F",OP!$E$98,0),"")))</f>
        <v>99404</v>
      </c>
      <c r="AM616" s="1">
        <f t="shared" ca="1" si="340"/>
        <v>2</v>
      </c>
      <c r="AN616" s="1" t="e">
        <f ca="1">IF(OR(VLOOKUP($A616,MP,5,0)="年繳",VLOOKUP($A616,MP,5,0)="半年繳",VLOOKUP($A616,MP,5,0)="季繳",VLOOKUP($A616,MP,5,0)="月繳"),1,"")</f>
        <v>#N/A</v>
      </c>
      <c r="AO616" s="1">
        <f t="shared" ca="1" si="351"/>
        <v>0</v>
      </c>
      <c r="AP616" s="1" t="str">
        <f ca="1">IF(AND(A616&lt;=OP!$C$120,COUNTIF(PAY,C616)=1),1,"")</f>
        <v/>
      </c>
      <c r="AR616" s="301">
        <f ca="1">IF(繳費報酬率資料!$A$1=1,$AY616+$AZ616,$BF616+$BG616)</f>
        <v>0</v>
      </c>
      <c r="AS616" s="1">
        <f ca="1">IF(C616&lt;&gt;IF($C$3=1,12,$C$3-1),0,IF(繳費報酬率資料!$A$1&lt;&gt;1,VLOOKUP($A616,MP,8,0),IF(AND($A616&gt;=OP!$C$79,$A616&lt;=OP!$C$80),OP!$C$78,)))</f>
        <v>0</v>
      </c>
      <c r="AT616" s="298">
        <f t="shared" ca="1" si="352"/>
        <v>0</v>
      </c>
      <c r="AU616" s="298">
        <f ca="1">IF(AND(A616&lt;=OP!$C$120,COUNTIF(PAY,C616)=1),OP!$C$123,0)</f>
        <v>0</v>
      </c>
      <c r="AV616" s="298">
        <f ca="1">IF(AND(A616&gt;=OP!$C$132,A616&lt;=OP!$C$133,$C$3=C616),OP!$C$135,0)</f>
        <v>0</v>
      </c>
      <c r="AW616" s="180">
        <f t="shared" ca="1" si="353"/>
        <v>0.05</v>
      </c>
      <c r="AX616" s="180">
        <f t="shared" ca="1" si="354"/>
        <v>0.05</v>
      </c>
      <c r="AY616" s="286">
        <f t="shared" ca="1" si="355"/>
        <v>0</v>
      </c>
      <c r="AZ616" s="286">
        <f t="shared" ca="1" si="356"/>
        <v>0</v>
      </c>
      <c r="BA616" s="286">
        <f t="shared" ca="1" si="357"/>
        <v>0</v>
      </c>
      <c r="BB616" s="286">
        <f t="shared" ca="1" si="358"/>
        <v>0</v>
      </c>
      <c r="BC616" s="286">
        <f t="shared" ca="1" si="359"/>
        <v>0</v>
      </c>
      <c r="BD616" s="180">
        <f t="shared" ca="1" si="360"/>
        <v>0.05</v>
      </c>
      <c r="BE616" s="180">
        <f t="shared" ca="1" si="361"/>
        <v>0.05</v>
      </c>
      <c r="BF616" s="286">
        <f t="shared" ca="1" si="362"/>
        <v>0</v>
      </c>
      <c r="BG616" s="286">
        <f t="shared" ca="1" si="363"/>
        <v>0</v>
      </c>
    </row>
    <row r="617" spans="1:59">
      <c r="A617" s="1">
        <f t="shared" ca="1" si="342"/>
        <v>52</v>
      </c>
      <c r="B617" s="1">
        <f t="shared" ca="1" si="336"/>
        <v>157</v>
      </c>
      <c r="C617" s="1">
        <f t="shared" ca="1" si="337"/>
        <v>7</v>
      </c>
      <c r="D617" s="1">
        <f ca="1">MIN($D$3,VLOOKUP(C617,OP!$S$30:$T$41,2))</f>
        <v>2</v>
      </c>
      <c r="E617" s="1">
        <f t="shared" ca="1" si="338"/>
        <v>106</v>
      </c>
      <c r="F617" s="11" t="str">
        <f t="shared" ca="1" si="343"/>
        <v/>
      </c>
      <c r="G617" s="8">
        <f t="shared" ref="G617:G627" ca="1" si="369">G616</f>
        <v>365</v>
      </c>
      <c r="H617" s="8">
        <f t="shared" ca="1" si="345"/>
        <v>31</v>
      </c>
      <c r="I617" s="8" t="str">
        <f t="shared" ca="1" si="341"/>
        <v>527</v>
      </c>
      <c r="J617" s="13">
        <f>IF(繳費報酬率資料!$A$1=1,VALUE(OP!$C$121),VLOOKUP(A617,MP,2,0))</f>
        <v>0.05</v>
      </c>
      <c r="K617" s="14">
        <f ca="1">IF(SUM($K$4:K616,IF(繳費報酬率資料!$A$1=1,$AU617+$AV617,$BB617+$BC617))&gt;OP!$L$58,0,IF(繳費報酬率資料!$A$1=1,$AU617+$AV617,$BB617+$BC617))</f>
        <v>0</v>
      </c>
      <c r="L617" s="2"/>
      <c r="M617" s="2"/>
      <c r="N617" s="2"/>
      <c r="O617" s="261">
        <f t="shared" ca="1" si="346"/>
        <v>0</v>
      </c>
      <c r="P617" s="261">
        <f t="shared" ca="1" si="364"/>
        <v>0</v>
      </c>
      <c r="Q617" s="3">
        <f ca="1">IF(A617&gt;MAX(OP!$R$17:$R$26),0,VLOOKUP(A617,fees,3,FALSE))</f>
        <v>0</v>
      </c>
      <c r="R617" s="200" t="str">
        <f t="shared" ca="1" si="347"/>
        <v/>
      </c>
      <c r="S617" s="9" t="str">
        <f ca="1">IF(COUNTIF(($T$4:T616),"F")&gt;=1,"",IF(OR(C618&lt;&gt;$C$3,E617=""),"",A617))</f>
        <v/>
      </c>
      <c r="T617" s="20" t="str">
        <f t="shared" ca="1" si="339"/>
        <v/>
      </c>
      <c r="U617" s="2">
        <f ca="1">IF(IF(OP!$C$83=1,$Z616,IF(OP!$C$83=2,$AA616,IF(OP!$C$83=3,$AB616,)))+$K617-$O617-$P617-$AS617&lt;OP!$C$142,0,$AS617)</f>
        <v>0</v>
      </c>
      <c r="V617" s="9"/>
      <c r="W617" s="19">
        <f ca="1">MAX(SUM($K$4:K617),0)</f>
        <v>2000000</v>
      </c>
      <c r="X617" s="19"/>
      <c r="Y617" s="19">
        <f t="shared" ca="1" si="365"/>
        <v>1920000</v>
      </c>
      <c r="Z617" s="2">
        <f ca="1">IF(MIN($Z$4:Z616)=0,0,MAX(0,($Z616+$K617-$O617-$P617)*IF(AND(F617="F",$D$3&lt;&gt;$G$3),((1+(-J617))^(H617/MIN(G617,365))),((1+(-J617))^(1/12)))-$U617))</f>
        <v>139152.93343633748</v>
      </c>
      <c r="AA617" s="2">
        <f ca="1">IF(MIN($AA$4:AA616)=0,0,MAX(0,($AA616+$K617-$O617-$P617)*IF(AND(F617="F",$D$3&lt;&gt;$G$3),((1+$AA$1)^(H617/MIN(G617,365))),((1+$AA$1)^(1/12)))-$U617))</f>
        <v>1920000</v>
      </c>
      <c r="AB617" s="2">
        <f ca="1">IF(MIN($AB$4:AB616)=0,0,MAX(0,($AB616+$K617-$O617-$P617)*IF(AND(F617="F",$D$3&lt;&gt;$G$3),((1+(J617))^(H617/MIN(G617,365))),((1+(J617))^(1/12)))-$U617))</f>
        <v>23307035.148674544</v>
      </c>
      <c r="AC617" s="5"/>
      <c r="AD617" s="5"/>
      <c r="AE617" s="5"/>
      <c r="AF617" s="282">
        <f t="shared" ca="1" si="348"/>
        <v>139153</v>
      </c>
      <c r="AG617" s="282">
        <f t="shared" ca="1" si="349"/>
        <v>1920000</v>
      </c>
      <c r="AH617" s="282">
        <f t="shared" ca="1" si="350"/>
        <v>23307035</v>
      </c>
      <c r="AI617" s="23" t="str">
        <f t="shared" ca="1" si="366"/>
        <v>52-3</v>
      </c>
      <c r="AJ617" s="282">
        <f ca="1">IF(E617&gt;111,,IF(AND(OP!$C$99=1,T617="F"),Z617,IF(AND(OP!$C$99=2,COUNTIF($T$4:T617,"F")=1),OP!$C$97+IF(F617="F",OP!$C$98,0),"")))</f>
        <v>54527</v>
      </c>
      <c r="AK617" s="282">
        <f ca="1">IF(E617&gt;111,,IF(AND(OP!$D$99=1,T617="F"),AA617,IF(AND(OP!$D$99=2,COUNTIF($T$4:T617,"F")=1),OP!$D$97+IF(F617="F",OP!$D$98,0),"")))</f>
        <v>74177</v>
      </c>
      <c r="AL617" s="282">
        <f ca="1">IF(E617&gt;111,,IF(AND(OP!$E$99=1,T617="F"),AB617,IF(AND(OP!$E$99=2,COUNTIF($T$4:T617,"F")=1),OP!$E$97+IF(F617="F",OP!$E$98,0),"")))</f>
        <v>99404</v>
      </c>
      <c r="AM617" s="1">
        <f t="shared" ca="1" si="340"/>
        <v>3</v>
      </c>
      <c r="AN617" s="1" t="e">
        <f ca="1">IF(OR(VLOOKUP($A617,MP,5,0)="月繳"),1,"")</f>
        <v>#N/A</v>
      </c>
      <c r="AO617" s="1">
        <f t="shared" ca="1" si="351"/>
        <v>0</v>
      </c>
      <c r="AP617" s="1" t="str">
        <f ca="1">IF(AND(A617&lt;=OP!$C$120,COUNTIF(PAY,C617)=1),1,"")</f>
        <v/>
      </c>
      <c r="AR617" s="301">
        <f ca="1">IF(繳費報酬率資料!$A$1=1,$AY617+$AZ617,$BF617+$BG617)</f>
        <v>0</v>
      </c>
      <c r="AS617" s="1">
        <f ca="1">IF(C617&lt;&gt;IF($C$3=1,12,$C$3-1),0,IF(繳費報酬率資料!$A$1&lt;&gt;1,VLOOKUP($A617,MP,8,0),IF(AND($A617&gt;=OP!$C$79,$A617&lt;=OP!$C$80),OP!$C$78,)))</f>
        <v>0</v>
      </c>
      <c r="AT617" s="298">
        <f t="shared" ca="1" si="352"/>
        <v>0</v>
      </c>
      <c r="AU617" s="298">
        <f ca="1">IF(AND(A617&lt;=OP!$C$120,COUNTIF(PAY,C617)=1),OP!$C$123,0)</f>
        <v>0</v>
      </c>
      <c r="AV617" s="298">
        <f ca="1">IF(AND(A617&gt;=OP!$C$132,A617&lt;=OP!$C$133,$C$3=C617),OP!$C$135,0)</f>
        <v>0</v>
      </c>
      <c r="AW617" s="180">
        <f t="shared" ca="1" si="353"/>
        <v>0.05</v>
      </c>
      <c r="AX617" s="180">
        <f t="shared" ca="1" si="354"/>
        <v>0.05</v>
      </c>
      <c r="AY617" s="286">
        <f t="shared" ca="1" si="355"/>
        <v>0</v>
      </c>
      <c r="AZ617" s="286">
        <f t="shared" ca="1" si="356"/>
        <v>0</v>
      </c>
      <c r="BA617" s="286">
        <f t="shared" ca="1" si="357"/>
        <v>0</v>
      </c>
      <c r="BB617" s="286">
        <f t="shared" ca="1" si="358"/>
        <v>0</v>
      </c>
      <c r="BC617" s="286">
        <f t="shared" ca="1" si="359"/>
        <v>0</v>
      </c>
      <c r="BD617" s="180">
        <f t="shared" ca="1" si="360"/>
        <v>0.05</v>
      </c>
      <c r="BE617" s="180">
        <f t="shared" ca="1" si="361"/>
        <v>0.05</v>
      </c>
      <c r="BF617" s="286">
        <f t="shared" ca="1" si="362"/>
        <v>0</v>
      </c>
      <c r="BG617" s="286">
        <f t="shared" ca="1" si="363"/>
        <v>0</v>
      </c>
    </row>
    <row r="618" spans="1:59">
      <c r="A618" s="1">
        <f t="shared" ca="1" si="342"/>
        <v>52</v>
      </c>
      <c r="B618" s="1">
        <f t="shared" ca="1" si="336"/>
        <v>157</v>
      </c>
      <c r="C618" s="1">
        <f t="shared" ca="1" si="337"/>
        <v>8</v>
      </c>
      <c r="D618" s="1">
        <f ca="1">MIN($D$3,VLOOKUP(C618,OP!$S$30:$T$41,2))</f>
        <v>2</v>
      </c>
      <c r="E618" s="1">
        <f t="shared" ca="1" si="338"/>
        <v>106</v>
      </c>
      <c r="F618" s="11" t="str">
        <f t="shared" ca="1" si="343"/>
        <v/>
      </c>
      <c r="G618" s="8">
        <f t="shared" ca="1" si="369"/>
        <v>365</v>
      </c>
      <c r="H618" s="8">
        <f t="shared" ca="1" si="345"/>
        <v>31</v>
      </c>
      <c r="I618" s="8" t="str">
        <f t="shared" ca="1" si="341"/>
        <v>528</v>
      </c>
      <c r="J618" s="13">
        <f>IF(繳費報酬率資料!$A$1=1,VALUE(OP!$C$121),VLOOKUP(A618,MP,2,0))</f>
        <v>0.05</v>
      </c>
      <c r="K618" s="14">
        <f ca="1">IF(SUM($K$4:K617,IF(繳費報酬率資料!$A$1=1,$AU618+$AV618,$BB618+$BC618))&gt;OP!$L$58,0,IF(繳費報酬率資料!$A$1=1,$AU618+$AV618,$BB618+$BC618))</f>
        <v>0</v>
      </c>
      <c r="L618" s="2"/>
      <c r="M618" s="2"/>
      <c r="N618" s="2"/>
      <c r="O618" s="261">
        <f t="shared" ca="1" si="346"/>
        <v>0</v>
      </c>
      <c r="P618" s="261">
        <f t="shared" ca="1" si="364"/>
        <v>0</v>
      </c>
      <c r="Q618" s="3">
        <f ca="1">IF(A618&gt;MAX(OP!$R$17:$R$26),0,VLOOKUP(A618,fees,3,FALSE))</f>
        <v>0</v>
      </c>
      <c r="R618" s="200" t="str">
        <f t="shared" ca="1" si="347"/>
        <v/>
      </c>
      <c r="S618" s="9" t="str">
        <f ca="1">IF(COUNTIF(($T$4:T617),"F")&gt;=1,"",IF(OR(C619&lt;&gt;$C$3,E618=""),"",A618))</f>
        <v/>
      </c>
      <c r="T618" s="20" t="str">
        <f t="shared" ca="1" si="339"/>
        <v/>
      </c>
      <c r="U618" s="2">
        <f ca="1">IF(IF(OP!$C$83=1,$Z617,IF(OP!$C$83=2,$AA617,IF(OP!$C$83=3,$AB617,)))+$K618-$O618-$P618-$AS618&lt;OP!$C$142,0,$AS618)</f>
        <v>0</v>
      </c>
      <c r="V618" s="9"/>
      <c r="W618" s="19">
        <f ca="1">MAX(SUM($K$4:K618),0)</f>
        <v>2000000</v>
      </c>
      <c r="X618" s="19"/>
      <c r="Y618" s="19">
        <f t="shared" ca="1" si="365"/>
        <v>1920000</v>
      </c>
      <c r="Z618" s="2">
        <f ca="1">IF(MIN($Z$4:Z617)=0,0,MAX(0,($Z617+$K618-$O618-$P618)*IF(AND(F618="F",$D$3&lt;&gt;$G$3),((1+(-J618))^(H618/MIN(G618,365))),((1+(-J618))^(1/12)))-$U618))</f>
        <v>138559.40181639884</v>
      </c>
      <c r="AA618" s="2">
        <f ca="1">IF(MIN($AA$4:AA617)=0,0,MAX(0,($AA617+$K618-$O618-$P618)*IF(AND(F618="F",$D$3&lt;&gt;$G$3),((1+$AA$1)^(H618/MIN(G618,365))),((1+$AA$1)^(1/12)))-$U618))</f>
        <v>1920000</v>
      </c>
      <c r="AB618" s="2">
        <f ca="1">IF(MIN($AB$4:AB617)=0,0,MAX(0,($AB617+$K618-$O618-$P618)*IF(AND(F618="F",$D$3&lt;&gt;$G$3),((1+(J618))^(H618/MIN(G618,365))),((1+(J618))^(1/12)))-$U618))</f>
        <v>23401990.894900087</v>
      </c>
      <c r="AC618" s="5"/>
      <c r="AD618" s="5"/>
      <c r="AE618" s="5"/>
      <c r="AF618" s="282">
        <f t="shared" ca="1" si="348"/>
        <v>138559</v>
      </c>
      <c r="AG618" s="282">
        <f t="shared" ca="1" si="349"/>
        <v>1920000</v>
      </c>
      <c r="AH618" s="282">
        <f t="shared" ca="1" si="350"/>
        <v>23401991</v>
      </c>
      <c r="AI618" s="23" t="str">
        <f t="shared" ca="1" si="366"/>
        <v>52-4</v>
      </c>
      <c r="AJ618" s="282">
        <f ca="1">IF(E618&gt;111,,IF(AND(OP!$C$99=1,T618="F"),Z618,IF(AND(OP!$C$99=2,COUNTIF($T$4:T618,"F")=1),OP!$C$97+IF(F618="F",OP!$C$98,0),"")))</f>
        <v>54527</v>
      </c>
      <c r="AK618" s="282">
        <f ca="1">IF(E618&gt;111,,IF(AND(OP!$D$99=1,T618="F"),AA618,IF(AND(OP!$D$99=2,COUNTIF($T$4:T618,"F")=1),OP!$D$97+IF(F618="F",OP!$D$98,0),"")))</f>
        <v>74177</v>
      </c>
      <c r="AL618" s="282">
        <f ca="1">IF(E618&gt;111,,IF(AND(OP!$E$99=1,T618="F"),AB618,IF(AND(OP!$E$99=2,COUNTIF($T$4:T618,"F")=1),OP!$E$97+IF(F618="F",OP!$E$98,0),"")))</f>
        <v>99404</v>
      </c>
      <c r="AM618" s="1">
        <f t="shared" ca="1" si="340"/>
        <v>4</v>
      </c>
      <c r="AN618" s="1" t="e">
        <f ca="1">IF(OR(VLOOKUP($A618,MP,5,0)="月繳"),1,"")</f>
        <v>#N/A</v>
      </c>
      <c r="AO618" s="1">
        <f t="shared" ca="1" si="351"/>
        <v>0</v>
      </c>
      <c r="AP618" s="1" t="str">
        <f ca="1">IF(AND(A618&lt;=OP!$C$120,COUNTIF(PAY,C618)=1),1,"")</f>
        <v/>
      </c>
      <c r="AR618" s="301">
        <f ca="1">IF(繳費報酬率資料!$A$1=1,$AY618+$AZ618,$BF618+$BG618)</f>
        <v>0</v>
      </c>
      <c r="AS618" s="1">
        <f ca="1">IF(C618&lt;&gt;IF($C$3=1,12,$C$3-1),0,IF(繳費報酬率資料!$A$1&lt;&gt;1,VLOOKUP($A618,MP,8,0),IF(AND($A618&gt;=OP!$C$79,$A618&lt;=OP!$C$80),OP!$C$78,)))</f>
        <v>0</v>
      </c>
      <c r="AT618" s="298">
        <f t="shared" ca="1" si="352"/>
        <v>0</v>
      </c>
      <c r="AU618" s="298">
        <f ca="1">IF(AND(A618&lt;=OP!$C$120,COUNTIF(PAY,C618)=1),OP!$C$123,0)</f>
        <v>0</v>
      </c>
      <c r="AV618" s="298">
        <f ca="1">IF(AND(A618&gt;=OP!$C$132,A618&lt;=OP!$C$133,$C$3=C618),OP!$C$135,0)</f>
        <v>0</v>
      </c>
      <c r="AW618" s="180">
        <f t="shared" ca="1" si="353"/>
        <v>0.05</v>
      </c>
      <c r="AX618" s="180">
        <f t="shared" ca="1" si="354"/>
        <v>0.05</v>
      </c>
      <c r="AY618" s="286">
        <f t="shared" ca="1" si="355"/>
        <v>0</v>
      </c>
      <c r="AZ618" s="286">
        <f t="shared" ca="1" si="356"/>
        <v>0</v>
      </c>
      <c r="BA618" s="286">
        <f t="shared" ca="1" si="357"/>
        <v>0</v>
      </c>
      <c r="BB618" s="286">
        <f t="shared" ca="1" si="358"/>
        <v>0</v>
      </c>
      <c r="BC618" s="286">
        <f t="shared" ca="1" si="359"/>
        <v>0</v>
      </c>
      <c r="BD618" s="180">
        <f t="shared" ca="1" si="360"/>
        <v>0.05</v>
      </c>
      <c r="BE618" s="180">
        <f t="shared" ca="1" si="361"/>
        <v>0.05</v>
      </c>
      <c r="BF618" s="286">
        <f t="shared" ca="1" si="362"/>
        <v>0</v>
      </c>
      <c r="BG618" s="286">
        <f t="shared" ca="1" si="363"/>
        <v>0</v>
      </c>
    </row>
    <row r="619" spans="1:59">
      <c r="A619" s="1">
        <f t="shared" ca="1" si="342"/>
        <v>52</v>
      </c>
      <c r="B619" s="1">
        <f t="shared" ca="1" si="336"/>
        <v>157</v>
      </c>
      <c r="C619" s="1">
        <f t="shared" ca="1" si="337"/>
        <v>9</v>
      </c>
      <c r="D619" s="1">
        <f ca="1">MIN($D$3,VLOOKUP(C619,OP!$S$30:$T$41,2))</f>
        <v>2</v>
      </c>
      <c r="E619" s="1">
        <f t="shared" ca="1" si="338"/>
        <v>106</v>
      </c>
      <c r="F619" s="11" t="str">
        <f t="shared" ca="1" si="343"/>
        <v/>
      </c>
      <c r="G619" s="8">
        <f t="shared" ca="1" si="369"/>
        <v>365</v>
      </c>
      <c r="H619" s="8">
        <f t="shared" ca="1" si="345"/>
        <v>30</v>
      </c>
      <c r="I619" s="8" t="str">
        <f t="shared" ca="1" si="341"/>
        <v>529</v>
      </c>
      <c r="J619" s="13">
        <f>IF(繳費報酬率資料!$A$1=1,VALUE(OP!$C$121),VLOOKUP(A619,MP,2,0))</f>
        <v>0.05</v>
      </c>
      <c r="K619" s="14">
        <f ca="1">IF(SUM($K$4:K618,IF(繳費報酬率資料!$A$1=1,$AU619+$AV619,$BB619+$BC619))&gt;OP!$L$58,0,IF(繳費報酬率資料!$A$1=1,$AU619+$AV619,$BB619+$BC619))</f>
        <v>0</v>
      </c>
      <c r="L619" s="2"/>
      <c r="M619" s="2"/>
      <c r="N619" s="2"/>
      <c r="O619" s="261">
        <f t="shared" ca="1" si="346"/>
        <v>0</v>
      </c>
      <c r="P619" s="261">
        <f t="shared" ca="1" si="364"/>
        <v>0</v>
      </c>
      <c r="Q619" s="3">
        <f ca="1">IF(A619&gt;MAX(OP!$R$17:$R$26),0,VLOOKUP(A619,fees,3,FALSE))</f>
        <v>0</v>
      </c>
      <c r="R619" s="200" t="str">
        <f t="shared" ca="1" si="347"/>
        <v/>
      </c>
      <c r="S619" s="9" t="str">
        <f ca="1">IF(COUNTIF(($T$4:T618),"F")&gt;=1,"",IF(OR(C620&lt;&gt;$C$3,E619=""),"",A619))</f>
        <v/>
      </c>
      <c r="T619" s="20" t="str">
        <f t="shared" ca="1" si="339"/>
        <v/>
      </c>
      <c r="U619" s="2">
        <f ca="1">IF(IF(OP!$C$83=1,$Z618,IF(OP!$C$83=2,$AA618,IF(OP!$C$83=3,$AB618,)))+$K619-$O619-$P619-$AS619&lt;OP!$C$142,0,$AS619)</f>
        <v>0</v>
      </c>
      <c r="V619" s="9"/>
      <c r="W619" s="19">
        <f ca="1">MAX(SUM($K$4:K619),0)</f>
        <v>2000000</v>
      </c>
      <c r="X619" s="19"/>
      <c r="Y619" s="19">
        <f t="shared" ca="1" si="365"/>
        <v>1920000</v>
      </c>
      <c r="Z619" s="2">
        <f ca="1">IF(MIN($Z$4:Z618)=0,0,MAX(0,($Z618+$K619-$O619-$P619)*IF(AND(F619="F",$D$3&lt;&gt;$G$3),((1+(-J619))^(H619/MIN(G619,365))),((1+(-J619))^(1/12)))-$U619))</f>
        <v>137968.40179802378</v>
      </c>
      <c r="AA619" s="2">
        <f ca="1">IF(MIN($AA$4:AA618)=0,0,MAX(0,($AA618+$K619-$O619-$P619)*IF(AND(F619="F",$D$3&lt;&gt;$G$3),((1+$AA$1)^(H619/MIN(G619,365))),((1+$AA$1)^(1/12)))-$U619))</f>
        <v>1920000</v>
      </c>
      <c r="AB619" s="2">
        <f ca="1">IF(MIN($AB$4:AB618)=0,0,MAX(0,($AB618+$K619-$O619-$P619)*IF(AND(F619="F",$D$3&lt;&gt;$G$3),((1+(J619))^(H619/MIN(G619,365))),((1+(J619))^(1/12)))-$U619))</f>
        <v>23497333.502589721</v>
      </c>
      <c r="AC619" s="5"/>
      <c r="AD619" s="5"/>
      <c r="AE619" s="5"/>
      <c r="AF619" s="282">
        <f t="shared" ca="1" si="348"/>
        <v>137968</v>
      </c>
      <c r="AG619" s="282">
        <f t="shared" ca="1" si="349"/>
        <v>1920000</v>
      </c>
      <c r="AH619" s="282">
        <f t="shared" ca="1" si="350"/>
        <v>23497334</v>
      </c>
      <c r="AI619" s="23" t="str">
        <f t="shared" ca="1" si="366"/>
        <v>52-5</v>
      </c>
      <c r="AJ619" s="282">
        <f ca="1">IF(E619&gt;111,,IF(AND(OP!$C$99=1,T619="F"),Z619,IF(AND(OP!$C$99=2,COUNTIF($T$4:T619,"F")=1),OP!$C$97+IF(F619="F",OP!$C$98,0),"")))</f>
        <v>54527</v>
      </c>
      <c r="AK619" s="282">
        <f ca="1">IF(E619&gt;111,,IF(AND(OP!$D$99=1,T619="F"),AA619,IF(AND(OP!$D$99=2,COUNTIF($T$4:T619,"F")=1),OP!$D$97+IF(F619="F",OP!$D$98,0),"")))</f>
        <v>74177</v>
      </c>
      <c r="AL619" s="282">
        <f ca="1">IF(E619&gt;111,,IF(AND(OP!$E$99=1,T619="F"),AB619,IF(AND(OP!$E$99=2,COUNTIF($T$4:T619,"F")=1),OP!$E$97+IF(F619="F",OP!$E$98,0),"")))</f>
        <v>99404</v>
      </c>
      <c r="AM619" s="1">
        <f t="shared" ca="1" si="340"/>
        <v>5</v>
      </c>
      <c r="AN619" s="1" t="e">
        <f ca="1">IF(OR(VLOOKUP($A619,MP,5,0)="季繳",VLOOKUP($A619,MP,5,0)="月繳"),1,"")</f>
        <v>#N/A</v>
      </c>
      <c r="AO619" s="1">
        <f t="shared" ca="1" si="351"/>
        <v>0</v>
      </c>
      <c r="AP619" s="1" t="str">
        <f ca="1">IF(AND(A619&lt;=OP!$C$120,COUNTIF(PAY,C619)=1),1,"")</f>
        <v/>
      </c>
      <c r="AR619" s="301">
        <f ca="1">IF(繳費報酬率資料!$A$1=1,$AY619+$AZ619,$BF619+$BG619)</f>
        <v>0</v>
      </c>
      <c r="AS619" s="1">
        <f ca="1">IF(C619&lt;&gt;IF($C$3=1,12,$C$3-1),0,IF(繳費報酬率資料!$A$1&lt;&gt;1,VLOOKUP($A619,MP,8,0),IF(AND($A619&gt;=OP!$C$79,$A619&lt;=OP!$C$80),OP!$C$78,)))</f>
        <v>0</v>
      </c>
      <c r="AT619" s="298">
        <f t="shared" ca="1" si="352"/>
        <v>0</v>
      </c>
      <c r="AU619" s="298">
        <f ca="1">IF(AND(A619&lt;=OP!$C$120,COUNTIF(PAY,C619)=1),OP!$C$123,0)</f>
        <v>0</v>
      </c>
      <c r="AV619" s="298">
        <f ca="1">IF(AND(A619&gt;=OP!$C$132,A619&lt;=OP!$C$133,$C$3=C619),OP!$C$135,0)</f>
        <v>0</v>
      </c>
      <c r="AW619" s="180">
        <f t="shared" ca="1" si="353"/>
        <v>0.05</v>
      </c>
      <c r="AX619" s="180">
        <f t="shared" ca="1" si="354"/>
        <v>0.05</v>
      </c>
      <c r="AY619" s="286">
        <f t="shared" ca="1" si="355"/>
        <v>0</v>
      </c>
      <c r="AZ619" s="286">
        <f t="shared" ca="1" si="356"/>
        <v>0</v>
      </c>
      <c r="BA619" s="286">
        <f t="shared" ca="1" si="357"/>
        <v>0</v>
      </c>
      <c r="BB619" s="286">
        <f t="shared" ca="1" si="358"/>
        <v>0</v>
      </c>
      <c r="BC619" s="286">
        <f t="shared" ca="1" si="359"/>
        <v>0</v>
      </c>
      <c r="BD619" s="180">
        <f t="shared" ca="1" si="360"/>
        <v>0.05</v>
      </c>
      <c r="BE619" s="180">
        <f t="shared" ca="1" si="361"/>
        <v>0.05</v>
      </c>
      <c r="BF619" s="286">
        <f t="shared" ca="1" si="362"/>
        <v>0</v>
      </c>
      <c r="BG619" s="286">
        <f t="shared" ca="1" si="363"/>
        <v>0</v>
      </c>
    </row>
    <row r="620" spans="1:59">
      <c r="A620" s="1">
        <f t="shared" ca="1" si="342"/>
        <v>52</v>
      </c>
      <c r="B620" s="1">
        <f t="shared" ca="1" si="336"/>
        <v>157</v>
      </c>
      <c r="C620" s="1">
        <f t="shared" ca="1" si="337"/>
        <v>10</v>
      </c>
      <c r="D620" s="1">
        <f ca="1">MIN($D$3,VLOOKUP(C620,OP!$S$30:$T$41,2))</f>
        <v>2</v>
      </c>
      <c r="E620" s="1">
        <f t="shared" ca="1" si="338"/>
        <v>106</v>
      </c>
      <c r="F620" s="11" t="str">
        <f t="shared" ca="1" si="343"/>
        <v/>
      </c>
      <c r="G620" s="8">
        <f t="shared" ca="1" si="369"/>
        <v>365</v>
      </c>
      <c r="H620" s="8">
        <f t="shared" ca="1" si="345"/>
        <v>31</v>
      </c>
      <c r="I620" s="8" t="str">
        <f t="shared" ca="1" si="341"/>
        <v>5210</v>
      </c>
      <c r="J620" s="13">
        <f>IF(繳費報酬率資料!$A$1=1,VALUE(OP!$C$121),VLOOKUP(A620,MP,2,0))</f>
        <v>0.05</v>
      </c>
      <c r="K620" s="14">
        <f ca="1">IF(SUM($K$4:K619,IF(繳費報酬率資料!$A$1=1,$AU620+$AV620,$BB620+$BC620))&gt;OP!$L$58,0,IF(繳費報酬率資料!$A$1=1,$AU620+$AV620,$BB620+$BC620))</f>
        <v>0</v>
      </c>
      <c r="L620" s="2"/>
      <c r="M620" s="2"/>
      <c r="N620" s="2"/>
      <c r="O620" s="261">
        <f t="shared" ca="1" si="346"/>
        <v>0</v>
      </c>
      <c r="P620" s="261">
        <f t="shared" ca="1" si="364"/>
        <v>0</v>
      </c>
      <c r="Q620" s="3">
        <f ca="1">IF(A620&gt;MAX(OP!$R$17:$R$26),0,VLOOKUP(A620,fees,3,FALSE))</f>
        <v>0</v>
      </c>
      <c r="R620" s="200" t="str">
        <f t="shared" ca="1" si="347"/>
        <v/>
      </c>
      <c r="S620" s="9" t="str">
        <f ca="1">IF(COUNTIF(($T$4:T619),"F")&gt;=1,"",IF(OR(C621&lt;&gt;$C$3,E620=""),"",A620))</f>
        <v/>
      </c>
      <c r="T620" s="20" t="str">
        <f t="shared" ca="1" si="339"/>
        <v/>
      </c>
      <c r="U620" s="2">
        <f ca="1">IF(IF(OP!$C$83=1,$Z619,IF(OP!$C$83=2,$AA619,IF(OP!$C$83=3,$AB619,)))+$K620-$O620-$P620-$AS620&lt;OP!$C$142,0,$AS620)</f>
        <v>0</v>
      </c>
      <c r="V620" s="9"/>
      <c r="W620" s="19">
        <f ca="1">MAX(SUM($K$4:K620),0)</f>
        <v>2000000</v>
      </c>
      <c r="X620" s="19"/>
      <c r="Y620" s="19">
        <f t="shared" ca="1" si="365"/>
        <v>1920000</v>
      </c>
      <c r="Z620" s="2">
        <f ca="1">IF(MIN($Z$4:Z619)=0,0,MAX(0,($Z619+$K620-$O620-$P620)*IF(AND(F620="F",$D$3&lt;&gt;$G$3),((1+(-J620))^(H620/MIN(G620,365))),((1+(-J620))^(1/12)))-$U620))</f>
        <v>137379.92258312463</v>
      </c>
      <c r="AA620" s="2">
        <f ca="1">IF(MIN($AA$4:AA619)=0,0,MAX(0,($AA619+$K620-$O620-$P620)*IF(AND(F620="F",$D$3&lt;&gt;$G$3),((1+$AA$1)^(H620/MIN(G620,365))),((1+$AA$1)^(1/12)))-$U620))</f>
        <v>1920000</v>
      </c>
      <c r="AB620" s="2">
        <f ca="1">IF(MIN($AB$4:AB619)=0,0,MAX(0,($AB619+$K620-$O620-$P620)*IF(AND(F620="F",$D$3&lt;&gt;$G$3),((1+(J620))^(H620/MIN(G620,365))),((1+(J620))^(1/12)))-$U620))</f>
        <v>23593064.54786494</v>
      </c>
      <c r="AC620" s="5"/>
      <c r="AD620" s="5"/>
      <c r="AE620" s="5"/>
      <c r="AF620" s="282">
        <f t="shared" ca="1" si="348"/>
        <v>137380</v>
      </c>
      <c r="AG620" s="282">
        <f t="shared" ca="1" si="349"/>
        <v>1920000</v>
      </c>
      <c r="AH620" s="282">
        <f t="shared" ca="1" si="350"/>
        <v>23593065</v>
      </c>
      <c r="AI620" s="23" t="str">
        <f t="shared" ca="1" si="366"/>
        <v>52-6</v>
      </c>
      <c r="AJ620" s="282">
        <f ca="1">IF(E620&gt;111,,IF(AND(OP!$C$99=1,T620="F"),Z620,IF(AND(OP!$C$99=2,COUNTIF($T$4:T620,"F")=1),OP!$C$97+IF(F620="F",OP!$C$98,0),"")))</f>
        <v>54527</v>
      </c>
      <c r="AK620" s="282">
        <f ca="1">IF(E620&gt;111,,IF(AND(OP!$D$99=1,T620="F"),AA620,IF(AND(OP!$D$99=2,COUNTIF($T$4:T620,"F")=1),OP!$D$97+IF(F620="F",OP!$D$98,0),"")))</f>
        <v>74177</v>
      </c>
      <c r="AL620" s="282">
        <f ca="1">IF(E620&gt;111,,IF(AND(OP!$E$99=1,T620="F"),AB620,IF(AND(OP!$E$99=2,COUNTIF($T$4:T620,"F")=1),OP!$E$97+IF(F620="F",OP!$E$98,0),"")))</f>
        <v>99404</v>
      </c>
      <c r="AM620" s="1">
        <f t="shared" ca="1" si="340"/>
        <v>6</v>
      </c>
      <c r="AN620" s="1" t="e">
        <f ca="1">IF(OR(VLOOKUP($A620,MP,5,0)="月繳"),1,"")</f>
        <v>#N/A</v>
      </c>
      <c r="AO620" s="1">
        <f t="shared" ca="1" si="351"/>
        <v>0</v>
      </c>
      <c r="AP620" s="1" t="str">
        <f ca="1">IF(AND(A620&lt;=OP!$C$120,COUNTIF(PAY,C620)=1),1,"")</f>
        <v/>
      </c>
      <c r="AR620" s="301">
        <f ca="1">IF(繳費報酬率資料!$A$1=1,$AY620+$AZ620,$BF620+$BG620)</f>
        <v>0</v>
      </c>
      <c r="AS620" s="1">
        <f ca="1">IF(C620&lt;&gt;IF($C$3=1,12,$C$3-1),0,IF(繳費報酬率資料!$A$1&lt;&gt;1,VLOOKUP($A620,MP,8,0),IF(AND($A620&gt;=OP!$C$79,$A620&lt;=OP!$C$80),OP!$C$78,)))</f>
        <v>0</v>
      </c>
      <c r="AT620" s="298">
        <f t="shared" ca="1" si="352"/>
        <v>0</v>
      </c>
      <c r="AU620" s="298">
        <f ca="1">IF(AND(A620&lt;=OP!$C$120,COUNTIF(PAY,C620)=1),OP!$C$123,0)</f>
        <v>0</v>
      </c>
      <c r="AV620" s="298">
        <f ca="1">IF(AND(A620&gt;=OP!$C$132,A620&lt;=OP!$C$133,$C$3=C620),OP!$C$135,0)</f>
        <v>0</v>
      </c>
      <c r="AW620" s="180">
        <f t="shared" ca="1" si="353"/>
        <v>0.05</v>
      </c>
      <c r="AX620" s="180">
        <f t="shared" ca="1" si="354"/>
        <v>0.05</v>
      </c>
      <c r="AY620" s="286">
        <f t="shared" ca="1" si="355"/>
        <v>0</v>
      </c>
      <c r="AZ620" s="286">
        <f t="shared" ca="1" si="356"/>
        <v>0</v>
      </c>
      <c r="BA620" s="286">
        <f t="shared" ca="1" si="357"/>
        <v>0</v>
      </c>
      <c r="BB620" s="286">
        <f t="shared" ca="1" si="358"/>
        <v>0</v>
      </c>
      <c r="BC620" s="286">
        <f t="shared" ca="1" si="359"/>
        <v>0</v>
      </c>
      <c r="BD620" s="180">
        <f t="shared" ca="1" si="360"/>
        <v>0.05</v>
      </c>
      <c r="BE620" s="180">
        <f t="shared" ca="1" si="361"/>
        <v>0.05</v>
      </c>
      <c r="BF620" s="286">
        <f t="shared" ca="1" si="362"/>
        <v>0</v>
      </c>
      <c r="BG620" s="286">
        <f t="shared" ca="1" si="363"/>
        <v>0</v>
      </c>
    </row>
    <row r="621" spans="1:59">
      <c r="A621" s="1">
        <f t="shared" ca="1" si="342"/>
        <v>52</v>
      </c>
      <c r="B621" s="1">
        <f t="shared" ca="1" si="336"/>
        <v>157</v>
      </c>
      <c r="C621" s="1">
        <f t="shared" ca="1" si="337"/>
        <v>11</v>
      </c>
      <c r="D621" s="1">
        <f ca="1">MIN($D$3,VLOOKUP(C621,OP!$S$30:$T$41,2))</f>
        <v>2</v>
      </c>
      <c r="E621" s="1">
        <f t="shared" ca="1" si="338"/>
        <v>106</v>
      </c>
      <c r="F621" s="11" t="str">
        <f t="shared" ca="1" si="343"/>
        <v/>
      </c>
      <c r="G621" s="8">
        <f t="shared" ca="1" si="369"/>
        <v>365</v>
      </c>
      <c r="H621" s="8">
        <f t="shared" ca="1" si="345"/>
        <v>30</v>
      </c>
      <c r="I621" s="8" t="str">
        <f t="shared" ca="1" si="341"/>
        <v>5211</v>
      </c>
      <c r="J621" s="13">
        <f>IF(繳費報酬率資料!$A$1=1,VALUE(OP!$C$121),VLOOKUP(A621,MP,2,0))</f>
        <v>0.05</v>
      </c>
      <c r="K621" s="14">
        <f ca="1">IF(SUM($K$4:K620,IF(繳費報酬率資料!$A$1=1,$AU621+$AV621,$BB621+$BC621))&gt;OP!$L$58,0,IF(繳費報酬率資料!$A$1=1,$AU621+$AV621,$BB621+$BC621))</f>
        <v>0</v>
      </c>
      <c r="L621" s="2"/>
      <c r="M621" s="2"/>
      <c r="N621" s="2"/>
      <c r="O621" s="261">
        <f t="shared" ca="1" si="346"/>
        <v>0</v>
      </c>
      <c r="P621" s="261">
        <f t="shared" ca="1" si="364"/>
        <v>0</v>
      </c>
      <c r="Q621" s="3">
        <f ca="1">IF(A621&gt;MAX(OP!$R$17:$R$26),0,VLOOKUP(A621,fees,3,FALSE))</f>
        <v>0</v>
      </c>
      <c r="R621" s="200" t="str">
        <f t="shared" ca="1" si="347"/>
        <v/>
      </c>
      <c r="S621" s="9" t="str">
        <f ca="1">IF(COUNTIF(($T$4:T620),"F")&gt;=1,"",IF(OR(C622&lt;&gt;$C$3,E621=""),"",A621))</f>
        <v/>
      </c>
      <c r="T621" s="20" t="str">
        <f t="shared" ca="1" si="339"/>
        <v/>
      </c>
      <c r="U621" s="2">
        <f ca="1">IF(IF(OP!$C$83=1,$Z620,IF(OP!$C$83=2,$AA620,IF(OP!$C$83=3,$AB620,)))+$K621-$O621-$P621-$AS621&lt;OP!$C$142,0,$AS621)</f>
        <v>0</v>
      </c>
      <c r="V621" s="9"/>
      <c r="W621" s="19">
        <f ca="1">MAX(SUM($K$4:K621),0)</f>
        <v>2000000</v>
      </c>
      <c r="X621" s="19"/>
      <c r="Y621" s="19">
        <f t="shared" ca="1" si="365"/>
        <v>1920000</v>
      </c>
      <c r="Z621" s="2">
        <f ca="1">IF(MIN($Z$4:Z620)=0,0,MAX(0,($Z620+$K621-$O621-$P621)*IF(AND(F621="F",$D$3&lt;&gt;$G$3),((1+(-J621))^(H621/MIN(G621,365))),((1+(-J621))^(1/12)))-$U621))</f>
        <v>136793.95341967099</v>
      </c>
      <c r="AA621" s="2">
        <f ca="1">IF(MIN($AA$4:AA620)=0,0,MAX(0,($AA620+$K621-$O621-$P621)*IF(AND(F621="F",$D$3&lt;&gt;$G$3),((1+$AA$1)^(H621/MIN(G621,365))),((1+$AA$1)^(1/12)))-$U621))</f>
        <v>1920000</v>
      </c>
      <c r="AB621" s="2">
        <f ca="1">IF(MIN($AB$4:AB620)=0,0,MAX(0,($AB620+$K621-$O621-$P621)*IF(AND(F621="F",$D$3&lt;&gt;$G$3),((1+(J621))^(H621/MIN(G621,365))),((1+(J621))^(1/12)))-$U621))</f>
        <v>23689185.613268547</v>
      </c>
      <c r="AC621" s="5"/>
      <c r="AD621" s="5"/>
      <c r="AE621" s="5"/>
      <c r="AF621" s="282">
        <f t="shared" ca="1" si="348"/>
        <v>136794</v>
      </c>
      <c r="AG621" s="282">
        <f t="shared" ca="1" si="349"/>
        <v>1920000</v>
      </c>
      <c r="AH621" s="282">
        <f t="shared" ca="1" si="350"/>
        <v>23689186</v>
      </c>
      <c r="AI621" s="23" t="str">
        <f t="shared" ca="1" si="366"/>
        <v>52-7</v>
      </c>
      <c r="AJ621" s="282">
        <f ca="1">IF(E621&gt;111,,IF(AND(OP!$C$99=1,T621="F"),Z621,IF(AND(OP!$C$99=2,COUNTIF($T$4:T621,"F")=1),OP!$C$97+IF(F621="F",OP!$C$98,0),"")))</f>
        <v>54527</v>
      </c>
      <c r="AK621" s="282">
        <f ca="1">IF(E621&gt;111,,IF(AND(OP!$D$99=1,T621="F"),AA621,IF(AND(OP!$D$99=2,COUNTIF($T$4:T621,"F")=1),OP!$D$97+IF(F621="F",OP!$D$98,0),"")))</f>
        <v>74177</v>
      </c>
      <c r="AL621" s="282">
        <f ca="1">IF(E621&gt;111,,IF(AND(OP!$E$99=1,T621="F"),AB621,IF(AND(OP!$E$99=2,COUNTIF($T$4:T621,"F")=1),OP!$E$97+IF(F621="F",OP!$E$98,0),"")))</f>
        <v>99404</v>
      </c>
      <c r="AM621" s="1">
        <f t="shared" ca="1" si="340"/>
        <v>7</v>
      </c>
      <c r="AN621" s="1" t="e">
        <f ca="1">IF(OR(VLOOKUP($A621,MP,5,0)="月繳"),1,"")</f>
        <v>#N/A</v>
      </c>
      <c r="AO621" s="1">
        <f t="shared" ca="1" si="351"/>
        <v>0</v>
      </c>
      <c r="AP621" s="1" t="str">
        <f ca="1">IF(AND(A621&lt;=OP!$C$120,COUNTIF(PAY,C621)=1),1,"")</f>
        <v/>
      </c>
      <c r="AR621" s="301">
        <f ca="1">IF(繳費報酬率資料!$A$1=1,$AY621+$AZ621,$BF621+$BG621)</f>
        <v>0</v>
      </c>
      <c r="AS621" s="1">
        <f ca="1">IF(C621&lt;&gt;IF($C$3=1,12,$C$3-1),0,IF(繳費報酬率資料!$A$1&lt;&gt;1,VLOOKUP($A621,MP,8,0),IF(AND($A621&gt;=OP!$C$79,$A621&lt;=OP!$C$80),OP!$C$78,)))</f>
        <v>0</v>
      </c>
      <c r="AT621" s="298">
        <f t="shared" ca="1" si="352"/>
        <v>0</v>
      </c>
      <c r="AU621" s="298">
        <f ca="1">IF(AND(A621&lt;=OP!$C$120,COUNTIF(PAY,C621)=1),OP!$C$123,0)</f>
        <v>0</v>
      </c>
      <c r="AV621" s="298">
        <f ca="1">IF(AND(A621&gt;=OP!$C$132,A621&lt;=OP!$C$133,$C$3=C621),OP!$C$135,0)</f>
        <v>0</v>
      </c>
      <c r="AW621" s="180">
        <f t="shared" ca="1" si="353"/>
        <v>0.05</v>
      </c>
      <c r="AX621" s="180">
        <f t="shared" ca="1" si="354"/>
        <v>0.05</v>
      </c>
      <c r="AY621" s="286">
        <f t="shared" ca="1" si="355"/>
        <v>0</v>
      </c>
      <c r="AZ621" s="286">
        <f t="shared" ca="1" si="356"/>
        <v>0</v>
      </c>
      <c r="BA621" s="286">
        <f t="shared" ca="1" si="357"/>
        <v>0</v>
      </c>
      <c r="BB621" s="286">
        <f t="shared" ca="1" si="358"/>
        <v>0</v>
      </c>
      <c r="BC621" s="286">
        <f t="shared" ca="1" si="359"/>
        <v>0</v>
      </c>
      <c r="BD621" s="180">
        <f t="shared" ca="1" si="360"/>
        <v>0.05</v>
      </c>
      <c r="BE621" s="180">
        <f t="shared" ca="1" si="361"/>
        <v>0.05</v>
      </c>
      <c r="BF621" s="286">
        <f t="shared" ca="1" si="362"/>
        <v>0</v>
      </c>
      <c r="BG621" s="286">
        <f t="shared" ca="1" si="363"/>
        <v>0</v>
      </c>
    </row>
    <row r="622" spans="1:59">
      <c r="A622" s="1">
        <f t="shared" ca="1" si="342"/>
        <v>52</v>
      </c>
      <c r="B622" s="1">
        <f t="shared" ca="1" si="336"/>
        <v>157</v>
      </c>
      <c r="C622" s="1">
        <f t="shared" ca="1" si="337"/>
        <v>12</v>
      </c>
      <c r="D622" s="1">
        <f ca="1">MIN($D$3,VLOOKUP(C622,OP!$S$30:$T$41,2))</f>
        <v>2</v>
      </c>
      <c r="E622" s="1">
        <f t="shared" ca="1" si="338"/>
        <v>106</v>
      </c>
      <c r="F622" s="11" t="str">
        <f t="shared" ca="1" si="343"/>
        <v/>
      </c>
      <c r="G622" s="8">
        <f t="shared" ca="1" si="369"/>
        <v>365</v>
      </c>
      <c r="H622" s="8">
        <f t="shared" ca="1" si="345"/>
        <v>31</v>
      </c>
      <c r="I622" s="8" t="str">
        <f t="shared" ca="1" si="341"/>
        <v>5212</v>
      </c>
      <c r="J622" s="13">
        <f>IF(繳費報酬率資料!$A$1=1,VALUE(OP!$C$121),VLOOKUP(A622,MP,2,0))</f>
        <v>0.05</v>
      </c>
      <c r="K622" s="14">
        <f ca="1">IF(SUM($K$4:K621,IF(繳費報酬率資料!$A$1=1,$AU622+$AV622,$BB622+$BC622))&gt;OP!$L$58,0,IF(繳費報酬率資料!$A$1=1,$AU622+$AV622,$BB622+$BC622))</f>
        <v>0</v>
      </c>
      <c r="L622" s="2"/>
      <c r="M622" s="2"/>
      <c r="N622" s="2"/>
      <c r="O622" s="261">
        <f t="shared" ca="1" si="346"/>
        <v>0</v>
      </c>
      <c r="P622" s="261">
        <f t="shared" ca="1" si="364"/>
        <v>0</v>
      </c>
      <c r="Q622" s="3">
        <f ca="1">IF(A622&gt;MAX(OP!$R$17:$R$26),0,VLOOKUP(A622,fees,3,FALSE))</f>
        <v>0</v>
      </c>
      <c r="R622" s="200" t="str">
        <f t="shared" ca="1" si="347"/>
        <v/>
      </c>
      <c r="S622" s="9" t="str">
        <f ca="1">IF(COUNTIF(($T$4:T621),"F")&gt;=1,"",IF(OR(C623&lt;&gt;$C$3,E622=""),"",A622))</f>
        <v/>
      </c>
      <c r="T622" s="20" t="str">
        <f t="shared" ca="1" si="339"/>
        <v/>
      </c>
      <c r="U622" s="2">
        <f ca="1">IF(IF(OP!$C$83=1,$Z621,IF(OP!$C$83=2,$AA621,IF(OP!$C$83=3,$AB621,)))+$K622-$O622-$P622-$AS622&lt;OP!$C$142,0,$AS622)</f>
        <v>0</v>
      </c>
      <c r="V622" s="9"/>
      <c r="W622" s="19">
        <f ca="1">MAX(SUM($K$4:K622),0)</f>
        <v>2000000</v>
      </c>
      <c r="X622" s="19"/>
      <c r="Y622" s="19">
        <f t="shared" ca="1" si="365"/>
        <v>1920000</v>
      </c>
      <c r="Z622" s="2">
        <f ca="1">IF(MIN($Z$4:Z621)=0,0,MAX(0,($Z621+$K622-$O622-$P622)*IF(AND(F622="F",$D$3&lt;&gt;$G$3),((1+(-J622))^(H622/MIN(G622,365))),((1+(-J622))^(1/12)))-$U622))</f>
        <v>136210.4836014933</v>
      </c>
      <c r="AA622" s="2">
        <f ca="1">IF(MIN($AA$4:AA621)=0,0,MAX(0,($AA621+$K622-$O622-$P622)*IF(AND(F622="F",$D$3&lt;&gt;$G$3),((1+$AA$1)^(H622/MIN(G622,365))),((1+$AA$1)^(1/12)))-$U622))</f>
        <v>1920000</v>
      </c>
      <c r="AB622" s="2">
        <f ca="1">IF(MIN($AB$4:AB621)=0,0,MAX(0,($AB621+$K622-$O622-$P622)*IF(AND(F622="F",$D$3&lt;&gt;$G$3),((1+(J622))^(H622/MIN(G622,365))),((1+(J622))^(1/12)))-$U622))</f>
        <v>23785698.287790824</v>
      </c>
      <c r="AC622" s="5"/>
      <c r="AD622" s="5"/>
      <c r="AE622" s="5"/>
      <c r="AF622" s="282">
        <f t="shared" ca="1" si="348"/>
        <v>136210</v>
      </c>
      <c r="AG622" s="282">
        <f t="shared" ca="1" si="349"/>
        <v>1920000</v>
      </c>
      <c r="AH622" s="282">
        <f t="shared" ca="1" si="350"/>
        <v>23785698</v>
      </c>
      <c r="AI622" s="23" t="str">
        <f t="shared" ca="1" si="366"/>
        <v>52-8</v>
      </c>
      <c r="AJ622" s="282">
        <f ca="1">IF(E622&gt;111,,IF(AND(OP!$C$99=1,T622="F"),Z622,IF(AND(OP!$C$99=2,COUNTIF($T$4:T622,"F")=1),OP!$C$97+IF(F622="F",OP!$C$98,0),"")))</f>
        <v>54527</v>
      </c>
      <c r="AK622" s="282">
        <f ca="1">IF(E622&gt;111,,IF(AND(OP!$D$99=1,T622="F"),AA622,IF(AND(OP!$D$99=2,COUNTIF($T$4:T622,"F")=1),OP!$D$97+IF(F622="F",OP!$D$98,0),"")))</f>
        <v>74177</v>
      </c>
      <c r="AL622" s="282">
        <f ca="1">IF(E622&gt;111,,IF(AND(OP!$E$99=1,T622="F"),AB622,IF(AND(OP!$E$99=2,COUNTIF($T$4:T622,"F")=1),OP!$E$97+IF(F622="F",OP!$E$98,0),"")))</f>
        <v>99404</v>
      </c>
      <c r="AM622" s="1">
        <f t="shared" ca="1" si="340"/>
        <v>8</v>
      </c>
      <c r="AN622" s="1" t="e">
        <f ca="1">IF(OR(VLOOKUP($A622,MP,5,0)="半年繳",VLOOKUP($A622,MP,5,0)="季繳",VLOOKUP($A622,MP,5,0)="月繳"),1,"")</f>
        <v>#N/A</v>
      </c>
      <c r="AO622" s="1">
        <f t="shared" ca="1" si="351"/>
        <v>0</v>
      </c>
      <c r="AP622" s="1" t="str">
        <f ca="1">IF(AND(A622&lt;=OP!$C$120,COUNTIF(PAY,C622)=1),1,"")</f>
        <v/>
      </c>
      <c r="AR622" s="301">
        <f ca="1">IF(繳費報酬率資料!$A$1=1,$AY622+$AZ622,$BF622+$BG622)</f>
        <v>0</v>
      </c>
      <c r="AS622" s="1">
        <f ca="1">IF(C622&lt;&gt;IF($C$3=1,12,$C$3-1),0,IF(繳費報酬率資料!$A$1&lt;&gt;1,VLOOKUP($A622,MP,8,0),IF(AND($A622&gt;=OP!$C$79,$A622&lt;=OP!$C$80),OP!$C$78,)))</f>
        <v>0</v>
      </c>
      <c r="AT622" s="298">
        <f t="shared" ca="1" si="352"/>
        <v>0</v>
      </c>
      <c r="AU622" s="298">
        <f ca="1">IF(AND(A622&lt;=OP!$C$120,COUNTIF(PAY,C622)=1),OP!$C$123,0)</f>
        <v>0</v>
      </c>
      <c r="AV622" s="298">
        <f ca="1">IF(AND(A622&gt;=OP!$C$132,A622&lt;=OP!$C$133,$C$3=C622),OP!$C$135,0)</f>
        <v>0</v>
      </c>
      <c r="AW622" s="180">
        <f t="shared" ca="1" si="353"/>
        <v>0.05</v>
      </c>
      <c r="AX622" s="180">
        <f t="shared" ca="1" si="354"/>
        <v>0.05</v>
      </c>
      <c r="AY622" s="286">
        <f t="shared" ca="1" si="355"/>
        <v>0</v>
      </c>
      <c r="AZ622" s="286">
        <f t="shared" ca="1" si="356"/>
        <v>0</v>
      </c>
      <c r="BA622" s="286">
        <f t="shared" ca="1" si="357"/>
        <v>0</v>
      </c>
      <c r="BB622" s="286">
        <f t="shared" ca="1" si="358"/>
        <v>0</v>
      </c>
      <c r="BC622" s="286">
        <f t="shared" ca="1" si="359"/>
        <v>0</v>
      </c>
      <c r="BD622" s="180">
        <f t="shared" ca="1" si="360"/>
        <v>0.05</v>
      </c>
      <c r="BE622" s="180">
        <f t="shared" ca="1" si="361"/>
        <v>0.05</v>
      </c>
      <c r="BF622" s="286">
        <f t="shared" ca="1" si="362"/>
        <v>0</v>
      </c>
      <c r="BG622" s="286">
        <f t="shared" ca="1" si="363"/>
        <v>0</v>
      </c>
    </row>
    <row r="623" spans="1:59">
      <c r="A623" s="1">
        <f t="shared" ca="1" si="342"/>
        <v>52</v>
      </c>
      <c r="B623" s="1">
        <f t="shared" ca="1" si="336"/>
        <v>158</v>
      </c>
      <c r="C623" s="1">
        <f t="shared" ca="1" si="337"/>
        <v>1</v>
      </c>
      <c r="D623" s="1">
        <f ca="1">MIN($D$3,VLOOKUP(C623,OP!$S$30:$T$41,2))</f>
        <v>2</v>
      </c>
      <c r="E623" s="1">
        <f t="shared" ca="1" si="338"/>
        <v>106</v>
      </c>
      <c r="F623" s="11" t="str">
        <f t="shared" ca="1" si="343"/>
        <v/>
      </c>
      <c r="G623" s="8">
        <f t="shared" ca="1" si="369"/>
        <v>365</v>
      </c>
      <c r="H623" s="8">
        <f t="shared" ca="1" si="345"/>
        <v>31</v>
      </c>
      <c r="I623" s="8" t="str">
        <f t="shared" ca="1" si="341"/>
        <v>521</v>
      </c>
      <c r="J623" s="13">
        <f>IF(繳費報酬率資料!$A$1=1,VALUE(OP!$C$121),VLOOKUP(A623,MP,2,0))</f>
        <v>0.05</v>
      </c>
      <c r="K623" s="14">
        <f ca="1">IF(SUM($K$4:K622,IF(繳費報酬率資料!$A$1=1,$AU623+$AV623,$BB623+$BC623))&gt;OP!$L$58,0,IF(繳費報酬率資料!$A$1=1,$AU623+$AV623,$BB623+$BC623))</f>
        <v>0</v>
      </c>
      <c r="L623" s="2"/>
      <c r="M623" s="2"/>
      <c r="N623" s="2"/>
      <c r="O623" s="261">
        <f t="shared" ca="1" si="346"/>
        <v>0</v>
      </c>
      <c r="P623" s="261">
        <f t="shared" ca="1" si="364"/>
        <v>0</v>
      </c>
      <c r="Q623" s="3">
        <f ca="1">IF(A623&gt;MAX(OP!$R$17:$R$26),0,VLOOKUP(A623,fees,3,FALSE))</f>
        <v>0</v>
      </c>
      <c r="R623" s="200" t="str">
        <f t="shared" ca="1" si="347"/>
        <v/>
      </c>
      <c r="S623" s="9" t="str">
        <f ca="1">IF(COUNTIF(($T$4:T622),"F")&gt;=1,"",IF(OR(C624&lt;&gt;$C$3,E623=""),"",A623))</f>
        <v/>
      </c>
      <c r="T623" s="20" t="str">
        <f t="shared" ca="1" si="339"/>
        <v/>
      </c>
      <c r="U623" s="2">
        <f ca="1">IF(IF(OP!$C$83=1,$Z622,IF(OP!$C$83=2,$AA622,IF(OP!$C$83=3,$AB622,)))+$K623-$O623-$P623-$AS623&lt;OP!$C$142,0,$AS623)</f>
        <v>0</v>
      </c>
      <c r="V623" s="9"/>
      <c r="W623" s="19">
        <f ca="1">MAX(SUM($K$4:K623),0)</f>
        <v>2000000</v>
      </c>
      <c r="X623" s="19"/>
      <c r="Y623" s="19">
        <f t="shared" ca="1" si="365"/>
        <v>1920000</v>
      </c>
      <c r="Z623" s="2">
        <f ca="1">IF(MIN($Z$4:Z622)=0,0,MAX(0,($Z622+$K623-$O623-$P623)*IF(AND(F623="F",$D$3&lt;&gt;$G$3),((1+(-J623))^(H623/MIN(G623,365))),((1+(-J623))^(1/12)))-$U623))</f>
        <v>135629.50246808722</v>
      </c>
      <c r="AA623" s="2">
        <f ca="1">IF(MIN($AA$4:AA622)=0,0,MAX(0,($AA622+$K623-$O623-$P623)*IF(AND(F623="F",$D$3&lt;&gt;$G$3),((1+$AA$1)^(H623/MIN(G623,365))),((1+$AA$1)^(1/12)))-$U623))</f>
        <v>1920000</v>
      </c>
      <c r="AB623" s="2">
        <f ca="1">IF(MIN($AB$4:AB622)=0,0,MAX(0,($AB622+$K623-$O623-$P623)*IF(AND(F623="F",$D$3&lt;&gt;$G$3),((1+(J623))^(H623/MIN(G623,365))),((1+(J623))^(1/12)))-$U623))</f>
        <v>23882604.166895796</v>
      </c>
      <c r="AC623" s="5"/>
      <c r="AD623" s="5"/>
      <c r="AE623" s="5"/>
      <c r="AF623" s="282">
        <f t="shared" ca="1" si="348"/>
        <v>135630</v>
      </c>
      <c r="AG623" s="282">
        <f t="shared" ca="1" si="349"/>
        <v>1920000</v>
      </c>
      <c r="AH623" s="282">
        <f t="shared" ca="1" si="350"/>
        <v>23882604</v>
      </c>
      <c r="AI623" s="23" t="str">
        <f t="shared" ca="1" si="366"/>
        <v>52-9</v>
      </c>
      <c r="AJ623" s="282">
        <f ca="1">IF(E623&gt;111,,IF(AND(OP!$C$99=1,T623="F"),Z623,IF(AND(OP!$C$99=2,COUNTIF($T$4:T623,"F")=1),OP!$C$97+IF(F623="F",OP!$C$98,0),"")))</f>
        <v>54527</v>
      </c>
      <c r="AK623" s="282">
        <f ca="1">IF(E623&gt;111,,IF(AND(OP!$D$99=1,T623="F"),AA623,IF(AND(OP!$D$99=2,COUNTIF($T$4:T623,"F")=1),OP!$D$97+IF(F623="F",OP!$D$98,0),"")))</f>
        <v>74177</v>
      </c>
      <c r="AL623" s="282">
        <f ca="1">IF(E623&gt;111,,IF(AND(OP!$E$99=1,T623="F"),AB623,IF(AND(OP!$E$99=2,COUNTIF($T$4:T623,"F")=1),OP!$E$97+IF(F623="F",OP!$E$98,0),"")))</f>
        <v>99404</v>
      </c>
      <c r="AM623" s="1">
        <f t="shared" ca="1" si="340"/>
        <v>9</v>
      </c>
      <c r="AN623" s="1" t="e">
        <f ca="1">IF(OR(VLOOKUP($A623,MP,5,0)="月繳"),1,"")</f>
        <v>#N/A</v>
      </c>
      <c r="AO623" s="1">
        <f t="shared" ca="1" si="351"/>
        <v>0</v>
      </c>
      <c r="AP623" s="1" t="str">
        <f ca="1">IF(AND(A623&lt;=OP!$C$120,COUNTIF(PAY,C623)=1),1,"")</f>
        <v/>
      </c>
      <c r="AR623" s="301">
        <f ca="1">IF(繳費報酬率資料!$A$1=1,$AY623+$AZ623,$BF623+$BG623)</f>
        <v>0</v>
      </c>
      <c r="AS623" s="1">
        <f ca="1">IF(C623&lt;&gt;IF($C$3=1,12,$C$3-1),0,IF(繳費報酬率資料!$A$1&lt;&gt;1,VLOOKUP($A623,MP,8,0),IF(AND($A623&gt;=OP!$C$79,$A623&lt;=OP!$C$80),OP!$C$78,)))</f>
        <v>0</v>
      </c>
      <c r="AT623" s="298">
        <f t="shared" ca="1" si="352"/>
        <v>0</v>
      </c>
      <c r="AU623" s="298">
        <f ca="1">IF(AND(A623&lt;=OP!$C$120,COUNTIF(PAY,C623)=1),OP!$C$123,0)</f>
        <v>0</v>
      </c>
      <c r="AV623" s="298">
        <f ca="1">IF(AND(A623&gt;=OP!$C$132,A623&lt;=OP!$C$133,$C$3=C623),OP!$C$135,0)</f>
        <v>0</v>
      </c>
      <c r="AW623" s="180">
        <f t="shared" ca="1" si="353"/>
        <v>0.05</v>
      </c>
      <c r="AX623" s="180">
        <f t="shared" ca="1" si="354"/>
        <v>0.05</v>
      </c>
      <c r="AY623" s="286">
        <f t="shared" ca="1" si="355"/>
        <v>0</v>
      </c>
      <c r="AZ623" s="286">
        <f t="shared" ca="1" si="356"/>
        <v>0</v>
      </c>
      <c r="BA623" s="286">
        <f t="shared" ca="1" si="357"/>
        <v>0</v>
      </c>
      <c r="BB623" s="286">
        <f t="shared" ca="1" si="358"/>
        <v>0</v>
      </c>
      <c r="BC623" s="286">
        <f t="shared" ca="1" si="359"/>
        <v>0</v>
      </c>
      <c r="BD623" s="180">
        <f t="shared" ca="1" si="360"/>
        <v>0.05</v>
      </c>
      <c r="BE623" s="180">
        <f t="shared" ca="1" si="361"/>
        <v>0.05</v>
      </c>
      <c r="BF623" s="286">
        <f t="shared" ca="1" si="362"/>
        <v>0</v>
      </c>
      <c r="BG623" s="286">
        <f t="shared" ca="1" si="363"/>
        <v>0</v>
      </c>
    </row>
    <row r="624" spans="1:59">
      <c r="A624" s="1">
        <f t="shared" ca="1" si="342"/>
        <v>52</v>
      </c>
      <c r="B624" s="1">
        <f t="shared" ca="1" si="336"/>
        <v>158</v>
      </c>
      <c r="C624" s="1">
        <f t="shared" ca="1" si="337"/>
        <v>2</v>
      </c>
      <c r="D624" s="1">
        <f ca="1">MIN($D$3,VLOOKUP(C624,OP!$S$30:$T$41,2))</f>
        <v>2</v>
      </c>
      <c r="E624" s="1">
        <f t="shared" ca="1" si="338"/>
        <v>106</v>
      </c>
      <c r="F624" s="11" t="str">
        <f t="shared" ca="1" si="343"/>
        <v/>
      </c>
      <c r="G624" s="8">
        <f t="shared" ca="1" si="369"/>
        <v>365</v>
      </c>
      <c r="H624" s="8">
        <f t="shared" ca="1" si="345"/>
        <v>28</v>
      </c>
      <c r="I624" s="8" t="str">
        <f t="shared" ca="1" si="341"/>
        <v>522</v>
      </c>
      <c r="J624" s="13">
        <f>IF(繳費報酬率資料!$A$1=1,VALUE(OP!$C$121),VLOOKUP(A624,MP,2,0))</f>
        <v>0.05</v>
      </c>
      <c r="K624" s="14">
        <f ca="1">IF(SUM($K$4:K623,IF(繳費報酬率資料!$A$1=1,$AU624+$AV624,$BB624+$BC624))&gt;OP!$L$58,0,IF(繳費報酬率資料!$A$1=1,$AU624+$AV624,$BB624+$BC624))</f>
        <v>0</v>
      </c>
      <c r="L624" s="2"/>
      <c r="M624" s="2"/>
      <c r="N624" s="2"/>
      <c r="O624" s="261">
        <f t="shared" ca="1" si="346"/>
        <v>0</v>
      </c>
      <c r="P624" s="261">
        <f t="shared" ca="1" si="364"/>
        <v>0</v>
      </c>
      <c r="Q624" s="3">
        <f ca="1">IF(A624&gt;MAX(OP!$R$17:$R$26),0,VLOOKUP(A624,fees,3,FALSE))</f>
        <v>0</v>
      </c>
      <c r="R624" s="200" t="str">
        <f t="shared" ca="1" si="347"/>
        <v/>
      </c>
      <c r="S624" s="9" t="str">
        <f ca="1">IF(COUNTIF(($T$4:T623),"F")&gt;=1,"",IF(OR(C625&lt;&gt;$C$3,E624=""),"",A624))</f>
        <v/>
      </c>
      <c r="T624" s="20" t="str">
        <f t="shared" ca="1" si="339"/>
        <v/>
      </c>
      <c r="U624" s="2">
        <f ca="1">IF(IF(OP!$C$83=1,$Z623,IF(OP!$C$83=2,$AA623,IF(OP!$C$83=3,$AB623,)))+$K624-$O624-$P624-$AS624&lt;OP!$C$142,0,$AS624)</f>
        <v>0</v>
      </c>
      <c r="V624" s="9"/>
      <c r="W624" s="19">
        <f ca="1">MAX(SUM($K$4:K624),0)</f>
        <v>2000000</v>
      </c>
      <c r="X624" s="19"/>
      <c r="Y624" s="19">
        <f t="shared" ca="1" si="365"/>
        <v>1920000</v>
      </c>
      <c r="Z624" s="2">
        <f ca="1">IF(MIN($Z$4:Z623)=0,0,MAX(0,($Z623+$K624-$O624-$P624)*IF(AND(F624="F",$D$3&lt;&gt;$G$3),((1+(-J624))^(H624/MIN(G624,365))),((1+(-J624))^(1/12)))-$U624))</f>
        <v>135050.99940441886</v>
      </c>
      <c r="AA624" s="2">
        <f ca="1">IF(MIN($AA$4:AA623)=0,0,MAX(0,($AA623+$K624-$O624-$P624)*IF(AND(F624="F",$D$3&lt;&gt;$G$3),((1+$AA$1)^(H624/MIN(G624,365))),((1+$AA$1)^(1/12)))-$U624))</f>
        <v>1920000</v>
      </c>
      <c r="AB624" s="2">
        <f ca="1">IF(MIN($AB$4:AB623)=0,0,MAX(0,($AB623+$K624-$O624-$P624)*IF(AND(F624="F",$D$3&lt;&gt;$G$3),((1+(J624))^(H624/MIN(G624,365))),((1+(J624))^(1/12)))-$U624))</f>
        <v>23979904.852547605</v>
      </c>
      <c r="AC624" s="5"/>
      <c r="AD624" s="5"/>
      <c r="AE624" s="5"/>
      <c r="AF624" s="282">
        <f t="shared" ca="1" si="348"/>
        <v>135051</v>
      </c>
      <c r="AG624" s="282">
        <f t="shared" ca="1" si="349"/>
        <v>1920000</v>
      </c>
      <c r="AH624" s="282">
        <f t="shared" ca="1" si="350"/>
        <v>23979905</v>
      </c>
      <c r="AI624" s="23" t="str">
        <f t="shared" ca="1" si="366"/>
        <v>52-10</v>
      </c>
      <c r="AJ624" s="282">
        <f ca="1">IF(E624&gt;111,,IF(AND(OP!$C$99=1,T624="F"),Z624,IF(AND(OP!$C$99=2,COUNTIF($T$4:T624,"F")=1),OP!$C$97+IF(F624="F",OP!$C$98,0),"")))</f>
        <v>54527</v>
      </c>
      <c r="AK624" s="282">
        <f ca="1">IF(E624&gt;111,,IF(AND(OP!$D$99=1,T624="F"),AA624,IF(AND(OP!$D$99=2,COUNTIF($T$4:T624,"F")=1),OP!$D$97+IF(F624="F",OP!$D$98,0),"")))</f>
        <v>74177</v>
      </c>
      <c r="AL624" s="282">
        <f ca="1">IF(E624&gt;111,,IF(AND(OP!$E$99=1,T624="F"),AB624,IF(AND(OP!$E$99=2,COUNTIF($T$4:T624,"F")=1),OP!$E$97+IF(F624="F",OP!$E$98,0),"")))</f>
        <v>99404</v>
      </c>
      <c r="AM624" s="1">
        <f t="shared" ca="1" si="340"/>
        <v>10</v>
      </c>
      <c r="AN624" s="1" t="e">
        <f ca="1">IF(OR(VLOOKUP($A624,MP,5,0)="月繳"),1,"")</f>
        <v>#N/A</v>
      </c>
      <c r="AO624" s="1">
        <f t="shared" ca="1" si="351"/>
        <v>0</v>
      </c>
      <c r="AP624" s="1" t="str">
        <f ca="1">IF(AND(A624&lt;=OP!$C$120,COUNTIF(PAY,C624)=1),1,"")</f>
        <v/>
      </c>
      <c r="AR624" s="301">
        <f ca="1">IF(繳費報酬率資料!$A$1=1,$AY624+$AZ624,$BF624+$BG624)</f>
        <v>0</v>
      </c>
      <c r="AS624" s="1">
        <f ca="1">IF(C624&lt;&gt;IF($C$3=1,12,$C$3-1),0,IF(繳費報酬率資料!$A$1&lt;&gt;1,VLOOKUP($A624,MP,8,0),IF(AND($A624&gt;=OP!$C$79,$A624&lt;=OP!$C$80),OP!$C$78,)))</f>
        <v>0</v>
      </c>
      <c r="AT624" s="298">
        <f t="shared" ca="1" si="352"/>
        <v>0</v>
      </c>
      <c r="AU624" s="298">
        <f ca="1">IF(AND(A624&lt;=OP!$C$120,COUNTIF(PAY,C624)=1),OP!$C$123,0)</f>
        <v>0</v>
      </c>
      <c r="AV624" s="298">
        <f ca="1">IF(AND(A624&gt;=OP!$C$132,A624&lt;=OP!$C$133,$C$3=C624),OP!$C$135,0)</f>
        <v>0</v>
      </c>
      <c r="AW624" s="180">
        <f t="shared" ca="1" si="353"/>
        <v>0.05</v>
      </c>
      <c r="AX624" s="180">
        <f t="shared" ca="1" si="354"/>
        <v>0.05</v>
      </c>
      <c r="AY624" s="286">
        <f t="shared" ca="1" si="355"/>
        <v>0</v>
      </c>
      <c r="AZ624" s="286">
        <f t="shared" ca="1" si="356"/>
        <v>0</v>
      </c>
      <c r="BA624" s="286">
        <f t="shared" ca="1" si="357"/>
        <v>0</v>
      </c>
      <c r="BB624" s="286">
        <f t="shared" ca="1" si="358"/>
        <v>0</v>
      </c>
      <c r="BC624" s="286">
        <f t="shared" ca="1" si="359"/>
        <v>0</v>
      </c>
      <c r="BD624" s="180">
        <f t="shared" ca="1" si="360"/>
        <v>0.05</v>
      </c>
      <c r="BE624" s="180">
        <f t="shared" ca="1" si="361"/>
        <v>0.05</v>
      </c>
      <c r="BF624" s="286">
        <f t="shared" ca="1" si="362"/>
        <v>0</v>
      </c>
      <c r="BG624" s="286">
        <f t="shared" ca="1" si="363"/>
        <v>0</v>
      </c>
    </row>
    <row r="625" spans="1:59">
      <c r="A625" s="1">
        <f t="shared" ca="1" si="342"/>
        <v>52</v>
      </c>
      <c r="B625" s="1">
        <f t="shared" ca="1" si="336"/>
        <v>158</v>
      </c>
      <c r="C625" s="1">
        <f t="shared" ca="1" si="337"/>
        <v>3</v>
      </c>
      <c r="D625" s="1">
        <f ca="1">MIN($D$3,VLOOKUP(C625,OP!$S$30:$T$41,2))</f>
        <v>2</v>
      </c>
      <c r="E625" s="1">
        <f t="shared" ca="1" si="338"/>
        <v>106</v>
      </c>
      <c r="F625" s="11" t="str">
        <f t="shared" ca="1" si="343"/>
        <v/>
      </c>
      <c r="G625" s="8">
        <f t="shared" ca="1" si="369"/>
        <v>365</v>
      </c>
      <c r="H625" s="8">
        <f t="shared" ca="1" si="345"/>
        <v>31</v>
      </c>
      <c r="I625" s="8" t="str">
        <f t="shared" ca="1" si="341"/>
        <v>523</v>
      </c>
      <c r="J625" s="13">
        <f>IF(繳費報酬率資料!$A$1=1,VALUE(OP!$C$121),VLOOKUP(A625,MP,2,0))</f>
        <v>0.05</v>
      </c>
      <c r="K625" s="14">
        <f ca="1">IF(SUM($K$4:K624,IF(繳費報酬率資料!$A$1=1,$AU625+$AV625,$BB625+$BC625))&gt;OP!$L$58,0,IF(繳費報酬率資料!$A$1=1,$AU625+$AV625,$BB625+$BC625))</f>
        <v>0</v>
      </c>
      <c r="L625" s="2"/>
      <c r="M625" s="2"/>
      <c r="N625" s="2"/>
      <c r="O625" s="261">
        <f t="shared" ca="1" si="346"/>
        <v>0</v>
      </c>
      <c r="P625" s="261">
        <f t="shared" ca="1" si="364"/>
        <v>0</v>
      </c>
      <c r="Q625" s="3">
        <f ca="1">IF(A625&gt;MAX(OP!$R$17:$R$26),0,VLOOKUP(A625,fees,3,FALSE))</f>
        <v>0</v>
      </c>
      <c r="R625" s="200" t="str">
        <f t="shared" ca="1" si="347"/>
        <v/>
      </c>
      <c r="S625" s="9" t="str">
        <f ca="1">IF(COUNTIF(($T$4:T624),"F")&gt;=1,"",IF(OR(C626&lt;&gt;$C$3,E625=""),"",A625))</f>
        <v/>
      </c>
      <c r="T625" s="20" t="str">
        <f t="shared" ca="1" si="339"/>
        <v/>
      </c>
      <c r="U625" s="2">
        <f ca="1">IF(IF(OP!$C$83=1,$Z624,IF(OP!$C$83=2,$AA624,IF(OP!$C$83=3,$AB624,)))+$K625-$O625-$P625-$AS625&lt;OP!$C$142,0,$AS625)</f>
        <v>0</v>
      </c>
      <c r="V625" s="9"/>
      <c r="W625" s="19">
        <f ca="1">MAX(SUM($K$4:K625),0)</f>
        <v>2000000</v>
      </c>
      <c r="X625" s="19"/>
      <c r="Y625" s="19">
        <f t="shared" ca="1" si="365"/>
        <v>1920000</v>
      </c>
      <c r="Z625" s="2">
        <f ca="1">IF(MIN($Z$4:Z624)=0,0,MAX(0,($Z624+$K625-$O625-$P625)*IF(AND(F625="F",$D$3&lt;&gt;$G$3),((1+(-J625))^(H625/MIN(G625,365))),((1+(-J625))^(1/12)))-$U625))</f>
        <v>134474.96384073087</v>
      </c>
      <c r="AA625" s="2">
        <f ca="1">IF(MIN($AA$4:AA624)=0,0,MAX(0,($AA624+$K625-$O625-$P625)*IF(AND(F625="F",$D$3&lt;&gt;$G$3),((1+$AA$1)^(H625/MIN(G625,365))),((1+$AA$1)^(1/12)))-$U625))</f>
        <v>1920000</v>
      </c>
      <c r="AB625" s="2">
        <f ca="1">IF(MIN($AB$4:AB624)=0,0,MAX(0,($AB624+$K625-$O625-$P625)*IF(AND(F625="F",$D$3&lt;&gt;$G$3),((1+(J625))^(H625/MIN(G625,365))),((1+(J625))^(1/12)))-$U625))</f>
        <v>24077601.953236993</v>
      </c>
      <c r="AC625" s="5"/>
      <c r="AD625" s="5"/>
      <c r="AE625" s="5"/>
      <c r="AF625" s="282">
        <f t="shared" ca="1" si="348"/>
        <v>134475</v>
      </c>
      <c r="AG625" s="282">
        <f t="shared" ca="1" si="349"/>
        <v>1920000</v>
      </c>
      <c r="AH625" s="282">
        <f t="shared" ca="1" si="350"/>
        <v>24077602</v>
      </c>
      <c r="AI625" s="23" t="str">
        <f t="shared" ca="1" si="366"/>
        <v>52-11</v>
      </c>
      <c r="AJ625" s="282">
        <f ca="1">IF(E625&gt;111,,IF(AND(OP!$C$99=1,T625="F"),Z625,IF(AND(OP!$C$99=2,COUNTIF($T$4:T625,"F")=1),OP!$C$97+IF(F625="F",OP!$C$98,0),"")))</f>
        <v>54527</v>
      </c>
      <c r="AK625" s="282">
        <f ca="1">IF(E625&gt;111,,IF(AND(OP!$D$99=1,T625="F"),AA625,IF(AND(OP!$D$99=2,COUNTIF($T$4:T625,"F")=1),OP!$D$97+IF(F625="F",OP!$D$98,0),"")))</f>
        <v>74177</v>
      </c>
      <c r="AL625" s="282">
        <f ca="1">IF(E625&gt;111,,IF(AND(OP!$E$99=1,T625="F"),AB625,IF(AND(OP!$E$99=2,COUNTIF($T$4:T625,"F")=1),OP!$E$97+IF(F625="F",OP!$E$98,0),"")))</f>
        <v>99404</v>
      </c>
      <c r="AM625" s="1">
        <f t="shared" ca="1" si="340"/>
        <v>11</v>
      </c>
      <c r="AN625" s="1" t="e">
        <f ca="1">IF(OR(VLOOKUP($A625,MP,5,0)="季繳",VLOOKUP($A625,MP,5,0)="月繳"),1,"")</f>
        <v>#N/A</v>
      </c>
      <c r="AO625" s="1">
        <f t="shared" ca="1" si="351"/>
        <v>0</v>
      </c>
      <c r="AP625" s="1" t="str">
        <f ca="1">IF(AND(A625&lt;=OP!$C$120,COUNTIF(PAY,C625)=1),1,"")</f>
        <v/>
      </c>
      <c r="AR625" s="301">
        <f ca="1">IF(繳費報酬率資料!$A$1=1,$AY625+$AZ625,$BF625+$BG625)</f>
        <v>0</v>
      </c>
      <c r="AS625" s="1">
        <f ca="1">IF(C625&lt;&gt;IF($C$3=1,12,$C$3-1),0,IF(繳費報酬率資料!$A$1&lt;&gt;1,VLOOKUP($A625,MP,8,0),IF(AND($A625&gt;=OP!$C$79,$A625&lt;=OP!$C$80),OP!$C$78,)))</f>
        <v>0</v>
      </c>
      <c r="AT625" s="298">
        <f t="shared" ca="1" si="352"/>
        <v>0</v>
      </c>
      <c r="AU625" s="298">
        <f ca="1">IF(AND(A625&lt;=OP!$C$120,COUNTIF(PAY,C625)=1),OP!$C$123,0)</f>
        <v>0</v>
      </c>
      <c r="AV625" s="298">
        <f ca="1">IF(AND(A625&gt;=OP!$C$132,A625&lt;=OP!$C$133,$C$3=C625),OP!$C$135,0)</f>
        <v>0</v>
      </c>
      <c r="AW625" s="180">
        <f t="shared" ca="1" si="353"/>
        <v>0.05</v>
      </c>
      <c r="AX625" s="180">
        <f t="shared" ca="1" si="354"/>
        <v>0.05</v>
      </c>
      <c r="AY625" s="286">
        <f t="shared" ca="1" si="355"/>
        <v>0</v>
      </c>
      <c r="AZ625" s="286">
        <f t="shared" ca="1" si="356"/>
        <v>0</v>
      </c>
      <c r="BA625" s="286">
        <f t="shared" ca="1" si="357"/>
        <v>0</v>
      </c>
      <c r="BB625" s="286">
        <f t="shared" ca="1" si="358"/>
        <v>0</v>
      </c>
      <c r="BC625" s="286">
        <f t="shared" ca="1" si="359"/>
        <v>0</v>
      </c>
      <c r="BD625" s="180">
        <f t="shared" ca="1" si="360"/>
        <v>0.05</v>
      </c>
      <c r="BE625" s="180">
        <f t="shared" ca="1" si="361"/>
        <v>0.05</v>
      </c>
      <c r="BF625" s="286">
        <f t="shared" ca="1" si="362"/>
        <v>0</v>
      </c>
      <c r="BG625" s="286">
        <f t="shared" ca="1" si="363"/>
        <v>0</v>
      </c>
    </row>
    <row r="626" spans="1:59">
      <c r="A626" s="1">
        <f t="shared" ca="1" si="342"/>
        <v>52</v>
      </c>
      <c r="B626" s="1">
        <f t="shared" ca="1" si="336"/>
        <v>158</v>
      </c>
      <c r="C626" s="1">
        <f t="shared" ca="1" si="337"/>
        <v>4</v>
      </c>
      <c r="D626" s="1">
        <f ca="1">MIN($D$3,VLOOKUP(C626,OP!$S$30:$T$41,2))</f>
        <v>2</v>
      </c>
      <c r="E626" s="1">
        <f t="shared" ca="1" si="338"/>
        <v>106</v>
      </c>
      <c r="F626" s="11" t="str">
        <f t="shared" ca="1" si="343"/>
        <v/>
      </c>
      <c r="G626" s="8">
        <f t="shared" ca="1" si="369"/>
        <v>365</v>
      </c>
      <c r="H626" s="8">
        <f t="shared" ca="1" si="345"/>
        <v>30</v>
      </c>
      <c r="I626" s="8" t="str">
        <f t="shared" ca="1" si="341"/>
        <v>524</v>
      </c>
      <c r="J626" s="13">
        <f>IF(繳費報酬率資料!$A$1=1,VALUE(OP!$C$121),VLOOKUP(A626,MP,2,0))</f>
        <v>0.05</v>
      </c>
      <c r="K626" s="14">
        <f ca="1">IF(SUM($K$4:K625,IF(繳費報酬率資料!$A$1=1,$AU626+$AV626,$BB626+$BC626))&gt;OP!$L$58,0,IF(繳費報酬率資料!$A$1=1,$AU626+$AV626,$BB626+$BC626))</f>
        <v>0</v>
      </c>
      <c r="L626" s="2"/>
      <c r="M626" s="2"/>
      <c r="N626" s="2"/>
      <c r="O626" s="261">
        <f t="shared" ca="1" si="346"/>
        <v>0</v>
      </c>
      <c r="P626" s="261">
        <f t="shared" ca="1" si="364"/>
        <v>0</v>
      </c>
      <c r="Q626" s="3">
        <f ca="1">IF(A626&gt;MAX(OP!$R$17:$R$26),0,VLOOKUP(A626,fees,3,FALSE))</f>
        <v>0</v>
      </c>
      <c r="R626" s="200" t="str">
        <f t="shared" ca="1" si="347"/>
        <v/>
      </c>
      <c r="S626" s="9" t="str">
        <f ca="1">IF(COUNTIF(($T$4:T625),"F")&gt;=1,"",IF(OR(C627&lt;&gt;$C$3,E626=""),"",A626))</f>
        <v/>
      </c>
      <c r="T626" s="20" t="str">
        <f t="shared" ca="1" si="339"/>
        <v/>
      </c>
      <c r="U626" s="2">
        <f ca="1">IF(IF(OP!$C$83=1,$Z625,IF(OP!$C$83=2,$AA625,IF(OP!$C$83=3,$AB625,)))+$K626-$O626-$P626-$AS626&lt;OP!$C$142,0,$AS626)</f>
        <v>0</v>
      </c>
      <c r="V626" s="9"/>
      <c r="W626" s="19">
        <f ca="1">MAX(SUM($K$4:K626),0)</f>
        <v>2000000</v>
      </c>
      <c r="X626" s="19"/>
      <c r="Y626" s="19">
        <f t="shared" ca="1" si="365"/>
        <v>1920000</v>
      </c>
      <c r="Z626" s="2">
        <f ca="1">IF(MIN($Z$4:Z625)=0,0,MAX(0,($Z625+$K626-$O626-$P626)*IF(AND(F626="F",$D$3&lt;&gt;$G$3),((1+(-J626))^(H626/MIN(G626,365))),((1+(-J626))^(1/12)))-$U626))</f>
        <v>133901.3852523492</v>
      </c>
      <c r="AA626" s="2">
        <f ca="1">IF(MIN($AA$4:AA625)=0,0,MAX(0,($AA625+$K626-$O626-$P626)*IF(AND(F626="F",$D$3&lt;&gt;$G$3),((1+$AA$1)^(H626/MIN(G626,365))),((1+$AA$1)^(1/12)))-$U626))</f>
        <v>1920000</v>
      </c>
      <c r="AB626" s="2">
        <f ca="1">IF(MIN($AB$4:AB625)=0,0,MAX(0,($AB625+$K626-$O626-$P626)*IF(AND(F626="F",$D$3&lt;&gt;$G$3),((1+(J626))^(H626/MIN(G626,365))),((1+(J626))^(1/12)))-$U626))</f>
        <v>24175697.084007893</v>
      </c>
      <c r="AC626" s="5"/>
      <c r="AD626" s="5"/>
      <c r="AE626" s="5"/>
      <c r="AF626" s="282">
        <f t="shared" ca="1" si="348"/>
        <v>133901</v>
      </c>
      <c r="AG626" s="282">
        <f t="shared" ca="1" si="349"/>
        <v>1920000</v>
      </c>
      <c r="AH626" s="282">
        <f t="shared" ca="1" si="350"/>
        <v>24175697</v>
      </c>
      <c r="AI626" s="23" t="str">
        <f t="shared" ca="1" si="366"/>
        <v>52-12</v>
      </c>
      <c r="AJ626" s="282">
        <f ca="1">IF(E626&gt;111,,IF(AND(OP!$C$99=1,T626="F"),Z626,IF(AND(OP!$C$99=2,COUNTIF($T$4:T626,"F")=1),OP!$C$97+IF(F626="F",OP!$C$98,0),"")))</f>
        <v>54527</v>
      </c>
      <c r="AK626" s="282">
        <f ca="1">IF(E626&gt;111,,IF(AND(OP!$D$99=1,T626="F"),AA626,IF(AND(OP!$D$99=2,COUNTIF($T$4:T626,"F")=1),OP!$D$97+IF(F626="F",OP!$D$98,0),"")))</f>
        <v>74177</v>
      </c>
      <c r="AL626" s="282">
        <f ca="1">IF(E626&gt;111,,IF(AND(OP!$E$99=1,T626="F"),AB626,IF(AND(OP!$E$99=2,COUNTIF($T$4:T626,"F")=1),OP!$E$97+IF(F626="F",OP!$E$98,0),"")))</f>
        <v>99404</v>
      </c>
      <c r="AM626" s="1">
        <f t="shared" ca="1" si="340"/>
        <v>12</v>
      </c>
      <c r="AN626" s="1" t="e">
        <f ca="1">IF(OR(VLOOKUP($A626,MP,5,0)="月繳"),1,"")</f>
        <v>#N/A</v>
      </c>
      <c r="AO626" s="1">
        <f t="shared" ca="1" si="351"/>
        <v>0</v>
      </c>
      <c r="AP626" s="1" t="str">
        <f ca="1">IF(AND(A626&lt;=OP!$C$120,COUNTIF(PAY,C626)=1),1,"")</f>
        <v/>
      </c>
      <c r="AR626" s="301">
        <f ca="1">IF(繳費報酬率資料!$A$1=1,$AY626+$AZ626,$BF626+$BG626)</f>
        <v>0</v>
      </c>
      <c r="AS626" s="1">
        <f ca="1">IF(C626&lt;&gt;IF($C$3=1,12,$C$3-1),0,IF(繳費報酬率資料!$A$1&lt;&gt;1,VLOOKUP($A626,MP,8,0),IF(AND($A626&gt;=OP!$C$79,$A626&lt;=OP!$C$80),OP!$C$78,)))</f>
        <v>0</v>
      </c>
      <c r="AT626" s="298">
        <f t="shared" ca="1" si="352"/>
        <v>0</v>
      </c>
      <c r="AU626" s="298">
        <f ca="1">IF(AND(A626&lt;=OP!$C$120,COUNTIF(PAY,C626)=1),OP!$C$123,0)</f>
        <v>0</v>
      </c>
      <c r="AV626" s="298">
        <f ca="1">IF(AND(A626&gt;=OP!$C$132,A626&lt;=OP!$C$133,$C$3=C626),OP!$C$135,0)</f>
        <v>0</v>
      </c>
      <c r="AW626" s="180">
        <f t="shared" ca="1" si="353"/>
        <v>0.05</v>
      </c>
      <c r="AX626" s="180">
        <f t="shared" ca="1" si="354"/>
        <v>0.05</v>
      </c>
      <c r="AY626" s="286">
        <f t="shared" ca="1" si="355"/>
        <v>0</v>
      </c>
      <c r="AZ626" s="286">
        <f t="shared" ca="1" si="356"/>
        <v>0</v>
      </c>
      <c r="BA626" s="286">
        <f t="shared" ca="1" si="357"/>
        <v>0</v>
      </c>
      <c r="BB626" s="286">
        <f t="shared" ca="1" si="358"/>
        <v>0</v>
      </c>
      <c r="BC626" s="286">
        <f t="shared" ca="1" si="359"/>
        <v>0</v>
      </c>
      <c r="BD626" s="180">
        <f t="shared" ca="1" si="360"/>
        <v>0.05</v>
      </c>
      <c r="BE626" s="180">
        <f t="shared" ca="1" si="361"/>
        <v>0.05</v>
      </c>
      <c r="BF626" s="286">
        <f t="shared" ca="1" si="362"/>
        <v>0</v>
      </c>
      <c r="BG626" s="286">
        <f t="shared" ca="1" si="363"/>
        <v>0</v>
      </c>
    </row>
    <row r="627" spans="1:59">
      <c r="A627" s="1">
        <f t="shared" ca="1" si="342"/>
        <v>52</v>
      </c>
      <c r="B627" s="1">
        <f t="shared" ca="1" si="336"/>
        <v>158</v>
      </c>
      <c r="C627" s="1">
        <f t="shared" ca="1" si="337"/>
        <v>5</v>
      </c>
      <c r="D627" s="1">
        <f ca="1">MIN($D$3,VLOOKUP(C627,OP!$S$30:$T$41,2))</f>
        <v>2</v>
      </c>
      <c r="E627" s="1">
        <f t="shared" ca="1" si="338"/>
        <v>106</v>
      </c>
      <c r="F627" s="11" t="str">
        <f t="shared" ca="1" si="343"/>
        <v/>
      </c>
      <c r="G627" s="8">
        <f t="shared" ca="1" si="369"/>
        <v>365</v>
      </c>
      <c r="H627" s="8">
        <f t="shared" ca="1" si="345"/>
        <v>31</v>
      </c>
      <c r="I627" s="8" t="str">
        <f t="shared" ca="1" si="341"/>
        <v>525</v>
      </c>
      <c r="J627" s="13">
        <f>IF(繳費報酬率資料!$A$1=1,VALUE(OP!$C$121),VLOOKUP(A627,MP,2,0))</f>
        <v>0.05</v>
      </c>
      <c r="K627" s="14">
        <f ca="1">IF(SUM($K$4:K626,IF(繳費報酬率資料!$A$1=1,$AU627+$AV627,$BB627+$BC627))&gt;OP!$L$58,0,IF(繳費報酬率資料!$A$1=1,$AU627+$AV627,$BB627+$BC627))</f>
        <v>0</v>
      </c>
      <c r="L627" s="2">
        <f ca="1">ROUND(IF(OP!$C$78&lt;(IF(OR($T627="F",$E627&gt;=111),0,Z626+$K627-$O627+IF($C$1=1,OP!$C$78,IF($C628=$C$3,SUM(AC616:AC627,0)))))*5%,0,(OP!$C$78-((IF(OR($T627="F",$E627&gt;=111),0,Z626+$K627-$O627+IF($C$1=1,AC627,IF($C628=$C$3,SUM(AC616:AC627,0)))))*5%))*$Q627),0)</f>
        <v>0</v>
      </c>
      <c r="M627" s="2">
        <f ca="1">ROUND(IF(OP!$C$78&lt;(IF(OR($T627="F",$E627&gt;=111),0,AA626+$K627-$O627+IF($C$1=1,AD627,IF($C628=$C$3,SUM(AD616:AD627,0)))))*5%,0,(OP!$C$78-((IF(OR($T627="F",$E627&gt;=111),0,AA626+$K627-$O627+IF($C$1=1,AD627,IF($C628=$C$3,SUM(AD616:AD627,0)))))*5%))*$Q627),0)</f>
        <v>0</v>
      </c>
      <c r="N627" s="2">
        <f ca="1">ROUND(IF(OP!$C$78&lt;(IF(OR($T627="F",$E627&gt;=111),0,AB626+$K627-$O627+IF($C$1=1,AE627,IF($C628=$C$3,SUM(AE616:AE627,0)))))*5%,0,(OP!$C$78-((IF(OR($T627="F",$E627&gt;=111),0,AB626+$K627-$O627+IF($C$1=1,AE627,IF($C628=$C$3,SUM(AE616:AE627,0)))))*5%))*$Q627),0)</f>
        <v>0</v>
      </c>
      <c r="O627" s="261">
        <f t="shared" ca="1" si="346"/>
        <v>0</v>
      </c>
      <c r="P627" s="261">
        <f t="shared" ca="1" si="364"/>
        <v>0</v>
      </c>
      <c r="Q627" s="3">
        <f ca="1">IF(A627&gt;MAX(OP!$R$17:$R$26),0,VLOOKUP(A627,fees,3,FALSE))</f>
        <v>0</v>
      </c>
      <c r="R627" s="200">
        <f t="shared" ca="1" si="347"/>
        <v>52</v>
      </c>
      <c r="S627" s="9" t="str">
        <f ca="1">IF(COUNTIF(($T$4:T626),"F")&gt;=1,"",IF(OR(C628&lt;&gt;$C$3,E627=""),"",A627))</f>
        <v/>
      </c>
      <c r="T627" s="20" t="str">
        <f t="shared" ca="1" si="339"/>
        <v/>
      </c>
      <c r="U627" s="2">
        <f ca="1">IF(IF(OP!$C$83=1,$Z626,IF(OP!$C$83=2,$AA626,IF(OP!$C$83=3,$AB626,)))+$K627-$O627-$P627-$AS627&lt;OP!$C$142,0,$AS627)</f>
        <v>0</v>
      </c>
      <c r="V627" s="19">
        <f ca="1">SUM(K616:K627)</f>
        <v>0</v>
      </c>
      <c r="W627" s="19">
        <f ca="1">MAX(SUM($K$4:K627),0)</f>
        <v>2000000</v>
      </c>
      <c r="X627" s="19">
        <f ca="1">SUM(O616:P627)</f>
        <v>0</v>
      </c>
      <c r="Y627" s="19">
        <f t="shared" ca="1" si="365"/>
        <v>1920000</v>
      </c>
      <c r="Z627" s="2">
        <f ca="1">IF(MIN($Z$4:Z626)=0,0,MAX(0,($Z626+$K627-$O627-$P627)*IF(AND(F627="F",$D$3&lt;&gt;$G$3),((1+(-J627))^(H627/MIN(G627,365))),((1+(-J627))^(1/12)))-$U627))</f>
        <v>133330.25315949097</v>
      </c>
      <c r="AA627" s="2">
        <f ca="1">IF(MIN($AA$4:AA626)=0,0,MAX(0,($AA626+$K627-$O627-$P627)*IF(AND(F627="F",$D$3&lt;&gt;$G$3),((1+$AA$1)^(H627/MIN(G627,365))),((1+$AA$1)^(1/12)))-$U627))</f>
        <v>1920000</v>
      </c>
      <c r="AB627" s="2">
        <f ca="1">IF(MIN($AB$4:AB626)=0,0,MAX(0,($AB626+$K627-$O627-$P627)*IF(AND(F627="F",$D$3&lt;&gt;$G$3),((1+(J627))^(H627/MIN(G627,365))),((1+(J627))^(1/12)))-$U627))</f>
        <v>24274191.866484128</v>
      </c>
      <c r="AC627" s="5"/>
      <c r="AD627" s="5"/>
      <c r="AE627" s="5"/>
      <c r="AF627" s="282">
        <f t="shared" ca="1" si="348"/>
        <v>133330</v>
      </c>
      <c r="AG627" s="282">
        <f t="shared" ca="1" si="349"/>
        <v>1920000</v>
      </c>
      <c r="AH627" s="282">
        <f t="shared" ca="1" si="350"/>
        <v>24274192</v>
      </c>
      <c r="AI627" s="23" t="str">
        <f t="shared" ca="1" si="366"/>
        <v>53-1</v>
      </c>
      <c r="AJ627" s="282">
        <f ca="1">IF(E627&gt;111,,IF(AND(OP!$C$99=1,T627="F"),Z627,IF(AND(OP!$C$99=2,COUNTIF($T$4:T627,"F")=1),OP!$C$97+IF(F627="F",OP!$C$98,0),"")))</f>
        <v>54527</v>
      </c>
      <c r="AK627" s="282">
        <f ca="1">IF(E627&gt;111,,IF(AND(OP!$D$99=1,T627="F"),AA627,IF(AND(OP!$D$99=2,COUNTIF($T$4:T627,"F")=1),OP!$D$97+IF(F627="F",OP!$D$98,0),"")))</f>
        <v>74177</v>
      </c>
      <c r="AL627" s="282">
        <f ca="1">IF(E627&gt;111,,IF(AND(OP!$E$99=1,T627="F"),AB627,IF(AND(OP!$E$99=2,COUNTIF($T$4:T627,"F")=1),OP!$E$97+IF(F627="F",OP!$E$98,0),"")))</f>
        <v>99404</v>
      </c>
      <c r="AM627" s="1">
        <f t="shared" ca="1" si="340"/>
        <v>1</v>
      </c>
      <c r="AN627" s="1" t="e">
        <f ca="1">IF(OR(VLOOKUP($A627,MP,5,0)="月繳"),1,"")</f>
        <v>#N/A</v>
      </c>
      <c r="AO627" s="1">
        <f t="shared" ca="1" si="351"/>
        <v>0</v>
      </c>
      <c r="AP627" s="1" t="str">
        <f ca="1">IF(AND(A627&lt;=OP!$C$120,COUNTIF(PAY,C627)=1),1,"")</f>
        <v/>
      </c>
      <c r="AR627" s="301">
        <f ca="1">IF(繳費報酬率資料!$A$1=1,$AY627+$AZ627,$BF627+$BG627)</f>
        <v>0</v>
      </c>
      <c r="AS627" s="1">
        <f ca="1">IF(C627&lt;&gt;IF($C$3=1,12,$C$3-1),0,IF(繳費報酬率資料!$A$1&lt;&gt;1,VLOOKUP($A627,MP,8,0),IF(AND($A627&gt;=OP!$C$79,$A627&lt;=OP!$C$80),OP!$C$78,)))</f>
        <v>0</v>
      </c>
      <c r="AT627" s="298">
        <f t="shared" ca="1" si="352"/>
        <v>0</v>
      </c>
      <c r="AU627" s="298">
        <f ca="1">IF(AND(A627&lt;=OP!$C$120,COUNTIF(PAY,C627)=1),OP!$C$123,0)</f>
        <v>0</v>
      </c>
      <c r="AV627" s="298">
        <f ca="1">IF(AND(A627&gt;=OP!$C$132,A627&lt;=OP!$C$133,$C$3=C627),OP!$C$135,0)</f>
        <v>0</v>
      </c>
      <c r="AW627" s="180">
        <f t="shared" ca="1" si="353"/>
        <v>0.05</v>
      </c>
      <c r="AX627" s="180">
        <f t="shared" ca="1" si="354"/>
        <v>0.05</v>
      </c>
      <c r="AY627" s="286">
        <f t="shared" ca="1" si="355"/>
        <v>0</v>
      </c>
      <c r="AZ627" s="286">
        <f t="shared" ca="1" si="356"/>
        <v>0</v>
      </c>
      <c r="BA627" s="286">
        <f t="shared" ca="1" si="357"/>
        <v>0</v>
      </c>
      <c r="BB627" s="286">
        <f t="shared" ca="1" si="358"/>
        <v>0</v>
      </c>
      <c r="BC627" s="286">
        <f t="shared" ca="1" si="359"/>
        <v>0</v>
      </c>
      <c r="BD627" s="180">
        <f t="shared" ca="1" si="360"/>
        <v>0.05</v>
      </c>
      <c r="BE627" s="180">
        <f t="shared" ca="1" si="361"/>
        <v>0.05</v>
      </c>
      <c r="BF627" s="286">
        <f t="shared" ca="1" si="362"/>
        <v>0</v>
      </c>
      <c r="BG627" s="286">
        <f t="shared" ca="1" si="363"/>
        <v>0</v>
      </c>
    </row>
    <row r="628" spans="1:59">
      <c r="A628" s="1">
        <f t="shared" ca="1" si="342"/>
        <v>53</v>
      </c>
      <c r="B628" s="1">
        <f t="shared" ca="1" si="336"/>
        <v>158</v>
      </c>
      <c r="C628" s="1">
        <f t="shared" ca="1" si="337"/>
        <v>6</v>
      </c>
      <c r="D628" s="1">
        <f ca="1">MIN($D$3,VLOOKUP(C628,OP!$S$30:$T$41,2))</f>
        <v>2</v>
      </c>
      <c r="E628" s="1">
        <f t="shared" ca="1" si="338"/>
        <v>107</v>
      </c>
      <c r="F628" s="11" t="str">
        <f t="shared" ca="1" si="343"/>
        <v/>
      </c>
      <c r="G628" s="6">
        <f ca="1">DATEDIF(DATE(B628+1911,C628,D628),DATE(B640+1911,C640,D640),"d")</f>
        <v>365</v>
      </c>
      <c r="H628" s="8">
        <f t="shared" ca="1" si="345"/>
        <v>30</v>
      </c>
      <c r="I628" s="8" t="str">
        <f t="shared" ca="1" si="341"/>
        <v>536</v>
      </c>
      <c r="J628" s="13">
        <f>IF(繳費報酬率資料!$A$1=1,VALUE(OP!$C$121),VLOOKUP(A628,MP,2,0))</f>
        <v>0.05</v>
      </c>
      <c r="K628" s="14">
        <f ca="1">IF(SUM($K$4:K627,IF(繳費報酬率資料!$A$1=1,$AU628+$AV628,$BB628+$BC628))&gt;OP!$L$58,0,IF(繳費報酬率資料!$A$1=1,$AU628+$AV628,$BB628+$BC628))</f>
        <v>0</v>
      </c>
      <c r="L628" s="2"/>
      <c r="M628" s="2"/>
      <c r="N628" s="2"/>
      <c r="O628" s="261">
        <f t="shared" ca="1" si="346"/>
        <v>0</v>
      </c>
      <c r="P628" s="261">
        <f t="shared" ca="1" si="364"/>
        <v>0</v>
      </c>
      <c r="Q628" s="3">
        <f ca="1">IF(A628&gt;MAX(OP!$R$17:$R$26),0,VLOOKUP(A628,fees,3,FALSE))</f>
        <v>0</v>
      </c>
      <c r="R628" s="200" t="str">
        <f t="shared" ca="1" si="347"/>
        <v/>
      </c>
      <c r="S628" s="9" t="str">
        <f ca="1">IF(COUNTIF(($T$4:T627),"F")&gt;=1,"",IF(OR(C629&lt;&gt;$C$3,E628=""),"",A628))</f>
        <v/>
      </c>
      <c r="T628" s="20" t="str">
        <f t="shared" ca="1" si="339"/>
        <v/>
      </c>
      <c r="U628" s="2">
        <f ca="1">IF(IF(OP!$C$83=1,$Z627,IF(OP!$C$83=2,$AA627,IF(OP!$C$83=3,$AB627,)))+$K628-$O628-$P628-$AS628&lt;OP!$C$142,0,$AS628)</f>
        <v>0</v>
      </c>
      <c r="V628" s="9"/>
      <c r="W628" s="19">
        <f ca="1">MAX(SUM($K$4:K628),0)</f>
        <v>2000000</v>
      </c>
      <c r="X628" s="19"/>
      <c r="Y628" s="19">
        <f t="shared" ca="1" si="365"/>
        <v>1920000</v>
      </c>
      <c r="Z628" s="2">
        <f ca="1">IF(MIN($Z$4:Z627)=0,0,MAX(0,($Z627+$K628-$O628-$P628)*IF(AND(F628="F",$D$3&lt;&gt;$G$3),((1+(-J628))^(H628/MIN(G628,365))),((1+(-J628))^(1/12)))-$U628))</f>
        <v>132761.55712707288</v>
      </c>
      <c r="AA628" s="2">
        <f ca="1">IF(MIN($AA$4:AA627)=0,0,MAX(0,($AA627+$K628-$O628-$P628)*IF(AND(F628="F",$D$3&lt;&gt;$G$3),((1+$AA$1)^(H628/MIN(G628,365))),((1+$AA$1)^(1/12)))-$U628))</f>
        <v>1920000</v>
      </c>
      <c r="AB628" s="2">
        <f ca="1">IF(MIN($AB$4:AB627)=0,0,MAX(0,($AB627+$K628-$O628-$P628)*IF(AND(F628="F",$D$3&lt;&gt;$G$3),((1+(J628))^(H628/MIN(G628,365))),((1+(J628))^(1/12)))-$U628))</f>
        <v>24373087.928896215</v>
      </c>
      <c r="AC628" s="21"/>
      <c r="AD628" s="21"/>
      <c r="AE628" s="21"/>
      <c r="AF628" s="282">
        <f t="shared" ca="1" si="348"/>
        <v>132762</v>
      </c>
      <c r="AG628" s="282">
        <f t="shared" ca="1" si="349"/>
        <v>1920000</v>
      </c>
      <c r="AH628" s="282">
        <f t="shared" ca="1" si="350"/>
        <v>24373088</v>
      </c>
      <c r="AI628" s="23" t="str">
        <f t="shared" ca="1" si="366"/>
        <v>53-2</v>
      </c>
      <c r="AJ628" s="281">
        <f ca="1">IF(E628&gt;111,,IF(AND(OP!$C$99=1,T628="F"),Z628,IF(AND(OP!$C$99=2,COUNTIF($T$4:T628,"F")=1),OP!$C$97+IF(F628="F",OP!$C$98,0),"")))</f>
        <v>54527</v>
      </c>
      <c r="AK628" s="281">
        <f ca="1">IF(E628&gt;111,,IF(AND(OP!$D$99=1,T628="F"),AA628,IF(AND(OP!$D$99=2,COUNTIF($T$4:T628,"F")=1),OP!$D$97+IF(F628="F",OP!$D$98,0),"")))</f>
        <v>74177</v>
      </c>
      <c r="AL628" s="281">
        <f ca="1">IF(E628&gt;111,,IF(AND(OP!$E$99=1,T628="F"),AB628,IF(AND(OP!$E$99=2,COUNTIF($T$4:T628,"F")=1),OP!$E$97+IF(F628="F",OP!$E$98,0),"")))</f>
        <v>99404</v>
      </c>
      <c r="AM628" s="1">
        <f t="shared" ca="1" si="340"/>
        <v>2</v>
      </c>
      <c r="AN628" s="1" t="e">
        <f ca="1">IF(OR(VLOOKUP($A628,MP,5,0)="年繳",VLOOKUP($A628,MP,5,0)="半年繳",VLOOKUP($A628,MP,5,0)="季繳",VLOOKUP($A628,MP,5,0)="月繳"),1,"")</f>
        <v>#N/A</v>
      </c>
      <c r="AO628" s="1">
        <f t="shared" ca="1" si="351"/>
        <v>0</v>
      </c>
      <c r="AP628" s="1" t="str">
        <f ca="1">IF(AND(A628&lt;=OP!$C$120,COUNTIF(PAY,C628)=1),1,"")</f>
        <v/>
      </c>
      <c r="AR628" s="301">
        <f ca="1">IF(繳費報酬率資料!$A$1=1,$AY628+$AZ628,$BF628+$BG628)</f>
        <v>0</v>
      </c>
      <c r="AS628" s="1">
        <f ca="1">IF(C628&lt;&gt;IF($C$3=1,12,$C$3-1),0,IF(繳費報酬率資料!$A$1&lt;&gt;1,VLOOKUP($A628,MP,8,0),IF(AND($A628&gt;=OP!$C$79,$A628&lt;=OP!$C$80),OP!$C$78,)))</f>
        <v>0</v>
      </c>
      <c r="AT628" s="298">
        <f t="shared" ca="1" si="352"/>
        <v>0</v>
      </c>
      <c r="AU628" s="298">
        <f ca="1">IF(AND(A628&lt;=OP!$C$120,COUNTIF(PAY,C628)=1),OP!$C$123,0)</f>
        <v>0</v>
      </c>
      <c r="AV628" s="298">
        <f ca="1">IF(AND(A628&gt;=OP!$C$132,A628&lt;=OP!$C$133,$C$3=C628),OP!$C$135,0)</f>
        <v>0</v>
      </c>
      <c r="AW628" s="180">
        <f t="shared" ca="1" si="353"/>
        <v>0.05</v>
      </c>
      <c r="AX628" s="180">
        <f t="shared" ca="1" si="354"/>
        <v>0.05</v>
      </c>
      <c r="AY628" s="286">
        <f t="shared" ca="1" si="355"/>
        <v>0</v>
      </c>
      <c r="AZ628" s="286">
        <f t="shared" ca="1" si="356"/>
        <v>0</v>
      </c>
      <c r="BA628" s="286">
        <f t="shared" ca="1" si="357"/>
        <v>0</v>
      </c>
      <c r="BB628" s="286">
        <f t="shared" ca="1" si="358"/>
        <v>0</v>
      </c>
      <c r="BC628" s="286">
        <f t="shared" ca="1" si="359"/>
        <v>0</v>
      </c>
      <c r="BD628" s="180">
        <f t="shared" ca="1" si="360"/>
        <v>0.05</v>
      </c>
      <c r="BE628" s="180">
        <f t="shared" ca="1" si="361"/>
        <v>0.05</v>
      </c>
      <c r="BF628" s="286">
        <f t="shared" ca="1" si="362"/>
        <v>0</v>
      </c>
      <c r="BG628" s="286">
        <f t="shared" ca="1" si="363"/>
        <v>0</v>
      </c>
    </row>
    <row r="629" spans="1:59">
      <c r="A629" s="1">
        <f t="shared" ca="1" si="342"/>
        <v>53</v>
      </c>
      <c r="B629" s="1">
        <f t="shared" ca="1" si="336"/>
        <v>158</v>
      </c>
      <c r="C629" s="1">
        <f t="shared" ca="1" si="337"/>
        <v>7</v>
      </c>
      <c r="D629" s="1">
        <f ca="1">MIN($D$3,VLOOKUP(C629,OP!$S$30:$T$41,2))</f>
        <v>2</v>
      </c>
      <c r="E629" s="1">
        <f t="shared" ca="1" si="338"/>
        <v>107</v>
      </c>
      <c r="F629" s="11" t="str">
        <f t="shared" ca="1" si="343"/>
        <v/>
      </c>
      <c r="G629" s="8">
        <f t="shared" ref="G629:G639" ca="1" si="370">G628</f>
        <v>365</v>
      </c>
      <c r="H629" s="8">
        <f t="shared" ca="1" si="345"/>
        <v>31</v>
      </c>
      <c r="I629" s="8" t="str">
        <f t="shared" ca="1" si="341"/>
        <v>537</v>
      </c>
      <c r="J629" s="13">
        <f>IF(繳費報酬率資料!$A$1=1,VALUE(OP!$C$121),VLOOKUP(A629,MP,2,0))</f>
        <v>0.05</v>
      </c>
      <c r="K629" s="14">
        <f ca="1">IF(SUM($K$4:K628,IF(繳費報酬率資料!$A$1=1,$AU629+$AV629,$BB629+$BC629))&gt;OP!$L$58,0,IF(繳費報酬率資料!$A$1=1,$AU629+$AV629,$BB629+$BC629))</f>
        <v>0</v>
      </c>
      <c r="L629" s="2"/>
      <c r="M629" s="2"/>
      <c r="N629" s="2"/>
      <c r="O629" s="261">
        <f t="shared" ca="1" si="346"/>
        <v>0</v>
      </c>
      <c r="P629" s="261">
        <f t="shared" ca="1" si="364"/>
        <v>0</v>
      </c>
      <c r="Q629" s="3">
        <f ca="1">IF(A629&gt;MAX(OP!$R$17:$R$26),0,VLOOKUP(A629,fees,3,FALSE))</f>
        <v>0</v>
      </c>
      <c r="R629" s="200" t="str">
        <f t="shared" ca="1" si="347"/>
        <v/>
      </c>
      <c r="S629" s="9" t="str">
        <f ca="1">IF(COUNTIF(($T$4:T628),"F")&gt;=1,"",IF(OR(C630&lt;&gt;$C$3,E629=""),"",A629))</f>
        <v/>
      </c>
      <c r="T629" s="20" t="str">
        <f t="shared" ca="1" si="339"/>
        <v/>
      </c>
      <c r="U629" s="2">
        <f ca="1">IF(IF(OP!$C$83=1,$Z628,IF(OP!$C$83=2,$AA628,IF(OP!$C$83=3,$AB628,)))+$K629-$O629-$P629-$AS629&lt;OP!$C$142,0,$AS629)</f>
        <v>0</v>
      </c>
      <c r="V629" s="9"/>
      <c r="W629" s="19">
        <f ca="1">MAX(SUM($K$4:K629),0)</f>
        <v>2000000</v>
      </c>
      <c r="X629" s="19"/>
      <c r="Y629" s="19">
        <f t="shared" ca="1" si="365"/>
        <v>1920000</v>
      </c>
      <c r="Z629" s="2">
        <f ca="1">IF(MIN($Z$4:Z628)=0,0,MAX(0,($Z628+$K629-$O629-$P629)*IF(AND(F629="F",$D$3&lt;&gt;$G$3),((1+(-J629))^(H629/MIN(G629,365))),((1+(-J629))^(1/12)))-$U629))</f>
        <v>132195.2867645206</v>
      </c>
      <c r="AA629" s="2">
        <f ca="1">IF(MIN($AA$4:AA628)=0,0,MAX(0,($AA628+$K629-$O629-$P629)*IF(AND(F629="F",$D$3&lt;&gt;$G$3),((1+$AA$1)^(H629/MIN(G629,365))),((1+$AA$1)^(1/12)))-$U629))</f>
        <v>1920000</v>
      </c>
      <c r="AB629" s="2">
        <f ca="1">IF(MIN($AB$4:AB628)=0,0,MAX(0,($AB628+$K629-$O629-$P629)*IF(AND(F629="F",$D$3&lt;&gt;$G$3),((1+(J629))^(H629/MIN(G629,365))),((1+(J629))^(1/12)))-$U629))</f>
        <v>24472386.906108283</v>
      </c>
      <c r="AC629" s="5"/>
      <c r="AD629" s="5"/>
      <c r="AE629" s="5"/>
      <c r="AF629" s="282">
        <f t="shared" ca="1" si="348"/>
        <v>132195</v>
      </c>
      <c r="AG629" s="282">
        <f t="shared" ca="1" si="349"/>
        <v>1920000</v>
      </c>
      <c r="AH629" s="282">
        <f t="shared" ca="1" si="350"/>
        <v>24472387</v>
      </c>
      <c r="AI629" s="23" t="str">
        <f t="shared" ca="1" si="366"/>
        <v>53-3</v>
      </c>
      <c r="AJ629" s="282">
        <f ca="1">IF(E629&gt;111,,IF(AND(OP!$C$99=1,T629="F"),Z629,IF(AND(OP!$C$99=2,COUNTIF($T$4:T629,"F")=1),OP!$C$97+IF(F629="F",OP!$C$98,0),"")))</f>
        <v>54527</v>
      </c>
      <c r="AK629" s="282">
        <f ca="1">IF(E629&gt;111,,IF(AND(OP!$D$99=1,T629="F"),AA629,IF(AND(OP!$D$99=2,COUNTIF($T$4:T629,"F")=1),OP!$D$97+IF(F629="F",OP!$D$98,0),"")))</f>
        <v>74177</v>
      </c>
      <c r="AL629" s="282">
        <f ca="1">IF(E629&gt;111,,IF(AND(OP!$E$99=1,T629="F"),AB629,IF(AND(OP!$E$99=2,COUNTIF($T$4:T629,"F")=1),OP!$E$97+IF(F629="F",OP!$E$98,0),"")))</f>
        <v>99404</v>
      </c>
      <c r="AM629" s="1">
        <f t="shared" ca="1" si="340"/>
        <v>3</v>
      </c>
      <c r="AN629" s="1" t="e">
        <f ca="1">IF(OR(VLOOKUP($A629,MP,5,0)="月繳"),1,"")</f>
        <v>#N/A</v>
      </c>
      <c r="AO629" s="1">
        <f t="shared" ca="1" si="351"/>
        <v>0</v>
      </c>
      <c r="AP629" s="1" t="str">
        <f ca="1">IF(AND(A629&lt;=OP!$C$120,COUNTIF(PAY,C629)=1),1,"")</f>
        <v/>
      </c>
      <c r="AR629" s="301">
        <f ca="1">IF(繳費報酬率資料!$A$1=1,$AY629+$AZ629,$BF629+$BG629)</f>
        <v>0</v>
      </c>
      <c r="AS629" s="1">
        <f ca="1">IF(C629&lt;&gt;IF($C$3=1,12,$C$3-1),0,IF(繳費報酬率資料!$A$1&lt;&gt;1,VLOOKUP($A629,MP,8,0),IF(AND($A629&gt;=OP!$C$79,$A629&lt;=OP!$C$80),OP!$C$78,)))</f>
        <v>0</v>
      </c>
      <c r="AT629" s="298">
        <f t="shared" ca="1" si="352"/>
        <v>0</v>
      </c>
      <c r="AU629" s="298">
        <f ca="1">IF(AND(A629&lt;=OP!$C$120,COUNTIF(PAY,C629)=1),OP!$C$123,0)</f>
        <v>0</v>
      </c>
      <c r="AV629" s="298">
        <f ca="1">IF(AND(A629&gt;=OP!$C$132,A629&lt;=OP!$C$133,$C$3=C629),OP!$C$135,0)</f>
        <v>0</v>
      </c>
      <c r="AW629" s="180">
        <f t="shared" ca="1" si="353"/>
        <v>0.05</v>
      </c>
      <c r="AX629" s="180">
        <f t="shared" ca="1" si="354"/>
        <v>0.05</v>
      </c>
      <c r="AY629" s="286">
        <f t="shared" ca="1" si="355"/>
        <v>0</v>
      </c>
      <c r="AZ629" s="286">
        <f t="shared" ca="1" si="356"/>
        <v>0</v>
      </c>
      <c r="BA629" s="286">
        <f t="shared" ca="1" si="357"/>
        <v>0</v>
      </c>
      <c r="BB629" s="286">
        <f t="shared" ca="1" si="358"/>
        <v>0</v>
      </c>
      <c r="BC629" s="286">
        <f t="shared" ca="1" si="359"/>
        <v>0</v>
      </c>
      <c r="BD629" s="180">
        <f t="shared" ca="1" si="360"/>
        <v>0.05</v>
      </c>
      <c r="BE629" s="180">
        <f t="shared" ca="1" si="361"/>
        <v>0.05</v>
      </c>
      <c r="BF629" s="286">
        <f t="shared" ca="1" si="362"/>
        <v>0</v>
      </c>
      <c r="BG629" s="286">
        <f t="shared" ca="1" si="363"/>
        <v>0</v>
      </c>
    </row>
    <row r="630" spans="1:59">
      <c r="A630" s="1">
        <f t="shared" ca="1" si="342"/>
        <v>53</v>
      </c>
      <c r="B630" s="1">
        <f t="shared" ca="1" si="336"/>
        <v>158</v>
      </c>
      <c r="C630" s="1">
        <f t="shared" ca="1" si="337"/>
        <v>8</v>
      </c>
      <c r="D630" s="1">
        <f ca="1">MIN($D$3,VLOOKUP(C630,OP!$S$30:$T$41,2))</f>
        <v>2</v>
      </c>
      <c r="E630" s="1">
        <f t="shared" ca="1" si="338"/>
        <v>107</v>
      </c>
      <c r="F630" s="11" t="str">
        <f t="shared" ca="1" si="343"/>
        <v/>
      </c>
      <c r="G630" s="8">
        <f t="shared" ca="1" si="370"/>
        <v>365</v>
      </c>
      <c r="H630" s="8">
        <f t="shared" ca="1" si="345"/>
        <v>31</v>
      </c>
      <c r="I630" s="8" t="str">
        <f t="shared" ca="1" si="341"/>
        <v>538</v>
      </c>
      <c r="J630" s="13">
        <f>IF(繳費報酬率資料!$A$1=1,VALUE(OP!$C$121),VLOOKUP(A630,MP,2,0))</f>
        <v>0.05</v>
      </c>
      <c r="K630" s="14">
        <f ca="1">IF(SUM($K$4:K629,IF(繳費報酬率資料!$A$1=1,$AU630+$AV630,$BB630+$BC630))&gt;OP!$L$58,0,IF(繳費報酬率資料!$A$1=1,$AU630+$AV630,$BB630+$BC630))</f>
        <v>0</v>
      </c>
      <c r="L630" s="2"/>
      <c r="M630" s="2"/>
      <c r="N630" s="2"/>
      <c r="O630" s="261">
        <f t="shared" ca="1" si="346"/>
        <v>0</v>
      </c>
      <c r="P630" s="261">
        <f t="shared" ca="1" si="364"/>
        <v>0</v>
      </c>
      <c r="Q630" s="3">
        <f ca="1">IF(A630&gt;MAX(OP!$R$17:$R$26),0,VLOOKUP(A630,fees,3,FALSE))</f>
        <v>0</v>
      </c>
      <c r="R630" s="200" t="str">
        <f t="shared" ca="1" si="347"/>
        <v/>
      </c>
      <c r="S630" s="9" t="str">
        <f ca="1">IF(COUNTIF(($T$4:T629),"F")&gt;=1,"",IF(OR(C631&lt;&gt;$C$3,E630=""),"",A630))</f>
        <v/>
      </c>
      <c r="T630" s="20" t="str">
        <f t="shared" ca="1" si="339"/>
        <v/>
      </c>
      <c r="U630" s="2">
        <f ca="1">IF(IF(OP!$C$83=1,$Z629,IF(OP!$C$83=2,$AA629,IF(OP!$C$83=3,$AB629,)))+$K630-$O630-$P630-$AS630&lt;OP!$C$142,0,$AS630)</f>
        <v>0</v>
      </c>
      <c r="V630" s="9"/>
      <c r="W630" s="19">
        <f ca="1">MAX(SUM($K$4:K630),0)</f>
        <v>2000000</v>
      </c>
      <c r="X630" s="19"/>
      <c r="Y630" s="19">
        <f t="shared" ca="1" si="365"/>
        <v>1920000</v>
      </c>
      <c r="Z630" s="2">
        <f ca="1">IF(MIN($Z$4:Z629)=0,0,MAX(0,($Z629+$K630-$O630-$P630)*IF(AND(F630="F",$D$3&lt;&gt;$G$3),((1+(-J630))^(H630/MIN(G630,365))),((1+(-J630))^(1/12)))-$U630))</f>
        <v>131631.43172557888</v>
      </c>
      <c r="AA630" s="2">
        <f ca="1">IF(MIN($AA$4:AA629)=0,0,MAX(0,($AA629+$K630-$O630-$P630)*IF(AND(F630="F",$D$3&lt;&gt;$G$3),((1+$AA$1)^(H630/MIN(G630,365))),((1+$AA$1)^(1/12)))-$U630))</f>
        <v>1920000</v>
      </c>
      <c r="AB630" s="2">
        <f ca="1">IF(MIN($AB$4:AB629)=0,0,MAX(0,($AB629+$K630-$O630-$P630)*IF(AND(F630="F",$D$3&lt;&gt;$G$3),((1+(J630))^(H630/MIN(G630,365))),((1+(J630))^(1/12)))-$U630))</f>
        <v>24572090.439645104</v>
      </c>
      <c r="AC630" s="5"/>
      <c r="AD630" s="5"/>
      <c r="AE630" s="5"/>
      <c r="AF630" s="282">
        <f t="shared" ca="1" si="348"/>
        <v>131631</v>
      </c>
      <c r="AG630" s="282">
        <f t="shared" ca="1" si="349"/>
        <v>1920000</v>
      </c>
      <c r="AH630" s="282">
        <f t="shared" ca="1" si="350"/>
        <v>24572090</v>
      </c>
      <c r="AI630" s="23" t="str">
        <f t="shared" ca="1" si="366"/>
        <v>53-4</v>
      </c>
      <c r="AJ630" s="282">
        <f ca="1">IF(E630&gt;111,,IF(AND(OP!$C$99=1,T630="F"),Z630,IF(AND(OP!$C$99=2,COUNTIF($T$4:T630,"F")=1),OP!$C$97+IF(F630="F",OP!$C$98,0),"")))</f>
        <v>54527</v>
      </c>
      <c r="AK630" s="282">
        <f ca="1">IF(E630&gt;111,,IF(AND(OP!$D$99=1,T630="F"),AA630,IF(AND(OP!$D$99=2,COUNTIF($T$4:T630,"F")=1),OP!$D$97+IF(F630="F",OP!$D$98,0),"")))</f>
        <v>74177</v>
      </c>
      <c r="AL630" s="282">
        <f ca="1">IF(E630&gt;111,,IF(AND(OP!$E$99=1,T630="F"),AB630,IF(AND(OP!$E$99=2,COUNTIF($T$4:T630,"F")=1),OP!$E$97+IF(F630="F",OP!$E$98,0),"")))</f>
        <v>99404</v>
      </c>
      <c r="AM630" s="1">
        <f t="shared" ca="1" si="340"/>
        <v>4</v>
      </c>
      <c r="AN630" s="1" t="e">
        <f ca="1">IF(OR(VLOOKUP($A630,MP,5,0)="月繳"),1,"")</f>
        <v>#N/A</v>
      </c>
      <c r="AO630" s="1">
        <f t="shared" ca="1" si="351"/>
        <v>0</v>
      </c>
      <c r="AP630" s="1" t="str">
        <f ca="1">IF(AND(A630&lt;=OP!$C$120,COUNTIF(PAY,C630)=1),1,"")</f>
        <v/>
      </c>
      <c r="AR630" s="301">
        <f ca="1">IF(繳費報酬率資料!$A$1=1,$AY630+$AZ630,$BF630+$BG630)</f>
        <v>0</v>
      </c>
      <c r="AS630" s="1">
        <f ca="1">IF(C630&lt;&gt;IF($C$3=1,12,$C$3-1),0,IF(繳費報酬率資料!$A$1&lt;&gt;1,VLOOKUP($A630,MP,8,0),IF(AND($A630&gt;=OP!$C$79,$A630&lt;=OP!$C$80),OP!$C$78,)))</f>
        <v>0</v>
      </c>
      <c r="AT630" s="298">
        <f t="shared" ca="1" si="352"/>
        <v>0</v>
      </c>
      <c r="AU630" s="298">
        <f ca="1">IF(AND(A630&lt;=OP!$C$120,COUNTIF(PAY,C630)=1),OP!$C$123,0)</f>
        <v>0</v>
      </c>
      <c r="AV630" s="298">
        <f ca="1">IF(AND(A630&gt;=OP!$C$132,A630&lt;=OP!$C$133,$C$3=C630),OP!$C$135,0)</f>
        <v>0</v>
      </c>
      <c r="AW630" s="180">
        <f t="shared" ca="1" si="353"/>
        <v>0.05</v>
      </c>
      <c r="AX630" s="180">
        <f t="shared" ca="1" si="354"/>
        <v>0.05</v>
      </c>
      <c r="AY630" s="286">
        <f t="shared" ca="1" si="355"/>
        <v>0</v>
      </c>
      <c r="AZ630" s="286">
        <f t="shared" ca="1" si="356"/>
        <v>0</v>
      </c>
      <c r="BA630" s="286">
        <f t="shared" ca="1" si="357"/>
        <v>0</v>
      </c>
      <c r="BB630" s="286">
        <f t="shared" ca="1" si="358"/>
        <v>0</v>
      </c>
      <c r="BC630" s="286">
        <f t="shared" ca="1" si="359"/>
        <v>0</v>
      </c>
      <c r="BD630" s="180">
        <f t="shared" ca="1" si="360"/>
        <v>0.05</v>
      </c>
      <c r="BE630" s="180">
        <f t="shared" ca="1" si="361"/>
        <v>0.05</v>
      </c>
      <c r="BF630" s="286">
        <f t="shared" ca="1" si="362"/>
        <v>0</v>
      </c>
      <c r="BG630" s="286">
        <f t="shared" ca="1" si="363"/>
        <v>0</v>
      </c>
    </row>
    <row r="631" spans="1:59">
      <c r="A631" s="1">
        <f t="shared" ca="1" si="342"/>
        <v>53</v>
      </c>
      <c r="B631" s="1">
        <f t="shared" ca="1" si="336"/>
        <v>158</v>
      </c>
      <c r="C631" s="1">
        <f t="shared" ca="1" si="337"/>
        <v>9</v>
      </c>
      <c r="D631" s="1">
        <f ca="1">MIN($D$3,VLOOKUP(C631,OP!$S$30:$T$41,2))</f>
        <v>2</v>
      </c>
      <c r="E631" s="1">
        <f t="shared" ca="1" si="338"/>
        <v>107</v>
      </c>
      <c r="F631" s="11" t="str">
        <f t="shared" ca="1" si="343"/>
        <v/>
      </c>
      <c r="G631" s="8">
        <f t="shared" ca="1" si="370"/>
        <v>365</v>
      </c>
      <c r="H631" s="8">
        <f t="shared" ca="1" si="345"/>
        <v>30</v>
      </c>
      <c r="I631" s="8" t="str">
        <f t="shared" ca="1" si="341"/>
        <v>539</v>
      </c>
      <c r="J631" s="13">
        <f>IF(繳費報酬率資料!$A$1=1,VALUE(OP!$C$121),VLOOKUP(A631,MP,2,0))</f>
        <v>0.05</v>
      </c>
      <c r="K631" s="14">
        <f ca="1">IF(SUM($K$4:K630,IF(繳費報酬率資料!$A$1=1,$AU631+$AV631,$BB631+$BC631))&gt;OP!$L$58,0,IF(繳費報酬率資料!$A$1=1,$AU631+$AV631,$BB631+$BC631))</f>
        <v>0</v>
      </c>
      <c r="L631" s="2"/>
      <c r="M631" s="2"/>
      <c r="N631" s="2"/>
      <c r="O631" s="261">
        <f t="shared" ca="1" si="346"/>
        <v>0</v>
      </c>
      <c r="P631" s="261">
        <f t="shared" ca="1" si="364"/>
        <v>0</v>
      </c>
      <c r="Q631" s="3">
        <f ca="1">IF(A631&gt;MAX(OP!$R$17:$R$26),0,VLOOKUP(A631,fees,3,FALSE))</f>
        <v>0</v>
      </c>
      <c r="R631" s="200" t="str">
        <f t="shared" ca="1" si="347"/>
        <v/>
      </c>
      <c r="S631" s="9" t="str">
        <f ca="1">IF(COUNTIF(($T$4:T630),"F")&gt;=1,"",IF(OR(C632&lt;&gt;$C$3,E631=""),"",A631))</f>
        <v/>
      </c>
      <c r="T631" s="20" t="str">
        <f t="shared" ca="1" si="339"/>
        <v/>
      </c>
      <c r="U631" s="2">
        <f ca="1">IF(IF(OP!$C$83=1,$Z630,IF(OP!$C$83=2,$AA630,IF(OP!$C$83=3,$AB630,)))+$K631-$O631-$P631-$AS631&lt;OP!$C$142,0,$AS631)</f>
        <v>0</v>
      </c>
      <c r="V631" s="9"/>
      <c r="W631" s="19">
        <f ca="1">MAX(SUM($K$4:K631),0)</f>
        <v>2000000</v>
      </c>
      <c r="X631" s="19"/>
      <c r="Y631" s="19">
        <f t="shared" ca="1" si="365"/>
        <v>1920000</v>
      </c>
      <c r="Z631" s="2">
        <f ca="1">IF(MIN($Z$4:Z630)=0,0,MAX(0,($Z630+$K631-$O631-$P631)*IF(AND(F631="F",$D$3&lt;&gt;$G$3),((1+(-J631))^(H631/MIN(G631,365))),((1+(-J631))^(1/12)))-$U631))</f>
        <v>131069.98170812258</v>
      </c>
      <c r="AA631" s="2">
        <f ca="1">IF(MIN($AA$4:AA630)=0,0,MAX(0,($AA630+$K631-$O631-$P631)*IF(AND(F631="F",$D$3&lt;&gt;$G$3),((1+$AA$1)^(H631/MIN(G631,365))),((1+$AA$1)^(1/12)))-$U631))</f>
        <v>1920000</v>
      </c>
      <c r="AB631" s="2">
        <f ca="1">IF(MIN($AB$4:AB630)=0,0,MAX(0,($AB630+$K631-$O631-$P631)*IF(AND(F631="F",$D$3&lt;&gt;$G$3),((1+(J631))^(H631/MIN(G631,365))),((1+(J631))^(1/12)))-$U631))</f>
        <v>24672200.177719221</v>
      </c>
      <c r="AC631" s="5"/>
      <c r="AD631" s="5"/>
      <c r="AE631" s="5"/>
      <c r="AF631" s="282">
        <f t="shared" ca="1" si="348"/>
        <v>131070</v>
      </c>
      <c r="AG631" s="282">
        <f t="shared" ca="1" si="349"/>
        <v>1920000</v>
      </c>
      <c r="AH631" s="282">
        <f t="shared" ca="1" si="350"/>
        <v>24672200</v>
      </c>
      <c r="AI631" s="23" t="str">
        <f t="shared" ca="1" si="366"/>
        <v>53-5</v>
      </c>
      <c r="AJ631" s="282">
        <f ca="1">IF(E631&gt;111,,IF(AND(OP!$C$99=1,T631="F"),Z631,IF(AND(OP!$C$99=2,COUNTIF($T$4:T631,"F")=1),OP!$C$97+IF(F631="F",OP!$C$98,0),"")))</f>
        <v>54527</v>
      </c>
      <c r="AK631" s="282">
        <f ca="1">IF(E631&gt;111,,IF(AND(OP!$D$99=1,T631="F"),AA631,IF(AND(OP!$D$99=2,COUNTIF($T$4:T631,"F")=1),OP!$D$97+IF(F631="F",OP!$D$98,0),"")))</f>
        <v>74177</v>
      </c>
      <c r="AL631" s="282">
        <f ca="1">IF(E631&gt;111,,IF(AND(OP!$E$99=1,T631="F"),AB631,IF(AND(OP!$E$99=2,COUNTIF($T$4:T631,"F")=1),OP!$E$97+IF(F631="F",OP!$E$98,0),"")))</f>
        <v>99404</v>
      </c>
      <c r="AM631" s="1">
        <f t="shared" ca="1" si="340"/>
        <v>5</v>
      </c>
      <c r="AN631" s="1" t="e">
        <f ca="1">IF(OR(VLOOKUP($A631,MP,5,0)="季繳",VLOOKUP($A631,MP,5,0)="月繳"),1,"")</f>
        <v>#N/A</v>
      </c>
      <c r="AO631" s="1">
        <f t="shared" ca="1" si="351"/>
        <v>0</v>
      </c>
      <c r="AP631" s="1" t="str">
        <f ca="1">IF(AND(A631&lt;=OP!$C$120,COUNTIF(PAY,C631)=1),1,"")</f>
        <v/>
      </c>
      <c r="AR631" s="301">
        <f ca="1">IF(繳費報酬率資料!$A$1=1,$AY631+$AZ631,$BF631+$BG631)</f>
        <v>0</v>
      </c>
      <c r="AS631" s="1">
        <f ca="1">IF(C631&lt;&gt;IF($C$3=1,12,$C$3-1),0,IF(繳費報酬率資料!$A$1&lt;&gt;1,VLOOKUP($A631,MP,8,0),IF(AND($A631&gt;=OP!$C$79,$A631&lt;=OP!$C$80),OP!$C$78,)))</f>
        <v>0</v>
      </c>
      <c r="AT631" s="298">
        <f t="shared" ca="1" si="352"/>
        <v>0</v>
      </c>
      <c r="AU631" s="298">
        <f ca="1">IF(AND(A631&lt;=OP!$C$120,COUNTIF(PAY,C631)=1),OP!$C$123,0)</f>
        <v>0</v>
      </c>
      <c r="AV631" s="298">
        <f ca="1">IF(AND(A631&gt;=OP!$C$132,A631&lt;=OP!$C$133,$C$3=C631),OP!$C$135,0)</f>
        <v>0</v>
      </c>
      <c r="AW631" s="180">
        <f t="shared" ca="1" si="353"/>
        <v>0.05</v>
      </c>
      <c r="AX631" s="180">
        <f t="shared" ca="1" si="354"/>
        <v>0.05</v>
      </c>
      <c r="AY631" s="286">
        <f t="shared" ca="1" si="355"/>
        <v>0</v>
      </c>
      <c r="AZ631" s="286">
        <f t="shared" ca="1" si="356"/>
        <v>0</v>
      </c>
      <c r="BA631" s="286">
        <f t="shared" ca="1" si="357"/>
        <v>0</v>
      </c>
      <c r="BB631" s="286">
        <f t="shared" ca="1" si="358"/>
        <v>0</v>
      </c>
      <c r="BC631" s="286">
        <f t="shared" ca="1" si="359"/>
        <v>0</v>
      </c>
      <c r="BD631" s="180">
        <f t="shared" ca="1" si="360"/>
        <v>0.05</v>
      </c>
      <c r="BE631" s="180">
        <f t="shared" ca="1" si="361"/>
        <v>0.05</v>
      </c>
      <c r="BF631" s="286">
        <f t="shared" ca="1" si="362"/>
        <v>0</v>
      </c>
      <c r="BG631" s="286">
        <f t="shared" ca="1" si="363"/>
        <v>0</v>
      </c>
    </row>
    <row r="632" spans="1:59">
      <c r="A632" s="1">
        <f t="shared" ca="1" si="342"/>
        <v>53</v>
      </c>
      <c r="B632" s="1">
        <f t="shared" ca="1" si="336"/>
        <v>158</v>
      </c>
      <c r="C632" s="1">
        <f t="shared" ca="1" si="337"/>
        <v>10</v>
      </c>
      <c r="D632" s="1">
        <f ca="1">MIN($D$3,VLOOKUP(C632,OP!$S$30:$T$41,2))</f>
        <v>2</v>
      </c>
      <c r="E632" s="1">
        <f t="shared" ca="1" si="338"/>
        <v>107</v>
      </c>
      <c r="F632" s="11" t="str">
        <f t="shared" ca="1" si="343"/>
        <v/>
      </c>
      <c r="G632" s="8">
        <f t="shared" ca="1" si="370"/>
        <v>365</v>
      </c>
      <c r="H632" s="8">
        <f t="shared" ca="1" si="345"/>
        <v>31</v>
      </c>
      <c r="I632" s="8" t="str">
        <f t="shared" ca="1" si="341"/>
        <v>5310</v>
      </c>
      <c r="J632" s="13">
        <f>IF(繳費報酬率資料!$A$1=1,VALUE(OP!$C$121),VLOOKUP(A632,MP,2,0))</f>
        <v>0.05</v>
      </c>
      <c r="K632" s="14">
        <f ca="1">IF(SUM($K$4:K631,IF(繳費報酬率資料!$A$1=1,$AU632+$AV632,$BB632+$BC632))&gt;OP!$L$58,0,IF(繳費報酬率資料!$A$1=1,$AU632+$AV632,$BB632+$BC632))</f>
        <v>0</v>
      </c>
      <c r="L632" s="2"/>
      <c r="M632" s="2"/>
      <c r="N632" s="2"/>
      <c r="O632" s="261">
        <f t="shared" ca="1" si="346"/>
        <v>0</v>
      </c>
      <c r="P632" s="261">
        <f t="shared" ca="1" si="364"/>
        <v>0</v>
      </c>
      <c r="Q632" s="3">
        <f ca="1">IF(A632&gt;MAX(OP!$R$17:$R$26),0,VLOOKUP(A632,fees,3,FALSE))</f>
        <v>0</v>
      </c>
      <c r="R632" s="200" t="str">
        <f t="shared" ca="1" si="347"/>
        <v/>
      </c>
      <c r="S632" s="9" t="str">
        <f ca="1">IF(COUNTIF(($T$4:T631),"F")&gt;=1,"",IF(OR(C633&lt;&gt;$C$3,E632=""),"",A632))</f>
        <v/>
      </c>
      <c r="T632" s="20" t="str">
        <f t="shared" ca="1" si="339"/>
        <v/>
      </c>
      <c r="U632" s="2">
        <f ca="1">IF(IF(OP!$C$83=1,$Z631,IF(OP!$C$83=2,$AA631,IF(OP!$C$83=3,$AB631,)))+$K632-$O632-$P632-$AS632&lt;OP!$C$142,0,$AS632)</f>
        <v>0</v>
      </c>
      <c r="V632" s="9"/>
      <c r="W632" s="19">
        <f ca="1">MAX(SUM($K$4:K632),0)</f>
        <v>2000000</v>
      </c>
      <c r="X632" s="19"/>
      <c r="Y632" s="19">
        <f t="shared" ca="1" si="365"/>
        <v>1920000</v>
      </c>
      <c r="Z632" s="2">
        <f ca="1">IF(MIN($Z$4:Z631)=0,0,MAX(0,($Z631+$K632-$O632-$P632)*IF(AND(F632="F",$D$3&lt;&gt;$G$3),((1+(-J632))^(H632/MIN(G632,365))),((1+(-J632))^(1/12)))-$U632))</f>
        <v>130510.92645396839</v>
      </c>
      <c r="AA632" s="2">
        <f ca="1">IF(MIN($AA$4:AA631)=0,0,MAX(0,($AA631+$K632-$O632-$P632)*IF(AND(F632="F",$D$3&lt;&gt;$G$3),((1+$AA$1)^(H632/MIN(G632,365))),((1+$AA$1)^(1/12)))-$U632))</f>
        <v>1920000</v>
      </c>
      <c r="AB632" s="2">
        <f ca="1">IF(MIN($AB$4:AB631)=0,0,MAX(0,($AB631+$K632-$O632-$P632)*IF(AND(F632="F",$D$3&lt;&gt;$G$3),((1+(J632))^(H632/MIN(G632,365))),((1+(J632))^(1/12)))-$U632))</f>
        <v>24772717.775258198</v>
      </c>
      <c r="AC632" s="5"/>
      <c r="AD632" s="5"/>
      <c r="AE632" s="5"/>
      <c r="AF632" s="282">
        <f t="shared" ca="1" si="348"/>
        <v>130511</v>
      </c>
      <c r="AG632" s="282">
        <f t="shared" ca="1" si="349"/>
        <v>1920000</v>
      </c>
      <c r="AH632" s="282">
        <f t="shared" ca="1" si="350"/>
        <v>24772718</v>
      </c>
      <c r="AI632" s="23" t="str">
        <f t="shared" ca="1" si="366"/>
        <v>53-6</v>
      </c>
      <c r="AJ632" s="282">
        <f ca="1">IF(E632&gt;111,,IF(AND(OP!$C$99=1,T632="F"),Z632,IF(AND(OP!$C$99=2,COUNTIF($T$4:T632,"F")=1),OP!$C$97+IF(F632="F",OP!$C$98,0),"")))</f>
        <v>54527</v>
      </c>
      <c r="AK632" s="282">
        <f ca="1">IF(E632&gt;111,,IF(AND(OP!$D$99=1,T632="F"),AA632,IF(AND(OP!$D$99=2,COUNTIF($T$4:T632,"F")=1),OP!$D$97+IF(F632="F",OP!$D$98,0),"")))</f>
        <v>74177</v>
      </c>
      <c r="AL632" s="282">
        <f ca="1">IF(E632&gt;111,,IF(AND(OP!$E$99=1,T632="F"),AB632,IF(AND(OP!$E$99=2,COUNTIF($T$4:T632,"F")=1),OP!$E$97+IF(F632="F",OP!$E$98,0),"")))</f>
        <v>99404</v>
      </c>
      <c r="AM632" s="1">
        <f t="shared" ca="1" si="340"/>
        <v>6</v>
      </c>
      <c r="AN632" s="1" t="e">
        <f ca="1">IF(OR(VLOOKUP($A632,MP,5,0)="月繳"),1,"")</f>
        <v>#N/A</v>
      </c>
      <c r="AO632" s="1">
        <f t="shared" ca="1" si="351"/>
        <v>0</v>
      </c>
      <c r="AP632" s="1" t="str">
        <f ca="1">IF(AND(A632&lt;=OP!$C$120,COUNTIF(PAY,C632)=1),1,"")</f>
        <v/>
      </c>
      <c r="AR632" s="301">
        <f ca="1">IF(繳費報酬率資料!$A$1=1,$AY632+$AZ632,$BF632+$BG632)</f>
        <v>0</v>
      </c>
      <c r="AS632" s="1">
        <f ca="1">IF(C632&lt;&gt;IF($C$3=1,12,$C$3-1),0,IF(繳費報酬率資料!$A$1&lt;&gt;1,VLOOKUP($A632,MP,8,0),IF(AND($A632&gt;=OP!$C$79,$A632&lt;=OP!$C$80),OP!$C$78,)))</f>
        <v>0</v>
      </c>
      <c r="AT632" s="298">
        <f t="shared" ca="1" si="352"/>
        <v>0</v>
      </c>
      <c r="AU632" s="298">
        <f ca="1">IF(AND(A632&lt;=OP!$C$120,COUNTIF(PAY,C632)=1),OP!$C$123,0)</f>
        <v>0</v>
      </c>
      <c r="AV632" s="298">
        <f ca="1">IF(AND(A632&gt;=OP!$C$132,A632&lt;=OP!$C$133,$C$3=C632),OP!$C$135,0)</f>
        <v>0</v>
      </c>
      <c r="AW632" s="180">
        <f t="shared" ca="1" si="353"/>
        <v>0.05</v>
      </c>
      <c r="AX632" s="180">
        <f t="shared" ca="1" si="354"/>
        <v>0.05</v>
      </c>
      <c r="AY632" s="286">
        <f t="shared" ca="1" si="355"/>
        <v>0</v>
      </c>
      <c r="AZ632" s="286">
        <f t="shared" ca="1" si="356"/>
        <v>0</v>
      </c>
      <c r="BA632" s="286">
        <f t="shared" ca="1" si="357"/>
        <v>0</v>
      </c>
      <c r="BB632" s="286">
        <f t="shared" ca="1" si="358"/>
        <v>0</v>
      </c>
      <c r="BC632" s="286">
        <f t="shared" ca="1" si="359"/>
        <v>0</v>
      </c>
      <c r="BD632" s="180">
        <f t="shared" ca="1" si="360"/>
        <v>0.05</v>
      </c>
      <c r="BE632" s="180">
        <f t="shared" ca="1" si="361"/>
        <v>0.05</v>
      </c>
      <c r="BF632" s="286">
        <f t="shared" ca="1" si="362"/>
        <v>0</v>
      </c>
      <c r="BG632" s="286">
        <f t="shared" ca="1" si="363"/>
        <v>0</v>
      </c>
    </row>
    <row r="633" spans="1:59">
      <c r="A633" s="1">
        <f t="shared" ca="1" si="342"/>
        <v>53</v>
      </c>
      <c r="B633" s="1">
        <f t="shared" ca="1" si="336"/>
        <v>158</v>
      </c>
      <c r="C633" s="1">
        <f t="shared" ca="1" si="337"/>
        <v>11</v>
      </c>
      <c r="D633" s="1">
        <f ca="1">MIN($D$3,VLOOKUP(C633,OP!$S$30:$T$41,2))</f>
        <v>2</v>
      </c>
      <c r="E633" s="1">
        <f t="shared" ca="1" si="338"/>
        <v>107</v>
      </c>
      <c r="F633" s="11" t="str">
        <f t="shared" ca="1" si="343"/>
        <v/>
      </c>
      <c r="G633" s="8">
        <f t="shared" ca="1" si="370"/>
        <v>365</v>
      </c>
      <c r="H633" s="8">
        <f t="shared" ca="1" si="345"/>
        <v>30</v>
      </c>
      <c r="I633" s="8" t="str">
        <f t="shared" ca="1" si="341"/>
        <v>5311</v>
      </c>
      <c r="J633" s="13">
        <f>IF(繳費報酬率資料!$A$1=1,VALUE(OP!$C$121),VLOOKUP(A633,MP,2,0))</f>
        <v>0.05</v>
      </c>
      <c r="K633" s="14">
        <f ca="1">IF(SUM($K$4:K632,IF(繳費報酬率資料!$A$1=1,$AU633+$AV633,$BB633+$BC633))&gt;OP!$L$58,0,IF(繳費報酬率資料!$A$1=1,$AU633+$AV633,$BB633+$BC633))</f>
        <v>0</v>
      </c>
      <c r="L633" s="2"/>
      <c r="M633" s="2"/>
      <c r="N633" s="2"/>
      <c r="O633" s="261">
        <f t="shared" ca="1" si="346"/>
        <v>0</v>
      </c>
      <c r="P633" s="261">
        <f t="shared" ca="1" si="364"/>
        <v>0</v>
      </c>
      <c r="Q633" s="3">
        <f ca="1">IF(A633&gt;MAX(OP!$R$17:$R$26),0,VLOOKUP(A633,fees,3,FALSE))</f>
        <v>0</v>
      </c>
      <c r="R633" s="200" t="str">
        <f t="shared" ca="1" si="347"/>
        <v/>
      </c>
      <c r="S633" s="9" t="str">
        <f ca="1">IF(COUNTIF(($T$4:T632),"F")&gt;=1,"",IF(OR(C634&lt;&gt;$C$3,E633=""),"",A633))</f>
        <v/>
      </c>
      <c r="T633" s="20" t="str">
        <f t="shared" ca="1" si="339"/>
        <v/>
      </c>
      <c r="U633" s="2">
        <f ca="1">IF(IF(OP!$C$83=1,$Z632,IF(OP!$C$83=2,$AA632,IF(OP!$C$83=3,$AB632,)))+$K633-$O633-$P633-$AS633&lt;OP!$C$142,0,$AS633)</f>
        <v>0</v>
      </c>
      <c r="V633" s="9"/>
      <c r="W633" s="19">
        <f ca="1">MAX(SUM($K$4:K633),0)</f>
        <v>2000000</v>
      </c>
      <c r="X633" s="19"/>
      <c r="Y633" s="19">
        <f t="shared" ca="1" si="365"/>
        <v>1920000</v>
      </c>
      <c r="Z633" s="2">
        <f ca="1">IF(MIN($Z$4:Z632)=0,0,MAX(0,($Z632+$K633-$O633-$P633)*IF(AND(F633="F",$D$3&lt;&gt;$G$3),((1+(-J633))^(H633/MIN(G633,365))),((1+(-J633))^(1/12)))-$U633))</f>
        <v>129954.25574868744</v>
      </c>
      <c r="AA633" s="2">
        <f ca="1">IF(MIN($AA$4:AA632)=0,0,MAX(0,($AA632+$K633-$O633-$P633)*IF(AND(F633="F",$D$3&lt;&gt;$G$3),((1+$AA$1)^(H633/MIN(G633,365))),((1+$AA$1)^(1/12)))-$U633))</f>
        <v>1920000</v>
      </c>
      <c r="AB633" s="2">
        <f ca="1">IF(MIN($AB$4:AB632)=0,0,MAX(0,($AB632+$K633-$O633-$P633)*IF(AND(F633="F",$D$3&lt;&gt;$G$3),((1+(J633))^(H633/MIN(G633,365))),((1+(J633))^(1/12)))-$U633))</f>
        <v>24873644.893931985</v>
      </c>
      <c r="AC633" s="5"/>
      <c r="AD633" s="5"/>
      <c r="AE633" s="5"/>
      <c r="AF633" s="282">
        <f t="shared" ca="1" si="348"/>
        <v>129954</v>
      </c>
      <c r="AG633" s="282">
        <f t="shared" ca="1" si="349"/>
        <v>1920000</v>
      </c>
      <c r="AH633" s="282">
        <f t="shared" ca="1" si="350"/>
        <v>24873645</v>
      </c>
      <c r="AI633" s="23" t="str">
        <f t="shared" ca="1" si="366"/>
        <v>53-7</v>
      </c>
      <c r="AJ633" s="282">
        <f ca="1">IF(E633&gt;111,,IF(AND(OP!$C$99=1,T633="F"),Z633,IF(AND(OP!$C$99=2,COUNTIF($T$4:T633,"F")=1),OP!$C$97+IF(F633="F",OP!$C$98,0),"")))</f>
        <v>54527</v>
      </c>
      <c r="AK633" s="282">
        <f ca="1">IF(E633&gt;111,,IF(AND(OP!$D$99=1,T633="F"),AA633,IF(AND(OP!$D$99=2,COUNTIF($T$4:T633,"F")=1),OP!$D$97+IF(F633="F",OP!$D$98,0),"")))</f>
        <v>74177</v>
      </c>
      <c r="AL633" s="282">
        <f ca="1">IF(E633&gt;111,,IF(AND(OP!$E$99=1,T633="F"),AB633,IF(AND(OP!$E$99=2,COUNTIF($T$4:T633,"F")=1),OP!$E$97+IF(F633="F",OP!$E$98,0),"")))</f>
        <v>99404</v>
      </c>
      <c r="AM633" s="1">
        <f t="shared" ca="1" si="340"/>
        <v>7</v>
      </c>
      <c r="AN633" s="1" t="e">
        <f ca="1">IF(OR(VLOOKUP($A633,MP,5,0)="月繳"),1,"")</f>
        <v>#N/A</v>
      </c>
      <c r="AO633" s="1">
        <f t="shared" ca="1" si="351"/>
        <v>0</v>
      </c>
      <c r="AP633" s="1" t="str">
        <f ca="1">IF(AND(A633&lt;=OP!$C$120,COUNTIF(PAY,C633)=1),1,"")</f>
        <v/>
      </c>
      <c r="AR633" s="301">
        <f ca="1">IF(繳費報酬率資料!$A$1=1,$AY633+$AZ633,$BF633+$BG633)</f>
        <v>0</v>
      </c>
      <c r="AS633" s="1">
        <f ca="1">IF(C633&lt;&gt;IF($C$3=1,12,$C$3-1),0,IF(繳費報酬率資料!$A$1&lt;&gt;1,VLOOKUP($A633,MP,8,0),IF(AND($A633&gt;=OP!$C$79,$A633&lt;=OP!$C$80),OP!$C$78,)))</f>
        <v>0</v>
      </c>
      <c r="AT633" s="298">
        <f t="shared" ca="1" si="352"/>
        <v>0</v>
      </c>
      <c r="AU633" s="298">
        <f ca="1">IF(AND(A633&lt;=OP!$C$120,COUNTIF(PAY,C633)=1),OP!$C$123,0)</f>
        <v>0</v>
      </c>
      <c r="AV633" s="298">
        <f ca="1">IF(AND(A633&gt;=OP!$C$132,A633&lt;=OP!$C$133,$C$3=C633),OP!$C$135,0)</f>
        <v>0</v>
      </c>
      <c r="AW633" s="180">
        <f t="shared" ca="1" si="353"/>
        <v>0.05</v>
      </c>
      <c r="AX633" s="180">
        <f t="shared" ca="1" si="354"/>
        <v>0.05</v>
      </c>
      <c r="AY633" s="286">
        <f t="shared" ca="1" si="355"/>
        <v>0</v>
      </c>
      <c r="AZ633" s="286">
        <f t="shared" ca="1" si="356"/>
        <v>0</v>
      </c>
      <c r="BA633" s="286">
        <f t="shared" ca="1" si="357"/>
        <v>0</v>
      </c>
      <c r="BB633" s="286">
        <f t="shared" ca="1" si="358"/>
        <v>0</v>
      </c>
      <c r="BC633" s="286">
        <f t="shared" ca="1" si="359"/>
        <v>0</v>
      </c>
      <c r="BD633" s="180">
        <f t="shared" ca="1" si="360"/>
        <v>0.05</v>
      </c>
      <c r="BE633" s="180">
        <f t="shared" ca="1" si="361"/>
        <v>0.05</v>
      </c>
      <c r="BF633" s="286">
        <f t="shared" ca="1" si="362"/>
        <v>0</v>
      </c>
      <c r="BG633" s="286">
        <f t="shared" ca="1" si="363"/>
        <v>0</v>
      </c>
    </row>
    <row r="634" spans="1:59">
      <c r="A634" s="1">
        <f t="shared" ca="1" si="342"/>
        <v>53</v>
      </c>
      <c r="B634" s="1">
        <f t="shared" ca="1" si="336"/>
        <v>158</v>
      </c>
      <c r="C634" s="1">
        <f t="shared" ca="1" si="337"/>
        <v>12</v>
      </c>
      <c r="D634" s="1">
        <f ca="1">MIN($D$3,VLOOKUP(C634,OP!$S$30:$T$41,2))</f>
        <v>2</v>
      </c>
      <c r="E634" s="1">
        <f t="shared" ca="1" si="338"/>
        <v>107</v>
      </c>
      <c r="F634" s="11" t="str">
        <f t="shared" ca="1" si="343"/>
        <v/>
      </c>
      <c r="G634" s="8">
        <f t="shared" ca="1" si="370"/>
        <v>365</v>
      </c>
      <c r="H634" s="8">
        <f t="shared" ca="1" si="345"/>
        <v>31</v>
      </c>
      <c r="I634" s="8" t="str">
        <f t="shared" ca="1" si="341"/>
        <v>5312</v>
      </c>
      <c r="J634" s="13">
        <f>IF(繳費報酬率資料!$A$1=1,VALUE(OP!$C$121),VLOOKUP(A634,MP,2,0))</f>
        <v>0.05</v>
      </c>
      <c r="K634" s="14">
        <f ca="1">IF(SUM($K$4:K633,IF(繳費報酬率資料!$A$1=1,$AU634+$AV634,$BB634+$BC634))&gt;OP!$L$58,0,IF(繳費報酬率資料!$A$1=1,$AU634+$AV634,$BB634+$BC634))</f>
        <v>0</v>
      </c>
      <c r="L634" s="2"/>
      <c r="M634" s="2"/>
      <c r="N634" s="2"/>
      <c r="O634" s="261">
        <f t="shared" ca="1" si="346"/>
        <v>0</v>
      </c>
      <c r="P634" s="261">
        <f t="shared" ca="1" si="364"/>
        <v>0</v>
      </c>
      <c r="Q634" s="3">
        <f ca="1">IF(A634&gt;MAX(OP!$R$17:$R$26),0,VLOOKUP(A634,fees,3,FALSE))</f>
        <v>0</v>
      </c>
      <c r="R634" s="200" t="str">
        <f t="shared" ca="1" si="347"/>
        <v/>
      </c>
      <c r="S634" s="9" t="str">
        <f ca="1">IF(COUNTIF(($T$4:T633),"F")&gt;=1,"",IF(OR(C635&lt;&gt;$C$3,E634=""),"",A634))</f>
        <v/>
      </c>
      <c r="T634" s="20" t="str">
        <f t="shared" ca="1" si="339"/>
        <v/>
      </c>
      <c r="U634" s="2">
        <f ca="1">IF(IF(OP!$C$83=1,$Z633,IF(OP!$C$83=2,$AA633,IF(OP!$C$83=3,$AB633,)))+$K634-$O634-$P634-$AS634&lt;OP!$C$142,0,$AS634)</f>
        <v>0</v>
      </c>
      <c r="V634" s="9"/>
      <c r="W634" s="19">
        <f ca="1">MAX(SUM($K$4:K634),0)</f>
        <v>2000000</v>
      </c>
      <c r="X634" s="19"/>
      <c r="Y634" s="19">
        <f t="shared" ca="1" si="365"/>
        <v>1920000</v>
      </c>
      <c r="Z634" s="2">
        <f ca="1">IF(MIN($Z$4:Z633)=0,0,MAX(0,($Z633+$K634-$O634-$P634)*IF(AND(F634="F",$D$3&lt;&gt;$G$3),((1+(-J634))^(H634/MIN(G634,365))),((1+(-J634))^(1/12)))-$U634))</f>
        <v>129399.95942141865</v>
      </c>
      <c r="AA634" s="2">
        <f ca="1">IF(MIN($AA$4:AA633)=0,0,MAX(0,($AA633+$K634-$O634-$P634)*IF(AND(F634="F",$D$3&lt;&gt;$G$3),((1+$AA$1)^(H634/MIN(G634,365))),((1+$AA$1)^(1/12)))-$U634))</f>
        <v>1920000</v>
      </c>
      <c r="AB634" s="2">
        <f ca="1">IF(MIN($AB$4:AB633)=0,0,MAX(0,($AB633+$K634-$O634-$P634)*IF(AND(F634="F",$D$3&lt;&gt;$G$3),((1+(J634))^(H634/MIN(G634,365))),((1+(J634))^(1/12)))-$U634))</f>
        <v>24974983.202180378</v>
      </c>
      <c r="AC634" s="5"/>
      <c r="AD634" s="5"/>
      <c r="AE634" s="5"/>
      <c r="AF634" s="282">
        <f t="shared" ca="1" si="348"/>
        <v>129400</v>
      </c>
      <c r="AG634" s="282">
        <f t="shared" ca="1" si="349"/>
        <v>1920000</v>
      </c>
      <c r="AH634" s="282">
        <f t="shared" ca="1" si="350"/>
        <v>24974983</v>
      </c>
      <c r="AI634" s="23" t="str">
        <f t="shared" ca="1" si="366"/>
        <v>53-8</v>
      </c>
      <c r="AJ634" s="282">
        <f ca="1">IF(E634&gt;111,,IF(AND(OP!$C$99=1,T634="F"),Z634,IF(AND(OP!$C$99=2,COUNTIF($T$4:T634,"F")=1),OP!$C$97+IF(F634="F",OP!$C$98,0),"")))</f>
        <v>54527</v>
      </c>
      <c r="AK634" s="282">
        <f ca="1">IF(E634&gt;111,,IF(AND(OP!$D$99=1,T634="F"),AA634,IF(AND(OP!$D$99=2,COUNTIF($T$4:T634,"F")=1),OP!$D$97+IF(F634="F",OP!$D$98,0),"")))</f>
        <v>74177</v>
      </c>
      <c r="AL634" s="282">
        <f ca="1">IF(E634&gt;111,,IF(AND(OP!$E$99=1,T634="F"),AB634,IF(AND(OP!$E$99=2,COUNTIF($T$4:T634,"F")=1),OP!$E$97+IF(F634="F",OP!$E$98,0),"")))</f>
        <v>99404</v>
      </c>
      <c r="AM634" s="1">
        <f t="shared" ca="1" si="340"/>
        <v>8</v>
      </c>
      <c r="AN634" s="1" t="e">
        <f ca="1">IF(OR(VLOOKUP($A634,MP,5,0)="半年繳",VLOOKUP($A634,MP,5,0)="季繳",VLOOKUP($A634,MP,5,0)="月繳"),1,"")</f>
        <v>#N/A</v>
      </c>
      <c r="AO634" s="1">
        <f t="shared" ca="1" si="351"/>
        <v>0</v>
      </c>
      <c r="AP634" s="1" t="str">
        <f ca="1">IF(AND(A634&lt;=OP!$C$120,COUNTIF(PAY,C634)=1),1,"")</f>
        <v/>
      </c>
      <c r="AR634" s="301">
        <f ca="1">IF(繳費報酬率資料!$A$1=1,$AY634+$AZ634,$BF634+$BG634)</f>
        <v>0</v>
      </c>
      <c r="AS634" s="1">
        <f ca="1">IF(C634&lt;&gt;IF($C$3=1,12,$C$3-1),0,IF(繳費報酬率資料!$A$1&lt;&gt;1,VLOOKUP($A634,MP,8,0),IF(AND($A634&gt;=OP!$C$79,$A634&lt;=OP!$C$80),OP!$C$78,)))</f>
        <v>0</v>
      </c>
      <c r="AT634" s="298">
        <f t="shared" ca="1" si="352"/>
        <v>0</v>
      </c>
      <c r="AU634" s="298">
        <f ca="1">IF(AND(A634&lt;=OP!$C$120,COUNTIF(PAY,C634)=1),OP!$C$123,0)</f>
        <v>0</v>
      </c>
      <c r="AV634" s="298">
        <f ca="1">IF(AND(A634&gt;=OP!$C$132,A634&lt;=OP!$C$133,$C$3=C634),OP!$C$135,0)</f>
        <v>0</v>
      </c>
      <c r="AW634" s="180">
        <f t="shared" ca="1" si="353"/>
        <v>0.05</v>
      </c>
      <c r="AX634" s="180">
        <f t="shared" ca="1" si="354"/>
        <v>0.05</v>
      </c>
      <c r="AY634" s="286">
        <f t="shared" ca="1" si="355"/>
        <v>0</v>
      </c>
      <c r="AZ634" s="286">
        <f t="shared" ca="1" si="356"/>
        <v>0</v>
      </c>
      <c r="BA634" s="286">
        <f t="shared" ca="1" si="357"/>
        <v>0</v>
      </c>
      <c r="BB634" s="286">
        <f t="shared" ca="1" si="358"/>
        <v>0</v>
      </c>
      <c r="BC634" s="286">
        <f t="shared" ca="1" si="359"/>
        <v>0</v>
      </c>
      <c r="BD634" s="180">
        <f t="shared" ca="1" si="360"/>
        <v>0.05</v>
      </c>
      <c r="BE634" s="180">
        <f t="shared" ca="1" si="361"/>
        <v>0.05</v>
      </c>
      <c r="BF634" s="286">
        <f t="shared" ca="1" si="362"/>
        <v>0</v>
      </c>
      <c r="BG634" s="286">
        <f t="shared" ca="1" si="363"/>
        <v>0</v>
      </c>
    </row>
    <row r="635" spans="1:59">
      <c r="A635" s="1">
        <f t="shared" ca="1" si="342"/>
        <v>53</v>
      </c>
      <c r="B635" s="1">
        <f t="shared" ca="1" si="336"/>
        <v>159</v>
      </c>
      <c r="C635" s="1">
        <f t="shared" ca="1" si="337"/>
        <v>1</v>
      </c>
      <c r="D635" s="1">
        <f ca="1">MIN($D$3,VLOOKUP(C635,OP!$S$30:$T$41,2))</f>
        <v>2</v>
      </c>
      <c r="E635" s="1">
        <f t="shared" ca="1" si="338"/>
        <v>107</v>
      </c>
      <c r="F635" s="11" t="str">
        <f t="shared" ca="1" si="343"/>
        <v/>
      </c>
      <c r="G635" s="8">
        <f t="shared" ca="1" si="370"/>
        <v>365</v>
      </c>
      <c r="H635" s="8">
        <f t="shared" ca="1" si="345"/>
        <v>31</v>
      </c>
      <c r="I635" s="8" t="str">
        <f t="shared" ca="1" si="341"/>
        <v>531</v>
      </c>
      <c r="J635" s="13">
        <f>IF(繳費報酬率資料!$A$1=1,VALUE(OP!$C$121),VLOOKUP(A635,MP,2,0))</f>
        <v>0.05</v>
      </c>
      <c r="K635" s="14">
        <f ca="1">IF(SUM($K$4:K634,IF(繳費報酬率資料!$A$1=1,$AU635+$AV635,$BB635+$BC635))&gt;OP!$L$58,0,IF(繳費報酬率資料!$A$1=1,$AU635+$AV635,$BB635+$BC635))</f>
        <v>0</v>
      </c>
      <c r="L635" s="2"/>
      <c r="M635" s="2"/>
      <c r="N635" s="2"/>
      <c r="O635" s="261">
        <f t="shared" ca="1" si="346"/>
        <v>0</v>
      </c>
      <c r="P635" s="261">
        <f t="shared" ca="1" si="364"/>
        <v>0</v>
      </c>
      <c r="Q635" s="3">
        <f ca="1">IF(A635&gt;MAX(OP!$R$17:$R$26),0,VLOOKUP(A635,fees,3,FALSE))</f>
        <v>0</v>
      </c>
      <c r="R635" s="200" t="str">
        <f t="shared" ca="1" si="347"/>
        <v/>
      </c>
      <c r="S635" s="9" t="str">
        <f ca="1">IF(COUNTIF(($T$4:T634),"F")&gt;=1,"",IF(OR(C636&lt;&gt;$C$3,E635=""),"",A635))</f>
        <v/>
      </c>
      <c r="T635" s="20" t="str">
        <f t="shared" ca="1" si="339"/>
        <v/>
      </c>
      <c r="U635" s="2">
        <f ca="1">IF(IF(OP!$C$83=1,$Z634,IF(OP!$C$83=2,$AA634,IF(OP!$C$83=3,$AB634,)))+$K635-$O635-$P635-$AS635&lt;OP!$C$142,0,$AS635)</f>
        <v>0</v>
      </c>
      <c r="V635" s="9"/>
      <c r="W635" s="19">
        <f ca="1">MAX(SUM($K$4:K635),0)</f>
        <v>2000000</v>
      </c>
      <c r="X635" s="19"/>
      <c r="Y635" s="19">
        <f t="shared" ca="1" si="365"/>
        <v>1920000</v>
      </c>
      <c r="Z635" s="2">
        <f ca="1">IF(MIN($Z$4:Z634)=0,0,MAX(0,($Z634+$K635-$O635-$P635)*IF(AND(F635="F",$D$3&lt;&gt;$G$3),((1+(-J635))^(H635/MIN(G635,365))),((1+(-J635))^(1/12)))-$U635))</f>
        <v>128848.02734468289</v>
      </c>
      <c r="AA635" s="2">
        <f ca="1">IF(MIN($AA$4:AA634)=0,0,MAX(0,($AA634+$K635-$O635-$P635)*IF(AND(F635="F",$D$3&lt;&gt;$G$3),((1+$AA$1)^(H635/MIN(G635,365))),((1+$AA$1)^(1/12)))-$U635))</f>
        <v>1920000</v>
      </c>
      <c r="AB635" s="2">
        <f ca="1">IF(MIN($AB$4:AB634)=0,0,MAX(0,($AB634+$K635-$O635-$P635)*IF(AND(F635="F",$D$3&lt;&gt;$G$3),((1+(J635))^(H635/MIN(G635,365))),((1+(J635))^(1/12)))-$U635))</f>
        <v>25076734.375240598</v>
      </c>
      <c r="AC635" s="5"/>
      <c r="AD635" s="5"/>
      <c r="AE635" s="5"/>
      <c r="AF635" s="282">
        <f t="shared" ca="1" si="348"/>
        <v>128848</v>
      </c>
      <c r="AG635" s="282">
        <f t="shared" ca="1" si="349"/>
        <v>1920000</v>
      </c>
      <c r="AH635" s="282">
        <f t="shared" ca="1" si="350"/>
        <v>25076734</v>
      </c>
      <c r="AI635" s="23" t="str">
        <f t="shared" ca="1" si="366"/>
        <v>53-9</v>
      </c>
      <c r="AJ635" s="282">
        <f ca="1">IF(E635&gt;111,,IF(AND(OP!$C$99=1,T635="F"),Z635,IF(AND(OP!$C$99=2,COUNTIF($T$4:T635,"F")=1),OP!$C$97+IF(F635="F",OP!$C$98,0),"")))</f>
        <v>54527</v>
      </c>
      <c r="AK635" s="282">
        <f ca="1">IF(E635&gt;111,,IF(AND(OP!$D$99=1,T635="F"),AA635,IF(AND(OP!$D$99=2,COUNTIF($T$4:T635,"F")=1),OP!$D$97+IF(F635="F",OP!$D$98,0),"")))</f>
        <v>74177</v>
      </c>
      <c r="AL635" s="282">
        <f ca="1">IF(E635&gt;111,,IF(AND(OP!$E$99=1,T635="F"),AB635,IF(AND(OP!$E$99=2,COUNTIF($T$4:T635,"F")=1),OP!$E$97+IF(F635="F",OP!$E$98,0),"")))</f>
        <v>99404</v>
      </c>
      <c r="AM635" s="1">
        <f t="shared" ca="1" si="340"/>
        <v>9</v>
      </c>
      <c r="AN635" s="1" t="e">
        <f ca="1">IF(OR(VLOOKUP($A635,MP,5,0)="月繳"),1,"")</f>
        <v>#N/A</v>
      </c>
      <c r="AO635" s="1">
        <f t="shared" ca="1" si="351"/>
        <v>0</v>
      </c>
      <c r="AP635" s="1" t="str">
        <f ca="1">IF(AND(A635&lt;=OP!$C$120,COUNTIF(PAY,C635)=1),1,"")</f>
        <v/>
      </c>
      <c r="AR635" s="301">
        <f ca="1">IF(繳費報酬率資料!$A$1=1,$AY635+$AZ635,$BF635+$BG635)</f>
        <v>0</v>
      </c>
      <c r="AS635" s="1">
        <f ca="1">IF(C635&lt;&gt;IF($C$3=1,12,$C$3-1),0,IF(繳費報酬率資料!$A$1&lt;&gt;1,VLOOKUP($A635,MP,8,0),IF(AND($A635&gt;=OP!$C$79,$A635&lt;=OP!$C$80),OP!$C$78,)))</f>
        <v>0</v>
      </c>
      <c r="AT635" s="298">
        <f t="shared" ca="1" si="352"/>
        <v>0</v>
      </c>
      <c r="AU635" s="298">
        <f ca="1">IF(AND(A635&lt;=OP!$C$120,COUNTIF(PAY,C635)=1),OP!$C$123,0)</f>
        <v>0</v>
      </c>
      <c r="AV635" s="298">
        <f ca="1">IF(AND(A635&gt;=OP!$C$132,A635&lt;=OP!$C$133,$C$3=C635),OP!$C$135,0)</f>
        <v>0</v>
      </c>
      <c r="AW635" s="180">
        <f t="shared" ca="1" si="353"/>
        <v>0.05</v>
      </c>
      <c r="AX635" s="180">
        <f t="shared" ca="1" si="354"/>
        <v>0.05</v>
      </c>
      <c r="AY635" s="286">
        <f t="shared" ca="1" si="355"/>
        <v>0</v>
      </c>
      <c r="AZ635" s="286">
        <f t="shared" ca="1" si="356"/>
        <v>0</v>
      </c>
      <c r="BA635" s="286">
        <f t="shared" ca="1" si="357"/>
        <v>0</v>
      </c>
      <c r="BB635" s="286">
        <f t="shared" ca="1" si="358"/>
        <v>0</v>
      </c>
      <c r="BC635" s="286">
        <f t="shared" ca="1" si="359"/>
        <v>0</v>
      </c>
      <c r="BD635" s="180">
        <f t="shared" ca="1" si="360"/>
        <v>0.05</v>
      </c>
      <c r="BE635" s="180">
        <f t="shared" ca="1" si="361"/>
        <v>0.05</v>
      </c>
      <c r="BF635" s="286">
        <f t="shared" ca="1" si="362"/>
        <v>0</v>
      </c>
      <c r="BG635" s="286">
        <f t="shared" ca="1" si="363"/>
        <v>0</v>
      </c>
    </row>
    <row r="636" spans="1:59">
      <c r="A636" s="1">
        <f t="shared" ca="1" si="342"/>
        <v>53</v>
      </c>
      <c r="B636" s="1">
        <f t="shared" ref="B636:B699" ca="1" si="371">IF(C636=1,B635+1,B635)</f>
        <v>159</v>
      </c>
      <c r="C636" s="1">
        <f t="shared" ref="C636:C699" ca="1" si="372">IF(C635=12,1,C635+1)</f>
        <v>2</v>
      </c>
      <c r="D636" s="1">
        <f ca="1">MIN($D$3,VLOOKUP(C636,OP!$S$30:$T$41,2))</f>
        <v>2</v>
      </c>
      <c r="E636" s="1">
        <f t="shared" ref="E636:E699" ca="1" si="373">IF($K$1+A636-1&gt;$D$1,"",$K$1+A636-1)</f>
        <v>107</v>
      </c>
      <c r="F636" s="11" t="str">
        <f t="shared" ca="1" si="343"/>
        <v/>
      </c>
      <c r="G636" s="8">
        <f t="shared" ca="1" si="370"/>
        <v>365</v>
      </c>
      <c r="H636" s="8">
        <f t="shared" ca="1" si="345"/>
        <v>28</v>
      </c>
      <c r="I636" s="8" t="str">
        <f t="shared" ca="1" si="341"/>
        <v>532</v>
      </c>
      <c r="J636" s="13">
        <f>IF(繳費報酬率資料!$A$1=1,VALUE(OP!$C$121),VLOOKUP(A636,MP,2,0))</f>
        <v>0.05</v>
      </c>
      <c r="K636" s="14">
        <f ca="1">IF(SUM($K$4:K635,IF(繳費報酬率資料!$A$1=1,$AU636+$AV636,$BB636+$BC636))&gt;OP!$L$58,0,IF(繳費報酬率資料!$A$1=1,$AU636+$AV636,$BB636+$BC636))</f>
        <v>0</v>
      </c>
      <c r="L636" s="2"/>
      <c r="M636" s="2"/>
      <c r="N636" s="2"/>
      <c r="O636" s="261">
        <f t="shared" ca="1" si="346"/>
        <v>0</v>
      </c>
      <c r="P636" s="261">
        <f t="shared" ca="1" si="364"/>
        <v>0</v>
      </c>
      <c r="Q636" s="3">
        <f ca="1">IF(A636&gt;MAX(OP!$R$17:$R$26),0,VLOOKUP(A636,fees,3,FALSE))</f>
        <v>0</v>
      </c>
      <c r="R636" s="200" t="str">
        <f t="shared" ca="1" si="347"/>
        <v/>
      </c>
      <c r="S636" s="9" t="str">
        <f ca="1">IF(COUNTIF(($T$4:T635),"F")&gt;=1,"",IF(OR(C637&lt;&gt;$C$3,E636=""),"",A636))</f>
        <v/>
      </c>
      <c r="T636" s="20" t="str">
        <f t="shared" ref="T636:T699" ca="1" si="374">IF(F636&lt;&gt;"","F","")</f>
        <v/>
      </c>
      <c r="U636" s="2">
        <f ca="1">IF(IF(OP!$C$83=1,$Z635,IF(OP!$C$83=2,$AA635,IF(OP!$C$83=3,$AB635,)))+$K636-$O636-$P636-$AS636&lt;OP!$C$142,0,$AS636)</f>
        <v>0</v>
      </c>
      <c r="V636" s="9"/>
      <c r="W636" s="19">
        <f ca="1">MAX(SUM($K$4:K636),0)</f>
        <v>2000000</v>
      </c>
      <c r="X636" s="19"/>
      <c r="Y636" s="19">
        <f t="shared" ca="1" si="365"/>
        <v>1920000</v>
      </c>
      <c r="Z636" s="2">
        <f ca="1">IF(MIN($Z$4:Z635)=0,0,MAX(0,($Z635+$K636-$O636-$P636)*IF(AND(F636="F",$D$3&lt;&gt;$G$3),((1+(-J636))^(H636/MIN(G636,365))),((1+(-J636))^(1/12)))-$U636))</f>
        <v>128298.44943419797</v>
      </c>
      <c r="AA636" s="2">
        <f ca="1">IF(MIN($AA$4:AA635)=0,0,MAX(0,($AA635+$K636-$O636-$P636)*IF(AND(F636="F",$D$3&lt;&gt;$G$3),((1+$AA$1)^(H636/MIN(G636,365))),((1+$AA$1)^(1/12)))-$U636))</f>
        <v>1920000</v>
      </c>
      <c r="AB636" s="2">
        <f ca="1">IF(MIN($AB$4:AB635)=0,0,MAX(0,($AB635+$K636-$O636-$P636)*IF(AND(F636="F",$D$3&lt;&gt;$G$3),((1+(J636))^(H636/MIN(G636,365))),((1+(J636))^(1/12)))-$U636))</f>
        <v>25178900.095174998</v>
      </c>
      <c r="AC636" s="5"/>
      <c r="AD636" s="5"/>
      <c r="AE636" s="5"/>
      <c r="AF636" s="282">
        <f t="shared" ca="1" si="348"/>
        <v>128298</v>
      </c>
      <c r="AG636" s="282">
        <f t="shared" ca="1" si="349"/>
        <v>1920000</v>
      </c>
      <c r="AH636" s="282">
        <f t="shared" ca="1" si="350"/>
        <v>25178900</v>
      </c>
      <c r="AI636" s="23" t="str">
        <f t="shared" ca="1" si="366"/>
        <v>53-10</v>
      </c>
      <c r="AJ636" s="282">
        <f ca="1">IF(E636&gt;111,,IF(AND(OP!$C$99=1,T636="F"),Z636,IF(AND(OP!$C$99=2,COUNTIF($T$4:T636,"F")=1),OP!$C$97+IF(F636="F",OP!$C$98,0),"")))</f>
        <v>54527</v>
      </c>
      <c r="AK636" s="282">
        <f ca="1">IF(E636&gt;111,,IF(AND(OP!$D$99=1,T636="F"),AA636,IF(AND(OP!$D$99=2,COUNTIF($T$4:T636,"F")=1),OP!$D$97+IF(F636="F",OP!$D$98,0),"")))</f>
        <v>74177</v>
      </c>
      <c r="AL636" s="282">
        <f ca="1">IF(E636&gt;111,,IF(AND(OP!$E$99=1,T636="F"),AB636,IF(AND(OP!$E$99=2,COUNTIF($T$4:T636,"F")=1),OP!$E$97+IF(F636="F",OP!$E$98,0),"")))</f>
        <v>99404</v>
      </c>
      <c r="AM636" s="1">
        <f t="shared" ref="AM636:AM699" ca="1" si="375">IF(AND(AK636&lt;&gt;"",AM635=""),1,IF(AND(AK636&lt;&gt;"",AM635&gt;0),IF(AM635=12,1,AM635+1),""))</f>
        <v>10</v>
      </c>
      <c r="AN636" s="1" t="e">
        <f ca="1">IF(OR(VLOOKUP($A636,MP,5,0)="月繳"),1,"")</f>
        <v>#N/A</v>
      </c>
      <c r="AO636" s="1">
        <f t="shared" ca="1" si="351"/>
        <v>0</v>
      </c>
      <c r="AP636" s="1" t="str">
        <f ca="1">IF(AND(A636&lt;=OP!$C$120,COUNTIF(PAY,C636)=1),1,"")</f>
        <v/>
      </c>
      <c r="AR636" s="301">
        <f ca="1">IF(繳費報酬率資料!$A$1=1,$AY636+$AZ636,$BF636+$BG636)</f>
        <v>0</v>
      </c>
      <c r="AS636" s="1">
        <f ca="1">IF(C636&lt;&gt;IF($C$3=1,12,$C$3-1),0,IF(繳費報酬率資料!$A$1&lt;&gt;1,VLOOKUP($A636,MP,8,0),IF(AND($A636&gt;=OP!$C$79,$A636&lt;=OP!$C$80),OP!$C$78,)))</f>
        <v>0</v>
      </c>
      <c r="AT636" s="298">
        <f t="shared" ca="1" si="352"/>
        <v>0</v>
      </c>
      <c r="AU636" s="298">
        <f ca="1">IF(AND(A636&lt;=OP!$C$120,COUNTIF(PAY,C636)=1),OP!$C$123,0)</f>
        <v>0</v>
      </c>
      <c r="AV636" s="298">
        <f ca="1">IF(AND(A636&gt;=OP!$C$132,A636&lt;=OP!$C$133,$C$3=C636),OP!$C$135,0)</f>
        <v>0</v>
      </c>
      <c r="AW636" s="180">
        <f t="shared" ca="1" si="353"/>
        <v>0.05</v>
      </c>
      <c r="AX636" s="180">
        <f t="shared" ca="1" si="354"/>
        <v>0.05</v>
      </c>
      <c r="AY636" s="286">
        <f t="shared" ca="1" si="355"/>
        <v>0</v>
      </c>
      <c r="AZ636" s="286">
        <f t="shared" ca="1" si="356"/>
        <v>0</v>
      </c>
      <c r="BA636" s="286">
        <f t="shared" ca="1" si="357"/>
        <v>0</v>
      </c>
      <c r="BB636" s="286">
        <f t="shared" ca="1" si="358"/>
        <v>0</v>
      </c>
      <c r="BC636" s="286">
        <f t="shared" ca="1" si="359"/>
        <v>0</v>
      </c>
      <c r="BD636" s="180">
        <f t="shared" ca="1" si="360"/>
        <v>0.05</v>
      </c>
      <c r="BE636" s="180">
        <f t="shared" ca="1" si="361"/>
        <v>0.05</v>
      </c>
      <c r="BF636" s="286">
        <f t="shared" ca="1" si="362"/>
        <v>0</v>
      </c>
      <c r="BG636" s="286">
        <f t="shared" ca="1" si="363"/>
        <v>0</v>
      </c>
    </row>
    <row r="637" spans="1:59">
      <c r="A637" s="1">
        <f t="shared" ca="1" si="342"/>
        <v>53</v>
      </c>
      <c r="B637" s="1">
        <f t="shared" ca="1" si="371"/>
        <v>159</v>
      </c>
      <c r="C637" s="1">
        <f t="shared" ca="1" si="372"/>
        <v>3</v>
      </c>
      <c r="D637" s="1">
        <f ca="1">MIN($D$3,VLOOKUP(C637,OP!$S$30:$T$41,2))</f>
        <v>2</v>
      </c>
      <c r="E637" s="1">
        <f t="shared" ca="1" si="373"/>
        <v>107</v>
      </c>
      <c r="F637" s="11" t="str">
        <f t="shared" ca="1" si="343"/>
        <v/>
      </c>
      <c r="G637" s="8">
        <f t="shared" ca="1" si="370"/>
        <v>365</v>
      </c>
      <c r="H637" s="8">
        <f t="shared" ca="1" si="345"/>
        <v>31</v>
      </c>
      <c r="I637" s="8" t="str">
        <f t="shared" ca="1" si="341"/>
        <v>533</v>
      </c>
      <c r="J637" s="13">
        <f>IF(繳費報酬率資料!$A$1=1,VALUE(OP!$C$121),VLOOKUP(A637,MP,2,0))</f>
        <v>0.05</v>
      </c>
      <c r="K637" s="14">
        <f ca="1">IF(SUM($K$4:K636,IF(繳費報酬率資料!$A$1=1,$AU637+$AV637,$BB637+$BC637))&gt;OP!$L$58,0,IF(繳費報酬率資料!$A$1=1,$AU637+$AV637,$BB637+$BC637))</f>
        <v>0</v>
      </c>
      <c r="L637" s="2"/>
      <c r="M637" s="2"/>
      <c r="N637" s="2"/>
      <c r="O637" s="261">
        <f t="shared" ca="1" si="346"/>
        <v>0</v>
      </c>
      <c r="P637" s="261">
        <f t="shared" ca="1" si="364"/>
        <v>0</v>
      </c>
      <c r="Q637" s="3">
        <f ca="1">IF(A637&gt;MAX(OP!$R$17:$R$26),0,VLOOKUP(A637,fees,3,FALSE))</f>
        <v>0</v>
      </c>
      <c r="R637" s="200" t="str">
        <f t="shared" ca="1" si="347"/>
        <v/>
      </c>
      <c r="S637" s="9" t="str">
        <f ca="1">IF(COUNTIF(($T$4:T636),"F")&gt;=1,"",IF(OR(C638&lt;&gt;$C$3,E637=""),"",A637))</f>
        <v/>
      </c>
      <c r="T637" s="20" t="str">
        <f t="shared" ca="1" si="374"/>
        <v/>
      </c>
      <c r="U637" s="2">
        <f ca="1">IF(IF(OP!$C$83=1,$Z636,IF(OP!$C$83=2,$AA636,IF(OP!$C$83=3,$AB636,)))+$K637-$O637-$P637-$AS637&lt;OP!$C$142,0,$AS637)</f>
        <v>0</v>
      </c>
      <c r="V637" s="9"/>
      <c r="W637" s="19">
        <f ca="1">MAX(SUM($K$4:K637),0)</f>
        <v>2000000</v>
      </c>
      <c r="X637" s="19"/>
      <c r="Y637" s="19">
        <f t="shared" ca="1" si="365"/>
        <v>1920000</v>
      </c>
      <c r="Z637" s="2">
        <f ca="1">IF(MIN($Z$4:Z636)=0,0,MAX(0,($Z636+$K637-$O637-$P637)*IF(AND(F637="F",$D$3&lt;&gt;$G$3),((1+(-J637))^(H637/MIN(G637,365))),((1+(-J637))^(1/12)))-$U637))</f>
        <v>127751.21564869437</v>
      </c>
      <c r="AA637" s="2">
        <f ca="1">IF(MIN($AA$4:AA636)=0,0,MAX(0,($AA636+$K637-$O637-$P637)*IF(AND(F637="F",$D$3&lt;&gt;$G$3),((1+$AA$1)^(H637/MIN(G637,365))),((1+$AA$1)^(1/12)))-$U637))</f>
        <v>1920000</v>
      </c>
      <c r="AB637" s="2">
        <f ca="1">IF(MIN($AB$4:AB636)=0,0,MAX(0,($AB636+$K637-$O637-$P637)*IF(AND(F637="F",$D$3&lt;&gt;$G$3),((1+(J637))^(H637/MIN(G637,365))),((1+(J637))^(1/12)))-$U637))</f>
        <v>25281482.050898857</v>
      </c>
      <c r="AC637" s="5"/>
      <c r="AD637" s="5"/>
      <c r="AE637" s="5"/>
      <c r="AF637" s="282">
        <f t="shared" ca="1" si="348"/>
        <v>127751</v>
      </c>
      <c r="AG637" s="282">
        <f t="shared" ca="1" si="349"/>
        <v>1920000</v>
      </c>
      <c r="AH637" s="282">
        <f t="shared" ca="1" si="350"/>
        <v>25281482</v>
      </c>
      <c r="AI637" s="23" t="str">
        <f t="shared" ca="1" si="366"/>
        <v>53-11</v>
      </c>
      <c r="AJ637" s="282">
        <f ca="1">IF(E637&gt;111,,IF(AND(OP!$C$99=1,T637="F"),Z637,IF(AND(OP!$C$99=2,COUNTIF($T$4:T637,"F")=1),OP!$C$97+IF(F637="F",OP!$C$98,0),"")))</f>
        <v>54527</v>
      </c>
      <c r="AK637" s="282">
        <f ca="1">IF(E637&gt;111,,IF(AND(OP!$D$99=1,T637="F"),AA637,IF(AND(OP!$D$99=2,COUNTIF($T$4:T637,"F")=1),OP!$D$97+IF(F637="F",OP!$D$98,0),"")))</f>
        <v>74177</v>
      </c>
      <c r="AL637" s="282">
        <f ca="1">IF(E637&gt;111,,IF(AND(OP!$E$99=1,T637="F"),AB637,IF(AND(OP!$E$99=2,COUNTIF($T$4:T637,"F")=1),OP!$E$97+IF(F637="F",OP!$E$98,0),"")))</f>
        <v>99404</v>
      </c>
      <c r="AM637" s="1">
        <f t="shared" ca="1" si="375"/>
        <v>11</v>
      </c>
      <c r="AN637" s="1" t="e">
        <f ca="1">IF(OR(VLOOKUP($A637,MP,5,0)="季繳",VLOOKUP($A637,MP,5,0)="月繳"),1,"")</f>
        <v>#N/A</v>
      </c>
      <c r="AO637" s="1">
        <f t="shared" ca="1" si="351"/>
        <v>0</v>
      </c>
      <c r="AP637" s="1" t="str">
        <f ca="1">IF(AND(A637&lt;=OP!$C$120,COUNTIF(PAY,C637)=1),1,"")</f>
        <v/>
      </c>
      <c r="AR637" s="301">
        <f ca="1">IF(繳費報酬率資料!$A$1=1,$AY637+$AZ637,$BF637+$BG637)</f>
        <v>0</v>
      </c>
      <c r="AS637" s="1">
        <f ca="1">IF(C637&lt;&gt;IF($C$3=1,12,$C$3-1),0,IF(繳費報酬率資料!$A$1&lt;&gt;1,VLOOKUP($A637,MP,8,0),IF(AND($A637&gt;=OP!$C$79,$A637&lt;=OP!$C$80),OP!$C$78,)))</f>
        <v>0</v>
      </c>
      <c r="AT637" s="298">
        <f t="shared" ca="1" si="352"/>
        <v>0</v>
      </c>
      <c r="AU637" s="298">
        <f ca="1">IF(AND(A637&lt;=OP!$C$120,COUNTIF(PAY,C637)=1),OP!$C$123,0)</f>
        <v>0</v>
      </c>
      <c r="AV637" s="298">
        <f ca="1">IF(AND(A637&gt;=OP!$C$132,A637&lt;=OP!$C$133,$C$3=C637),OP!$C$135,0)</f>
        <v>0</v>
      </c>
      <c r="AW637" s="180">
        <f t="shared" ca="1" si="353"/>
        <v>0.05</v>
      </c>
      <c r="AX637" s="180">
        <f t="shared" ca="1" si="354"/>
        <v>0.05</v>
      </c>
      <c r="AY637" s="286">
        <f t="shared" ca="1" si="355"/>
        <v>0</v>
      </c>
      <c r="AZ637" s="286">
        <f t="shared" ca="1" si="356"/>
        <v>0</v>
      </c>
      <c r="BA637" s="286">
        <f t="shared" ca="1" si="357"/>
        <v>0</v>
      </c>
      <c r="BB637" s="286">
        <f t="shared" ca="1" si="358"/>
        <v>0</v>
      </c>
      <c r="BC637" s="286">
        <f t="shared" ca="1" si="359"/>
        <v>0</v>
      </c>
      <c r="BD637" s="180">
        <f t="shared" ca="1" si="360"/>
        <v>0.05</v>
      </c>
      <c r="BE637" s="180">
        <f t="shared" ca="1" si="361"/>
        <v>0.05</v>
      </c>
      <c r="BF637" s="286">
        <f t="shared" ca="1" si="362"/>
        <v>0</v>
      </c>
      <c r="BG637" s="286">
        <f t="shared" ca="1" si="363"/>
        <v>0</v>
      </c>
    </row>
    <row r="638" spans="1:59">
      <c r="A638" s="1">
        <f t="shared" ca="1" si="342"/>
        <v>53</v>
      </c>
      <c r="B638" s="1">
        <f t="shared" ca="1" si="371"/>
        <v>159</v>
      </c>
      <c r="C638" s="1">
        <f t="shared" ca="1" si="372"/>
        <v>4</v>
      </c>
      <c r="D638" s="1">
        <f ca="1">MIN($D$3,VLOOKUP(C638,OP!$S$30:$T$41,2))</f>
        <v>2</v>
      </c>
      <c r="E638" s="1">
        <f t="shared" ca="1" si="373"/>
        <v>107</v>
      </c>
      <c r="F638" s="11" t="str">
        <f t="shared" ca="1" si="343"/>
        <v/>
      </c>
      <c r="G638" s="8">
        <f t="shared" ca="1" si="370"/>
        <v>365</v>
      </c>
      <c r="H638" s="8">
        <f t="shared" ca="1" si="345"/>
        <v>30</v>
      </c>
      <c r="I638" s="8" t="str">
        <f t="shared" ca="1" si="341"/>
        <v>534</v>
      </c>
      <c r="J638" s="13">
        <f>IF(繳費報酬率資料!$A$1=1,VALUE(OP!$C$121),VLOOKUP(A638,MP,2,0))</f>
        <v>0.05</v>
      </c>
      <c r="K638" s="14">
        <f ca="1">IF(SUM($K$4:K637,IF(繳費報酬率資料!$A$1=1,$AU638+$AV638,$BB638+$BC638))&gt;OP!$L$58,0,IF(繳費報酬率資料!$A$1=1,$AU638+$AV638,$BB638+$BC638))</f>
        <v>0</v>
      </c>
      <c r="L638" s="2"/>
      <c r="M638" s="2"/>
      <c r="N638" s="2"/>
      <c r="O638" s="261">
        <f t="shared" ca="1" si="346"/>
        <v>0</v>
      </c>
      <c r="P638" s="261">
        <f t="shared" ca="1" si="364"/>
        <v>0</v>
      </c>
      <c r="Q638" s="3">
        <f ca="1">IF(A638&gt;MAX(OP!$R$17:$R$26),0,VLOOKUP(A638,fees,3,FALSE))</f>
        <v>0</v>
      </c>
      <c r="R638" s="200" t="str">
        <f t="shared" ca="1" si="347"/>
        <v/>
      </c>
      <c r="S638" s="9" t="str">
        <f ca="1">IF(COUNTIF(($T$4:T637),"F")&gt;=1,"",IF(OR(C639&lt;&gt;$C$3,E638=""),"",A638))</f>
        <v/>
      </c>
      <c r="T638" s="20" t="str">
        <f t="shared" ca="1" si="374"/>
        <v/>
      </c>
      <c r="U638" s="2">
        <f ca="1">IF(IF(OP!$C$83=1,$Z637,IF(OP!$C$83=2,$AA637,IF(OP!$C$83=3,$AB637,)))+$K638-$O638-$P638-$AS638&lt;OP!$C$142,0,$AS638)</f>
        <v>0</v>
      </c>
      <c r="V638" s="9"/>
      <c r="W638" s="19">
        <f ca="1">MAX(SUM($K$4:K638),0)</f>
        <v>2000000</v>
      </c>
      <c r="X638" s="19"/>
      <c r="Y638" s="19">
        <f t="shared" ca="1" si="365"/>
        <v>1920000</v>
      </c>
      <c r="Z638" s="2">
        <f ca="1">IF(MIN($Z$4:Z637)=0,0,MAX(0,($Z637+$K638-$O638-$P638)*IF(AND(F638="F",$D$3&lt;&gt;$G$3),((1+(-J638))^(H638/MIN(G638,365))),((1+(-J638))^(1/12)))-$U638))</f>
        <v>127206.3159897318</v>
      </c>
      <c r="AA638" s="2">
        <f ca="1">IF(MIN($AA$4:AA637)=0,0,MAX(0,($AA637+$K638-$O638-$P638)*IF(AND(F638="F",$D$3&lt;&gt;$G$3),((1+$AA$1)^(H638/MIN(G638,365))),((1+$AA$1)^(1/12)))-$U638))</f>
        <v>1920000</v>
      </c>
      <c r="AB638" s="2">
        <f ca="1">IF(MIN($AB$4:AB637)=0,0,MAX(0,($AB637+$K638-$O638-$P638)*IF(AND(F638="F",$D$3&lt;&gt;$G$3),((1+(J638))^(H638/MIN(G638,365))),((1+(J638))^(1/12)))-$U638))</f>
        <v>25384481.938208304</v>
      </c>
      <c r="AC638" s="5"/>
      <c r="AD638" s="5"/>
      <c r="AE638" s="5"/>
      <c r="AF638" s="282">
        <f t="shared" ca="1" si="348"/>
        <v>127206</v>
      </c>
      <c r="AG638" s="282">
        <f t="shared" ca="1" si="349"/>
        <v>1920000</v>
      </c>
      <c r="AH638" s="282">
        <f t="shared" ca="1" si="350"/>
        <v>25384482</v>
      </c>
      <c r="AI638" s="23" t="str">
        <f t="shared" ca="1" si="366"/>
        <v>53-12</v>
      </c>
      <c r="AJ638" s="282">
        <f ca="1">IF(E638&gt;111,,IF(AND(OP!$C$99=1,T638="F"),Z638,IF(AND(OP!$C$99=2,COUNTIF($T$4:T638,"F")=1),OP!$C$97+IF(F638="F",OP!$C$98,0),"")))</f>
        <v>54527</v>
      </c>
      <c r="AK638" s="282">
        <f ca="1">IF(E638&gt;111,,IF(AND(OP!$D$99=1,T638="F"),AA638,IF(AND(OP!$D$99=2,COUNTIF($T$4:T638,"F")=1),OP!$D$97+IF(F638="F",OP!$D$98,0),"")))</f>
        <v>74177</v>
      </c>
      <c r="AL638" s="282">
        <f ca="1">IF(E638&gt;111,,IF(AND(OP!$E$99=1,T638="F"),AB638,IF(AND(OP!$E$99=2,COUNTIF($T$4:T638,"F")=1),OP!$E$97+IF(F638="F",OP!$E$98,0),"")))</f>
        <v>99404</v>
      </c>
      <c r="AM638" s="1">
        <f t="shared" ca="1" si="375"/>
        <v>12</v>
      </c>
      <c r="AN638" s="1" t="e">
        <f ca="1">IF(OR(VLOOKUP($A638,MP,5,0)="月繳"),1,"")</f>
        <v>#N/A</v>
      </c>
      <c r="AO638" s="1">
        <f t="shared" ca="1" si="351"/>
        <v>0</v>
      </c>
      <c r="AP638" s="1" t="str">
        <f ca="1">IF(AND(A638&lt;=OP!$C$120,COUNTIF(PAY,C638)=1),1,"")</f>
        <v/>
      </c>
      <c r="AR638" s="301">
        <f ca="1">IF(繳費報酬率資料!$A$1=1,$AY638+$AZ638,$BF638+$BG638)</f>
        <v>0</v>
      </c>
      <c r="AS638" s="1">
        <f ca="1">IF(C638&lt;&gt;IF($C$3=1,12,$C$3-1),0,IF(繳費報酬率資料!$A$1&lt;&gt;1,VLOOKUP($A638,MP,8,0),IF(AND($A638&gt;=OP!$C$79,$A638&lt;=OP!$C$80),OP!$C$78,)))</f>
        <v>0</v>
      </c>
      <c r="AT638" s="298">
        <f t="shared" ca="1" si="352"/>
        <v>0</v>
      </c>
      <c r="AU638" s="298">
        <f ca="1">IF(AND(A638&lt;=OP!$C$120,COUNTIF(PAY,C638)=1),OP!$C$123,0)</f>
        <v>0</v>
      </c>
      <c r="AV638" s="298">
        <f ca="1">IF(AND(A638&gt;=OP!$C$132,A638&lt;=OP!$C$133,$C$3=C638),OP!$C$135,0)</f>
        <v>0</v>
      </c>
      <c r="AW638" s="180">
        <f t="shared" ca="1" si="353"/>
        <v>0.05</v>
      </c>
      <c r="AX638" s="180">
        <f t="shared" ca="1" si="354"/>
        <v>0.05</v>
      </c>
      <c r="AY638" s="286">
        <f t="shared" ca="1" si="355"/>
        <v>0</v>
      </c>
      <c r="AZ638" s="286">
        <f t="shared" ca="1" si="356"/>
        <v>0</v>
      </c>
      <c r="BA638" s="286">
        <f t="shared" ca="1" si="357"/>
        <v>0</v>
      </c>
      <c r="BB638" s="286">
        <f t="shared" ca="1" si="358"/>
        <v>0</v>
      </c>
      <c r="BC638" s="286">
        <f t="shared" ca="1" si="359"/>
        <v>0</v>
      </c>
      <c r="BD638" s="180">
        <f t="shared" ca="1" si="360"/>
        <v>0.05</v>
      </c>
      <c r="BE638" s="180">
        <f t="shared" ca="1" si="361"/>
        <v>0.05</v>
      </c>
      <c r="BF638" s="286">
        <f t="shared" ca="1" si="362"/>
        <v>0</v>
      </c>
      <c r="BG638" s="286">
        <f t="shared" ca="1" si="363"/>
        <v>0</v>
      </c>
    </row>
    <row r="639" spans="1:59">
      <c r="A639" s="1">
        <f t="shared" ca="1" si="342"/>
        <v>53</v>
      </c>
      <c r="B639" s="1">
        <f t="shared" ca="1" si="371"/>
        <v>159</v>
      </c>
      <c r="C639" s="1">
        <f t="shared" ca="1" si="372"/>
        <v>5</v>
      </c>
      <c r="D639" s="1">
        <f ca="1">MIN($D$3,VLOOKUP(C639,OP!$S$30:$T$41,2))</f>
        <v>2</v>
      </c>
      <c r="E639" s="1">
        <f t="shared" ca="1" si="373"/>
        <v>107</v>
      </c>
      <c r="F639" s="11" t="str">
        <f t="shared" ca="1" si="343"/>
        <v/>
      </c>
      <c r="G639" s="8">
        <f t="shared" ca="1" si="370"/>
        <v>365</v>
      </c>
      <c r="H639" s="8">
        <f t="shared" ca="1" si="345"/>
        <v>31</v>
      </c>
      <c r="I639" s="8" t="str">
        <f t="shared" ca="1" si="341"/>
        <v>535</v>
      </c>
      <c r="J639" s="13">
        <f>IF(繳費報酬率資料!$A$1=1,VALUE(OP!$C$121),VLOOKUP(A639,MP,2,0))</f>
        <v>0.05</v>
      </c>
      <c r="K639" s="14">
        <f ca="1">IF(SUM($K$4:K638,IF(繳費報酬率資料!$A$1=1,$AU639+$AV639,$BB639+$BC639))&gt;OP!$L$58,0,IF(繳費報酬率資料!$A$1=1,$AU639+$AV639,$BB639+$BC639))</f>
        <v>0</v>
      </c>
      <c r="L639" s="2">
        <f ca="1">ROUND(IF(OP!$C$78&lt;(IF(OR($T639="F",$E639&gt;=111),0,Z638+$K639-$O639+IF($C$1=1,OP!$C$78,IF($C640=$C$3,SUM(AC628:AC639,0)))))*5%,0,(OP!$C$78-((IF(OR($T639="F",$E639&gt;=111),0,Z638+$K639-$O639+IF($C$1=1,AC639,IF($C640=$C$3,SUM(AC628:AC639,0)))))*5%))*$Q639),0)</f>
        <v>0</v>
      </c>
      <c r="M639" s="2">
        <f ca="1">ROUND(IF(OP!$C$78&lt;(IF(OR($T639="F",$E639&gt;=111),0,AA638+$K639-$O639+IF($C$1=1,AD639,IF($C640=$C$3,SUM(AD628:AD639,0)))))*5%,0,(OP!$C$78-((IF(OR($T639="F",$E639&gt;=111),0,AA638+$K639-$O639+IF($C$1=1,AD639,IF($C640=$C$3,SUM(AD628:AD639,0)))))*5%))*$Q639),0)</f>
        <v>0</v>
      </c>
      <c r="N639" s="2">
        <f ca="1">ROUND(IF(OP!$C$78&lt;(IF(OR($T639="F",$E639&gt;=111),0,AB638+$K639-$O639+IF($C$1=1,AE639,IF($C640=$C$3,SUM(AE628:AE639,0)))))*5%,0,(OP!$C$78-((IF(OR($T639="F",$E639&gt;=111),0,AB638+$K639-$O639+IF($C$1=1,AE639,IF($C640=$C$3,SUM(AE628:AE639,0)))))*5%))*$Q639),0)</f>
        <v>0</v>
      </c>
      <c r="O639" s="261">
        <f t="shared" ca="1" si="346"/>
        <v>0</v>
      </c>
      <c r="P639" s="261">
        <f t="shared" ca="1" si="364"/>
        <v>0</v>
      </c>
      <c r="Q639" s="3">
        <f ca="1">IF(A639&gt;MAX(OP!$R$17:$R$26),0,VLOOKUP(A639,fees,3,FALSE))</f>
        <v>0</v>
      </c>
      <c r="R639" s="200">
        <f t="shared" ca="1" si="347"/>
        <v>53</v>
      </c>
      <c r="S639" s="9" t="str">
        <f ca="1">IF(COUNTIF(($T$4:T638),"F")&gt;=1,"",IF(OR(C640&lt;&gt;$C$3,E639=""),"",A639))</f>
        <v/>
      </c>
      <c r="T639" s="20" t="str">
        <f t="shared" ca="1" si="374"/>
        <v/>
      </c>
      <c r="U639" s="2">
        <f ca="1">IF(IF(OP!$C$83=1,$Z638,IF(OP!$C$83=2,$AA638,IF(OP!$C$83=3,$AB638,)))+$K639-$O639-$P639-$AS639&lt;OP!$C$142,0,$AS639)</f>
        <v>0</v>
      </c>
      <c r="V639" s="19">
        <f ca="1">SUM(K628:K639)</f>
        <v>0</v>
      </c>
      <c r="W639" s="19">
        <f ca="1">MAX(SUM($K$4:K639),0)</f>
        <v>2000000</v>
      </c>
      <c r="X639" s="19">
        <f ca="1">SUM(O628:P639)</f>
        <v>0</v>
      </c>
      <c r="Y639" s="19">
        <f t="shared" ca="1" si="365"/>
        <v>1920000</v>
      </c>
      <c r="Z639" s="2">
        <f ca="1">IF(MIN($Z$4:Z638)=0,0,MAX(0,($Z638+$K639-$O639-$P639)*IF(AND(F639="F",$D$3&lt;&gt;$G$3),((1+(-J639))^(H639/MIN(G639,365))),((1+(-J639))^(1/12)))-$U639))</f>
        <v>126663.74050151648</v>
      </c>
      <c r="AA639" s="2">
        <f ca="1">IF(MIN($AA$4:AA638)=0,0,MAX(0,($AA638+$K639-$O639-$P639)*IF(AND(F639="F",$D$3&lt;&gt;$G$3),((1+$AA$1)^(H639/MIN(G639,365))),((1+$AA$1)^(1/12)))-$U639))</f>
        <v>1920000</v>
      </c>
      <c r="AB639" s="2">
        <f ca="1">IF(MIN($AB$4:AB638)=0,0,MAX(0,($AB638+$K639-$O639-$P639)*IF(AND(F639="F",$D$3&lt;&gt;$G$3),((1+(J639))^(H639/MIN(G639,365))),((1+(J639))^(1/12)))-$U639))</f>
        <v>25487901.45980835</v>
      </c>
      <c r="AC639" s="5"/>
      <c r="AD639" s="5"/>
      <c r="AE639" s="5"/>
      <c r="AF639" s="282">
        <f t="shared" ca="1" si="348"/>
        <v>126664</v>
      </c>
      <c r="AG639" s="282">
        <f t="shared" ca="1" si="349"/>
        <v>1920000</v>
      </c>
      <c r="AH639" s="282">
        <f t="shared" ca="1" si="350"/>
        <v>25487901</v>
      </c>
      <c r="AI639" s="23" t="str">
        <f t="shared" ca="1" si="366"/>
        <v>54-1</v>
      </c>
      <c r="AJ639" s="282">
        <f ca="1">IF(E639&gt;111,,IF(AND(OP!$C$99=1,T639="F"),Z639,IF(AND(OP!$C$99=2,COUNTIF($T$4:T639,"F")=1),OP!$C$97+IF(F639="F",OP!$C$98,0),"")))</f>
        <v>54527</v>
      </c>
      <c r="AK639" s="282">
        <f ca="1">IF(E639&gt;111,,IF(AND(OP!$D$99=1,T639="F"),AA639,IF(AND(OP!$D$99=2,COUNTIF($T$4:T639,"F")=1),OP!$D$97+IF(F639="F",OP!$D$98,0),"")))</f>
        <v>74177</v>
      </c>
      <c r="AL639" s="282">
        <f ca="1">IF(E639&gt;111,,IF(AND(OP!$E$99=1,T639="F"),AB639,IF(AND(OP!$E$99=2,COUNTIF($T$4:T639,"F")=1),OP!$E$97+IF(F639="F",OP!$E$98,0),"")))</f>
        <v>99404</v>
      </c>
      <c r="AM639" s="1">
        <f t="shared" ca="1" si="375"/>
        <v>1</v>
      </c>
      <c r="AN639" s="1" t="e">
        <f ca="1">IF(OR(VLOOKUP($A639,MP,5,0)="月繳"),1,"")</f>
        <v>#N/A</v>
      </c>
      <c r="AO639" s="1">
        <f t="shared" ca="1" si="351"/>
        <v>0</v>
      </c>
      <c r="AP639" s="1" t="str">
        <f ca="1">IF(AND(A639&lt;=OP!$C$120,COUNTIF(PAY,C639)=1),1,"")</f>
        <v/>
      </c>
      <c r="AR639" s="301">
        <f ca="1">IF(繳費報酬率資料!$A$1=1,$AY639+$AZ639,$BF639+$BG639)</f>
        <v>0</v>
      </c>
      <c r="AS639" s="1">
        <f ca="1">IF(C639&lt;&gt;IF($C$3=1,12,$C$3-1),0,IF(繳費報酬率資料!$A$1&lt;&gt;1,VLOOKUP($A639,MP,8,0),IF(AND($A639&gt;=OP!$C$79,$A639&lt;=OP!$C$80),OP!$C$78,)))</f>
        <v>0</v>
      </c>
      <c r="AT639" s="298">
        <f t="shared" ca="1" si="352"/>
        <v>0</v>
      </c>
      <c r="AU639" s="298">
        <f ca="1">IF(AND(A639&lt;=OP!$C$120,COUNTIF(PAY,C639)=1),OP!$C$123,0)</f>
        <v>0</v>
      </c>
      <c r="AV639" s="298">
        <f ca="1">IF(AND(A639&gt;=OP!$C$132,A639&lt;=OP!$C$133,$C$3=C639),OP!$C$135,0)</f>
        <v>0</v>
      </c>
      <c r="AW639" s="180">
        <f t="shared" ca="1" si="353"/>
        <v>0.05</v>
      </c>
      <c r="AX639" s="180">
        <f t="shared" ca="1" si="354"/>
        <v>0.05</v>
      </c>
      <c r="AY639" s="286">
        <f t="shared" ca="1" si="355"/>
        <v>0</v>
      </c>
      <c r="AZ639" s="286">
        <f t="shared" ca="1" si="356"/>
        <v>0</v>
      </c>
      <c r="BA639" s="286">
        <f t="shared" ca="1" si="357"/>
        <v>0</v>
      </c>
      <c r="BB639" s="286">
        <f t="shared" ca="1" si="358"/>
        <v>0</v>
      </c>
      <c r="BC639" s="286">
        <f t="shared" ca="1" si="359"/>
        <v>0</v>
      </c>
      <c r="BD639" s="180">
        <f t="shared" ca="1" si="360"/>
        <v>0.05</v>
      </c>
      <c r="BE639" s="180">
        <f t="shared" ca="1" si="361"/>
        <v>0.05</v>
      </c>
      <c r="BF639" s="286">
        <f t="shared" ca="1" si="362"/>
        <v>0</v>
      </c>
      <c r="BG639" s="286">
        <f t="shared" ca="1" si="363"/>
        <v>0</v>
      </c>
    </row>
    <row r="640" spans="1:59">
      <c r="A640" s="1">
        <f t="shared" ca="1" si="342"/>
        <v>54</v>
      </c>
      <c r="B640" s="1">
        <f t="shared" ca="1" si="371"/>
        <v>159</v>
      </c>
      <c r="C640" s="1">
        <f t="shared" ca="1" si="372"/>
        <v>6</v>
      </c>
      <c r="D640" s="1">
        <f ca="1">MIN($D$3,VLOOKUP(C640,OP!$S$30:$T$41,2))</f>
        <v>2</v>
      </c>
      <c r="E640" s="1">
        <f t="shared" ca="1" si="373"/>
        <v>108</v>
      </c>
      <c r="F640" s="11" t="str">
        <f t="shared" ca="1" si="343"/>
        <v/>
      </c>
      <c r="G640" s="6">
        <f ca="1">DATEDIF(DATE(B640+1911,C640,D640),DATE(B652+1911,C652,D652),"d")</f>
        <v>365</v>
      </c>
      <c r="H640" s="8">
        <f t="shared" ca="1" si="345"/>
        <v>30</v>
      </c>
      <c r="I640" s="8" t="str">
        <f t="shared" ca="1" si="341"/>
        <v>546</v>
      </c>
      <c r="J640" s="13">
        <f>IF(繳費報酬率資料!$A$1=1,VALUE(OP!$C$121),VLOOKUP(A640,MP,2,0))</f>
        <v>0.05</v>
      </c>
      <c r="K640" s="14">
        <f ca="1">IF(SUM($K$4:K639,IF(繳費報酬率資料!$A$1=1,$AU640+$AV640,$BB640+$BC640))&gt;OP!$L$58,0,IF(繳費報酬率資料!$A$1=1,$AU640+$AV640,$BB640+$BC640))</f>
        <v>0</v>
      </c>
      <c r="L640" s="2"/>
      <c r="M640" s="2"/>
      <c r="N640" s="2"/>
      <c r="O640" s="261">
        <f t="shared" ca="1" si="346"/>
        <v>0</v>
      </c>
      <c r="P640" s="261">
        <f t="shared" ca="1" si="364"/>
        <v>0</v>
      </c>
      <c r="Q640" s="3">
        <f ca="1">IF(A640&gt;MAX(OP!$R$17:$R$26),0,VLOOKUP(A640,fees,3,FALSE))</f>
        <v>0</v>
      </c>
      <c r="R640" s="200" t="str">
        <f t="shared" ca="1" si="347"/>
        <v/>
      </c>
      <c r="S640" s="9" t="str">
        <f ca="1">IF(COUNTIF(($T$4:T639),"F")&gt;=1,"",IF(OR(C641&lt;&gt;$C$3,E640=""),"",A640))</f>
        <v/>
      </c>
      <c r="T640" s="20" t="str">
        <f t="shared" ca="1" si="374"/>
        <v/>
      </c>
      <c r="U640" s="2">
        <f ca="1">IF(IF(OP!$C$83=1,$Z639,IF(OP!$C$83=2,$AA639,IF(OP!$C$83=3,$AB639,)))+$K640-$O640-$P640-$AS640&lt;OP!$C$142,0,$AS640)</f>
        <v>0</v>
      </c>
      <c r="V640" s="9"/>
      <c r="W640" s="19">
        <f ca="1">MAX(SUM($K$4:K640),0)</f>
        <v>2000000</v>
      </c>
      <c r="X640" s="19"/>
      <c r="Y640" s="19">
        <f t="shared" ca="1" si="365"/>
        <v>1920000</v>
      </c>
      <c r="Z640" s="2">
        <f ca="1">IF(MIN($Z$4:Z639)=0,0,MAX(0,($Z639+$K640-$O640-$P640)*IF(AND(F640="F",$D$3&lt;&gt;$G$3),((1+(-J640))^(H640/MIN(G640,365))),((1+(-J640))^(1/12)))-$U640))</f>
        <v>126123.4792707193</v>
      </c>
      <c r="AA640" s="2">
        <f ca="1">IF(MIN($AA$4:AA639)=0,0,MAX(0,($AA639+$K640-$O640-$P640)*IF(AND(F640="F",$D$3&lt;&gt;$G$3),((1+$AA$1)^(H640/MIN(G640,365))),((1+$AA$1)^(1/12)))-$U640))</f>
        <v>1920000</v>
      </c>
      <c r="AB640" s="2">
        <f ca="1">IF(MIN($AB$4:AB639)=0,0,MAX(0,($AB639+$K640-$O640-$P640)*IF(AND(F640="F",$D$3&lt;&gt;$G$3),((1+(J640))^(H640/MIN(G640,365))),((1+(J640))^(1/12)))-$U640))</f>
        <v>25591742.325341042</v>
      </c>
      <c r="AC640" s="21"/>
      <c r="AD640" s="21"/>
      <c r="AE640" s="21"/>
      <c r="AF640" s="282">
        <f t="shared" ca="1" si="348"/>
        <v>126123</v>
      </c>
      <c r="AG640" s="282">
        <f t="shared" ca="1" si="349"/>
        <v>1920000</v>
      </c>
      <c r="AH640" s="282">
        <f t="shared" ca="1" si="350"/>
        <v>25591742</v>
      </c>
      <c r="AI640" s="23" t="str">
        <f t="shared" ca="1" si="366"/>
        <v>54-2</v>
      </c>
      <c r="AJ640" s="281">
        <f ca="1">IF(E640&gt;111,,IF(AND(OP!$C$99=1,T640="F"),Z640,IF(AND(OP!$C$99=2,COUNTIF($T$4:T640,"F")=1),OP!$C$97+IF(F640="F",OP!$C$98,0),"")))</f>
        <v>54527</v>
      </c>
      <c r="AK640" s="281">
        <f ca="1">IF(E640&gt;111,,IF(AND(OP!$D$99=1,T640="F"),AA640,IF(AND(OP!$D$99=2,COUNTIF($T$4:T640,"F")=1),OP!$D$97+IF(F640="F",OP!$D$98,0),"")))</f>
        <v>74177</v>
      </c>
      <c r="AL640" s="281">
        <f ca="1">IF(E640&gt;111,,IF(AND(OP!$E$99=1,T640="F"),AB640,IF(AND(OP!$E$99=2,COUNTIF($T$4:T640,"F")=1),OP!$E$97+IF(F640="F",OP!$E$98,0),"")))</f>
        <v>99404</v>
      </c>
      <c r="AM640" s="1">
        <f t="shared" ca="1" si="375"/>
        <v>2</v>
      </c>
      <c r="AN640" s="1" t="e">
        <f ca="1">IF(OR(VLOOKUP($A640,MP,5,0)="年繳",VLOOKUP($A640,MP,5,0)="半年繳",VLOOKUP($A640,MP,5,0)="季繳",VLOOKUP($A640,MP,5,0)="月繳"),1,"")</f>
        <v>#N/A</v>
      </c>
      <c r="AO640" s="1">
        <f t="shared" ca="1" si="351"/>
        <v>0</v>
      </c>
      <c r="AP640" s="1" t="str">
        <f ca="1">IF(AND(A640&lt;=OP!$C$120,COUNTIF(PAY,C640)=1),1,"")</f>
        <v/>
      </c>
      <c r="AR640" s="301">
        <f ca="1">IF(繳費報酬率資料!$A$1=1,$AY640+$AZ640,$BF640+$BG640)</f>
        <v>0</v>
      </c>
      <c r="AS640" s="1">
        <f ca="1">IF(C640&lt;&gt;IF($C$3=1,12,$C$3-1),0,IF(繳費報酬率資料!$A$1&lt;&gt;1,VLOOKUP($A640,MP,8,0),IF(AND($A640&gt;=OP!$C$79,$A640&lt;=OP!$C$80),OP!$C$78,)))</f>
        <v>0</v>
      </c>
      <c r="AT640" s="298">
        <f t="shared" ca="1" si="352"/>
        <v>0</v>
      </c>
      <c r="AU640" s="298">
        <f ca="1">IF(AND(A640&lt;=OP!$C$120,COUNTIF(PAY,C640)=1),OP!$C$123,0)</f>
        <v>0</v>
      </c>
      <c r="AV640" s="298">
        <f ca="1">IF(AND(A640&gt;=OP!$C$132,A640&lt;=OP!$C$133,$C$3=C640),OP!$C$135,0)</f>
        <v>0</v>
      </c>
      <c r="AW640" s="180">
        <f t="shared" ca="1" si="353"/>
        <v>0.05</v>
      </c>
      <c r="AX640" s="180">
        <f t="shared" ca="1" si="354"/>
        <v>0.05</v>
      </c>
      <c r="AY640" s="286">
        <f t="shared" ca="1" si="355"/>
        <v>0</v>
      </c>
      <c r="AZ640" s="286">
        <f t="shared" ca="1" si="356"/>
        <v>0</v>
      </c>
      <c r="BA640" s="286">
        <f t="shared" ca="1" si="357"/>
        <v>0</v>
      </c>
      <c r="BB640" s="286">
        <f t="shared" ca="1" si="358"/>
        <v>0</v>
      </c>
      <c r="BC640" s="286">
        <f t="shared" ca="1" si="359"/>
        <v>0</v>
      </c>
      <c r="BD640" s="180">
        <f t="shared" ca="1" si="360"/>
        <v>0.05</v>
      </c>
      <c r="BE640" s="180">
        <f t="shared" ca="1" si="361"/>
        <v>0.05</v>
      </c>
      <c r="BF640" s="286">
        <f t="shared" ca="1" si="362"/>
        <v>0</v>
      </c>
      <c r="BG640" s="286">
        <f t="shared" ca="1" si="363"/>
        <v>0</v>
      </c>
    </row>
    <row r="641" spans="1:59">
      <c r="A641" s="1">
        <f t="shared" ca="1" si="342"/>
        <v>54</v>
      </c>
      <c r="B641" s="1">
        <f t="shared" ca="1" si="371"/>
        <v>159</v>
      </c>
      <c r="C641" s="1">
        <f t="shared" ca="1" si="372"/>
        <v>7</v>
      </c>
      <c r="D641" s="1">
        <f ca="1">MIN($D$3,VLOOKUP(C641,OP!$S$30:$T$41,2))</f>
        <v>2</v>
      </c>
      <c r="E641" s="1">
        <f t="shared" ca="1" si="373"/>
        <v>108</v>
      </c>
      <c r="F641" s="11" t="str">
        <f t="shared" ca="1" si="343"/>
        <v/>
      </c>
      <c r="G641" s="8">
        <f t="shared" ref="G641:G651" ca="1" si="376">G640</f>
        <v>365</v>
      </c>
      <c r="H641" s="8">
        <f t="shared" ca="1" si="345"/>
        <v>31</v>
      </c>
      <c r="I641" s="8" t="str">
        <f t="shared" ca="1" si="341"/>
        <v>547</v>
      </c>
      <c r="J641" s="13">
        <f>IF(繳費報酬率資料!$A$1=1,VALUE(OP!$C$121),VLOOKUP(A641,MP,2,0))</f>
        <v>0.05</v>
      </c>
      <c r="K641" s="14">
        <f ca="1">IF(SUM($K$4:K640,IF(繳費報酬率資料!$A$1=1,$AU641+$AV641,$BB641+$BC641))&gt;OP!$L$58,0,IF(繳費報酬率資料!$A$1=1,$AU641+$AV641,$BB641+$BC641))</f>
        <v>0</v>
      </c>
      <c r="L641" s="2"/>
      <c r="M641" s="2"/>
      <c r="N641" s="2"/>
      <c r="O641" s="261">
        <f t="shared" ca="1" si="346"/>
        <v>0</v>
      </c>
      <c r="P641" s="261">
        <f t="shared" ca="1" si="364"/>
        <v>0</v>
      </c>
      <c r="Q641" s="3">
        <f ca="1">IF(A641&gt;MAX(OP!$R$17:$R$26),0,VLOOKUP(A641,fees,3,FALSE))</f>
        <v>0</v>
      </c>
      <c r="R641" s="200" t="str">
        <f t="shared" ca="1" si="347"/>
        <v/>
      </c>
      <c r="S641" s="9" t="str">
        <f ca="1">IF(COUNTIF(($T$4:T640),"F")&gt;=1,"",IF(OR(C642&lt;&gt;$C$3,E641=""),"",A641))</f>
        <v/>
      </c>
      <c r="T641" s="20" t="str">
        <f t="shared" ca="1" si="374"/>
        <v/>
      </c>
      <c r="U641" s="2">
        <f ca="1">IF(IF(OP!$C$83=1,$Z640,IF(OP!$C$83=2,$AA640,IF(OP!$C$83=3,$AB640,)))+$K641-$O641-$P641-$AS641&lt;OP!$C$142,0,$AS641)</f>
        <v>0</v>
      </c>
      <c r="V641" s="9"/>
      <c r="W641" s="19">
        <f ca="1">MAX(SUM($K$4:K641),0)</f>
        <v>2000000</v>
      </c>
      <c r="X641" s="19"/>
      <c r="Y641" s="19">
        <f t="shared" ca="1" si="365"/>
        <v>1920000</v>
      </c>
      <c r="Z641" s="2">
        <f ca="1">IF(MIN($Z$4:Z640)=0,0,MAX(0,($Z640+$K641-$O641-$P641)*IF(AND(F641="F",$D$3&lt;&gt;$G$3),((1+(-J641))^(H641/MIN(G641,365))),((1+(-J641))^(1/12)))-$U641))</f>
        <v>125585.52242629461</v>
      </c>
      <c r="AA641" s="2">
        <f ca="1">IF(MIN($AA$4:AA640)=0,0,MAX(0,($AA640+$K641-$O641-$P641)*IF(AND(F641="F",$D$3&lt;&gt;$G$3),((1+$AA$1)^(H641/MIN(G641,365))),((1+$AA$1)^(1/12)))-$U641))</f>
        <v>1920000</v>
      </c>
      <c r="AB641" s="2">
        <f ca="1">IF(MIN($AB$4:AB640)=0,0,MAX(0,($AB640+$K641-$O641-$P641)*IF(AND(F641="F",$D$3&lt;&gt;$G$3),((1+(J641))^(H641/MIN(G641,365))),((1+(J641))^(1/12)))-$U641))</f>
        <v>25696006.251413714</v>
      </c>
      <c r="AC641" s="5"/>
      <c r="AD641" s="5"/>
      <c r="AE641" s="5"/>
      <c r="AF641" s="282">
        <f t="shared" ca="1" si="348"/>
        <v>125586</v>
      </c>
      <c r="AG641" s="282">
        <f t="shared" ca="1" si="349"/>
        <v>1920000</v>
      </c>
      <c r="AH641" s="282">
        <f t="shared" ca="1" si="350"/>
        <v>25696006</v>
      </c>
      <c r="AI641" s="23" t="str">
        <f t="shared" ca="1" si="366"/>
        <v>54-3</v>
      </c>
      <c r="AJ641" s="282">
        <f ca="1">IF(E641&gt;111,,IF(AND(OP!$C$99=1,T641="F"),Z641,IF(AND(OP!$C$99=2,COUNTIF($T$4:T641,"F")=1),OP!$C$97+IF(F641="F",OP!$C$98,0),"")))</f>
        <v>54527</v>
      </c>
      <c r="AK641" s="282">
        <f ca="1">IF(E641&gt;111,,IF(AND(OP!$D$99=1,T641="F"),AA641,IF(AND(OP!$D$99=2,COUNTIF($T$4:T641,"F")=1),OP!$D$97+IF(F641="F",OP!$D$98,0),"")))</f>
        <v>74177</v>
      </c>
      <c r="AL641" s="282">
        <f ca="1">IF(E641&gt;111,,IF(AND(OP!$E$99=1,T641="F"),AB641,IF(AND(OP!$E$99=2,COUNTIF($T$4:T641,"F")=1),OP!$E$97+IF(F641="F",OP!$E$98,0),"")))</f>
        <v>99404</v>
      </c>
      <c r="AM641" s="1">
        <f t="shared" ca="1" si="375"/>
        <v>3</v>
      </c>
      <c r="AN641" s="1" t="e">
        <f ca="1">IF(OR(VLOOKUP($A641,MP,5,0)="月繳"),1,"")</f>
        <v>#N/A</v>
      </c>
      <c r="AO641" s="1">
        <f t="shared" ca="1" si="351"/>
        <v>0</v>
      </c>
      <c r="AP641" s="1" t="str">
        <f ca="1">IF(AND(A641&lt;=OP!$C$120,COUNTIF(PAY,C641)=1),1,"")</f>
        <v/>
      </c>
      <c r="AR641" s="301">
        <f ca="1">IF(繳費報酬率資料!$A$1=1,$AY641+$AZ641,$BF641+$BG641)</f>
        <v>0</v>
      </c>
      <c r="AS641" s="1">
        <f ca="1">IF(C641&lt;&gt;IF($C$3=1,12,$C$3-1),0,IF(繳費報酬率資料!$A$1&lt;&gt;1,VLOOKUP($A641,MP,8,0),IF(AND($A641&gt;=OP!$C$79,$A641&lt;=OP!$C$80),OP!$C$78,)))</f>
        <v>0</v>
      </c>
      <c r="AT641" s="298">
        <f t="shared" ca="1" si="352"/>
        <v>0</v>
      </c>
      <c r="AU641" s="298">
        <f ca="1">IF(AND(A641&lt;=OP!$C$120,COUNTIF(PAY,C641)=1),OP!$C$123,0)</f>
        <v>0</v>
      </c>
      <c r="AV641" s="298">
        <f ca="1">IF(AND(A641&gt;=OP!$C$132,A641&lt;=OP!$C$133,$C$3=C641),OP!$C$135,0)</f>
        <v>0</v>
      </c>
      <c r="AW641" s="180">
        <f t="shared" ca="1" si="353"/>
        <v>0.05</v>
      </c>
      <c r="AX641" s="180">
        <f t="shared" ca="1" si="354"/>
        <v>0.05</v>
      </c>
      <c r="AY641" s="286">
        <f t="shared" ca="1" si="355"/>
        <v>0</v>
      </c>
      <c r="AZ641" s="286">
        <f t="shared" ca="1" si="356"/>
        <v>0</v>
      </c>
      <c r="BA641" s="286">
        <f t="shared" ca="1" si="357"/>
        <v>0</v>
      </c>
      <c r="BB641" s="286">
        <f t="shared" ca="1" si="358"/>
        <v>0</v>
      </c>
      <c r="BC641" s="286">
        <f t="shared" ca="1" si="359"/>
        <v>0</v>
      </c>
      <c r="BD641" s="180">
        <f t="shared" ca="1" si="360"/>
        <v>0.05</v>
      </c>
      <c r="BE641" s="180">
        <f t="shared" ca="1" si="361"/>
        <v>0.05</v>
      </c>
      <c r="BF641" s="286">
        <f t="shared" ca="1" si="362"/>
        <v>0</v>
      </c>
      <c r="BG641" s="286">
        <f t="shared" ca="1" si="363"/>
        <v>0</v>
      </c>
    </row>
    <row r="642" spans="1:59">
      <c r="A642" s="1">
        <f t="shared" ca="1" si="342"/>
        <v>54</v>
      </c>
      <c r="B642" s="1">
        <f t="shared" ca="1" si="371"/>
        <v>159</v>
      </c>
      <c r="C642" s="1">
        <f t="shared" ca="1" si="372"/>
        <v>8</v>
      </c>
      <c r="D642" s="1">
        <f ca="1">MIN($D$3,VLOOKUP(C642,OP!$S$30:$T$41,2))</f>
        <v>2</v>
      </c>
      <c r="E642" s="1">
        <f t="shared" ca="1" si="373"/>
        <v>108</v>
      </c>
      <c r="F642" s="11" t="str">
        <f t="shared" ca="1" si="343"/>
        <v/>
      </c>
      <c r="G642" s="8">
        <f t="shared" ca="1" si="376"/>
        <v>365</v>
      </c>
      <c r="H642" s="8">
        <f t="shared" ca="1" si="345"/>
        <v>31</v>
      </c>
      <c r="I642" s="8" t="str">
        <f t="shared" ca="1" si="341"/>
        <v>548</v>
      </c>
      <c r="J642" s="13">
        <f>IF(繳費報酬率資料!$A$1=1,VALUE(OP!$C$121),VLOOKUP(A642,MP,2,0))</f>
        <v>0.05</v>
      </c>
      <c r="K642" s="14">
        <f ca="1">IF(SUM($K$4:K641,IF(繳費報酬率資料!$A$1=1,$AU642+$AV642,$BB642+$BC642))&gt;OP!$L$58,0,IF(繳費報酬率資料!$A$1=1,$AU642+$AV642,$BB642+$BC642))</f>
        <v>0</v>
      </c>
      <c r="L642" s="2"/>
      <c r="M642" s="2"/>
      <c r="N642" s="2"/>
      <c r="O642" s="261">
        <f t="shared" ca="1" si="346"/>
        <v>0</v>
      </c>
      <c r="P642" s="261">
        <f t="shared" ca="1" si="364"/>
        <v>0</v>
      </c>
      <c r="Q642" s="3">
        <f ca="1">IF(A642&gt;MAX(OP!$R$17:$R$26),0,VLOOKUP(A642,fees,3,FALSE))</f>
        <v>0</v>
      </c>
      <c r="R642" s="200" t="str">
        <f t="shared" ca="1" si="347"/>
        <v/>
      </c>
      <c r="S642" s="9" t="str">
        <f ca="1">IF(COUNTIF(($T$4:T641),"F")&gt;=1,"",IF(OR(C643&lt;&gt;$C$3,E642=""),"",A642))</f>
        <v/>
      </c>
      <c r="T642" s="20" t="str">
        <f t="shared" ca="1" si="374"/>
        <v/>
      </c>
      <c r="U642" s="2">
        <f ca="1">IF(IF(OP!$C$83=1,$Z641,IF(OP!$C$83=2,$AA641,IF(OP!$C$83=3,$AB641,)))+$K642-$O642-$P642-$AS642&lt;OP!$C$142,0,$AS642)</f>
        <v>0</v>
      </c>
      <c r="V642" s="9"/>
      <c r="W642" s="19">
        <f ca="1">MAX(SUM($K$4:K642),0)</f>
        <v>2000000</v>
      </c>
      <c r="X642" s="19"/>
      <c r="Y642" s="19">
        <f t="shared" ca="1" si="365"/>
        <v>1920000</v>
      </c>
      <c r="Z642" s="2">
        <f ca="1">IF(MIN($Z$4:Z641)=0,0,MAX(0,($Z641+$K642-$O642-$P642)*IF(AND(F642="F",$D$3&lt;&gt;$G$3),((1+(-J642))^(H642/MIN(G642,365))),((1+(-J642))^(1/12)))-$U642))</f>
        <v>125049.86013929997</v>
      </c>
      <c r="AA642" s="2">
        <f ca="1">IF(MIN($AA$4:AA641)=0,0,MAX(0,($AA641+$K642-$O642-$P642)*IF(AND(F642="F",$D$3&lt;&gt;$G$3),((1+$AA$1)^(H642/MIN(G642,365))),((1+$AA$1)^(1/12)))-$U642))</f>
        <v>1920000</v>
      </c>
      <c r="AB642" s="2">
        <f ca="1">IF(MIN($AB$4:AB641)=0,0,MAX(0,($AB641+$K642-$O642-$P642)*IF(AND(F642="F",$D$3&lt;&gt;$G$3),((1+(J642))^(H642/MIN(G642,365))),((1+(J642))^(1/12)))-$U642))</f>
        <v>25800694.961627375</v>
      </c>
      <c r="AC642" s="5"/>
      <c r="AD642" s="5"/>
      <c r="AE642" s="5"/>
      <c r="AF642" s="282">
        <f t="shared" ca="1" si="348"/>
        <v>125050</v>
      </c>
      <c r="AG642" s="282">
        <f t="shared" ca="1" si="349"/>
        <v>1920000</v>
      </c>
      <c r="AH642" s="282">
        <f t="shared" ca="1" si="350"/>
        <v>25800695</v>
      </c>
      <c r="AI642" s="23" t="str">
        <f t="shared" ca="1" si="366"/>
        <v>54-4</v>
      </c>
      <c r="AJ642" s="282">
        <f ca="1">IF(E642&gt;111,,IF(AND(OP!$C$99=1,T642="F"),Z642,IF(AND(OP!$C$99=2,COUNTIF($T$4:T642,"F")=1),OP!$C$97+IF(F642="F",OP!$C$98,0),"")))</f>
        <v>54527</v>
      </c>
      <c r="AK642" s="282">
        <f ca="1">IF(E642&gt;111,,IF(AND(OP!$D$99=1,T642="F"),AA642,IF(AND(OP!$D$99=2,COUNTIF($T$4:T642,"F")=1),OP!$D$97+IF(F642="F",OP!$D$98,0),"")))</f>
        <v>74177</v>
      </c>
      <c r="AL642" s="282">
        <f ca="1">IF(E642&gt;111,,IF(AND(OP!$E$99=1,T642="F"),AB642,IF(AND(OP!$E$99=2,COUNTIF($T$4:T642,"F")=1),OP!$E$97+IF(F642="F",OP!$E$98,0),"")))</f>
        <v>99404</v>
      </c>
      <c r="AM642" s="1">
        <f t="shared" ca="1" si="375"/>
        <v>4</v>
      </c>
      <c r="AN642" s="1" t="e">
        <f ca="1">IF(OR(VLOOKUP($A642,MP,5,0)="月繳"),1,"")</f>
        <v>#N/A</v>
      </c>
      <c r="AO642" s="1">
        <f t="shared" ca="1" si="351"/>
        <v>0</v>
      </c>
      <c r="AP642" s="1" t="str">
        <f ca="1">IF(AND(A642&lt;=OP!$C$120,COUNTIF(PAY,C642)=1),1,"")</f>
        <v/>
      </c>
      <c r="AR642" s="301">
        <f ca="1">IF(繳費報酬率資料!$A$1=1,$AY642+$AZ642,$BF642+$BG642)</f>
        <v>0</v>
      </c>
      <c r="AS642" s="1">
        <f ca="1">IF(C642&lt;&gt;IF($C$3=1,12,$C$3-1),0,IF(繳費報酬率資料!$A$1&lt;&gt;1,VLOOKUP($A642,MP,8,0),IF(AND($A642&gt;=OP!$C$79,$A642&lt;=OP!$C$80),OP!$C$78,)))</f>
        <v>0</v>
      </c>
      <c r="AT642" s="298">
        <f t="shared" ca="1" si="352"/>
        <v>0</v>
      </c>
      <c r="AU642" s="298">
        <f ca="1">IF(AND(A642&lt;=OP!$C$120,COUNTIF(PAY,C642)=1),OP!$C$123,0)</f>
        <v>0</v>
      </c>
      <c r="AV642" s="298">
        <f ca="1">IF(AND(A642&gt;=OP!$C$132,A642&lt;=OP!$C$133,$C$3=C642),OP!$C$135,0)</f>
        <v>0</v>
      </c>
      <c r="AW642" s="180">
        <f t="shared" ca="1" si="353"/>
        <v>0.05</v>
      </c>
      <c r="AX642" s="180">
        <f t="shared" ca="1" si="354"/>
        <v>0.05</v>
      </c>
      <c r="AY642" s="286">
        <f t="shared" ca="1" si="355"/>
        <v>0</v>
      </c>
      <c r="AZ642" s="286">
        <f t="shared" ca="1" si="356"/>
        <v>0</v>
      </c>
      <c r="BA642" s="286">
        <f t="shared" ca="1" si="357"/>
        <v>0</v>
      </c>
      <c r="BB642" s="286">
        <f t="shared" ca="1" si="358"/>
        <v>0</v>
      </c>
      <c r="BC642" s="286">
        <f t="shared" ca="1" si="359"/>
        <v>0</v>
      </c>
      <c r="BD642" s="180">
        <f t="shared" ca="1" si="360"/>
        <v>0.05</v>
      </c>
      <c r="BE642" s="180">
        <f t="shared" ca="1" si="361"/>
        <v>0.05</v>
      </c>
      <c r="BF642" s="286">
        <f t="shared" ca="1" si="362"/>
        <v>0</v>
      </c>
      <c r="BG642" s="286">
        <f t="shared" ca="1" si="363"/>
        <v>0</v>
      </c>
    </row>
    <row r="643" spans="1:59">
      <c r="A643" s="1">
        <f t="shared" ca="1" si="342"/>
        <v>54</v>
      </c>
      <c r="B643" s="1">
        <f t="shared" ca="1" si="371"/>
        <v>159</v>
      </c>
      <c r="C643" s="1">
        <f t="shared" ca="1" si="372"/>
        <v>9</v>
      </c>
      <c r="D643" s="1">
        <f ca="1">MIN($D$3,VLOOKUP(C643,OP!$S$30:$T$41,2))</f>
        <v>2</v>
      </c>
      <c r="E643" s="1">
        <f t="shared" ca="1" si="373"/>
        <v>108</v>
      </c>
      <c r="F643" s="11" t="str">
        <f t="shared" ca="1" si="343"/>
        <v/>
      </c>
      <c r="G643" s="8">
        <f t="shared" ca="1" si="376"/>
        <v>365</v>
      </c>
      <c r="H643" s="8">
        <f t="shared" ca="1" si="345"/>
        <v>30</v>
      </c>
      <c r="I643" s="8" t="str">
        <f t="shared" ca="1" si="341"/>
        <v>549</v>
      </c>
      <c r="J643" s="13">
        <f>IF(繳費報酬率資料!$A$1=1,VALUE(OP!$C$121),VLOOKUP(A643,MP,2,0))</f>
        <v>0.05</v>
      </c>
      <c r="K643" s="14">
        <f ca="1">IF(SUM($K$4:K642,IF(繳費報酬率資料!$A$1=1,$AU643+$AV643,$BB643+$BC643))&gt;OP!$L$58,0,IF(繳費報酬率資料!$A$1=1,$AU643+$AV643,$BB643+$BC643))</f>
        <v>0</v>
      </c>
      <c r="L643" s="2"/>
      <c r="M643" s="2"/>
      <c r="N643" s="2"/>
      <c r="O643" s="261">
        <f t="shared" ca="1" si="346"/>
        <v>0</v>
      </c>
      <c r="P643" s="261">
        <f t="shared" ca="1" si="364"/>
        <v>0</v>
      </c>
      <c r="Q643" s="3">
        <f ca="1">IF(A643&gt;MAX(OP!$R$17:$R$26),0,VLOOKUP(A643,fees,3,FALSE))</f>
        <v>0</v>
      </c>
      <c r="R643" s="200" t="str">
        <f t="shared" ca="1" si="347"/>
        <v/>
      </c>
      <c r="S643" s="9" t="str">
        <f ca="1">IF(COUNTIF(($T$4:T642),"F")&gt;=1,"",IF(OR(C644&lt;&gt;$C$3,E643=""),"",A643))</f>
        <v/>
      </c>
      <c r="T643" s="20" t="str">
        <f t="shared" ca="1" si="374"/>
        <v/>
      </c>
      <c r="U643" s="2">
        <f ca="1">IF(IF(OP!$C$83=1,$Z642,IF(OP!$C$83=2,$AA642,IF(OP!$C$83=3,$AB642,)))+$K643-$O643-$P643-$AS643&lt;OP!$C$142,0,$AS643)</f>
        <v>0</v>
      </c>
      <c r="V643" s="9"/>
      <c r="W643" s="19">
        <f ca="1">MAX(SUM($K$4:K643),0)</f>
        <v>2000000</v>
      </c>
      <c r="X643" s="19"/>
      <c r="Y643" s="19">
        <f t="shared" ca="1" si="365"/>
        <v>1920000</v>
      </c>
      <c r="Z643" s="2">
        <f ca="1">IF(MIN($Z$4:Z642)=0,0,MAX(0,($Z642+$K643-$O643-$P643)*IF(AND(F643="F",$D$3&lt;&gt;$G$3),((1+(-J643))^(H643/MIN(G643,365))),((1+(-J643))^(1/12)))-$U643))</f>
        <v>124516.48262271649</v>
      </c>
      <c r="AA643" s="2">
        <f ca="1">IF(MIN($AA$4:AA642)=0,0,MAX(0,($AA642+$K643-$O643-$P643)*IF(AND(F643="F",$D$3&lt;&gt;$G$3),((1+$AA$1)^(H643/MIN(G643,365))),((1+$AA$1)^(1/12)))-$U643))</f>
        <v>1920000</v>
      </c>
      <c r="AB643" s="2">
        <f ca="1">IF(MIN($AB$4:AB642)=0,0,MAX(0,($AB642+$K643-$O643-$P643)*IF(AND(F643="F",$D$3&lt;&gt;$G$3),((1+(J643))^(H643/MIN(G643,365))),((1+(J643))^(1/12)))-$U643))</f>
        <v>25905810.186605196</v>
      </c>
      <c r="AC643" s="5"/>
      <c r="AD643" s="5"/>
      <c r="AE643" s="5"/>
      <c r="AF643" s="282">
        <f t="shared" ca="1" si="348"/>
        <v>124516</v>
      </c>
      <c r="AG643" s="282">
        <f t="shared" ca="1" si="349"/>
        <v>1920000</v>
      </c>
      <c r="AH643" s="282">
        <f t="shared" ca="1" si="350"/>
        <v>25905810</v>
      </c>
      <c r="AI643" s="23" t="str">
        <f t="shared" ca="1" si="366"/>
        <v>54-5</v>
      </c>
      <c r="AJ643" s="282">
        <f ca="1">IF(E643&gt;111,,IF(AND(OP!$C$99=1,T643="F"),Z643,IF(AND(OP!$C$99=2,COUNTIF($T$4:T643,"F")=1),OP!$C$97+IF(F643="F",OP!$C$98,0),"")))</f>
        <v>54527</v>
      </c>
      <c r="AK643" s="282">
        <f ca="1">IF(E643&gt;111,,IF(AND(OP!$D$99=1,T643="F"),AA643,IF(AND(OP!$D$99=2,COUNTIF($T$4:T643,"F")=1),OP!$D$97+IF(F643="F",OP!$D$98,0),"")))</f>
        <v>74177</v>
      </c>
      <c r="AL643" s="282">
        <f ca="1">IF(E643&gt;111,,IF(AND(OP!$E$99=1,T643="F"),AB643,IF(AND(OP!$E$99=2,COUNTIF($T$4:T643,"F")=1),OP!$E$97+IF(F643="F",OP!$E$98,0),"")))</f>
        <v>99404</v>
      </c>
      <c r="AM643" s="1">
        <f t="shared" ca="1" si="375"/>
        <v>5</v>
      </c>
      <c r="AN643" s="1" t="e">
        <f ca="1">IF(OR(VLOOKUP($A643,MP,5,0)="季繳",VLOOKUP($A643,MP,5,0)="月繳"),1,"")</f>
        <v>#N/A</v>
      </c>
      <c r="AO643" s="1">
        <f t="shared" ca="1" si="351"/>
        <v>0</v>
      </c>
      <c r="AP643" s="1" t="str">
        <f ca="1">IF(AND(A643&lt;=OP!$C$120,COUNTIF(PAY,C643)=1),1,"")</f>
        <v/>
      </c>
      <c r="AR643" s="301">
        <f ca="1">IF(繳費報酬率資料!$A$1=1,$AY643+$AZ643,$BF643+$BG643)</f>
        <v>0</v>
      </c>
      <c r="AS643" s="1">
        <f ca="1">IF(C643&lt;&gt;IF($C$3=1,12,$C$3-1),0,IF(繳費報酬率資料!$A$1&lt;&gt;1,VLOOKUP($A643,MP,8,0),IF(AND($A643&gt;=OP!$C$79,$A643&lt;=OP!$C$80),OP!$C$78,)))</f>
        <v>0</v>
      </c>
      <c r="AT643" s="298">
        <f t="shared" ca="1" si="352"/>
        <v>0</v>
      </c>
      <c r="AU643" s="298">
        <f ca="1">IF(AND(A643&lt;=OP!$C$120,COUNTIF(PAY,C643)=1),OP!$C$123,0)</f>
        <v>0</v>
      </c>
      <c r="AV643" s="298">
        <f ca="1">IF(AND(A643&gt;=OP!$C$132,A643&lt;=OP!$C$133,$C$3=C643),OP!$C$135,0)</f>
        <v>0</v>
      </c>
      <c r="AW643" s="180">
        <f t="shared" ca="1" si="353"/>
        <v>0.05</v>
      </c>
      <c r="AX643" s="180">
        <f t="shared" ca="1" si="354"/>
        <v>0.05</v>
      </c>
      <c r="AY643" s="286">
        <f t="shared" ca="1" si="355"/>
        <v>0</v>
      </c>
      <c r="AZ643" s="286">
        <f t="shared" ca="1" si="356"/>
        <v>0</v>
      </c>
      <c r="BA643" s="286">
        <f t="shared" ca="1" si="357"/>
        <v>0</v>
      </c>
      <c r="BB643" s="286">
        <f t="shared" ca="1" si="358"/>
        <v>0</v>
      </c>
      <c r="BC643" s="286">
        <f t="shared" ca="1" si="359"/>
        <v>0</v>
      </c>
      <c r="BD643" s="180">
        <f t="shared" ca="1" si="360"/>
        <v>0.05</v>
      </c>
      <c r="BE643" s="180">
        <f t="shared" ca="1" si="361"/>
        <v>0.05</v>
      </c>
      <c r="BF643" s="286">
        <f t="shared" ca="1" si="362"/>
        <v>0</v>
      </c>
      <c r="BG643" s="286">
        <f t="shared" ca="1" si="363"/>
        <v>0</v>
      </c>
    </row>
    <row r="644" spans="1:59">
      <c r="A644" s="1">
        <f t="shared" ca="1" si="342"/>
        <v>54</v>
      </c>
      <c r="B644" s="1">
        <f t="shared" ca="1" si="371"/>
        <v>159</v>
      </c>
      <c r="C644" s="1">
        <f t="shared" ca="1" si="372"/>
        <v>10</v>
      </c>
      <c r="D644" s="1">
        <f ca="1">MIN($D$3,VLOOKUP(C644,OP!$S$30:$T$41,2))</f>
        <v>2</v>
      </c>
      <c r="E644" s="1">
        <f t="shared" ca="1" si="373"/>
        <v>108</v>
      </c>
      <c r="F644" s="11" t="str">
        <f t="shared" ca="1" si="343"/>
        <v/>
      </c>
      <c r="G644" s="8">
        <f t="shared" ca="1" si="376"/>
        <v>365</v>
      </c>
      <c r="H644" s="8">
        <f t="shared" ca="1" si="345"/>
        <v>31</v>
      </c>
      <c r="I644" s="8" t="str">
        <f t="shared" ref="I644:I707" ca="1" si="377">A644&amp;C644</f>
        <v>5410</v>
      </c>
      <c r="J644" s="13">
        <f>IF(繳費報酬率資料!$A$1=1,VALUE(OP!$C$121),VLOOKUP(A644,MP,2,0))</f>
        <v>0.05</v>
      </c>
      <c r="K644" s="14">
        <f ca="1">IF(SUM($K$4:K643,IF(繳費報酬率資料!$A$1=1,$AU644+$AV644,$BB644+$BC644))&gt;OP!$L$58,0,IF(繳費報酬率資料!$A$1=1,$AU644+$AV644,$BB644+$BC644))</f>
        <v>0</v>
      </c>
      <c r="L644" s="2"/>
      <c r="M644" s="2"/>
      <c r="N644" s="2"/>
      <c r="O644" s="261">
        <f t="shared" ca="1" si="346"/>
        <v>0</v>
      </c>
      <c r="P644" s="261">
        <f t="shared" ca="1" si="364"/>
        <v>0</v>
      </c>
      <c r="Q644" s="3">
        <f ca="1">IF(A644&gt;MAX(OP!$R$17:$R$26),0,VLOOKUP(A644,fees,3,FALSE))</f>
        <v>0</v>
      </c>
      <c r="R644" s="200" t="str">
        <f t="shared" ca="1" si="347"/>
        <v/>
      </c>
      <c r="S644" s="9" t="str">
        <f ca="1">IF(COUNTIF(($T$4:T643),"F")&gt;=1,"",IF(OR(C645&lt;&gt;$C$3,E644=""),"",A644))</f>
        <v/>
      </c>
      <c r="T644" s="20" t="str">
        <f t="shared" ca="1" si="374"/>
        <v/>
      </c>
      <c r="U644" s="2">
        <f ca="1">IF(IF(OP!$C$83=1,$Z643,IF(OP!$C$83=2,$AA643,IF(OP!$C$83=3,$AB643,)))+$K644-$O644-$P644-$AS644&lt;OP!$C$142,0,$AS644)</f>
        <v>0</v>
      </c>
      <c r="V644" s="9"/>
      <c r="W644" s="19">
        <f ca="1">MAX(SUM($K$4:K644),0)</f>
        <v>2000000</v>
      </c>
      <c r="X644" s="19"/>
      <c r="Y644" s="19">
        <f t="shared" ca="1" si="365"/>
        <v>1920000</v>
      </c>
      <c r="Z644" s="2">
        <f ca="1">IF(MIN($Z$4:Z643)=0,0,MAX(0,($Z643+$K644-$O644-$P644)*IF(AND(F644="F",$D$3&lt;&gt;$G$3),((1+(-J644))^(H644/MIN(G644,365))),((1+(-J644))^(1/12)))-$U644))</f>
        <v>123985.38013127001</v>
      </c>
      <c r="AA644" s="2">
        <f ca="1">IF(MIN($AA$4:AA643)=0,0,MAX(0,($AA643+$K644-$O644-$P644)*IF(AND(F644="F",$D$3&lt;&gt;$G$3),((1+$AA$1)^(H644/MIN(G644,365))),((1+$AA$1)^(1/12)))-$U644))</f>
        <v>1920000</v>
      </c>
      <c r="AB644" s="2">
        <f ca="1">IF(MIN($AB$4:AB643)=0,0,MAX(0,($AB643+$K644-$O644-$P644)*IF(AND(F644="F",$D$3&lt;&gt;$G$3),((1+(J644))^(H644/MIN(G644,365))),((1+(J644))^(1/12)))-$U644))</f>
        <v>26011353.664021123</v>
      </c>
      <c r="AC644" s="5"/>
      <c r="AD644" s="5"/>
      <c r="AE644" s="5"/>
      <c r="AF644" s="282">
        <f t="shared" ca="1" si="348"/>
        <v>123985</v>
      </c>
      <c r="AG644" s="282">
        <f t="shared" ca="1" si="349"/>
        <v>1920000</v>
      </c>
      <c r="AH644" s="282">
        <f t="shared" ca="1" si="350"/>
        <v>26011354</v>
      </c>
      <c r="AI644" s="23" t="str">
        <f t="shared" ca="1" si="366"/>
        <v>54-6</v>
      </c>
      <c r="AJ644" s="282">
        <f ca="1">IF(E644&gt;111,,IF(AND(OP!$C$99=1,T644="F"),Z644,IF(AND(OP!$C$99=2,COUNTIF($T$4:T644,"F")=1),OP!$C$97+IF(F644="F",OP!$C$98,0),"")))</f>
        <v>54527</v>
      </c>
      <c r="AK644" s="282">
        <f ca="1">IF(E644&gt;111,,IF(AND(OP!$D$99=1,T644="F"),AA644,IF(AND(OP!$D$99=2,COUNTIF($T$4:T644,"F")=1),OP!$D$97+IF(F644="F",OP!$D$98,0),"")))</f>
        <v>74177</v>
      </c>
      <c r="AL644" s="282">
        <f ca="1">IF(E644&gt;111,,IF(AND(OP!$E$99=1,T644="F"),AB644,IF(AND(OP!$E$99=2,COUNTIF($T$4:T644,"F")=1),OP!$E$97+IF(F644="F",OP!$E$98,0),"")))</f>
        <v>99404</v>
      </c>
      <c r="AM644" s="1">
        <f t="shared" ca="1" si="375"/>
        <v>6</v>
      </c>
      <c r="AN644" s="1" t="e">
        <f ca="1">IF(OR(VLOOKUP($A644,MP,5,0)="月繳"),1,"")</f>
        <v>#N/A</v>
      </c>
      <c r="AO644" s="1">
        <f t="shared" ca="1" si="351"/>
        <v>0</v>
      </c>
      <c r="AP644" s="1" t="str">
        <f ca="1">IF(AND(A644&lt;=OP!$C$120,COUNTIF(PAY,C644)=1),1,"")</f>
        <v/>
      </c>
      <c r="AR644" s="301">
        <f ca="1">IF(繳費報酬率資料!$A$1=1,$AY644+$AZ644,$BF644+$BG644)</f>
        <v>0</v>
      </c>
      <c r="AS644" s="1">
        <f ca="1">IF(C644&lt;&gt;IF($C$3=1,12,$C$3-1),0,IF(繳費報酬率資料!$A$1&lt;&gt;1,VLOOKUP($A644,MP,8,0),IF(AND($A644&gt;=OP!$C$79,$A644&lt;=OP!$C$80),OP!$C$78,)))</f>
        <v>0</v>
      </c>
      <c r="AT644" s="298">
        <f t="shared" ca="1" si="352"/>
        <v>0</v>
      </c>
      <c r="AU644" s="298">
        <f ca="1">IF(AND(A644&lt;=OP!$C$120,COUNTIF(PAY,C644)=1),OP!$C$123,0)</f>
        <v>0</v>
      </c>
      <c r="AV644" s="298">
        <f ca="1">IF(AND(A644&gt;=OP!$C$132,A644&lt;=OP!$C$133,$C$3=C644),OP!$C$135,0)</f>
        <v>0</v>
      </c>
      <c r="AW644" s="180">
        <f t="shared" ca="1" si="353"/>
        <v>0.05</v>
      </c>
      <c r="AX644" s="180">
        <f t="shared" ca="1" si="354"/>
        <v>0.05</v>
      </c>
      <c r="AY644" s="286">
        <f t="shared" ca="1" si="355"/>
        <v>0</v>
      </c>
      <c r="AZ644" s="286">
        <f t="shared" ca="1" si="356"/>
        <v>0</v>
      </c>
      <c r="BA644" s="286">
        <f t="shared" ca="1" si="357"/>
        <v>0</v>
      </c>
      <c r="BB644" s="286">
        <f t="shared" ca="1" si="358"/>
        <v>0</v>
      </c>
      <c r="BC644" s="286">
        <f t="shared" ca="1" si="359"/>
        <v>0</v>
      </c>
      <c r="BD644" s="180">
        <f t="shared" ca="1" si="360"/>
        <v>0.05</v>
      </c>
      <c r="BE644" s="180">
        <f t="shared" ca="1" si="361"/>
        <v>0.05</v>
      </c>
      <c r="BF644" s="286">
        <f t="shared" ca="1" si="362"/>
        <v>0</v>
      </c>
      <c r="BG644" s="286">
        <f t="shared" ca="1" si="363"/>
        <v>0</v>
      </c>
    </row>
    <row r="645" spans="1:59">
      <c r="A645" s="1">
        <f t="shared" ref="A645:A708" ca="1" si="378">IF(C645=$C$4,A644+1,A644)</f>
        <v>54</v>
      </c>
      <c r="B645" s="1">
        <f t="shared" ca="1" si="371"/>
        <v>159</v>
      </c>
      <c r="C645" s="1">
        <f t="shared" ca="1" si="372"/>
        <v>11</v>
      </c>
      <c r="D645" s="1">
        <f ca="1">MIN($D$3,VLOOKUP(C645,OP!$S$30:$T$41,2))</f>
        <v>2</v>
      </c>
      <c r="E645" s="1">
        <f t="shared" ca="1" si="373"/>
        <v>108</v>
      </c>
      <c r="F645" s="11" t="str">
        <f t="shared" ref="F645:F708" ca="1" si="379">IF(AND(DATE($E$3+1911,$F$3,$G$3)&gt;DATE(B645+1911,C645,D645),DATE($E$3+1911,$F$3,$G$3)&lt;=DATE(B646+1911,C646,D646)),"F","")</f>
        <v/>
      </c>
      <c r="G645" s="8">
        <f t="shared" ca="1" si="376"/>
        <v>365</v>
      </c>
      <c r="H645" s="8">
        <f t="shared" ref="H645:H708" ca="1" si="380">DATEDIF(DATE(B645+1911,C645,D645),IF(F645="F",DATE($E$3+1911,$F$3,$G$3),DATE(B646+1911,C646,D646)),"d")</f>
        <v>30</v>
      </c>
      <c r="I645" s="8" t="str">
        <f t="shared" ca="1" si="377"/>
        <v>5411</v>
      </c>
      <c r="J645" s="13">
        <f>IF(繳費報酬率資料!$A$1=1,VALUE(OP!$C$121),VLOOKUP(A645,MP,2,0))</f>
        <v>0.05</v>
      </c>
      <c r="K645" s="14">
        <f ca="1">IF(SUM($K$4:K644,IF(繳費報酬率資料!$A$1=1,$AU645+$AV645,$BB645+$BC645))&gt;OP!$L$58,0,IF(繳費報酬率資料!$A$1=1,$AU645+$AV645,$BB645+$BC645))</f>
        <v>0</v>
      </c>
      <c r="L645" s="2"/>
      <c r="M645" s="2"/>
      <c r="N645" s="2"/>
      <c r="O645" s="261">
        <f t="shared" ref="O645:O708" ca="1" si="381">IF(K645=0,0,$AR645)</f>
        <v>0</v>
      </c>
      <c r="P645" s="261">
        <f t="shared" ca="1" si="364"/>
        <v>0</v>
      </c>
      <c r="Q645" s="3">
        <f ca="1">IF(A645&gt;MAX(OP!$R$17:$R$26),0,VLOOKUP(A645,fees,3,FALSE))</f>
        <v>0</v>
      </c>
      <c r="R645" s="200" t="str">
        <f t="shared" ref="R645:R708" ca="1" si="382">IF(OR(C646&lt;&gt;$C$3,E645=""),"",A645)</f>
        <v/>
      </c>
      <c r="S645" s="9" t="str">
        <f ca="1">IF(COUNTIF(($T$4:T644),"F")&gt;=1,"",IF(OR(C646&lt;&gt;$C$3,E645=""),"",A645))</f>
        <v/>
      </c>
      <c r="T645" s="20" t="str">
        <f t="shared" ca="1" si="374"/>
        <v/>
      </c>
      <c r="U645" s="2">
        <f ca="1">IF(IF(OP!$C$83=1,$Z644,IF(OP!$C$83=2,$AA644,IF(OP!$C$83=3,$AB644,)))+$K645-$O645-$P645-$AS645&lt;OP!$C$142,0,$AS645)</f>
        <v>0</v>
      </c>
      <c r="V645" s="9"/>
      <c r="W645" s="19">
        <f ca="1">MAX(SUM($K$4:K645),0)</f>
        <v>2000000</v>
      </c>
      <c r="X645" s="19"/>
      <c r="Y645" s="19">
        <f t="shared" ca="1" si="365"/>
        <v>1920000</v>
      </c>
      <c r="Z645" s="2">
        <f ca="1">IF(MIN($Z$4:Z644)=0,0,MAX(0,($Z644+$K645-$O645-$P645)*IF(AND(F645="F",$D$3&lt;&gt;$G$3),((1+(-J645))^(H645/MIN(G645,365))),((1+(-J645))^(1/12)))-$U645))</f>
        <v>123456.54296125312</v>
      </c>
      <c r="AA645" s="2">
        <f ca="1">IF(MIN($AA$4:AA644)=0,0,MAX(0,($AA644+$K645-$O645-$P645)*IF(AND(F645="F",$D$3&lt;&gt;$G$3),((1+$AA$1)^(H645/MIN(G645,365))),((1+$AA$1)^(1/12)))-$U645))</f>
        <v>1920000</v>
      </c>
      <c r="AB645" s="2">
        <f ca="1">IF(MIN($AB$4:AB644)=0,0,MAX(0,($AB644+$K645-$O645-$P645)*IF(AND(F645="F",$D$3&lt;&gt;$G$3),((1+(J645))^(H645/MIN(G645,365))),((1+(J645))^(1/12)))-$U645))</f>
        <v>26117327.138628602</v>
      </c>
      <c r="AC645" s="5"/>
      <c r="AD645" s="5"/>
      <c r="AE645" s="5"/>
      <c r="AF645" s="282">
        <f t="shared" ref="AF645:AF708" ca="1" si="383">ROUND(Z645*(1-$Q645),$AF$1)</f>
        <v>123457</v>
      </c>
      <c r="AG645" s="282">
        <f t="shared" ref="AG645:AG708" ca="1" si="384">ROUND(AA645*(1-$Q645),$AF$1)</f>
        <v>1920000</v>
      </c>
      <c r="AH645" s="282">
        <f t="shared" ref="AH645:AH708" ca="1" si="385">ROUND(AB645*(1-$Q645),$AF$1)</f>
        <v>26117327</v>
      </c>
      <c r="AI645" s="23" t="str">
        <f t="shared" ca="1" si="366"/>
        <v>54-7</v>
      </c>
      <c r="AJ645" s="282">
        <f ca="1">IF(E645&gt;111,,IF(AND(OP!$C$99=1,T645="F"),Z645,IF(AND(OP!$C$99=2,COUNTIF($T$4:T645,"F")=1),OP!$C$97+IF(F645="F",OP!$C$98,0),"")))</f>
        <v>54527</v>
      </c>
      <c r="AK645" s="282">
        <f ca="1">IF(E645&gt;111,,IF(AND(OP!$D$99=1,T645="F"),AA645,IF(AND(OP!$D$99=2,COUNTIF($T$4:T645,"F")=1),OP!$D$97+IF(F645="F",OP!$D$98,0),"")))</f>
        <v>74177</v>
      </c>
      <c r="AL645" s="282">
        <f ca="1">IF(E645&gt;111,,IF(AND(OP!$E$99=1,T645="F"),AB645,IF(AND(OP!$E$99=2,COUNTIF($T$4:T645,"F")=1),OP!$E$97+IF(F645="F",OP!$E$98,0),"")))</f>
        <v>99404</v>
      </c>
      <c r="AM645" s="1">
        <f t="shared" ca="1" si="375"/>
        <v>7</v>
      </c>
      <c r="AN645" s="1" t="e">
        <f ca="1">IF(OR(VLOOKUP($A645,MP,5,0)="月繳"),1,"")</f>
        <v>#N/A</v>
      </c>
      <c r="AO645" s="1">
        <f t="shared" ref="AO645:AO708" ca="1" si="386">IF(ISNA(VLOOKUP(A645,MP,2,0)),,IF(C645=$C$3,ROUND(VLOOKUP(A645,MP,4,0),0),0)+IF(AN645=1,ROUND(VLOOKUP(A645,MP,6,0),0),0))</f>
        <v>0</v>
      </c>
      <c r="AP645" s="1" t="str">
        <f ca="1">IF(AND(A645&lt;=OP!$C$120,COUNTIF(PAY,C645)=1),1,"")</f>
        <v/>
      </c>
      <c r="AR645" s="301">
        <f ca="1">IF(繳費報酬率資料!$A$1=1,$AY645+$AZ645,$BF645+$BG645)</f>
        <v>0</v>
      </c>
      <c r="AS645" s="1">
        <f ca="1">IF(C645&lt;&gt;IF($C$3=1,12,$C$3-1),0,IF(繳費報酬率資料!$A$1&lt;&gt;1,VLOOKUP($A645,MP,8,0),IF(AND($A645&gt;=OP!$C$79,$A645&lt;=OP!$C$80),OP!$C$78,)))</f>
        <v>0</v>
      </c>
      <c r="AT645" s="298">
        <f t="shared" ref="AT645:AT708" ca="1" si="387">AU645+AV645</f>
        <v>0</v>
      </c>
      <c r="AU645" s="298">
        <f ca="1">IF(AND(A645&lt;=OP!$C$120,COUNTIF(PAY,C645)=1),OP!$C$123,0)</f>
        <v>0</v>
      </c>
      <c r="AV645" s="298">
        <f ca="1">IF(AND(A645&gt;=OP!$C$132,A645&lt;=OP!$C$133,$C$3=C645),OP!$C$135,0)</f>
        <v>0</v>
      </c>
      <c r="AW645" s="180">
        <f t="shared" ref="AW645:AW708" ca="1" si="388">HLOOKUP(IF($AU645&lt;$AY$1,1,IF(AND($AU645&gt;=$AY$1,$AU645&lt;$AZ$1),2,IF(AND($AU645&gt;=$AZ$1,$AU645&lt;$BA$1),3,IF(AND($AU645&gt;=$BA$1),4,1)))),PR,2,0)</f>
        <v>0.05</v>
      </c>
      <c r="AX645" s="180">
        <f t="shared" ref="AX645:AX708" ca="1" si="389">HLOOKUP(IF($AV645&lt;$AY$1,1,IF(AND($AV645&gt;=$AY$1,$AV645&lt;$AZ$1),2,IF(AND($AV645&gt;=$AZ$1,$AV645&lt;$BA$1),3,IF(AND($AV645&gt;=$BA$1),4,1)))),PR,2,0)</f>
        <v>0.05</v>
      </c>
      <c r="AY645" s="286">
        <f t="shared" ref="AY645:AY708" ca="1" si="390">ROUND(AU645*AW645,0)</f>
        <v>0</v>
      </c>
      <c r="AZ645" s="286">
        <f t="shared" ref="AZ645:AZ708" ca="1" si="391">ROUND(AV645*AX645,0)</f>
        <v>0</v>
      </c>
      <c r="BA645" s="286">
        <f t="shared" ref="BA645:BA708" ca="1" si="392">BB645+BC645</f>
        <v>0</v>
      </c>
      <c r="BB645" s="286">
        <f t="shared" ref="BB645:BB708" ca="1" si="393">IF(ISNA(VLOOKUP(A645,MP,2,0)),,IF(C645=$C$3,ROUND(VLOOKUP(A645,MP,6,0),0),0))</f>
        <v>0</v>
      </c>
      <c r="BC645" s="286">
        <f t="shared" ref="BC645:BC708" ca="1" si="394">IF(ISNA(VLOOKUP(A645,MP,4,0)),,IF(AND(C645=$C$3,AN645=1),ROUND(VLOOKUP(A645,MP,4,0),0),0))</f>
        <v>0</v>
      </c>
      <c r="BD645" s="180">
        <f t="shared" ref="BD645:BD708" ca="1" si="395">HLOOKUP(IF($BB645&lt;$AY$1,1,IF(AND($BB645&gt;=$AY$1,$BB645&lt;$AZ$1),2,IF(AND($BB645&gt;=$AZ$1,$BB645&lt;$BA$1),3,IF(AND($BB645&gt;=$BA$1),4,1)))),PR,2,0)</f>
        <v>0.05</v>
      </c>
      <c r="BE645" s="180">
        <f t="shared" ref="BE645:BE708" ca="1" si="396">HLOOKUP(IF($BC645&lt;$AY$1,1,IF(AND($BC645&gt;=$AY$1,$BC645&lt;$AZ$1),2,IF(AND($BC645&gt;=$AZ$1,$BC645&lt;$BA$1),3,IF(AND($BC645&gt;=$BA$1),4,1)))),PR,2,0)</f>
        <v>0.05</v>
      </c>
      <c r="BF645" s="286">
        <f t="shared" ref="BF645:BF708" ca="1" si="397">ROUND(BB645*BD645,0)</f>
        <v>0</v>
      </c>
      <c r="BG645" s="286">
        <f t="shared" ref="BG645:BG708" ca="1" si="398">ROUND(BC645*BE645,0)</f>
        <v>0</v>
      </c>
    </row>
    <row r="646" spans="1:59">
      <c r="A646" s="1">
        <f t="shared" ca="1" si="378"/>
        <v>54</v>
      </c>
      <c r="B646" s="1">
        <f t="shared" ca="1" si="371"/>
        <v>159</v>
      </c>
      <c r="C646" s="1">
        <f t="shared" ca="1" si="372"/>
        <v>12</v>
      </c>
      <c r="D646" s="1">
        <f ca="1">MIN($D$3,VLOOKUP(C646,OP!$S$30:$T$41,2))</f>
        <v>2</v>
      </c>
      <c r="E646" s="1">
        <f t="shared" ca="1" si="373"/>
        <v>108</v>
      </c>
      <c r="F646" s="11" t="str">
        <f t="shared" ca="1" si="379"/>
        <v/>
      </c>
      <c r="G646" s="8">
        <f t="shared" ca="1" si="376"/>
        <v>365</v>
      </c>
      <c r="H646" s="8">
        <f t="shared" ca="1" si="380"/>
        <v>31</v>
      </c>
      <c r="I646" s="8" t="str">
        <f t="shared" ca="1" si="377"/>
        <v>5412</v>
      </c>
      <c r="J646" s="13">
        <f>IF(繳費報酬率資料!$A$1=1,VALUE(OP!$C$121),VLOOKUP(A646,MP,2,0))</f>
        <v>0.05</v>
      </c>
      <c r="K646" s="14">
        <f ca="1">IF(SUM($K$4:K645,IF(繳費報酬率資料!$A$1=1,$AU646+$AV646,$BB646+$BC646))&gt;OP!$L$58,0,IF(繳費報酬率資料!$A$1=1,$AU646+$AV646,$BB646+$BC646))</f>
        <v>0</v>
      </c>
      <c r="L646" s="2"/>
      <c r="M646" s="2"/>
      <c r="N646" s="2"/>
      <c r="O646" s="261">
        <f t="shared" ca="1" si="381"/>
        <v>0</v>
      </c>
      <c r="P646" s="261">
        <f t="shared" ref="P646:P709" ca="1" si="399">IF(MAX(Z645:AB645)=0,0,P645)</f>
        <v>0</v>
      </c>
      <c r="Q646" s="3">
        <f ca="1">IF(A646&gt;MAX(OP!$R$17:$R$26),0,VLOOKUP(A646,fees,3,FALSE))</f>
        <v>0</v>
      </c>
      <c r="R646" s="200" t="str">
        <f t="shared" ca="1" si="382"/>
        <v/>
      </c>
      <c r="S646" s="9" t="str">
        <f ca="1">IF(COUNTIF(($T$4:T645),"F")&gt;=1,"",IF(OR(C647&lt;&gt;$C$3,E646=""),"",A646))</f>
        <v/>
      </c>
      <c r="T646" s="20" t="str">
        <f t="shared" ca="1" si="374"/>
        <v/>
      </c>
      <c r="U646" s="2">
        <f ca="1">IF(IF(OP!$C$83=1,$Z645,IF(OP!$C$83=2,$AA645,IF(OP!$C$83=3,$AB645,)))+$K646-$O646-$P646-$AS646&lt;OP!$C$142,0,$AS646)</f>
        <v>0</v>
      </c>
      <c r="V646" s="9"/>
      <c r="W646" s="19">
        <f ca="1">MAX(SUM($K$4:K646),0)</f>
        <v>2000000</v>
      </c>
      <c r="X646" s="19"/>
      <c r="Y646" s="19">
        <f t="shared" ref="Y646:Y709" ca="1" si="400">Y645+K646-O646</f>
        <v>1920000</v>
      </c>
      <c r="Z646" s="2">
        <f ca="1">IF(MIN($Z$4:Z645)=0,0,MAX(0,($Z645+$K646-$O646-$P646)*IF(AND(F646="F",$D$3&lt;&gt;$G$3),((1+(-J646))^(H646/MIN(G646,365))),((1+(-J646))^(1/12)))-$U646))</f>
        <v>122929.96145034776</v>
      </c>
      <c r="AA646" s="2">
        <f ca="1">IF(MIN($AA$4:AA645)=0,0,MAX(0,($AA645+$K646-$O646-$P646)*IF(AND(F646="F",$D$3&lt;&gt;$G$3),((1+$AA$1)^(H646/MIN(G646,365))),((1+$AA$1)^(1/12)))-$U646))</f>
        <v>1920000</v>
      </c>
      <c r="AB646" s="2">
        <f ca="1">IF(MIN($AB$4:AB645)=0,0,MAX(0,($AB645+$K646-$O646-$P646)*IF(AND(F646="F",$D$3&lt;&gt;$G$3),((1+(J646))^(H646/MIN(G646,365))),((1+(J646))^(1/12)))-$U646))</f>
        <v>26223732.362289414</v>
      </c>
      <c r="AC646" s="5"/>
      <c r="AD646" s="5"/>
      <c r="AE646" s="5"/>
      <c r="AF646" s="282">
        <f t="shared" ca="1" si="383"/>
        <v>122930</v>
      </c>
      <c r="AG646" s="282">
        <f t="shared" ca="1" si="384"/>
        <v>1920000</v>
      </c>
      <c r="AH646" s="282">
        <f t="shared" ca="1" si="385"/>
        <v>26223732</v>
      </c>
      <c r="AI646" s="23" t="str">
        <f t="shared" ca="1" si="366"/>
        <v>54-8</v>
      </c>
      <c r="AJ646" s="282">
        <f ca="1">IF(E646&gt;111,,IF(AND(OP!$C$99=1,T646="F"),Z646,IF(AND(OP!$C$99=2,COUNTIF($T$4:T646,"F")=1),OP!$C$97+IF(F646="F",OP!$C$98,0),"")))</f>
        <v>54527</v>
      </c>
      <c r="AK646" s="282">
        <f ca="1">IF(E646&gt;111,,IF(AND(OP!$D$99=1,T646="F"),AA646,IF(AND(OP!$D$99=2,COUNTIF($T$4:T646,"F")=1),OP!$D$97+IF(F646="F",OP!$D$98,0),"")))</f>
        <v>74177</v>
      </c>
      <c r="AL646" s="282">
        <f ca="1">IF(E646&gt;111,,IF(AND(OP!$E$99=1,T646="F"),AB646,IF(AND(OP!$E$99=2,COUNTIF($T$4:T646,"F")=1),OP!$E$97+IF(F646="F",OP!$E$98,0),"")))</f>
        <v>99404</v>
      </c>
      <c r="AM646" s="1">
        <f t="shared" ca="1" si="375"/>
        <v>8</v>
      </c>
      <c r="AN646" s="1" t="e">
        <f ca="1">IF(OR(VLOOKUP($A646,MP,5,0)="半年繳",VLOOKUP($A646,MP,5,0)="季繳",VLOOKUP($A646,MP,5,0)="月繳"),1,"")</f>
        <v>#N/A</v>
      </c>
      <c r="AO646" s="1">
        <f t="shared" ca="1" si="386"/>
        <v>0</v>
      </c>
      <c r="AP646" s="1" t="str">
        <f ca="1">IF(AND(A646&lt;=OP!$C$120,COUNTIF(PAY,C646)=1),1,"")</f>
        <v/>
      </c>
      <c r="AR646" s="301">
        <f ca="1">IF(繳費報酬率資料!$A$1=1,$AY646+$AZ646,$BF646+$BG646)</f>
        <v>0</v>
      </c>
      <c r="AS646" s="1">
        <f ca="1">IF(C646&lt;&gt;IF($C$3=1,12,$C$3-1),0,IF(繳費報酬率資料!$A$1&lt;&gt;1,VLOOKUP($A646,MP,8,0),IF(AND($A646&gt;=OP!$C$79,$A646&lt;=OP!$C$80),OP!$C$78,)))</f>
        <v>0</v>
      </c>
      <c r="AT646" s="298">
        <f t="shared" ca="1" si="387"/>
        <v>0</v>
      </c>
      <c r="AU646" s="298">
        <f ca="1">IF(AND(A646&lt;=OP!$C$120,COUNTIF(PAY,C646)=1),OP!$C$123,0)</f>
        <v>0</v>
      </c>
      <c r="AV646" s="298">
        <f ca="1">IF(AND(A646&gt;=OP!$C$132,A646&lt;=OP!$C$133,$C$3=C646),OP!$C$135,0)</f>
        <v>0</v>
      </c>
      <c r="AW646" s="180">
        <f t="shared" ca="1" si="388"/>
        <v>0.05</v>
      </c>
      <c r="AX646" s="180">
        <f t="shared" ca="1" si="389"/>
        <v>0.05</v>
      </c>
      <c r="AY646" s="286">
        <f t="shared" ca="1" si="390"/>
        <v>0</v>
      </c>
      <c r="AZ646" s="286">
        <f t="shared" ca="1" si="391"/>
        <v>0</v>
      </c>
      <c r="BA646" s="286">
        <f t="shared" ca="1" si="392"/>
        <v>0</v>
      </c>
      <c r="BB646" s="286">
        <f t="shared" ca="1" si="393"/>
        <v>0</v>
      </c>
      <c r="BC646" s="286">
        <f t="shared" ca="1" si="394"/>
        <v>0</v>
      </c>
      <c r="BD646" s="180">
        <f t="shared" ca="1" si="395"/>
        <v>0.05</v>
      </c>
      <c r="BE646" s="180">
        <f t="shared" ca="1" si="396"/>
        <v>0.05</v>
      </c>
      <c r="BF646" s="286">
        <f t="shared" ca="1" si="397"/>
        <v>0</v>
      </c>
      <c r="BG646" s="286">
        <f t="shared" ca="1" si="398"/>
        <v>0</v>
      </c>
    </row>
    <row r="647" spans="1:59">
      <c r="A647" s="1">
        <f t="shared" ca="1" si="378"/>
        <v>54</v>
      </c>
      <c r="B647" s="1">
        <f t="shared" ca="1" si="371"/>
        <v>160</v>
      </c>
      <c r="C647" s="1">
        <f t="shared" ca="1" si="372"/>
        <v>1</v>
      </c>
      <c r="D647" s="1">
        <f ca="1">MIN($D$3,VLOOKUP(C647,OP!$S$30:$T$41,2))</f>
        <v>2</v>
      </c>
      <c r="E647" s="1">
        <f t="shared" ca="1" si="373"/>
        <v>108</v>
      </c>
      <c r="F647" s="11" t="str">
        <f t="shared" ca="1" si="379"/>
        <v/>
      </c>
      <c r="G647" s="8">
        <f t="shared" ca="1" si="376"/>
        <v>365</v>
      </c>
      <c r="H647" s="8">
        <f t="shared" ca="1" si="380"/>
        <v>31</v>
      </c>
      <c r="I647" s="8" t="str">
        <f t="shared" ca="1" si="377"/>
        <v>541</v>
      </c>
      <c r="J647" s="13">
        <f>IF(繳費報酬率資料!$A$1=1,VALUE(OP!$C$121),VLOOKUP(A647,MP,2,0))</f>
        <v>0.05</v>
      </c>
      <c r="K647" s="14">
        <f ca="1">IF(SUM($K$4:K646,IF(繳費報酬率資料!$A$1=1,$AU647+$AV647,$BB647+$BC647))&gt;OP!$L$58,0,IF(繳費報酬率資料!$A$1=1,$AU647+$AV647,$BB647+$BC647))</f>
        <v>0</v>
      </c>
      <c r="L647" s="2"/>
      <c r="M647" s="2"/>
      <c r="N647" s="2"/>
      <c r="O647" s="261">
        <f t="shared" ca="1" si="381"/>
        <v>0</v>
      </c>
      <c r="P647" s="261">
        <f t="shared" ca="1" si="399"/>
        <v>0</v>
      </c>
      <c r="Q647" s="3">
        <f ca="1">IF(A647&gt;MAX(OP!$R$17:$R$26),0,VLOOKUP(A647,fees,3,FALSE))</f>
        <v>0</v>
      </c>
      <c r="R647" s="200" t="str">
        <f t="shared" ca="1" si="382"/>
        <v/>
      </c>
      <c r="S647" s="9" t="str">
        <f ca="1">IF(COUNTIF(($T$4:T646),"F")&gt;=1,"",IF(OR(C648&lt;&gt;$C$3,E647=""),"",A647))</f>
        <v/>
      </c>
      <c r="T647" s="20" t="str">
        <f t="shared" ca="1" si="374"/>
        <v/>
      </c>
      <c r="U647" s="2">
        <f ca="1">IF(IF(OP!$C$83=1,$Z646,IF(OP!$C$83=2,$AA646,IF(OP!$C$83=3,$AB646,)))+$K647-$O647-$P647-$AS647&lt;OP!$C$142,0,$AS647)</f>
        <v>0</v>
      </c>
      <c r="V647" s="9"/>
      <c r="W647" s="19">
        <f ca="1">MAX(SUM($K$4:K647),0)</f>
        <v>2000000</v>
      </c>
      <c r="X647" s="19"/>
      <c r="Y647" s="19">
        <f t="shared" ca="1" si="400"/>
        <v>1920000</v>
      </c>
      <c r="Z647" s="2">
        <f ca="1">IF(MIN($Z$4:Z646)=0,0,MAX(0,($Z646+$K647-$O647-$P647)*IF(AND(F647="F",$D$3&lt;&gt;$G$3),((1+(-J647))^(H647/MIN(G647,365))),((1+(-J647))^(1/12)))-$U647))</f>
        <v>122405.62597744878</v>
      </c>
      <c r="AA647" s="2">
        <f ca="1">IF(MIN($AA$4:AA646)=0,0,MAX(0,($AA646+$K647-$O647-$P647)*IF(AND(F647="F",$D$3&lt;&gt;$G$3),((1+$AA$1)^(H647/MIN(G647,365))),((1+$AA$1)^(1/12)))-$U647))</f>
        <v>1920000</v>
      </c>
      <c r="AB647" s="2">
        <f ca="1">IF(MIN($AB$4:AB646)=0,0,MAX(0,($AB646+$K647-$O647-$P647)*IF(AND(F647="F",$D$3&lt;&gt;$G$3),((1+(J647))^(H647/MIN(G647,365))),((1+(J647))^(1/12)))-$U647))</f>
        <v>26330571.094002645</v>
      </c>
      <c r="AC647" s="5"/>
      <c r="AD647" s="5"/>
      <c r="AE647" s="5"/>
      <c r="AF647" s="282">
        <f t="shared" ca="1" si="383"/>
        <v>122406</v>
      </c>
      <c r="AG647" s="282">
        <f t="shared" ca="1" si="384"/>
        <v>1920000</v>
      </c>
      <c r="AH647" s="282">
        <f t="shared" ca="1" si="385"/>
        <v>26330571</v>
      </c>
      <c r="AI647" s="23" t="str">
        <f t="shared" ca="1" si="366"/>
        <v>54-9</v>
      </c>
      <c r="AJ647" s="282">
        <f ca="1">IF(E647&gt;111,,IF(AND(OP!$C$99=1,T647="F"),Z647,IF(AND(OP!$C$99=2,COUNTIF($T$4:T647,"F")=1),OP!$C$97+IF(F647="F",OP!$C$98,0),"")))</f>
        <v>54527</v>
      </c>
      <c r="AK647" s="282">
        <f ca="1">IF(E647&gt;111,,IF(AND(OP!$D$99=1,T647="F"),AA647,IF(AND(OP!$D$99=2,COUNTIF($T$4:T647,"F")=1),OP!$D$97+IF(F647="F",OP!$D$98,0),"")))</f>
        <v>74177</v>
      </c>
      <c r="AL647" s="282">
        <f ca="1">IF(E647&gt;111,,IF(AND(OP!$E$99=1,T647="F"),AB647,IF(AND(OP!$E$99=2,COUNTIF($T$4:T647,"F")=1),OP!$E$97+IF(F647="F",OP!$E$98,0),"")))</f>
        <v>99404</v>
      </c>
      <c r="AM647" s="1">
        <f t="shared" ca="1" si="375"/>
        <v>9</v>
      </c>
      <c r="AN647" s="1" t="e">
        <f ca="1">IF(OR(VLOOKUP($A647,MP,5,0)="月繳"),1,"")</f>
        <v>#N/A</v>
      </c>
      <c r="AO647" s="1">
        <f t="shared" ca="1" si="386"/>
        <v>0</v>
      </c>
      <c r="AP647" s="1" t="str">
        <f ca="1">IF(AND(A647&lt;=OP!$C$120,COUNTIF(PAY,C647)=1),1,"")</f>
        <v/>
      </c>
      <c r="AR647" s="301">
        <f ca="1">IF(繳費報酬率資料!$A$1=1,$AY647+$AZ647,$BF647+$BG647)</f>
        <v>0</v>
      </c>
      <c r="AS647" s="1">
        <f ca="1">IF(C647&lt;&gt;IF($C$3=1,12,$C$3-1),0,IF(繳費報酬率資料!$A$1&lt;&gt;1,VLOOKUP($A647,MP,8,0),IF(AND($A647&gt;=OP!$C$79,$A647&lt;=OP!$C$80),OP!$C$78,)))</f>
        <v>0</v>
      </c>
      <c r="AT647" s="298">
        <f t="shared" ca="1" si="387"/>
        <v>0</v>
      </c>
      <c r="AU647" s="298">
        <f ca="1">IF(AND(A647&lt;=OP!$C$120,COUNTIF(PAY,C647)=1),OP!$C$123,0)</f>
        <v>0</v>
      </c>
      <c r="AV647" s="298">
        <f ca="1">IF(AND(A647&gt;=OP!$C$132,A647&lt;=OP!$C$133,$C$3=C647),OP!$C$135,0)</f>
        <v>0</v>
      </c>
      <c r="AW647" s="180">
        <f t="shared" ca="1" si="388"/>
        <v>0.05</v>
      </c>
      <c r="AX647" s="180">
        <f t="shared" ca="1" si="389"/>
        <v>0.05</v>
      </c>
      <c r="AY647" s="286">
        <f t="shared" ca="1" si="390"/>
        <v>0</v>
      </c>
      <c r="AZ647" s="286">
        <f t="shared" ca="1" si="391"/>
        <v>0</v>
      </c>
      <c r="BA647" s="286">
        <f t="shared" ca="1" si="392"/>
        <v>0</v>
      </c>
      <c r="BB647" s="286">
        <f t="shared" ca="1" si="393"/>
        <v>0</v>
      </c>
      <c r="BC647" s="286">
        <f t="shared" ca="1" si="394"/>
        <v>0</v>
      </c>
      <c r="BD647" s="180">
        <f t="shared" ca="1" si="395"/>
        <v>0.05</v>
      </c>
      <c r="BE647" s="180">
        <f t="shared" ca="1" si="396"/>
        <v>0.05</v>
      </c>
      <c r="BF647" s="286">
        <f t="shared" ca="1" si="397"/>
        <v>0</v>
      </c>
      <c r="BG647" s="286">
        <f t="shared" ca="1" si="398"/>
        <v>0</v>
      </c>
    </row>
    <row r="648" spans="1:59">
      <c r="A648" s="1">
        <f t="shared" ca="1" si="378"/>
        <v>54</v>
      </c>
      <c r="B648" s="1">
        <f t="shared" ca="1" si="371"/>
        <v>160</v>
      </c>
      <c r="C648" s="1">
        <f t="shared" ca="1" si="372"/>
        <v>2</v>
      </c>
      <c r="D648" s="1">
        <f ca="1">MIN($D$3,VLOOKUP(C648,OP!$S$30:$T$41,2))</f>
        <v>2</v>
      </c>
      <c r="E648" s="1">
        <f t="shared" ca="1" si="373"/>
        <v>108</v>
      </c>
      <c r="F648" s="11" t="str">
        <f t="shared" ca="1" si="379"/>
        <v/>
      </c>
      <c r="G648" s="8">
        <f t="shared" ca="1" si="376"/>
        <v>365</v>
      </c>
      <c r="H648" s="8">
        <f t="shared" ca="1" si="380"/>
        <v>28</v>
      </c>
      <c r="I648" s="8" t="str">
        <f t="shared" ca="1" si="377"/>
        <v>542</v>
      </c>
      <c r="J648" s="13">
        <f>IF(繳費報酬率資料!$A$1=1,VALUE(OP!$C$121),VLOOKUP(A648,MP,2,0))</f>
        <v>0.05</v>
      </c>
      <c r="K648" s="14">
        <f ca="1">IF(SUM($K$4:K647,IF(繳費報酬率資料!$A$1=1,$AU648+$AV648,$BB648+$BC648))&gt;OP!$L$58,0,IF(繳費報酬率資料!$A$1=1,$AU648+$AV648,$BB648+$BC648))</f>
        <v>0</v>
      </c>
      <c r="L648" s="2"/>
      <c r="M648" s="2"/>
      <c r="N648" s="2"/>
      <c r="O648" s="261">
        <f t="shared" ca="1" si="381"/>
        <v>0</v>
      </c>
      <c r="P648" s="261">
        <f t="shared" ca="1" si="399"/>
        <v>0</v>
      </c>
      <c r="Q648" s="3">
        <f ca="1">IF(A648&gt;MAX(OP!$R$17:$R$26),0,VLOOKUP(A648,fees,3,FALSE))</f>
        <v>0</v>
      </c>
      <c r="R648" s="200" t="str">
        <f t="shared" ca="1" si="382"/>
        <v/>
      </c>
      <c r="S648" s="9" t="str">
        <f ca="1">IF(COUNTIF(($T$4:T647),"F")&gt;=1,"",IF(OR(C649&lt;&gt;$C$3,E648=""),"",A648))</f>
        <v/>
      </c>
      <c r="T648" s="20" t="str">
        <f t="shared" ca="1" si="374"/>
        <v/>
      </c>
      <c r="U648" s="2">
        <f ca="1">IF(IF(OP!$C$83=1,$Z647,IF(OP!$C$83=2,$AA647,IF(OP!$C$83=3,$AB647,)))+$K648-$O648-$P648-$AS648&lt;OP!$C$142,0,$AS648)</f>
        <v>0</v>
      </c>
      <c r="V648" s="9"/>
      <c r="W648" s="19">
        <f ca="1">MAX(SUM($K$4:K648),0)</f>
        <v>2000000</v>
      </c>
      <c r="X648" s="19"/>
      <c r="Y648" s="19">
        <f t="shared" ca="1" si="400"/>
        <v>1920000</v>
      </c>
      <c r="Z648" s="2">
        <f ca="1">IF(MIN($Z$4:Z647)=0,0,MAX(0,($Z647+$K648-$O648-$P648)*IF(AND(F648="F",$D$3&lt;&gt;$G$3),((1+(-J648))^(H648/MIN(G648,365))),((1+(-J648))^(1/12)))-$U648))</f>
        <v>121883.5269624881</v>
      </c>
      <c r="AA648" s="2">
        <f ca="1">IF(MIN($AA$4:AA647)=0,0,MAX(0,($AA647+$K648-$O648-$P648)*IF(AND(F648="F",$D$3&lt;&gt;$G$3),((1+$AA$1)^(H648/MIN(G648,365))),((1+$AA$1)^(1/12)))-$U648))</f>
        <v>1920000</v>
      </c>
      <c r="AB648" s="2">
        <f ca="1">IF(MIN($AB$4:AB647)=0,0,MAX(0,($AB647+$K648-$O648-$P648)*IF(AND(F648="F",$D$3&lt;&gt;$G$3),((1+(J648))^(H648/MIN(G648,365))),((1+(J648))^(1/12)))-$U648))</f>
        <v>26437845.099933766</v>
      </c>
      <c r="AC648" s="5"/>
      <c r="AD648" s="5"/>
      <c r="AE648" s="5"/>
      <c r="AF648" s="282">
        <f t="shared" ca="1" si="383"/>
        <v>121884</v>
      </c>
      <c r="AG648" s="282">
        <f t="shared" ca="1" si="384"/>
        <v>1920000</v>
      </c>
      <c r="AH648" s="282">
        <f t="shared" ca="1" si="385"/>
        <v>26437845</v>
      </c>
      <c r="AI648" s="23" t="str">
        <f t="shared" ca="1" si="366"/>
        <v>54-10</v>
      </c>
      <c r="AJ648" s="282">
        <f ca="1">IF(E648&gt;111,,IF(AND(OP!$C$99=1,T648="F"),Z648,IF(AND(OP!$C$99=2,COUNTIF($T$4:T648,"F")=1),OP!$C$97+IF(F648="F",OP!$C$98,0),"")))</f>
        <v>54527</v>
      </c>
      <c r="AK648" s="282">
        <f ca="1">IF(E648&gt;111,,IF(AND(OP!$D$99=1,T648="F"),AA648,IF(AND(OP!$D$99=2,COUNTIF($T$4:T648,"F")=1),OP!$D$97+IF(F648="F",OP!$D$98,0),"")))</f>
        <v>74177</v>
      </c>
      <c r="AL648" s="282">
        <f ca="1">IF(E648&gt;111,,IF(AND(OP!$E$99=1,T648="F"),AB648,IF(AND(OP!$E$99=2,COUNTIF($T$4:T648,"F")=1),OP!$E$97+IF(F648="F",OP!$E$98,0),"")))</f>
        <v>99404</v>
      </c>
      <c r="AM648" s="1">
        <f t="shared" ca="1" si="375"/>
        <v>10</v>
      </c>
      <c r="AN648" s="1" t="e">
        <f ca="1">IF(OR(VLOOKUP($A648,MP,5,0)="月繳"),1,"")</f>
        <v>#N/A</v>
      </c>
      <c r="AO648" s="1">
        <f t="shared" ca="1" si="386"/>
        <v>0</v>
      </c>
      <c r="AP648" s="1" t="str">
        <f ca="1">IF(AND(A648&lt;=OP!$C$120,COUNTIF(PAY,C648)=1),1,"")</f>
        <v/>
      </c>
      <c r="AR648" s="301">
        <f ca="1">IF(繳費報酬率資料!$A$1=1,$AY648+$AZ648,$BF648+$BG648)</f>
        <v>0</v>
      </c>
      <c r="AS648" s="1">
        <f ca="1">IF(C648&lt;&gt;IF($C$3=1,12,$C$3-1),0,IF(繳費報酬率資料!$A$1&lt;&gt;1,VLOOKUP($A648,MP,8,0),IF(AND($A648&gt;=OP!$C$79,$A648&lt;=OP!$C$80),OP!$C$78,)))</f>
        <v>0</v>
      </c>
      <c r="AT648" s="298">
        <f t="shared" ca="1" si="387"/>
        <v>0</v>
      </c>
      <c r="AU648" s="298">
        <f ca="1">IF(AND(A648&lt;=OP!$C$120,COUNTIF(PAY,C648)=1),OP!$C$123,0)</f>
        <v>0</v>
      </c>
      <c r="AV648" s="298">
        <f ca="1">IF(AND(A648&gt;=OP!$C$132,A648&lt;=OP!$C$133,$C$3=C648),OP!$C$135,0)</f>
        <v>0</v>
      </c>
      <c r="AW648" s="180">
        <f t="shared" ca="1" si="388"/>
        <v>0.05</v>
      </c>
      <c r="AX648" s="180">
        <f t="shared" ca="1" si="389"/>
        <v>0.05</v>
      </c>
      <c r="AY648" s="286">
        <f t="shared" ca="1" si="390"/>
        <v>0</v>
      </c>
      <c r="AZ648" s="286">
        <f t="shared" ca="1" si="391"/>
        <v>0</v>
      </c>
      <c r="BA648" s="286">
        <f t="shared" ca="1" si="392"/>
        <v>0</v>
      </c>
      <c r="BB648" s="286">
        <f t="shared" ca="1" si="393"/>
        <v>0</v>
      </c>
      <c r="BC648" s="286">
        <f t="shared" ca="1" si="394"/>
        <v>0</v>
      </c>
      <c r="BD648" s="180">
        <f t="shared" ca="1" si="395"/>
        <v>0.05</v>
      </c>
      <c r="BE648" s="180">
        <f t="shared" ca="1" si="396"/>
        <v>0.05</v>
      </c>
      <c r="BF648" s="286">
        <f t="shared" ca="1" si="397"/>
        <v>0</v>
      </c>
      <c r="BG648" s="286">
        <f t="shared" ca="1" si="398"/>
        <v>0</v>
      </c>
    </row>
    <row r="649" spans="1:59">
      <c r="A649" s="1">
        <f t="shared" ca="1" si="378"/>
        <v>54</v>
      </c>
      <c r="B649" s="1">
        <f t="shared" ca="1" si="371"/>
        <v>160</v>
      </c>
      <c r="C649" s="1">
        <f t="shared" ca="1" si="372"/>
        <v>3</v>
      </c>
      <c r="D649" s="1">
        <f ca="1">MIN($D$3,VLOOKUP(C649,OP!$S$30:$T$41,2))</f>
        <v>2</v>
      </c>
      <c r="E649" s="1">
        <f t="shared" ca="1" si="373"/>
        <v>108</v>
      </c>
      <c r="F649" s="11" t="str">
        <f t="shared" ca="1" si="379"/>
        <v/>
      </c>
      <c r="G649" s="8">
        <f t="shared" ca="1" si="376"/>
        <v>365</v>
      </c>
      <c r="H649" s="8">
        <f t="shared" ca="1" si="380"/>
        <v>31</v>
      </c>
      <c r="I649" s="8" t="str">
        <f t="shared" ca="1" si="377"/>
        <v>543</v>
      </c>
      <c r="J649" s="13">
        <f>IF(繳費報酬率資料!$A$1=1,VALUE(OP!$C$121),VLOOKUP(A649,MP,2,0))</f>
        <v>0.05</v>
      </c>
      <c r="K649" s="14">
        <f ca="1">IF(SUM($K$4:K648,IF(繳費報酬率資料!$A$1=1,$AU649+$AV649,$BB649+$BC649))&gt;OP!$L$58,0,IF(繳費報酬率資料!$A$1=1,$AU649+$AV649,$BB649+$BC649))</f>
        <v>0</v>
      </c>
      <c r="L649" s="2"/>
      <c r="M649" s="2"/>
      <c r="N649" s="2"/>
      <c r="O649" s="261">
        <f t="shared" ca="1" si="381"/>
        <v>0</v>
      </c>
      <c r="P649" s="261">
        <f t="shared" ca="1" si="399"/>
        <v>0</v>
      </c>
      <c r="Q649" s="3">
        <f ca="1">IF(A649&gt;MAX(OP!$R$17:$R$26),0,VLOOKUP(A649,fees,3,FALSE))</f>
        <v>0</v>
      </c>
      <c r="R649" s="200" t="str">
        <f t="shared" ca="1" si="382"/>
        <v/>
      </c>
      <c r="S649" s="9" t="str">
        <f ca="1">IF(COUNTIF(($T$4:T648),"F")&gt;=1,"",IF(OR(C650&lt;&gt;$C$3,E649=""),"",A649))</f>
        <v/>
      </c>
      <c r="T649" s="20" t="str">
        <f t="shared" ca="1" si="374"/>
        <v/>
      </c>
      <c r="U649" s="2">
        <f ca="1">IF(IF(OP!$C$83=1,$Z648,IF(OP!$C$83=2,$AA648,IF(OP!$C$83=3,$AB648,)))+$K649-$O649-$P649-$AS649&lt;OP!$C$142,0,$AS649)</f>
        <v>0</v>
      </c>
      <c r="V649" s="9"/>
      <c r="W649" s="19">
        <f ca="1">MAX(SUM($K$4:K649),0)</f>
        <v>2000000</v>
      </c>
      <c r="X649" s="19"/>
      <c r="Y649" s="19">
        <f t="shared" ca="1" si="400"/>
        <v>1920000</v>
      </c>
      <c r="Z649" s="2">
        <f ca="1">IF(MIN($Z$4:Z648)=0,0,MAX(0,($Z648+$K649-$O649-$P649)*IF(AND(F649="F",$D$3&lt;&gt;$G$3),((1+(-J649))^(H649/MIN(G649,365))),((1+(-J649))^(1/12)))-$U649))</f>
        <v>121363.65486625969</v>
      </c>
      <c r="AA649" s="2">
        <f ca="1">IF(MIN($AA$4:AA648)=0,0,MAX(0,($AA648+$K649-$O649-$P649)*IF(AND(F649="F",$D$3&lt;&gt;$G$3),((1+$AA$1)^(H649/MIN(G649,365))),((1+$AA$1)^(1/12)))-$U649))</f>
        <v>1920000</v>
      </c>
      <c r="AB649" s="2">
        <f ca="1">IF(MIN($AB$4:AB648)=0,0,MAX(0,($AB648+$K649-$O649-$P649)*IF(AND(F649="F",$D$3&lt;&gt;$G$3),((1+(J649))^(H649/MIN(G649,365))),((1+(J649))^(1/12)))-$U649))</f>
        <v>26545556.153443817</v>
      </c>
      <c r="AC649" s="5"/>
      <c r="AD649" s="5"/>
      <c r="AE649" s="5"/>
      <c r="AF649" s="282">
        <f t="shared" ca="1" si="383"/>
        <v>121364</v>
      </c>
      <c r="AG649" s="282">
        <f t="shared" ca="1" si="384"/>
        <v>1920000</v>
      </c>
      <c r="AH649" s="282">
        <f t="shared" ca="1" si="385"/>
        <v>26545556</v>
      </c>
      <c r="AI649" s="23" t="str">
        <f t="shared" ca="1" si="366"/>
        <v>54-11</v>
      </c>
      <c r="AJ649" s="282">
        <f ca="1">IF(E649&gt;111,,IF(AND(OP!$C$99=1,T649="F"),Z649,IF(AND(OP!$C$99=2,COUNTIF($T$4:T649,"F")=1),OP!$C$97+IF(F649="F",OP!$C$98,0),"")))</f>
        <v>54527</v>
      </c>
      <c r="AK649" s="282">
        <f ca="1">IF(E649&gt;111,,IF(AND(OP!$D$99=1,T649="F"),AA649,IF(AND(OP!$D$99=2,COUNTIF($T$4:T649,"F")=1),OP!$D$97+IF(F649="F",OP!$D$98,0),"")))</f>
        <v>74177</v>
      </c>
      <c r="AL649" s="282">
        <f ca="1">IF(E649&gt;111,,IF(AND(OP!$E$99=1,T649="F"),AB649,IF(AND(OP!$E$99=2,COUNTIF($T$4:T649,"F")=1),OP!$E$97+IF(F649="F",OP!$E$98,0),"")))</f>
        <v>99404</v>
      </c>
      <c r="AM649" s="1">
        <f t="shared" ca="1" si="375"/>
        <v>11</v>
      </c>
      <c r="AN649" s="1" t="e">
        <f ca="1">IF(OR(VLOOKUP($A649,MP,5,0)="季繳",VLOOKUP($A649,MP,5,0)="月繳"),1,"")</f>
        <v>#N/A</v>
      </c>
      <c r="AO649" s="1">
        <f t="shared" ca="1" si="386"/>
        <v>0</v>
      </c>
      <c r="AP649" s="1" t="str">
        <f ca="1">IF(AND(A649&lt;=OP!$C$120,COUNTIF(PAY,C649)=1),1,"")</f>
        <v/>
      </c>
      <c r="AR649" s="301">
        <f ca="1">IF(繳費報酬率資料!$A$1=1,$AY649+$AZ649,$BF649+$BG649)</f>
        <v>0</v>
      </c>
      <c r="AS649" s="1">
        <f ca="1">IF(C649&lt;&gt;IF($C$3=1,12,$C$3-1),0,IF(繳費報酬率資料!$A$1&lt;&gt;1,VLOOKUP($A649,MP,8,0),IF(AND($A649&gt;=OP!$C$79,$A649&lt;=OP!$C$80),OP!$C$78,)))</f>
        <v>0</v>
      </c>
      <c r="AT649" s="298">
        <f t="shared" ca="1" si="387"/>
        <v>0</v>
      </c>
      <c r="AU649" s="298">
        <f ca="1">IF(AND(A649&lt;=OP!$C$120,COUNTIF(PAY,C649)=1),OP!$C$123,0)</f>
        <v>0</v>
      </c>
      <c r="AV649" s="298">
        <f ca="1">IF(AND(A649&gt;=OP!$C$132,A649&lt;=OP!$C$133,$C$3=C649),OP!$C$135,0)</f>
        <v>0</v>
      </c>
      <c r="AW649" s="180">
        <f t="shared" ca="1" si="388"/>
        <v>0.05</v>
      </c>
      <c r="AX649" s="180">
        <f t="shared" ca="1" si="389"/>
        <v>0.05</v>
      </c>
      <c r="AY649" s="286">
        <f t="shared" ca="1" si="390"/>
        <v>0</v>
      </c>
      <c r="AZ649" s="286">
        <f t="shared" ca="1" si="391"/>
        <v>0</v>
      </c>
      <c r="BA649" s="286">
        <f t="shared" ca="1" si="392"/>
        <v>0</v>
      </c>
      <c r="BB649" s="286">
        <f t="shared" ca="1" si="393"/>
        <v>0</v>
      </c>
      <c r="BC649" s="286">
        <f t="shared" ca="1" si="394"/>
        <v>0</v>
      </c>
      <c r="BD649" s="180">
        <f t="shared" ca="1" si="395"/>
        <v>0.05</v>
      </c>
      <c r="BE649" s="180">
        <f t="shared" ca="1" si="396"/>
        <v>0.05</v>
      </c>
      <c r="BF649" s="286">
        <f t="shared" ca="1" si="397"/>
        <v>0</v>
      </c>
      <c r="BG649" s="286">
        <f t="shared" ca="1" si="398"/>
        <v>0</v>
      </c>
    </row>
    <row r="650" spans="1:59">
      <c r="A650" s="1">
        <f t="shared" ca="1" si="378"/>
        <v>54</v>
      </c>
      <c r="B650" s="1">
        <f t="shared" ca="1" si="371"/>
        <v>160</v>
      </c>
      <c r="C650" s="1">
        <f t="shared" ca="1" si="372"/>
        <v>4</v>
      </c>
      <c r="D650" s="1">
        <f ca="1">MIN($D$3,VLOOKUP(C650,OP!$S$30:$T$41,2))</f>
        <v>2</v>
      </c>
      <c r="E650" s="1">
        <f t="shared" ca="1" si="373"/>
        <v>108</v>
      </c>
      <c r="F650" s="11" t="str">
        <f t="shared" ca="1" si="379"/>
        <v/>
      </c>
      <c r="G650" s="8">
        <f t="shared" ca="1" si="376"/>
        <v>365</v>
      </c>
      <c r="H650" s="8">
        <f t="shared" ca="1" si="380"/>
        <v>30</v>
      </c>
      <c r="I650" s="8" t="str">
        <f t="shared" ca="1" si="377"/>
        <v>544</v>
      </c>
      <c r="J650" s="13">
        <f>IF(繳費報酬率資料!$A$1=1,VALUE(OP!$C$121),VLOOKUP(A650,MP,2,0))</f>
        <v>0.05</v>
      </c>
      <c r="K650" s="14">
        <f ca="1">IF(SUM($K$4:K649,IF(繳費報酬率資料!$A$1=1,$AU650+$AV650,$BB650+$BC650))&gt;OP!$L$58,0,IF(繳費報酬率資料!$A$1=1,$AU650+$AV650,$BB650+$BC650))</f>
        <v>0</v>
      </c>
      <c r="L650" s="2"/>
      <c r="M650" s="2"/>
      <c r="N650" s="2"/>
      <c r="O650" s="261">
        <f t="shared" ca="1" si="381"/>
        <v>0</v>
      </c>
      <c r="P650" s="261">
        <f t="shared" ca="1" si="399"/>
        <v>0</v>
      </c>
      <c r="Q650" s="3">
        <f ca="1">IF(A650&gt;MAX(OP!$R$17:$R$26),0,VLOOKUP(A650,fees,3,FALSE))</f>
        <v>0</v>
      </c>
      <c r="R650" s="200" t="str">
        <f t="shared" ca="1" si="382"/>
        <v/>
      </c>
      <c r="S650" s="9" t="str">
        <f ca="1">IF(COUNTIF(($T$4:T649),"F")&gt;=1,"",IF(OR(C651&lt;&gt;$C$3,E650=""),"",A650))</f>
        <v/>
      </c>
      <c r="T650" s="20" t="str">
        <f t="shared" ca="1" si="374"/>
        <v/>
      </c>
      <c r="U650" s="2">
        <f ca="1">IF(IF(OP!$C$83=1,$Z649,IF(OP!$C$83=2,$AA649,IF(OP!$C$83=3,$AB649,)))+$K650-$O650-$P650-$AS650&lt;OP!$C$142,0,$AS650)</f>
        <v>0</v>
      </c>
      <c r="V650" s="9"/>
      <c r="W650" s="19">
        <f ca="1">MAX(SUM($K$4:K650),0)</f>
        <v>2000000</v>
      </c>
      <c r="X650" s="19"/>
      <c r="Y650" s="19">
        <f t="shared" ca="1" si="400"/>
        <v>1920000</v>
      </c>
      <c r="Z650" s="2">
        <f ca="1">IF(MIN($Z$4:Z649)=0,0,MAX(0,($Z649+$K650-$O650-$P650)*IF(AND(F650="F",$D$3&lt;&gt;$G$3),((1+(-J650))^(H650/MIN(G650,365))),((1+(-J650))^(1/12)))-$U650))</f>
        <v>120846.00019024525</v>
      </c>
      <c r="AA650" s="2">
        <f ca="1">IF(MIN($AA$4:AA649)=0,0,MAX(0,($AA649+$K650-$O650-$P650)*IF(AND(F650="F",$D$3&lt;&gt;$G$3),((1+$AA$1)^(H650/MIN(G650,365))),((1+$AA$1)^(1/12)))-$U650))</f>
        <v>1920000</v>
      </c>
      <c r="AB650" s="2">
        <f ca="1">IF(MIN($AB$4:AB649)=0,0,MAX(0,($AB649+$K650-$O650-$P650)*IF(AND(F650="F",$D$3&lt;&gt;$G$3),((1+(J650))^(H650/MIN(G650,365))),((1+(J650))^(1/12)))-$U650))</f>
        <v>26653706.035118736</v>
      </c>
      <c r="AC650" s="5"/>
      <c r="AD650" s="5"/>
      <c r="AE650" s="5"/>
      <c r="AF650" s="282">
        <f t="shared" ca="1" si="383"/>
        <v>120846</v>
      </c>
      <c r="AG650" s="282">
        <f t="shared" ca="1" si="384"/>
        <v>1920000</v>
      </c>
      <c r="AH650" s="282">
        <f t="shared" ca="1" si="385"/>
        <v>26653706</v>
      </c>
      <c r="AI650" s="23" t="str">
        <f t="shared" ca="1" si="366"/>
        <v>54-12</v>
      </c>
      <c r="AJ650" s="282">
        <f ca="1">IF(E650&gt;111,,IF(AND(OP!$C$99=1,T650="F"),Z650,IF(AND(OP!$C$99=2,COUNTIF($T$4:T650,"F")=1),OP!$C$97+IF(F650="F",OP!$C$98,0),"")))</f>
        <v>54527</v>
      </c>
      <c r="AK650" s="282">
        <f ca="1">IF(E650&gt;111,,IF(AND(OP!$D$99=1,T650="F"),AA650,IF(AND(OP!$D$99=2,COUNTIF($T$4:T650,"F")=1),OP!$D$97+IF(F650="F",OP!$D$98,0),"")))</f>
        <v>74177</v>
      </c>
      <c r="AL650" s="282">
        <f ca="1">IF(E650&gt;111,,IF(AND(OP!$E$99=1,T650="F"),AB650,IF(AND(OP!$E$99=2,COUNTIF($T$4:T650,"F")=1),OP!$E$97+IF(F650="F",OP!$E$98,0),"")))</f>
        <v>99404</v>
      </c>
      <c r="AM650" s="1">
        <f t="shared" ca="1" si="375"/>
        <v>12</v>
      </c>
      <c r="AN650" s="1" t="e">
        <f ca="1">IF(OR(VLOOKUP($A650,MP,5,0)="月繳"),1,"")</f>
        <v>#N/A</v>
      </c>
      <c r="AO650" s="1">
        <f t="shared" ca="1" si="386"/>
        <v>0</v>
      </c>
      <c r="AP650" s="1" t="str">
        <f ca="1">IF(AND(A650&lt;=OP!$C$120,COUNTIF(PAY,C650)=1),1,"")</f>
        <v/>
      </c>
      <c r="AR650" s="301">
        <f ca="1">IF(繳費報酬率資料!$A$1=1,$AY650+$AZ650,$BF650+$BG650)</f>
        <v>0</v>
      </c>
      <c r="AS650" s="1">
        <f ca="1">IF(C650&lt;&gt;IF($C$3=1,12,$C$3-1),0,IF(繳費報酬率資料!$A$1&lt;&gt;1,VLOOKUP($A650,MP,8,0),IF(AND($A650&gt;=OP!$C$79,$A650&lt;=OP!$C$80),OP!$C$78,)))</f>
        <v>0</v>
      </c>
      <c r="AT650" s="298">
        <f t="shared" ca="1" si="387"/>
        <v>0</v>
      </c>
      <c r="AU650" s="298">
        <f ca="1">IF(AND(A650&lt;=OP!$C$120,COUNTIF(PAY,C650)=1),OP!$C$123,0)</f>
        <v>0</v>
      </c>
      <c r="AV650" s="298">
        <f ca="1">IF(AND(A650&gt;=OP!$C$132,A650&lt;=OP!$C$133,$C$3=C650),OP!$C$135,0)</f>
        <v>0</v>
      </c>
      <c r="AW650" s="180">
        <f t="shared" ca="1" si="388"/>
        <v>0.05</v>
      </c>
      <c r="AX650" s="180">
        <f t="shared" ca="1" si="389"/>
        <v>0.05</v>
      </c>
      <c r="AY650" s="286">
        <f t="shared" ca="1" si="390"/>
        <v>0</v>
      </c>
      <c r="AZ650" s="286">
        <f t="shared" ca="1" si="391"/>
        <v>0</v>
      </c>
      <c r="BA650" s="286">
        <f t="shared" ca="1" si="392"/>
        <v>0</v>
      </c>
      <c r="BB650" s="286">
        <f t="shared" ca="1" si="393"/>
        <v>0</v>
      </c>
      <c r="BC650" s="286">
        <f t="shared" ca="1" si="394"/>
        <v>0</v>
      </c>
      <c r="BD650" s="180">
        <f t="shared" ca="1" si="395"/>
        <v>0.05</v>
      </c>
      <c r="BE650" s="180">
        <f t="shared" ca="1" si="396"/>
        <v>0.05</v>
      </c>
      <c r="BF650" s="286">
        <f t="shared" ca="1" si="397"/>
        <v>0</v>
      </c>
      <c r="BG650" s="286">
        <f t="shared" ca="1" si="398"/>
        <v>0</v>
      </c>
    </row>
    <row r="651" spans="1:59">
      <c r="A651" s="1">
        <f t="shared" ca="1" si="378"/>
        <v>54</v>
      </c>
      <c r="B651" s="1">
        <f t="shared" ca="1" si="371"/>
        <v>160</v>
      </c>
      <c r="C651" s="1">
        <f t="shared" ca="1" si="372"/>
        <v>5</v>
      </c>
      <c r="D651" s="1">
        <f ca="1">MIN($D$3,VLOOKUP(C651,OP!$S$30:$T$41,2))</f>
        <v>2</v>
      </c>
      <c r="E651" s="1">
        <f t="shared" ca="1" si="373"/>
        <v>108</v>
      </c>
      <c r="F651" s="11" t="str">
        <f t="shared" ca="1" si="379"/>
        <v/>
      </c>
      <c r="G651" s="8">
        <f t="shared" ca="1" si="376"/>
        <v>365</v>
      </c>
      <c r="H651" s="8">
        <f t="shared" ca="1" si="380"/>
        <v>31</v>
      </c>
      <c r="I651" s="8" t="str">
        <f t="shared" ca="1" si="377"/>
        <v>545</v>
      </c>
      <c r="J651" s="13">
        <f>IF(繳費報酬率資料!$A$1=1,VALUE(OP!$C$121),VLOOKUP(A651,MP,2,0))</f>
        <v>0.05</v>
      </c>
      <c r="K651" s="14">
        <f ca="1">IF(SUM($K$4:K650,IF(繳費報酬率資料!$A$1=1,$AU651+$AV651,$BB651+$BC651))&gt;OP!$L$58,0,IF(繳費報酬率資料!$A$1=1,$AU651+$AV651,$BB651+$BC651))</f>
        <v>0</v>
      </c>
      <c r="L651" s="2">
        <f ca="1">ROUND(IF(OP!$C$78&lt;(IF(OR($T651="F",$E651&gt;=111),0,Z650+$K651-$O651+IF($C$1=1,OP!$C$78,IF($C652=$C$3,SUM(AC640:AC651,0)))))*5%,0,(OP!$C$78-((IF(OR($T651="F",$E651&gt;=111),0,Z650+$K651-$O651+IF($C$1=1,AC651,IF($C652=$C$3,SUM(AC640:AC651,0)))))*5%))*$Q651),0)</f>
        <v>0</v>
      </c>
      <c r="M651" s="2">
        <f ca="1">ROUND(IF(OP!$C$78&lt;(IF(OR($T651="F",$E651&gt;=111),0,AA650+$K651-$O651+IF($C$1=1,AD651,IF($C652=$C$3,SUM(AD640:AD651,0)))))*5%,0,(OP!$C$78-((IF(OR($T651="F",$E651&gt;=111),0,AA650+$K651-$O651+IF($C$1=1,AD651,IF($C652=$C$3,SUM(AD640:AD651,0)))))*5%))*$Q651),0)</f>
        <v>0</v>
      </c>
      <c r="N651" s="2">
        <f ca="1">ROUND(IF(OP!$C$78&lt;(IF(OR($T651="F",$E651&gt;=111),0,AB650+$K651-$O651+IF($C$1=1,AE651,IF($C652=$C$3,SUM(AE640:AE651,0)))))*5%,0,(OP!$C$78-((IF(OR($T651="F",$E651&gt;=111),0,AB650+$K651-$O651+IF($C$1=1,AE651,IF($C652=$C$3,SUM(AE640:AE651,0)))))*5%))*$Q651),0)</f>
        <v>0</v>
      </c>
      <c r="O651" s="261">
        <f t="shared" ca="1" si="381"/>
        <v>0</v>
      </c>
      <c r="P651" s="261">
        <f t="shared" ca="1" si="399"/>
        <v>0</v>
      </c>
      <c r="Q651" s="3">
        <f ca="1">IF(A651&gt;MAX(OP!$R$17:$R$26),0,VLOOKUP(A651,fees,3,FALSE))</f>
        <v>0</v>
      </c>
      <c r="R651" s="200">
        <f t="shared" ca="1" si="382"/>
        <v>54</v>
      </c>
      <c r="S651" s="9" t="str">
        <f ca="1">IF(COUNTIF(($T$4:T650),"F")&gt;=1,"",IF(OR(C652&lt;&gt;$C$3,E651=""),"",A651))</f>
        <v/>
      </c>
      <c r="T651" s="20" t="str">
        <f t="shared" ca="1" si="374"/>
        <v/>
      </c>
      <c r="U651" s="2">
        <f ca="1">IF(IF(OP!$C$83=1,$Z650,IF(OP!$C$83=2,$AA650,IF(OP!$C$83=3,$AB650,)))+$K651-$O651-$P651-$AS651&lt;OP!$C$142,0,$AS651)</f>
        <v>0</v>
      </c>
      <c r="V651" s="19">
        <f ca="1">SUM(K640:K651)</f>
        <v>0</v>
      </c>
      <c r="W651" s="19">
        <f ca="1">MAX(SUM($K$4:K651),0)</f>
        <v>2000000</v>
      </c>
      <c r="X651" s="19">
        <f ca="1">SUM(O640:P651)</f>
        <v>0</v>
      </c>
      <c r="Y651" s="19">
        <f t="shared" ca="1" si="400"/>
        <v>1920000</v>
      </c>
      <c r="Z651" s="2">
        <f ca="1">IF(MIN($Z$4:Z650)=0,0,MAX(0,($Z650+$K651-$O651-$P651)*IF(AND(F651="F",$D$3&lt;&gt;$G$3),((1+(-J651))^(H651/MIN(G651,365))),((1+(-J651))^(1/12)))-$U651))</f>
        <v>120330.55347644071</v>
      </c>
      <c r="AA651" s="2">
        <f ca="1">IF(MIN($AA$4:AA650)=0,0,MAX(0,($AA650+$K651-$O651-$P651)*IF(AND(F651="F",$D$3&lt;&gt;$G$3),((1+$AA$1)^(H651/MIN(G651,365))),((1+$AA$1)^(1/12)))-$U651))</f>
        <v>1920000</v>
      </c>
      <c r="AB651" s="2">
        <f ca="1">IF(MIN($AB$4:AB650)=0,0,MAX(0,($AB650+$K651-$O651-$P651)*IF(AND(F651="F",$D$3&lt;&gt;$G$3),((1+(J651))^(H651/MIN(G651,365))),((1+(J651))^(1/12)))-$U651))</f>
        <v>26762296.532798786</v>
      </c>
      <c r="AC651" s="5"/>
      <c r="AD651" s="5"/>
      <c r="AE651" s="5"/>
      <c r="AF651" s="282">
        <f t="shared" ca="1" si="383"/>
        <v>120331</v>
      </c>
      <c r="AG651" s="282">
        <f t="shared" ca="1" si="384"/>
        <v>1920000</v>
      </c>
      <c r="AH651" s="282">
        <f t="shared" ca="1" si="385"/>
        <v>26762297</v>
      </c>
      <c r="AI651" s="23" t="str">
        <f t="shared" ca="1" si="366"/>
        <v>55-1</v>
      </c>
      <c r="AJ651" s="282">
        <f ca="1">IF(E651&gt;111,,IF(AND(OP!$C$99=1,T651="F"),Z651,IF(AND(OP!$C$99=2,COUNTIF($T$4:T651,"F")=1),OP!$C$97+IF(F651="F",OP!$C$98,0),"")))</f>
        <v>54527</v>
      </c>
      <c r="AK651" s="282">
        <f ca="1">IF(E651&gt;111,,IF(AND(OP!$D$99=1,T651="F"),AA651,IF(AND(OP!$D$99=2,COUNTIF($T$4:T651,"F")=1),OP!$D$97+IF(F651="F",OP!$D$98,0),"")))</f>
        <v>74177</v>
      </c>
      <c r="AL651" s="282">
        <f ca="1">IF(E651&gt;111,,IF(AND(OP!$E$99=1,T651="F"),AB651,IF(AND(OP!$E$99=2,COUNTIF($T$4:T651,"F")=1),OP!$E$97+IF(F651="F",OP!$E$98,0),"")))</f>
        <v>99404</v>
      </c>
      <c r="AM651" s="1">
        <f t="shared" ca="1" si="375"/>
        <v>1</v>
      </c>
      <c r="AN651" s="1" t="e">
        <f ca="1">IF(OR(VLOOKUP($A651,MP,5,0)="月繳"),1,"")</f>
        <v>#N/A</v>
      </c>
      <c r="AO651" s="1">
        <f t="shared" ca="1" si="386"/>
        <v>0</v>
      </c>
      <c r="AP651" s="1" t="str">
        <f ca="1">IF(AND(A651&lt;=OP!$C$120,COUNTIF(PAY,C651)=1),1,"")</f>
        <v/>
      </c>
      <c r="AR651" s="301">
        <f ca="1">IF(繳費報酬率資料!$A$1=1,$AY651+$AZ651,$BF651+$BG651)</f>
        <v>0</v>
      </c>
      <c r="AS651" s="1">
        <f ca="1">IF(C651&lt;&gt;IF($C$3=1,12,$C$3-1),0,IF(繳費報酬率資料!$A$1&lt;&gt;1,VLOOKUP($A651,MP,8,0),IF(AND($A651&gt;=OP!$C$79,$A651&lt;=OP!$C$80),OP!$C$78,)))</f>
        <v>0</v>
      </c>
      <c r="AT651" s="298">
        <f t="shared" ca="1" si="387"/>
        <v>0</v>
      </c>
      <c r="AU651" s="298">
        <f ca="1">IF(AND(A651&lt;=OP!$C$120,COUNTIF(PAY,C651)=1),OP!$C$123,0)</f>
        <v>0</v>
      </c>
      <c r="AV651" s="298">
        <f ca="1">IF(AND(A651&gt;=OP!$C$132,A651&lt;=OP!$C$133,$C$3=C651),OP!$C$135,0)</f>
        <v>0</v>
      </c>
      <c r="AW651" s="180">
        <f t="shared" ca="1" si="388"/>
        <v>0.05</v>
      </c>
      <c r="AX651" s="180">
        <f t="shared" ca="1" si="389"/>
        <v>0.05</v>
      </c>
      <c r="AY651" s="286">
        <f t="shared" ca="1" si="390"/>
        <v>0</v>
      </c>
      <c r="AZ651" s="286">
        <f t="shared" ca="1" si="391"/>
        <v>0</v>
      </c>
      <c r="BA651" s="286">
        <f t="shared" ca="1" si="392"/>
        <v>0</v>
      </c>
      <c r="BB651" s="286">
        <f t="shared" ca="1" si="393"/>
        <v>0</v>
      </c>
      <c r="BC651" s="286">
        <f t="shared" ca="1" si="394"/>
        <v>0</v>
      </c>
      <c r="BD651" s="180">
        <f t="shared" ca="1" si="395"/>
        <v>0.05</v>
      </c>
      <c r="BE651" s="180">
        <f t="shared" ca="1" si="396"/>
        <v>0.05</v>
      </c>
      <c r="BF651" s="286">
        <f t="shared" ca="1" si="397"/>
        <v>0</v>
      </c>
      <c r="BG651" s="286">
        <f t="shared" ca="1" si="398"/>
        <v>0</v>
      </c>
    </row>
    <row r="652" spans="1:59">
      <c r="A652" s="1">
        <f t="shared" ca="1" si="378"/>
        <v>55</v>
      </c>
      <c r="B652" s="1">
        <f t="shared" ca="1" si="371"/>
        <v>160</v>
      </c>
      <c r="C652" s="1">
        <f t="shared" ca="1" si="372"/>
        <v>6</v>
      </c>
      <c r="D652" s="1">
        <f ca="1">MIN($D$3,VLOOKUP(C652,OP!$S$30:$T$41,2))</f>
        <v>2</v>
      </c>
      <c r="E652" s="1">
        <f t="shared" ca="1" si="373"/>
        <v>109</v>
      </c>
      <c r="F652" s="11" t="str">
        <f t="shared" ca="1" si="379"/>
        <v/>
      </c>
      <c r="G652" s="6">
        <f ca="1">DATEDIF(DATE(B652+1911,C652,D652),DATE(B664+1911,C664,D664),"d")</f>
        <v>366</v>
      </c>
      <c r="H652" s="8">
        <f t="shared" ca="1" si="380"/>
        <v>30</v>
      </c>
      <c r="I652" s="8" t="str">
        <f t="shared" ca="1" si="377"/>
        <v>556</v>
      </c>
      <c r="J652" s="13">
        <f>IF(繳費報酬率資料!$A$1=1,VALUE(OP!$C$121),VLOOKUP(A652,MP,2,0))</f>
        <v>0.05</v>
      </c>
      <c r="K652" s="14">
        <f ca="1">IF(SUM($K$4:K651,IF(繳費報酬率資料!$A$1=1,$AU652+$AV652,$BB652+$BC652))&gt;OP!$L$58,0,IF(繳費報酬率資料!$A$1=1,$AU652+$AV652,$BB652+$BC652))</f>
        <v>0</v>
      </c>
      <c r="L652" s="2"/>
      <c r="M652" s="2"/>
      <c r="N652" s="2"/>
      <c r="O652" s="261">
        <f t="shared" ca="1" si="381"/>
        <v>0</v>
      </c>
      <c r="P652" s="261">
        <f t="shared" ca="1" si="399"/>
        <v>0</v>
      </c>
      <c r="Q652" s="3">
        <f ca="1">IF(A652&gt;MAX(OP!$R$17:$R$26),0,VLOOKUP(A652,fees,3,FALSE))</f>
        <v>0</v>
      </c>
      <c r="R652" s="200" t="str">
        <f t="shared" ca="1" si="382"/>
        <v/>
      </c>
      <c r="S652" s="9" t="str">
        <f ca="1">IF(COUNTIF(($T$4:T651),"F")&gt;=1,"",IF(OR(C653&lt;&gt;$C$3,E652=""),"",A652))</f>
        <v/>
      </c>
      <c r="T652" s="20" t="str">
        <f t="shared" ca="1" si="374"/>
        <v/>
      </c>
      <c r="U652" s="2">
        <f ca="1">IF(IF(OP!$C$83=1,$Z651,IF(OP!$C$83=2,$AA651,IF(OP!$C$83=3,$AB651,)))+$K652-$O652-$P652-$AS652&lt;OP!$C$142,0,$AS652)</f>
        <v>0</v>
      </c>
      <c r="V652" s="9"/>
      <c r="W652" s="19">
        <f ca="1">MAX(SUM($K$4:K652),0)</f>
        <v>2000000</v>
      </c>
      <c r="X652" s="19"/>
      <c r="Y652" s="19">
        <f t="shared" ca="1" si="400"/>
        <v>1920000</v>
      </c>
      <c r="Z652" s="2">
        <f ca="1">IF(MIN($Z$4:Z651)=0,0,MAX(0,($Z651+$K652-$O652-$P652)*IF(AND(F652="F",$D$3&lt;&gt;$G$3),((1+(-J652))^(H652/MIN(G652,365))),((1+(-J652))^(1/12)))-$U652))</f>
        <v>119817.30530718337</v>
      </c>
      <c r="AA652" s="2">
        <f ca="1">IF(MIN($AA$4:AA651)=0,0,MAX(0,($AA651+$K652-$O652-$P652)*IF(AND(F652="F",$D$3&lt;&gt;$G$3),((1+$AA$1)^(H652/MIN(G652,365))),((1+$AA$1)^(1/12)))-$U652))</f>
        <v>1920000</v>
      </c>
      <c r="AB652" s="2">
        <f ca="1">IF(MIN($AB$4:AB651)=0,0,MAX(0,($AB651+$K652-$O652-$P652)*IF(AND(F652="F",$D$3&lt;&gt;$G$3),((1+(J652))^(H652/MIN(G652,365))),((1+(J652))^(1/12)))-$U652))</f>
        <v>26871329.441608112</v>
      </c>
      <c r="AC652" s="21"/>
      <c r="AD652" s="21"/>
      <c r="AE652" s="21"/>
      <c r="AF652" s="282">
        <f t="shared" ca="1" si="383"/>
        <v>119817</v>
      </c>
      <c r="AG652" s="282">
        <f t="shared" ca="1" si="384"/>
        <v>1920000</v>
      </c>
      <c r="AH652" s="282">
        <f t="shared" ca="1" si="385"/>
        <v>26871329</v>
      </c>
      <c r="AI652" s="23" t="str">
        <f t="shared" ref="AI652:AI715" ca="1" si="401">IF($G$3=D653,A653,A652)&amp;"-"&amp;AM652</f>
        <v>55-2</v>
      </c>
      <c r="AJ652" s="281">
        <f ca="1">IF(E652&gt;111,,IF(AND(OP!$C$99=1,T652="F"),Z652,IF(AND(OP!$C$99=2,COUNTIF($T$4:T652,"F")=1),OP!$C$97+IF(F652="F",OP!$C$98,0),"")))</f>
        <v>54527</v>
      </c>
      <c r="AK652" s="281">
        <f ca="1">IF(E652&gt;111,,IF(AND(OP!$D$99=1,T652="F"),AA652,IF(AND(OP!$D$99=2,COUNTIF($T$4:T652,"F")=1),OP!$D$97+IF(F652="F",OP!$D$98,0),"")))</f>
        <v>74177</v>
      </c>
      <c r="AL652" s="281">
        <f ca="1">IF(E652&gt;111,,IF(AND(OP!$E$99=1,T652="F"),AB652,IF(AND(OP!$E$99=2,COUNTIF($T$4:T652,"F")=1),OP!$E$97+IF(F652="F",OP!$E$98,0),"")))</f>
        <v>99404</v>
      </c>
      <c r="AM652" s="1">
        <f t="shared" ca="1" si="375"/>
        <v>2</v>
      </c>
      <c r="AN652" s="1" t="e">
        <f ca="1">IF(OR(VLOOKUP($A652,MP,5,0)="年繳",VLOOKUP($A652,MP,5,0)="半年繳",VLOOKUP($A652,MP,5,0)="季繳",VLOOKUP($A652,MP,5,0)="月繳"),1,"")</f>
        <v>#N/A</v>
      </c>
      <c r="AO652" s="1">
        <f t="shared" ca="1" si="386"/>
        <v>0</v>
      </c>
      <c r="AP652" s="1" t="str">
        <f ca="1">IF(AND(A652&lt;=OP!$C$120,COUNTIF(PAY,C652)=1),1,"")</f>
        <v/>
      </c>
      <c r="AR652" s="301">
        <f ca="1">IF(繳費報酬率資料!$A$1=1,$AY652+$AZ652,$BF652+$BG652)</f>
        <v>0</v>
      </c>
      <c r="AS652" s="1">
        <f ca="1">IF(C652&lt;&gt;IF($C$3=1,12,$C$3-1),0,IF(繳費報酬率資料!$A$1&lt;&gt;1,VLOOKUP($A652,MP,8,0),IF(AND($A652&gt;=OP!$C$79,$A652&lt;=OP!$C$80),OP!$C$78,)))</f>
        <v>0</v>
      </c>
      <c r="AT652" s="298">
        <f t="shared" ca="1" si="387"/>
        <v>0</v>
      </c>
      <c r="AU652" s="298">
        <f ca="1">IF(AND(A652&lt;=OP!$C$120,COUNTIF(PAY,C652)=1),OP!$C$123,0)</f>
        <v>0</v>
      </c>
      <c r="AV652" s="298">
        <f ca="1">IF(AND(A652&gt;=OP!$C$132,A652&lt;=OP!$C$133,$C$3=C652),OP!$C$135,0)</f>
        <v>0</v>
      </c>
      <c r="AW652" s="180">
        <f t="shared" ca="1" si="388"/>
        <v>0.05</v>
      </c>
      <c r="AX652" s="180">
        <f t="shared" ca="1" si="389"/>
        <v>0.05</v>
      </c>
      <c r="AY652" s="286">
        <f t="shared" ca="1" si="390"/>
        <v>0</v>
      </c>
      <c r="AZ652" s="286">
        <f t="shared" ca="1" si="391"/>
        <v>0</v>
      </c>
      <c r="BA652" s="286">
        <f t="shared" ca="1" si="392"/>
        <v>0</v>
      </c>
      <c r="BB652" s="286">
        <f t="shared" ca="1" si="393"/>
        <v>0</v>
      </c>
      <c r="BC652" s="286">
        <f t="shared" ca="1" si="394"/>
        <v>0</v>
      </c>
      <c r="BD652" s="180">
        <f t="shared" ca="1" si="395"/>
        <v>0.05</v>
      </c>
      <c r="BE652" s="180">
        <f t="shared" ca="1" si="396"/>
        <v>0.05</v>
      </c>
      <c r="BF652" s="286">
        <f t="shared" ca="1" si="397"/>
        <v>0</v>
      </c>
      <c r="BG652" s="286">
        <f t="shared" ca="1" si="398"/>
        <v>0</v>
      </c>
    </row>
    <row r="653" spans="1:59">
      <c r="A653" s="1">
        <f t="shared" ca="1" si="378"/>
        <v>55</v>
      </c>
      <c r="B653" s="1">
        <f t="shared" ca="1" si="371"/>
        <v>160</v>
      </c>
      <c r="C653" s="1">
        <f t="shared" ca="1" si="372"/>
        <v>7</v>
      </c>
      <c r="D653" s="1">
        <f ca="1">MIN($D$3,VLOOKUP(C653,OP!$S$30:$T$41,2))</f>
        <v>2</v>
      </c>
      <c r="E653" s="1">
        <f t="shared" ca="1" si="373"/>
        <v>109</v>
      </c>
      <c r="F653" s="11" t="str">
        <f t="shared" ca="1" si="379"/>
        <v/>
      </c>
      <c r="G653" s="8">
        <f t="shared" ref="G653:G663" ca="1" si="402">G652</f>
        <v>366</v>
      </c>
      <c r="H653" s="8">
        <f t="shared" ca="1" si="380"/>
        <v>31</v>
      </c>
      <c r="I653" s="8" t="str">
        <f t="shared" ca="1" si="377"/>
        <v>557</v>
      </c>
      <c r="J653" s="13">
        <f>IF(繳費報酬率資料!$A$1=1,VALUE(OP!$C$121),VLOOKUP(A653,MP,2,0))</f>
        <v>0.05</v>
      </c>
      <c r="K653" s="14">
        <f ca="1">IF(SUM($K$4:K652,IF(繳費報酬率資料!$A$1=1,$AU653+$AV653,$BB653+$BC653))&gt;OP!$L$58,0,IF(繳費報酬率資料!$A$1=1,$AU653+$AV653,$BB653+$BC653))</f>
        <v>0</v>
      </c>
      <c r="L653" s="2"/>
      <c r="M653" s="2"/>
      <c r="N653" s="2"/>
      <c r="O653" s="261">
        <f t="shared" ca="1" si="381"/>
        <v>0</v>
      </c>
      <c r="P653" s="261">
        <f t="shared" ca="1" si="399"/>
        <v>0</v>
      </c>
      <c r="Q653" s="3">
        <f ca="1">IF(A653&gt;MAX(OP!$R$17:$R$26),0,VLOOKUP(A653,fees,3,FALSE))</f>
        <v>0</v>
      </c>
      <c r="R653" s="200" t="str">
        <f t="shared" ca="1" si="382"/>
        <v/>
      </c>
      <c r="S653" s="9" t="str">
        <f ca="1">IF(COUNTIF(($T$4:T652),"F")&gt;=1,"",IF(OR(C654&lt;&gt;$C$3,E653=""),"",A653))</f>
        <v/>
      </c>
      <c r="T653" s="20" t="str">
        <f t="shared" ca="1" si="374"/>
        <v/>
      </c>
      <c r="U653" s="2">
        <f ca="1">IF(IF(OP!$C$83=1,$Z652,IF(OP!$C$83=2,$AA652,IF(OP!$C$83=3,$AB652,)))+$K653-$O653-$P653-$AS653&lt;OP!$C$142,0,$AS653)</f>
        <v>0</v>
      </c>
      <c r="V653" s="9"/>
      <c r="W653" s="19">
        <f ca="1">MAX(SUM($K$4:K653),0)</f>
        <v>2000000</v>
      </c>
      <c r="X653" s="19"/>
      <c r="Y653" s="19">
        <f t="shared" ca="1" si="400"/>
        <v>1920000</v>
      </c>
      <c r="Z653" s="2">
        <f ca="1">IF(MIN($Z$4:Z652)=0,0,MAX(0,($Z652+$K653-$O653-$P653)*IF(AND(F653="F",$D$3&lt;&gt;$G$3),((1+(-J653))^(H653/MIN(G653,365))),((1+(-J653))^(1/12)))-$U653))</f>
        <v>119306.24630497993</v>
      </c>
      <c r="AA653" s="2">
        <f ca="1">IF(MIN($AA$4:AA652)=0,0,MAX(0,($AA652+$K653-$O653-$P653)*IF(AND(F653="F",$D$3&lt;&gt;$G$3),((1+$AA$1)^(H653/MIN(G653,365))),((1+$AA$1)^(1/12)))-$U653))</f>
        <v>1920000</v>
      </c>
      <c r="AB653" s="2">
        <f ca="1">IF(MIN($AB$4:AB652)=0,0,MAX(0,($AB652+$K653-$O653-$P653)*IF(AND(F653="F",$D$3&lt;&gt;$G$3),((1+(J653))^(H653/MIN(G653,365))),((1+(J653))^(1/12)))-$U653))</f>
        <v>26980806.563984416</v>
      </c>
      <c r="AC653" s="5"/>
      <c r="AD653" s="5"/>
      <c r="AE653" s="5"/>
      <c r="AF653" s="282">
        <f t="shared" ca="1" si="383"/>
        <v>119306</v>
      </c>
      <c r="AG653" s="282">
        <f t="shared" ca="1" si="384"/>
        <v>1920000</v>
      </c>
      <c r="AH653" s="282">
        <f t="shared" ca="1" si="385"/>
        <v>26980807</v>
      </c>
      <c r="AI653" s="23" t="str">
        <f t="shared" ca="1" si="401"/>
        <v>55-3</v>
      </c>
      <c r="AJ653" s="282">
        <f ca="1">IF(E653&gt;111,,IF(AND(OP!$C$99=1,T653="F"),Z653,IF(AND(OP!$C$99=2,COUNTIF($T$4:T653,"F")=1),OP!$C$97+IF(F653="F",OP!$C$98,0),"")))</f>
        <v>54527</v>
      </c>
      <c r="AK653" s="282">
        <f ca="1">IF(E653&gt;111,,IF(AND(OP!$D$99=1,T653="F"),AA653,IF(AND(OP!$D$99=2,COUNTIF($T$4:T653,"F")=1),OP!$D$97+IF(F653="F",OP!$D$98,0),"")))</f>
        <v>74177</v>
      </c>
      <c r="AL653" s="282">
        <f ca="1">IF(E653&gt;111,,IF(AND(OP!$E$99=1,T653="F"),AB653,IF(AND(OP!$E$99=2,COUNTIF($T$4:T653,"F")=1),OP!$E$97+IF(F653="F",OP!$E$98,0),"")))</f>
        <v>99404</v>
      </c>
      <c r="AM653" s="1">
        <f t="shared" ca="1" si="375"/>
        <v>3</v>
      </c>
      <c r="AN653" s="1" t="e">
        <f ca="1">IF(OR(VLOOKUP($A653,MP,5,0)="月繳"),1,"")</f>
        <v>#N/A</v>
      </c>
      <c r="AO653" s="1">
        <f t="shared" ca="1" si="386"/>
        <v>0</v>
      </c>
      <c r="AP653" s="1" t="str">
        <f ca="1">IF(AND(A653&lt;=OP!$C$120,COUNTIF(PAY,C653)=1),1,"")</f>
        <v/>
      </c>
      <c r="AR653" s="301">
        <f ca="1">IF(繳費報酬率資料!$A$1=1,$AY653+$AZ653,$BF653+$BG653)</f>
        <v>0</v>
      </c>
      <c r="AS653" s="1">
        <f ca="1">IF(C653&lt;&gt;IF($C$3=1,12,$C$3-1),0,IF(繳費報酬率資料!$A$1&lt;&gt;1,VLOOKUP($A653,MP,8,0),IF(AND($A653&gt;=OP!$C$79,$A653&lt;=OP!$C$80),OP!$C$78,)))</f>
        <v>0</v>
      </c>
      <c r="AT653" s="298">
        <f t="shared" ca="1" si="387"/>
        <v>0</v>
      </c>
      <c r="AU653" s="298">
        <f ca="1">IF(AND(A653&lt;=OP!$C$120,COUNTIF(PAY,C653)=1),OP!$C$123,0)</f>
        <v>0</v>
      </c>
      <c r="AV653" s="298">
        <f ca="1">IF(AND(A653&gt;=OP!$C$132,A653&lt;=OP!$C$133,$C$3=C653),OP!$C$135,0)</f>
        <v>0</v>
      </c>
      <c r="AW653" s="180">
        <f t="shared" ca="1" si="388"/>
        <v>0.05</v>
      </c>
      <c r="AX653" s="180">
        <f t="shared" ca="1" si="389"/>
        <v>0.05</v>
      </c>
      <c r="AY653" s="286">
        <f t="shared" ca="1" si="390"/>
        <v>0</v>
      </c>
      <c r="AZ653" s="286">
        <f t="shared" ca="1" si="391"/>
        <v>0</v>
      </c>
      <c r="BA653" s="286">
        <f t="shared" ca="1" si="392"/>
        <v>0</v>
      </c>
      <c r="BB653" s="286">
        <f t="shared" ca="1" si="393"/>
        <v>0</v>
      </c>
      <c r="BC653" s="286">
        <f t="shared" ca="1" si="394"/>
        <v>0</v>
      </c>
      <c r="BD653" s="180">
        <f t="shared" ca="1" si="395"/>
        <v>0.05</v>
      </c>
      <c r="BE653" s="180">
        <f t="shared" ca="1" si="396"/>
        <v>0.05</v>
      </c>
      <c r="BF653" s="286">
        <f t="shared" ca="1" si="397"/>
        <v>0</v>
      </c>
      <c r="BG653" s="286">
        <f t="shared" ca="1" si="398"/>
        <v>0</v>
      </c>
    </row>
    <row r="654" spans="1:59">
      <c r="A654" s="1">
        <f t="shared" ca="1" si="378"/>
        <v>55</v>
      </c>
      <c r="B654" s="1">
        <f t="shared" ca="1" si="371"/>
        <v>160</v>
      </c>
      <c r="C654" s="1">
        <f t="shared" ca="1" si="372"/>
        <v>8</v>
      </c>
      <c r="D654" s="1">
        <f ca="1">MIN($D$3,VLOOKUP(C654,OP!$S$30:$T$41,2))</f>
        <v>2</v>
      </c>
      <c r="E654" s="1">
        <f t="shared" ca="1" si="373"/>
        <v>109</v>
      </c>
      <c r="F654" s="11" t="str">
        <f t="shared" ca="1" si="379"/>
        <v/>
      </c>
      <c r="G654" s="8">
        <f t="shared" ca="1" si="402"/>
        <v>366</v>
      </c>
      <c r="H654" s="8">
        <f t="shared" ca="1" si="380"/>
        <v>31</v>
      </c>
      <c r="I654" s="8" t="str">
        <f t="shared" ca="1" si="377"/>
        <v>558</v>
      </c>
      <c r="J654" s="13">
        <f>IF(繳費報酬率資料!$A$1=1,VALUE(OP!$C$121),VLOOKUP(A654,MP,2,0))</f>
        <v>0.05</v>
      </c>
      <c r="K654" s="14">
        <f ca="1">IF(SUM($K$4:K653,IF(繳費報酬率資料!$A$1=1,$AU654+$AV654,$BB654+$BC654))&gt;OP!$L$58,0,IF(繳費報酬率資料!$A$1=1,$AU654+$AV654,$BB654+$BC654))</f>
        <v>0</v>
      </c>
      <c r="L654" s="2"/>
      <c r="M654" s="2"/>
      <c r="N654" s="2"/>
      <c r="O654" s="261">
        <f t="shared" ca="1" si="381"/>
        <v>0</v>
      </c>
      <c r="P654" s="261">
        <f t="shared" ca="1" si="399"/>
        <v>0</v>
      </c>
      <c r="Q654" s="3">
        <f ca="1">IF(A654&gt;MAX(OP!$R$17:$R$26),0,VLOOKUP(A654,fees,3,FALSE))</f>
        <v>0</v>
      </c>
      <c r="R654" s="200" t="str">
        <f t="shared" ca="1" si="382"/>
        <v/>
      </c>
      <c r="S654" s="9" t="str">
        <f ca="1">IF(COUNTIF(($T$4:T653),"F")&gt;=1,"",IF(OR(C655&lt;&gt;$C$3,E654=""),"",A654))</f>
        <v/>
      </c>
      <c r="T654" s="20" t="str">
        <f t="shared" ca="1" si="374"/>
        <v/>
      </c>
      <c r="U654" s="2">
        <f ca="1">IF(IF(OP!$C$83=1,$Z653,IF(OP!$C$83=2,$AA653,IF(OP!$C$83=3,$AB653,)))+$K654-$O654-$P654-$AS654&lt;OP!$C$142,0,$AS654)</f>
        <v>0</v>
      </c>
      <c r="V654" s="9"/>
      <c r="W654" s="19">
        <f ca="1">MAX(SUM($K$4:K654),0)</f>
        <v>2000000</v>
      </c>
      <c r="X654" s="19"/>
      <c r="Y654" s="19">
        <f t="shared" ca="1" si="400"/>
        <v>1920000</v>
      </c>
      <c r="Z654" s="2">
        <f ca="1">IF(MIN($Z$4:Z653)=0,0,MAX(0,($Z653+$K654-$O654-$P654)*IF(AND(F654="F",$D$3&lt;&gt;$G$3),((1+(-J654))^(H654/MIN(G654,365))),((1+(-J654))^(1/12)))-$U654))</f>
        <v>118797.36713233501</v>
      </c>
      <c r="AA654" s="2">
        <f ca="1">IF(MIN($AA$4:AA653)=0,0,MAX(0,($AA653+$K654-$O654-$P654)*IF(AND(F654="F",$D$3&lt;&gt;$G$3),((1+$AA$1)^(H654/MIN(G654,365))),((1+$AA$1)^(1/12)))-$U654))</f>
        <v>1920000</v>
      </c>
      <c r="AB654" s="2">
        <f ca="1">IF(MIN($AB$4:AB653)=0,0,MAX(0,($AB653+$K654-$O654-$P654)*IF(AND(F654="F",$D$3&lt;&gt;$G$3),((1+(J654))^(H654/MIN(G654,365))),((1+(J654))^(1/12)))-$U654))</f>
        <v>27090729.709708761</v>
      </c>
      <c r="AC654" s="5"/>
      <c r="AD654" s="5"/>
      <c r="AE654" s="5"/>
      <c r="AF654" s="282">
        <f t="shared" ca="1" si="383"/>
        <v>118797</v>
      </c>
      <c r="AG654" s="282">
        <f t="shared" ca="1" si="384"/>
        <v>1920000</v>
      </c>
      <c r="AH654" s="282">
        <f t="shared" ca="1" si="385"/>
        <v>27090730</v>
      </c>
      <c r="AI654" s="23" t="str">
        <f t="shared" ca="1" si="401"/>
        <v>55-4</v>
      </c>
      <c r="AJ654" s="282">
        <f ca="1">IF(E654&gt;111,,IF(AND(OP!$C$99=1,T654="F"),Z654,IF(AND(OP!$C$99=2,COUNTIF($T$4:T654,"F")=1),OP!$C$97+IF(F654="F",OP!$C$98,0),"")))</f>
        <v>54527</v>
      </c>
      <c r="AK654" s="282">
        <f ca="1">IF(E654&gt;111,,IF(AND(OP!$D$99=1,T654="F"),AA654,IF(AND(OP!$D$99=2,COUNTIF($T$4:T654,"F")=1),OP!$D$97+IF(F654="F",OP!$D$98,0),"")))</f>
        <v>74177</v>
      </c>
      <c r="AL654" s="282">
        <f ca="1">IF(E654&gt;111,,IF(AND(OP!$E$99=1,T654="F"),AB654,IF(AND(OP!$E$99=2,COUNTIF($T$4:T654,"F")=1),OP!$E$97+IF(F654="F",OP!$E$98,0),"")))</f>
        <v>99404</v>
      </c>
      <c r="AM654" s="1">
        <f t="shared" ca="1" si="375"/>
        <v>4</v>
      </c>
      <c r="AN654" s="1" t="e">
        <f ca="1">IF(OR(VLOOKUP($A654,MP,5,0)="月繳"),1,"")</f>
        <v>#N/A</v>
      </c>
      <c r="AO654" s="1">
        <f t="shared" ca="1" si="386"/>
        <v>0</v>
      </c>
      <c r="AP654" s="1" t="str">
        <f ca="1">IF(AND(A654&lt;=OP!$C$120,COUNTIF(PAY,C654)=1),1,"")</f>
        <v/>
      </c>
      <c r="AR654" s="301">
        <f ca="1">IF(繳費報酬率資料!$A$1=1,$AY654+$AZ654,$BF654+$BG654)</f>
        <v>0</v>
      </c>
      <c r="AS654" s="1">
        <f ca="1">IF(C654&lt;&gt;IF($C$3=1,12,$C$3-1),0,IF(繳費報酬率資料!$A$1&lt;&gt;1,VLOOKUP($A654,MP,8,0),IF(AND($A654&gt;=OP!$C$79,$A654&lt;=OP!$C$80),OP!$C$78,)))</f>
        <v>0</v>
      </c>
      <c r="AT654" s="298">
        <f t="shared" ca="1" si="387"/>
        <v>0</v>
      </c>
      <c r="AU654" s="298">
        <f ca="1">IF(AND(A654&lt;=OP!$C$120,COUNTIF(PAY,C654)=1),OP!$C$123,0)</f>
        <v>0</v>
      </c>
      <c r="AV654" s="298">
        <f ca="1">IF(AND(A654&gt;=OP!$C$132,A654&lt;=OP!$C$133,$C$3=C654),OP!$C$135,0)</f>
        <v>0</v>
      </c>
      <c r="AW654" s="180">
        <f t="shared" ca="1" si="388"/>
        <v>0.05</v>
      </c>
      <c r="AX654" s="180">
        <f t="shared" ca="1" si="389"/>
        <v>0.05</v>
      </c>
      <c r="AY654" s="286">
        <f t="shared" ca="1" si="390"/>
        <v>0</v>
      </c>
      <c r="AZ654" s="286">
        <f t="shared" ca="1" si="391"/>
        <v>0</v>
      </c>
      <c r="BA654" s="286">
        <f t="shared" ca="1" si="392"/>
        <v>0</v>
      </c>
      <c r="BB654" s="286">
        <f t="shared" ca="1" si="393"/>
        <v>0</v>
      </c>
      <c r="BC654" s="286">
        <f t="shared" ca="1" si="394"/>
        <v>0</v>
      </c>
      <c r="BD654" s="180">
        <f t="shared" ca="1" si="395"/>
        <v>0.05</v>
      </c>
      <c r="BE654" s="180">
        <f t="shared" ca="1" si="396"/>
        <v>0.05</v>
      </c>
      <c r="BF654" s="286">
        <f t="shared" ca="1" si="397"/>
        <v>0</v>
      </c>
      <c r="BG654" s="286">
        <f t="shared" ca="1" si="398"/>
        <v>0</v>
      </c>
    </row>
    <row r="655" spans="1:59">
      <c r="A655" s="1">
        <f t="shared" ca="1" si="378"/>
        <v>55</v>
      </c>
      <c r="B655" s="1">
        <f t="shared" ca="1" si="371"/>
        <v>160</v>
      </c>
      <c r="C655" s="1">
        <f t="shared" ca="1" si="372"/>
        <v>9</v>
      </c>
      <c r="D655" s="1">
        <f ca="1">MIN($D$3,VLOOKUP(C655,OP!$S$30:$T$41,2))</f>
        <v>2</v>
      </c>
      <c r="E655" s="1">
        <f t="shared" ca="1" si="373"/>
        <v>109</v>
      </c>
      <c r="F655" s="11" t="str">
        <f t="shared" ca="1" si="379"/>
        <v/>
      </c>
      <c r="G655" s="8">
        <f t="shared" ca="1" si="402"/>
        <v>366</v>
      </c>
      <c r="H655" s="8">
        <f t="shared" ca="1" si="380"/>
        <v>30</v>
      </c>
      <c r="I655" s="8" t="str">
        <f t="shared" ca="1" si="377"/>
        <v>559</v>
      </c>
      <c r="J655" s="13">
        <f>IF(繳費報酬率資料!$A$1=1,VALUE(OP!$C$121),VLOOKUP(A655,MP,2,0))</f>
        <v>0.05</v>
      </c>
      <c r="K655" s="14">
        <f ca="1">IF(SUM($K$4:K654,IF(繳費報酬率資料!$A$1=1,$AU655+$AV655,$BB655+$BC655))&gt;OP!$L$58,0,IF(繳費報酬率資料!$A$1=1,$AU655+$AV655,$BB655+$BC655))</f>
        <v>0</v>
      </c>
      <c r="L655" s="2"/>
      <c r="M655" s="2"/>
      <c r="N655" s="2"/>
      <c r="O655" s="261">
        <f t="shared" ca="1" si="381"/>
        <v>0</v>
      </c>
      <c r="P655" s="261">
        <f t="shared" ca="1" si="399"/>
        <v>0</v>
      </c>
      <c r="Q655" s="3">
        <f ca="1">IF(A655&gt;MAX(OP!$R$17:$R$26),0,VLOOKUP(A655,fees,3,FALSE))</f>
        <v>0</v>
      </c>
      <c r="R655" s="200" t="str">
        <f t="shared" ca="1" si="382"/>
        <v/>
      </c>
      <c r="S655" s="9" t="str">
        <f ca="1">IF(COUNTIF(($T$4:T654),"F")&gt;=1,"",IF(OR(C656&lt;&gt;$C$3,E655=""),"",A655))</f>
        <v/>
      </c>
      <c r="T655" s="20" t="str">
        <f t="shared" ca="1" si="374"/>
        <v/>
      </c>
      <c r="U655" s="2">
        <f ca="1">IF(IF(OP!$C$83=1,$Z654,IF(OP!$C$83=2,$AA654,IF(OP!$C$83=3,$AB654,)))+$K655-$O655-$P655-$AS655&lt;OP!$C$142,0,$AS655)</f>
        <v>0</v>
      </c>
      <c r="V655" s="9"/>
      <c r="W655" s="19">
        <f ca="1">MAX(SUM($K$4:K655),0)</f>
        <v>2000000</v>
      </c>
      <c r="X655" s="19"/>
      <c r="Y655" s="19">
        <f t="shared" ca="1" si="400"/>
        <v>1920000</v>
      </c>
      <c r="Z655" s="2">
        <f ca="1">IF(MIN($Z$4:Z654)=0,0,MAX(0,($Z654+$K655-$O655-$P655)*IF(AND(F655="F",$D$3&lt;&gt;$G$3),((1+(-J655))^(H655/MIN(G655,365))),((1+(-J655))^(1/12)))-$U655))</f>
        <v>118290.6584915807</v>
      </c>
      <c r="AA655" s="2">
        <f ca="1">IF(MIN($AA$4:AA654)=0,0,MAX(0,($AA654+$K655-$O655-$P655)*IF(AND(F655="F",$D$3&lt;&gt;$G$3),((1+$AA$1)^(H655/MIN(G655,365))),((1+$AA$1)^(1/12)))-$U655))</f>
        <v>1920000</v>
      </c>
      <c r="AB655" s="2">
        <f ca="1">IF(MIN($AB$4:AB654)=0,0,MAX(0,($AB654+$K655-$O655-$P655)*IF(AND(F655="F",$D$3&lt;&gt;$G$3),((1+(J655))^(H655/MIN(G655,365))),((1+(J655))^(1/12)))-$U655))</f>
        <v>27201100.695935477</v>
      </c>
      <c r="AC655" s="5"/>
      <c r="AD655" s="5"/>
      <c r="AE655" s="5"/>
      <c r="AF655" s="282">
        <f t="shared" ca="1" si="383"/>
        <v>118291</v>
      </c>
      <c r="AG655" s="282">
        <f t="shared" ca="1" si="384"/>
        <v>1920000</v>
      </c>
      <c r="AH655" s="282">
        <f t="shared" ca="1" si="385"/>
        <v>27201101</v>
      </c>
      <c r="AI655" s="23" t="str">
        <f t="shared" ca="1" si="401"/>
        <v>55-5</v>
      </c>
      <c r="AJ655" s="282">
        <f ca="1">IF(E655&gt;111,,IF(AND(OP!$C$99=1,T655="F"),Z655,IF(AND(OP!$C$99=2,COUNTIF($T$4:T655,"F")=1),OP!$C$97+IF(F655="F",OP!$C$98,0),"")))</f>
        <v>54527</v>
      </c>
      <c r="AK655" s="282">
        <f ca="1">IF(E655&gt;111,,IF(AND(OP!$D$99=1,T655="F"),AA655,IF(AND(OP!$D$99=2,COUNTIF($T$4:T655,"F")=1),OP!$D$97+IF(F655="F",OP!$D$98,0),"")))</f>
        <v>74177</v>
      </c>
      <c r="AL655" s="282">
        <f ca="1">IF(E655&gt;111,,IF(AND(OP!$E$99=1,T655="F"),AB655,IF(AND(OP!$E$99=2,COUNTIF($T$4:T655,"F")=1),OP!$E$97+IF(F655="F",OP!$E$98,0),"")))</f>
        <v>99404</v>
      </c>
      <c r="AM655" s="1">
        <f t="shared" ca="1" si="375"/>
        <v>5</v>
      </c>
      <c r="AN655" s="1" t="e">
        <f ca="1">IF(OR(VLOOKUP($A655,MP,5,0)="季繳",VLOOKUP($A655,MP,5,0)="月繳"),1,"")</f>
        <v>#N/A</v>
      </c>
      <c r="AO655" s="1">
        <f t="shared" ca="1" si="386"/>
        <v>0</v>
      </c>
      <c r="AP655" s="1" t="str">
        <f ca="1">IF(AND(A655&lt;=OP!$C$120,COUNTIF(PAY,C655)=1),1,"")</f>
        <v/>
      </c>
      <c r="AR655" s="301">
        <f ca="1">IF(繳費報酬率資料!$A$1=1,$AY655+$AZ655,$BF655+$BG655)</f>
        <v>0</v>
      </c>
      <c r="AS655" s="1">
        <f ca="1">IF(C655&lt;&gt;IF($C$3=1,12,$C$3-1),0,IF(繳費報酬率資料!$A$1&lt;&gt;1,VLOOKUP($A655,MP,8,0),IF(AND($A655&gt;=OP!$C$79,$A655&lt;=OP!$C$80),OP!$C$78,)))</f>
        <v>0</v>
      </c>
      <c r="AT655" s="298">
        <f t="shared" ca="1" si="387"/>
        <v>0</v>
      </c>
      <c r="AU655" s="298">
        <f ca="1">IF(AND(A655&lt;=OP!$C$120,COUNTIF(PAY,C655)=1),OP!$C$123,0)</f>
        <v>0</v>
      </c>
      <c r="AV655" s="298">
        <f ca="1">IF(AND(A655&gt;=OP!$C$132,A655&lt;=OP!$C$133,$C$3=C655),OP!$C$135,0)</f>
        <v>0</v>
      </c>
      <c r="AW655" s="180">
        <f t="shared" ca="1" si="388"/>
        <v>0.05</v>
      </c>
      <c r="AX655" s="180">
        <f t="shared" ca="1" si="389"/>
        <v>0.05</v>
      </c>
      <c r="AY655" s="286">
        <f t="shared" ca="1" si="390"/>
        <v>0</v>
      </c>
      <c r="AZ655" s="286">
        <f t="shared" ca="1" si="391"/>
        <v>0</v>
      </c>
      <c r="BA655" s="286">
        <f t="shared" ca="1" si="392"/>
        <v>0</v>
      </c>
      <c r="BB655" s="286">
        <f t="shared" ca="1" si="393"/>
        <v>0</v>
      </c>
      <c r="BC655" s="286">
        <f t="shared" ca="1" si="394"/>
        <v>0</v>
      </c>
      <c r="BD655" s="180">
        <f t="shared" ca="1" si="395"/>
        <v>0.05</v>
      </c>
      <c r="BE655" s="180">
        <f t="shared" ca="1" si="396"/>
        <v>0.05</v>
      </c>
      <c r="BF655" s="286">
        <f t="shared" ca="1" si="397"/>
        <v>0</v>
      </c>
      <c r="BG655" s="286">
        <f t="shared" ca="1" si="398"/>
        <v>0</v>
      </c>
    </row>
    <row r="656" spans="1:59">
      <c r="A656" s="1">
        <f t="shared" ca="1" si="378"/>
        <v>55</v>
      </c>
      <c r="B656" s="1">
        <f t="shared" ca="1" si="371"/>
        <v>160</v>
      </c>
      <c r="C656" s="1">
        <f t="shared" ca="1" si="372"/>
        <v>10</v>
      </c>
      <c r="D656" s="1">
        <f ca="1">MIN($D$3,VLOOKUP(C656,OP!$S$30:$T$41,2))</f>
        <v>2</v>
      </c>
      <c r="E656" s="1">
        <f t="shared" ca="1" si="373"/>
        <v>109</v>
      </c>
      <c r="F656" s="11" t="str">
        <f t="shared" ca="1" si="379"/>
        <v/>
      </c>
      <c r="G656" s="8">
        <f t="shared" ca="1" si="402"/>
        <v>366</v>
      </c>
      <c r="H656" s="8">
        <f t="shared" ca="1" si="380"/>
        <v>31</v>
      </c>
      <c r="I656" s="8" t="str">
        <f t="shared" ca="1" si="377"/>
        <v>5510</v>
      </c>
      <c r="J656" s="13">
        <f>IF(繳費報酬率資料!$A$1=1,VALUE(OP!$C$121),VLOOKUP(A656,MP,2,0))</f>
        <v>0.05</v>
      </c>
      <c r="K656" s="14">
        <f ca="1">IF(SUM($K$4:K655,IF(繳費報酬率資料!$A$1=1,$AU656+$AV656,$BB656+$BC656))&gt;OP!$L$58,0,IF(繳費報酬率資料!$A$1=1,$AU656+$AV656,$BB656+$BC656))</f>
        <v>0</v>
      </c>
      <c r="L656" s="2"/>
      <c r="M656" s="2"/>
      <c r="N656" s="2"/>
      <c r="O656" s="261">
        <f t="shared" ca="1" si="381"/>
        <v>0</v>
      </c>
      <c r="P656" s="261">
        <f t="shared" ca="1" si="399"/>
        <v>0</v>
      </c>
      <c r="Q656" s="3">
        <f ca="1">IF(A656&gt;MAX(OP!$R$17:$R$26),0,VLOOKUP(A656,fees,3,FALSE))</f>
        <v>0</v>
      </c>
      <c r="R656" s="200" t="str">
        <f t="shared" ca="1" si="382"/>
        <v/>
      </c>
      <c r="S656" s="9" t="str">
        <f ca="1">IF(COUNTIF(($T$4:T655),"F")&gt;=1,"",IF(OR(C657&lt;&gt;$C$3,E656=""),"",A656))</f>
        <v/>
      </c>
      <c r="T656" s="20" t="str">
        <f t="shared" ca="1" si="374"/>
        <v/>
      </c>
      <c r="U656" s="2">
        <f ca="1">IF(IF(OP!$C$83=1,$Z655,IF(OP!$C$83=2,$AA655,IF(OP!$C$83=3,$AB655,)))+$K656-$O656-$P656-$AS656&lt;OP!$C$142,0,$AS656)</f>
        <v>0</v>
      </c>
      <c r="V656" s="9"/>
      <c r="W656" s="19">
        <f ca="1">MAX(SUM($K$4:K656),0)</f>
        <v>2000000</v>
      </c>
      <c r="X656" s="19"/>
      <c r="Y656" s="19">
        <f t="shared" ca="1" si="400"/>
        <v>1920000</v>
      </c>
      <c r="Z656" s="2">
        <f ca="1">IF(MIN($Z$4:Z655)=0,0,MAX(0,($Z655+$K656-$O656-$P656)*IF(AND(F656="F",$D$3&lt;&gt;$G$3),((1+(-J656))^(H656/MIN(G656,365))),((1+(-J656))^(1/12)))-$U656))</f>
        <v>117786.11112470656</v>
      </c>
      <c r="AA656" s="2">
        <f ca="1">IF(MIN($AA$4:AA655)=0,0,MAX(0,($AA655+$K656-$O656-$P656)*IF(AND(F656="F",$D$3&lt;&gt;$G$3),((1+$AA$1)^(H656/MIN(G656,365))),((1+$AA$1)^(1/12)))-$U656))</f>
        <v>1920000</v>
      </c>
      <c r="AB656" s="2">
        <f ca="1">IF(MIN($AB$4:AB655)=0,0,MAX(0,($AB655+$K656-$O656-$P656)*IF(AND(F656="F",$D$3&lt;&gt;$G$3),((1+(J656))^(H656/MIN(G656,365))),((1+(J656))^(1/12)))-$U656))</f>
        <v>27311921.347222202</v>
      </c>
      <c r="AC656" s="5"/>
      <c r="AD656" s="5"/>
      <c r="AE656" s="5"/>
      <c r="AF656" s="282">
        <f t="shared" ca="1" si="383"/>
        <v>117786</v>
      </c>
      <c r="AG656" s="282">
        <f t="shared" ca="1" si="384"/>
        <v>1920000</v>
      </c>
      <c r="AH656" s="282">
        <f t="shared" ca="1" si="385"/>
        <v>27311921</v>
      </c>
      <c r="AI656" s="23" t="str">
        <f t="shared" ca="1" si="401"/>
        <v>55-6</v>
      </c>
      <c r="AJ656" s="282">
        <f ca="1">IF(E656&gt;111,,IF(AND(OP!$C$99=1,T656="F"),Z656,IF(AND(OP!$C$99=2,COUNTIF($T$4:T656,"F")=1),OP!$C$97+IF(F656="F",OP!$C$98,0),"")))</f>
        <v>54527</v>
      </c>
      <c r="AK656" s="282">
        <f ca="1">IF(E656&gt;111,,IF(AND(OP!$D$99=1,T656="F"),AA656,IF(AND(OP!$D$99=2,COUNTIF($T$4:T656,"F")=1),OP!$D$97+IF(F656="F",OP!$D$98,0),"")))</f>
        <v>74177</v>
      </c>
      <c r="AL656" s="282">
        <f ca="1">IF(E656&gt;111,,IF(AND(OP!$E$99=1,T656="F"),AB656,IF(AND(OP!$E$99=2,COUNTIF($T$4:T656,"F")=1),OP!$E$97+IF(F656="F",OP!$E$98,0),"")))</f>
        <v>99404</v>
      </c>
      <c r="AM656" s="1">
        <f t="shared" ca="1" si="375"/>
        <v>6</v>
      </c>
      <c r="AN656" s="1" t="e">
        <f ca="1">IF(OR(VLOOKUP($A656,MP,5,0)="月繳"),1,"")</f>
        <v>#N/A</v>
      </c>
      <c r="AO656" s="1">
        <f t="shared" ca="1" si="386"/>
        <v>0</v>
      </c>
      <c r="AP656" s="1" t="str">
        <f ca="1">IF(AND(A656&lt;=OP!$C$120,COUNTIF(PAY,C656)=1),1,"")</f>
        <v/>
      </c>
      <c r="AR656" s="301">
        <f ca="1">IF(繳費報酬率資料!$A$1=1,$AY656+$AZ656,$BF656+$BG656)</f>
        <v>0</v>
      </c>
      <c r="AS656" s="1">
        <f ca="1">IF(C656&lt;&gt;IF($C$3=1,12,$C$3-1),0,IF(繳費報酬率資料!$A$1&lt;&gt;1,VLOOKUP($A656,MP,8,0),IF(AND($A656&gt;=OP!$C$79,$A656&lt;=OP!$C$80),OP!$C$78,)))</f>
        <v>0</v>
      </c>
      <c r="AT656" s="298">
        <f t="shared" ca="1" si="387"/>
        <v>0</v>
      </c>
      <c r="AU656" s="298">
        <f ca="1">IF(AND(A656&lt;=OP!$C$120,COUNTIF(PAY,C656)=1),OP!$C$123,0)</f>
        <v>0</v>
      </c>
      <c r="AV656" s="298">
        <f ca="1">IF(AND(A656&gt;=OP!$C$132,A656&lt;=OP!$C$133,$C$3=C656),OP!$C$135,0)</f>
        <v>0</v>
      </c>
      <c r="AW656" s="180">
        <f t="shared" ca="1" si="388"/>
        <v>0.05</v>
      </c>
      <c r="AX656" s="180">
        <f t="shared" ca="1" si="389"/>
        <v>0.05</v>
      </c>
      <c r="AY656" s="286">
        <f t="shared" ca="1" si="390"/>
        <v>0</v>
      </c>
      <c r="AZ656" s="286">
        <f t="shared" ca="1" si="391"/>
        <v>0</v>
      </c>
      <c r="BA656" s="286">
        <f t="shared" ca="1" si="392"/>
        <v>0</v>
      </c>
      <c r="BB656" s="286">
        <f t="shared" ca="1" si="393"/>
        <v>0</v>
      </c>
      <c r="BC656" s="286">
        <f t="shared" ca="1" si="394"/>
        <v>0</v>
      </c>
      <c r="BD656" s="180">
        <f t="shared" ca="1" si="395"/>
        <v>0.05</v>
      </c>
      <c r="BE656" s="180">
        <f t="shared" ca="1" si="396"/>
        <v>0.05</v>
      </c>
      <c r="BF656" s="286">
        <f t="shared" ca="1" si="397"/>
        <v>0</v>
      </c>
      <c r="BG656" s="286">
        <f t="shared" ca="1" si="398"/>
        <v>0</v>
      </c>
    </row>
    <row r="657" spans="1:59">
      <c r="A657" s="1">
        <f t="shared" ca="1" si="378"/>
        <v>55</v>
      </c>
      <c r="B657" s="1">
        <f t="shared" ca="1" si="371"/>
        <v>160</v>
      </c>
      <c r="C657" s="1">
        <f t="shared" ca="1" si="372"/>
        <v>11</v>
      </c>
      <c r="D657" s="1">
        <f ca="1">MIN($D$3,VLOOKUP(C657,OP!$S$30:$T$41,2))</f>
        <v>2</v>
      </c>
      <c r="E657" s="1">
        <f t="shared" ca="1" si="373"/>
        <v>109</v>
      </c>
      <c r="F657" s="11" t="str">
        <f t="shared" ca="1" si="379"/>
        <v/>
      </c>
      <c r="G657" s="8">
        <f t="shared" ca="1" si="402"/>
        <v>366</v>
      </c>
      <c r="H657" s="8">
        <f t="shared" ca="1" si="380"/>
        <v>30</v>
      </c>
      <c r="I657" s="8" t="str">
        <f t="shared" ca="1" si="377"/>
        <v>5511</v>
      </c>
      <c r="J657" s="13">
        <f>IF(繳費報酬率資料!$A$1=1,VALUE(OP!$C$121),VLOOKUP(A657,MP,2,0))</f>
        <v>0.05</v>
      </c>
      <c r="K657" s="14">
        <f ca="1">IF(SUM($K$4:K656,IF(繳費報酬率資料!$A$1=1,$AU657+$AV657,$BB657+$BC657))&gt;OP!$L$58,0,IF(繳費報酬率資料!$A$1=1,$AU657+$AV657,$BB657+$BC657))</f>
        <v>0</v>
      </c>
      <c r="L657" s="2"/>
      <c r="M657" s="2"/>
      <c r="N657" s="2"/>
      <c r="O657" s="261">
        <f t="shared" ca="1" si="381"/>
        <v>0</v>
      </c>
      <c r="P657" s="261">
        <f t="shared" ca="1" si="399"/>
        <v>0</v>
      </c>
      <c r="Q657" s="3">
        <f ca="1">IF(A657&gt;MAX(OP!$R$17:$R$26),0,VLOOKUP(A657,fees,3,FALSE))</f>
        <v>0</v>
      </c>
      <c r="R657" s="200" t="str">
        <f t="shared" ca="1" si="382"/>
        <v/>
      </c>
      <c r="S657" s="9" t="str">
        <f ca="1">IF(COUNTIF(($T$4:T656),"F")&gt;=1,"",IF(OR(C658&lt;&gt;$C$3,E657=""),"",A657))</f>
        <v/>
      </c>
      <c r="T657" s="20" t="str">
        <f t="shared" ca="1" si="374"/>
        <v/>
      </c>
      <c r="U657" s="2">
        <f ca="1">IF(IF(OP!$C$83=1,$Z656,IF(OP!$C$83=2,$AA656,IF(OP!$C$83=3,$AB656,)))+$K657-$O657-$P657-$AS657&lt;OP!$C$142,0,$AS657)</f>
        <v>0</v>
      </c>
      <c r="V657" s="9"/>
      <c r="W657" s="19">
        <f ca="1">MAX(SUM($K$4:K657),0)</f>
        <v>2000000</v>
      </c>
      <c r="X657" s="19"/>
      <c r="Y657" s="19">
        <f t="shared" ca="1" si="400"/>
        <v>1920000</v>
      </c>
      <c r="Z657" s="2">
        <f ca="1">IF(MIN($Z$4:Z656)=0,0,MAX(0,($Z656+$K657-$O657-$P657)*IF(AND(F657="F",$D$3&lt;&gt;$G$3),((1+(-J657))^(H657/MIN(G657,365))),((1+(-J657))^(1/12)))-$U657))</f>
        <v>117283.7158131905</v>
      </c>
      <c r="AA657" s="2">
        <f ca="1">IF(MIN($AA$4:AA656)=0,0,MAX(0,($AA656+$K657-$O657-$P657)*IF(AND(F657="F",$D$3&lt;&gt;$G$3),((1+$AA$1)^(H657/MIN(G657,365))),((1+$AA$1)^(1/12)))-$U657))</f>
        <v>1920000</v>
      </c>
      <c r="AB657" s="2">
        <f ca="1">IF(MIN($AB$4:AB656)=0,0,MAX(0,($AB656+$K657-$O657-$P657)*IF(AND(F657="F",$D$3&lt;&gt;$G$3),((1+(J657))^(H657/MIN(G657,365))),((1+(J657))^(1/12)))-$U657))</f>
        <v>27423193.495560054</v>
      </c>
      <c r="AC657" s="5"/>
      <c r="AD657" s="5"/>
      <c r="AE657" s="5"/>
      <c r="AF657" s="282">
        <f t="shared" ca="1" si="383"/>
        <v>117284</v>
      </c>
      <c r="AG657" s="282">
        <f t="shared" ca="1" si="384"/>
        <v>1920000</v>
      </c>
      <c r="AH657" s="282">
        <f t="shared" ca="1" si="385"/>
        <v>27423193</v>
      </c>
      <c r="AI657" s="23" t="str">
        <f t="shared" ca="1" si="401"/>
        <v>55-7</v>
      </c>
      <c r="AJ657" s="282">
        <f ca="1">IF(E657&gt;111,,IF(AND(OP!$C$99=1,T657="F"),Z657,IF(AND(OP!$C$99=2,COUNTIF($T$4:T657,"F")=1),OP!$C$97+IF(F657="F",OP!$C$98,0),"")))</f>
        <v>54527</v>
      </c>
      <c r="AK657" s="282">
        <f ca="1">IF(E657&gt;111,,IF(AND(OP!$D$99=1,T657="F"),AA657,IF(AND(OP!$D$99=2,COUNTIF($T$4:T657,"F")=1),OP!$D$97+IF(F657="F",OP!$D$98,0),"")))</f>
        <v>74177</v>
      </c>
      <c r="AL657" s="282">
        <f ca="1">IF(E657&gt;111,,IF(AND(OP!$E$99=1,T657="F"),AB657,IF(AND(OP!$E$99=2,COUNTIF($T$4:T657,"F")=1),OP!$E$97+IF(F657="F",OP!$E$98,0),"")))</f>
        <v>99404</v>
      </c>
      <c r="AM657" s="1">
        <f t="shared" ca="1" si="375"/>
        <v>7</v>
      </c>
      <c r="AN657" s="1" t="e">
        <f ca="1">IF(OR(VLOOKUP($A657,MP,5,0)="月繳"),1,"")</f>
        <v>#N/A</v>
      </c>
      <c r="AO657" s="1">
        <f t="shared" ca="1" si="386"/>
        <v>0</v>
      </c>
      <c r="AP657" s="1" t="str">
        <f ca="1">IF(AND(A657&lt;=OP!$C$120,COUNTIF(PAY,C657)=1),1,"")</f>
        <v/>
      </c>
      <c r="AR657" s="301">
        <f ca="1">IF(繳費報酬率資料!$A$1=1,$AY657+$AZ657,$BF657+$BG657)</f>
        <v>0</v>
      </c>
      <c r="AS657" s="1">
        <f ca="1">IF(C657&lt;&gt;IF($C$3=1,12,$C$3-1),0,IF(繳費報酬率資料!$A$1&lt;&gt;1,VLOOKUP($A657,MP,8,0),IF(AND($A657&gt;=OP!$C$79,$A657&lt;=OP!$C$80),OP!$C$78,)))</f>
        <v>0</v>
      </c>
      <c r="AT657" s="298">
        <f t="shared" ca="1" si="387"/>
        <v>0</v>
      </c>
      <c r="AU657" s="298">
        <f ca="1">IF(AND(A657&lt;=OP!$C$120,COUNTIF(PAY,C657)=1),OP!$C$123,0)</f>
        <v>0</v>
      </c>
      <c r="AV657" s="298">
        <f ca="1">IF(AND(A657&gt;=OP!$C$132,A657&lt;=OP!$C$133,$C$3=C657),OP!$C$135,0)</f>
        <v>0</v>
      </c>
      <c r="AW657" s="180">
        <f t="shared" ca="1" si="388"/>
        <v>0.05</v>
      </c>
      <c r="AX657" s="180">
        <f t="shared" ca="1" si="389"/>
        <v>0.05</v>
      </c>
      <c r="AY657" s="286">
        <f t="shared" ca="1" si="390"/>
        <v>0</v>
      </c>
      <c r="AZ657" s="286">
        <f t="shared" ca="1" si="391"/>
        <v>0</v>
      </c>
      <c r="BA657" s="286">
        <f t="shared" ca="1" si="392"/>
        <v>0</v>
      </c>
      <c r="BB657" s="286">
        <f t="shared" ca="1" si="393"/>
        <v>0</v>
      </c>
      <c r="BC657" s="286">
        <f t="shared" ca="1" si="394"/>
        <v>0</v>
      </c>
      <c r="BD657" s="180">
        <f t="shared" ca="1" si="395"/>
        <v>0.05</v>
      </c>
      <c r="BE657" s="180">
        <f t="shared" ca="1" si="396"/>
        <v>0.05</v>
      </c>
      <c r="BF657" s="286">
        <f t="shared" ca="1" si="397"/>
        <v>0</v>
      </c>
      <c r="BG657" s="286">
        <f t="shared" ca="1" si="398"/>
        <v>0</v>
      </c>
    </row>
    <row r="658" spans="1:59">
      <c r="A658" s="1">
        <f t="shared" ca="1" si="378"/>
        <v>55</v>
      </c>
      <c r="B658" s="1">
        <f t="shared" ca="1" si="371"/>
        <v>160</v>
      </c>
      <c r="C658" s="1">
        <f t="shared" ca="1" si="372"/>
        <v>12</v>
      </c>
      <c r="D658" s="1">
        <f ca="1">MIN($D$3,VLOOKUP(C658,OP!$S$30:$T$41,2))</f>
        <v>2</v>
      </c>
      <c r="E658" s="1">
        <f t="shared" ca="1" si="373"/>
        <v>109</v>
      </c>
      <c r="F658" s="11" t="str">
        <f t="shared" ca="1" si="379"/>
        <v/>
      </c>
      <c r="G658" s="8">
        <f t="shared" ca="1" si="402"/>
        <v>366</v>
      </c>
      <c r="H658" s="8">
        <f t="shared" ca="1" si="380"/>
        <v>31</v>
      </c>
      <c r="I658" s="8" t="str">
        <f t="shared" ca="1" si="377"/>
        <v>5512</v>
      </c>
      <c r="J658" s="13">
        <f>IF(繳費報酬率資料!$A$1=1,VALUE(OP!$C$121),VLOOKUP(A658,MP,2,0))</f>
        <v>0.05</v>
      </c>
      <c r="K658" s="14">
        <f ca="1">IF(SUM($K$4:K657,IF(繳費報酬率資料!$A$1=1,$AU658+$AV658,$BB658+$BC658))&gt;OP!$L$58,0,IF(繳費報酬率資料!$A$1=1,$AU658+$AV658,$BB658+$BC658))</f>
        <v>0</v>
      </c>
      <c r="L658" s="2"/>
      <c r="M658" s="2"/>
      <c r="N658" s="2"/>
      <c r="O658" s="261">
        <f t="shared" ca="1" si="381"/>
        <v>0</v>
      </c>
      <c r="P658" s="261">
        <f t="shared" ca="1" si="399"/>
        <v>0</v>
      </c>
      <c r="Q658" s="3">
        <f ca="1">IF(A658&gt;MAX(OP!$R$17:$R$26),0,VLOOKUP(A658,fees,3,FALSE))</f>
        <v>0</v>
      </c>
      <c r="R658" s="200" t="str">
        <f t="shared" ca="1" si="382"/>
        <v/>
      </c>
      <c r="S658" s="9" t="str">
        <f ca="1">IF(COUNTIF(($T$4:T657),"F")&gt;=1,"",IF(OR(C659&lt;&gt;$C$3,E658=""),"",A658))</f>
        <v/>
      </c>
      <c r="T658" s="20" t="str">
        <f t="shared" ca="1" si="374"/>
        <v/>
      </c>
      <c r="U658" s="2">
        <f ca="1">IF(IF(OP!$C$83=1,$Z657,IF(OP!$C$83=2,$AA657,IF(OP!$C$83=3,$AB657,)))+$K658-$O658-$P658-$AS658&lt;OP!$C$142,0,$AS658)</f>
        <v>0</v>
      </c>
      <c r="V658" s="9"/>
      <c r="W658" s="19">
        <f ca="1">MAX(SUM($K$4:K658),0)</f>
        <v>2000000</v>
      </c>
      <c r="X658" s="19"/>
      <c r="Y658" s="19">
        <f t="shared" ca="1" si="400"/>
        <v>1920000</v>
      </c>
      <c r="Z658" s="2">
        <f ca="1">IF(MIN($Z$4:Z657)=0,0,MAX(0,($Z657+$K658-$O658-$P658)*IF(AND(F658="F",$D$3&lt;&gt;$G$3),((1+(-J658))^(H658/MIN(G658,365))),((1+(-J658))^(1/12)))-$U658))</f>
        <v>116783.46337783041</v>
      </c>
      <c r="AA658" s="2">
        <f ca="1">IF(MIN($AA$4:AA657)=0,0,MAX(0,($AA657+$K658-$O658-$P658)*IF(AND(F658="F",$D$3&lt;&gt;$G$3),((1+$AA$1)^(H658/MIN(G658,365))),((1+$AA$1)^(1/12)))-$U658))</f>
        <v>1920000</v>
      </c>
      <c r="AB658" s="2">
        <f ca="1">IF(MIN($AB$4:AB657)=0,0,MAX(0,($AB657+$K658-$O658-$P658)*IF(AND(F658="F",$D$3&lt;&gt;$G$3),((1+(J658))^(H658/MIN(G658,365))),((1+(J658))^(1/12)))-$U658))</f>
        <v>27534918.980403908</v>
      </c>
      <c r="AC658" s="5"/>
      <c r="AD658" s="5"/>
      <c r="AE658" s="5"/>
      <c r="AF658" s="282">
        <f t="shared" ca="1" si="383"/>
        <v>116783</v>
      </c>
      <c r="AG658" s="282">
        <f t="shared" ca="1" si="384"/>
        <v>1920000</v>
      </c>
      <c r="AH658" s="282">
        <f t="shared" ca="1" si="385"/>
        <v>27534919</v>
      </c>
      <c r="AI658" s="23" t="str">
        <f t="shared" ca="1" si="401"/>
        <v>55-8</v>
      </c>
      <c r="AJ658" s="282">
        <f ca="1">IF(E658&gt;111,,IF(AND(OP!$C$99=1,T658="F"),Z658,IF(AND(OP!$C$99=2,COUNTIF($T$4:T658,"F")=1),OP!$C$97+IF(F658="F",OP!$C$98,0),"")))</f>
        <v>54527</v>
      </c>
      <c r="AK658" s="282">
        <f ca="1">IF(E658&gt;111,,IF(AND(OP!$D$99=1,T658="F"),AA658,IF(AND(OP!$D$99=2,COUNTIF($T$4:T658,"F")=1),OP!$D$97+IF(F658="F",OP!$D$98,0),"")))</f>
        <v>74177</v>
      </c>
      <c r="AL658" s="282">
        <f ca="1">IF(E658&gt;111,,IF(AND(OP!$E$99=1,T658="F"),AB658,IF(AND(OP!$E$99=2,COUNTIF($T$4:T658,"F")=1),OP!$E$97+IF(F658="F",OP!$E$98,0),"")))</f>
        <v>99404</v>
      </c>
      <c r="AM658" s="1">
        <f t="shared" ca="1" si="375"/>
        <v>8</v>
      </c>
      <c r="AN658" s="1" t="e">
        <f ca="1">IF(OR(VLOOKUP($A658,MP,5,0)="半年繳",VLOOKUP($A658,MP,5,0)="季繳",VLOOKUP($A658,MP,5,0)="月繳"),1,"")</f>
        <v>#N/A</v>
      </c>
      <c r="AO658" s="1">
        <f t="shared" ca="1" si="386"/>
        <v>0</v>
      </c>
      <c r="AP658" s="1" t="str">
        <f ca="1">IF(AND(A658&lt;=OP!$C$120,COUNTIF(PAY,C658)=1),1,"")</f>
        <v/>
      </c>
      <c r="AR658" s="301">
        <f ca="1">IF(繳費報酬率資料!$A$1=1,$AY658+$AZ658,$BF658+$BG658)</f>
        <v>0</v>
      </c>
      <c r="AS658" s="1">
        <f ca="1">IF(C658&lt;&gt;IF($C$3=1,12,$C$3-1),0,IF(繳費報酬率資料!$A$1&lt;&gt;1,VLOOKUP($A658,MP,8,0),IF(AND($A658&gt;=OP!$C$79,$A658&lt;=OP!$C$80),OP!$C$78,)))</f>
        <v>0</v>
      </c>
      <c r="AT658" s="298">
        <f t="shared" ca="1" si="387"/>
        <v>0</v>
      </c>
      <c r="AU658" s="298">
        <f ca="1">IF(AND(A658&lt;=OP!$C$120,COUNTIF(PAY,C658)=1),OP!$C$123,0)</f>
        <v>0</v>
      </c>
      <c r="AV658" s="298">
        <f ca="1">IF(AND(A658&gt;=OP!$C$132,A658&lt;=OP!$C$133,$C$3=C658),OP!$C$135,0)</f>
        <v>0</v>
      </c>
      <c r="AW658" s="180">
        <f t="shared" ca="1" si="388"/>
        <v>0.05</v>
      </c>
      <c r="AX658" s="180">
        <f t="shared" ca="1" si="389"/>
        <v>0.05</v>
      </c>
      <c r="AY658" s="286">
        <f t="shared" ca="1" si="390"/>
        <v>0</v>
      </c>
      <c r="AZ658" s="286">
        <f t="shared" ca="1" si="391"/>
        <v>0</v>
      </c>
      <c r="BA658" s="286">
        <f t="shared" ca="1" si="392"/>
        <v>0</v>
      </c>
      <c r="BB658" s="286">
        <f t="shared" ca="1" si="393"/>
        <v>0</v>
      </c>
      <c r="BC658" s="286">
        <f t="shared" ca="1" si="394"/>
        <v>0</v>
      </c>
      <c r="BD658" s="180">
        <f t="shared" ca="1" si="395"/>
        <v>0.05</v>
      </c>
      <c r="BE658" s="180">
        <f t="shared" ca="1" si="396"/>
        <v>0.05</v>
      </c>
      <c r="BF658" s="286">
        <f t="shared" ca="1" si="397"/>
        <v>0</v>
      </c>
      <c r="BG658" s="286">
        <f t="shared" ca="1" si="398"/>
        <v>0</v>
      </c>
    </row>
    <row r="659" spans="1:59">
      <c r="A659" s="1">
        <f t="shared" ca="1" si="378"/>
        <v>55</v>
      </c>
      <c r="B659" s="1">
        <f t="shared" ca="1" si="371"/>
        <v>161</v>
      </c>
      <c r="C659" s="1">
        <f t="shared" ca="1" si="372"/>
        <v>1</v>
      </c>
      <c r="D659" s="1">
        <f ca="1">MIN($D$3,VLOOKUP(C659,OP!$S$30:$T$41,2))</f>
        <v>2</v>
      </c>
      <c r="E659" s="1">
        <f t="shared" ca="1" si="373"/>
        <v>109</v>
      </c>
      <c r="F659" s="11" t="str">
        <f t="shared" ca="1" si="379"/>
        <v/>
      </c>
      <c r="G659" s="8">
        <f t="shared" ca="1" si="402"/>
        <v>366</v>
      </c>
      <c r="H659" s="8">
        <f t="shared" ca="1" si="380"/>
        <v>31</v>
      </c>
      <c r="I659" s="8" t="str">
        <f t="shared" ca="1" si="377"/>
        <v>551</v>
      </c>
      <c r="J659" s="13">
        <f>IF(繳費報酬率資料!$A$1=1,VALUE(OP!$C$121),VLOOKUP(A659,MP,2,0))</f>
        <v>0.05</v>
      </c>
      <c r="K659" s="14">
        <f ca="1">IF(SUM($K$4:K658,IF(繳費報酬率資料!$A$1=1,$AU659+$AV659,$BB659+$BC659))&gt;OP!$L$58,0,IF(繳費報酬率資料!$A$1=1,$AU659+$AV659,$BB659+$BC659))</f>
        <v>0</v>
      </c>
      <c r="L659" s="2"/>
      <c r="M659" s="2"/>
      <c r="N659" s="2"/>
      <c r="O659" s="261">
        <f t="shared" ca="1" si="381"/>
        <v>0</v>
      </c>
      <c r="P659" s="261">
        <f t="shared" ca="1" si="399"/>
        <v>0</v>
      </c>
      <c r="Q659" s="3">
        <f ca="1">IF(A659&gt;MAX(OP!$R$17:$R$26),0,VLOOKUP(A659,fees,3,FALSE))</f>
        <v>0</v>
      </c>
      <c r="R659" s="200" t="str">
        <f t="shared" ca="1" si="382"/>
        <v/>
      </c>
      <c r="S659" s="9" t="str">
        <f ca="1">IF(COUNTIF(($T$4:T658),"F")&gt;=1,"",IF(OR(C660&lt;&gt;$C$3,E659=""),"",A659))</f>
        <v/>
      </c>
      <c r="T659" s="20" t="str">
        <f t="shared" ca="1" si="374"/>
        <v/>
      </c>
      <c r="U659" s="2">
        <f ca="1">IF(IF(OP!$C$83=1,$Z658,IF(OP!$C$83=2,$AA658,IF(OP!$C$83=3,$AB658,)))+$K659-$O659-$P659-$AS659&lt;OP!$C$142,0,$AS659)</f>
        <v>0</v>
      </c>
      <c r="V659" s="9"/>
      <c r="W659" s="19">
        <f ca="1">MAX(SUM($K$4:K659),0)</f>
        <v>2000000</v>
      </c>
      <c r="X659" s="19"/>
      <c r="Y659" s="19">
        <f t="shared" ca="1" si="400"/>
        <v>1920000</v>
      </c>
      <c r="Z659" s="2">
        <f ca="1">IF(MIN($Z$4:Z658)=0,0,MAX(0,($Z658+$K659-$O659-$P659)*IF(AND(F659="F",$D$3&lt;&gt;$G$3),((1+(-J659))^(H659/MIN(G659,365))),((1+(-J659))^(1/12)))-$U659))</f>
        <v>116285.34467857638</v>
      </c>
      <c r="AA659" s="2">
        <f ca="1">IF(MIN($AA$4:AA658)=0,0,MAX(0,($AA658+$K659-$O659-$P659)*IF(AND(F659="F",$D$3&lt;&gt;$G$3),((1+$AA$1)^(H659/MIN(G659,365))),((1+$AA$1)^(1/12)))-$U659))</f>
        <v>1920000</v>
      </c>
      <c r="AB659" s="2">
        <f ca="1">IF(MIN($AB$4:AB658)=0,0,MAX(0,($AB658+$K659-$O659-$P659)*IF(AND(F659="F",$D$3&lt;&gt;$G$3),((1+(J659))^(H659/MIN(G659,365))),((1+(J659))^(1/12)))-$U659))</f>
        <v>27647099.6487028</v>
      </c>
      <c r="AC659" s="5"/>
      <c r="AD659" s="5"/>
      <c r="AE659" s="5"/>
      <c r="AF659" s="282">
        <f t="shared" ca="1" si="383"/>
        <v>116285</v>
      </c>
      <c r="AG659" s="282">
        <f t="shared" ca="1" si="384"/>
        <v>1920000</v>
      </c>
      <c r="AH659" s="282">
        <f t="shared" ca="1" si="385"/>
        <v>27647100</v>
      </c>
      <c r="AI659" s="23" t="str">
        <f t="shared" ca="1" si="401"/>
        <v>55-9</v>
      </c>
      <c r="AJ659" s="282">
        <f ca="1">IF(E659&gt;111,,IF(AND(OP!$C$99=1,T659="F"),Z659,IF(AND(OP!$C$99=2,COUNTIF($T$4:T659,"F")=1),OP!$C$97+IF(F659="F",OP!$C$98,0),"")))</f>
        <v>54527</v>
      </c>
      <c r="AK659" s="282">
        <f ca="1">IF(E659&gt;111,,IF(AND(OP!$D$99=1,T659="F"),AA659,IF(AND(OP!$D$99=2,COUNTIF($T$4:T659,"F")=1),OP!$D$97+IF(F659="F",OP!$D$98,0),"")))</f>
        <v>74177</v>
      </c>
      <c r="AL659" s="282">
        <f ca="1">IF(E659&gt;111,,IF(AND(OP!$E$99=1,T659="F"),AB659,IF(AND(OP!$E$99=2,COUNTIF($T$4:T659,"F")=1),OP!$E$97+IF(F659="F",OP!$E$98,0),"")))</f>
        <v>99404</v>
      </c>
      <c r="AM659" s="1">
        <f t="shared" ca="1" si="375"/>
        <v>9</v>
      </c>
      <c r="AN659" s="1" t="e">
        <f ca="1">IF(OR(VLOOKUP($A659,MP,5,0)="月繳"),1,"")</f>
        <v>#N/A</v>
      </c>
      <c r="AO659" s="1">
        <f t="shared" ca="1" si="386"/>
        <v>0</v>
      </c>
      <c r="AP659" s="1" t="str">
        <f ca="1">IF(AND(A659&lt;=OP!$C$120,COUNTIF(PAY,C659)=1),1,"")</f>
        <v/>
      </c>
      <c r="AR659" s="301">
        <f ca="1">IF(繳費報酬率資料!$A$1=1,$AY659+$AZ659,$BF659+$BG659)</f>
        <v>0</v>
      </c>
      <c r="AS659" s="1">
        <f ca="1">IF(C659&lt;&gt;IF($C$3=1,12,$C$3-1),0,IF(繳費報酬率資料!$A$1&lt;&gt;1,VLOOKUP($A659,MP,8,0),IF(AND($A659&gt;=OP!$C$79,$A659&lt;=OP!$C$80),OP!$C$78,)))</f>
        <v>0</v>
      </c>
      <c r="AT659" s="298">
        <f t="shared" ca="1" si="387"/>
        <v>0</v>
      </c>
      <c r="AU659" s="298">
        <f ca="1">IF(AND(A659&lt;=OP!$C$120,COUNTIF(PAY,C659)=1),OP!$C$123,0)</f>
        <v>0</v>
      </c>
      <c r="AV659" s="298">
        <f ca="1">IF(AND(A659&gt;=OP!$C$132,A659&lt;=OP!$C$133,$C$3=C659),OP!$C$135,0)</f>
        <v>0</v>
      </c>
      <c r="AW659" s="180">
        <f t="shared" ca="1" si="388"/>
        <v>0.05</v>
      </c>
      <c r="AX659" s="180">
        <f t="shared" ca="1" si="389"/>
        <v>0.05</v>
      </c>
      <c r="AY659" s="286">
        <f t="shared" ca="1" si="390"/>
        <v>0</v>
      </c>
      <c r="AZ659" s="286">
        <f t="shared" ca="1" si="391"/>
        <v>0</v>
      </c>
      <c r="BA659" s="286">
        <f t="shared" ca="1" si="392"/>
        <v>0</v>
      </c>
      <c r="BB659" s="286">
        <f t="shared" ca="1" si="393"/>
        <v>0</v>
      </c>
      <c r="BC659" s="286">
        <f t="shared" ca="1" si="394"/>
        <v>0</v>
      </c>
      <c r="BD659" s="180">
        <f t="shared" ca="1" si="395"/>
        <v>0.05</v>
      </c>
      <c r="BE659" s="180">
        <f t="shared" ca="1" si="396"/>
        <v>0.05</v>
      </c>
      <c r="BF659" s="286">
        <f t="shared" ca="1" si="397"/>
        <v>0</v>
      </c>
      <c r="BG659" s="286">
        <f t="shared" ca="1" si="398"/>
        <v>0</v>
      </c>
    </row>
    <row r="660" spans="1:59">
      <c r="A660" s="1">
        <f t="shared" ca="1" si="378"/>
        <v>55</v>
      </c>
      <c r="B660" s="1">
        <f t="shared" ca="1" si="371"/>
        <v>161</v>
      </c>
      <c r="C660" s="1">
        <f t="shared" ca="1" si="372"/>
        <v>2</v>
      </c>
      <c r="D660" s="1">
        <f ca="1">MIN($D$3,VLOOKUP(C660,OP!$S$30:$T$41,2))</f>
        <v>2</v>
      </c>
      <c r="E660" s="1">
        <f t="shared" ca="1" si="373"/>
        <v>109</v>
      </c>
      <c r="F660" s="11" t="str">
        <f t="shared" ca="1" si="379"/>
        <v/>
      </c>
      <c r="G660" s="8">
        <f t="shared" ca="1" si="402"/>
        <v>366</v>
      </c>
      <c r="H660" s="8">
        <f t="shared" ca="1" si="380"/>
        <v>29</v>
      </c>
      <c r="I660" s="8" t="str">
        <f t="shared" ca="1" si="377"/>
        <v>552</v>
      </c>
      <c r="J660" s="13">
        <f>IF(繳費報酬率資料!$A$1=1,VALUE(OP!$C$121),VLOOKUP(A660,MP,2,0))</f>
        <v>0.05</v>
      </c>
      <c r="K660" s="14">
        <f ca="1">IF(SUM($K$4:K659,IF(繳費報酬率資料!$A$1=1,$AU660+$AV660,$BB660+$BC660))&gt;OP!$L$58,0,IF(繳費報酬率資料!$A$1=1,$AU660+$AV660,$BB660+$BC660))</f>
        <v>0</v>
      </c>
      <c r="L660" s="2"/>
      <c r="M660" s="2"/>
      <c r="N660" s="2"/>
      <c r="O660" s="261">
        <f t="shared" ca="1" si="381"/>
        <v>0</v>
      </c>
      <c r="P660" s="261">
        <f t="shared" ca="1" si="399"/>
        <v>0</v>
      </c>
      <c r="Q660" s="3">
        <f ca="1">IF(A660&gt;MAX(OP!$R$17:$R$26),0,VLOOKUP(A660,fees,3,FALSE))</f>
        <v>0</v>
      </c>
      <c r="R660" s="200" t="str">
        <f t="shared" ca="1" si="382"/>
        <v/>
      </c>
      <c r="S660" s="9" t="str">
        <f ca="1">IF(COUNTIF(($T$4:T659),"F")&gt;=1,"",IF(OR(C661&lt;&gt;$C$3,E660=""),"",A660))</f>
        <v/>
      </c>
      <c r="T660" s="20" t="str">
        <f t="shared" ca="1" si="374"/>
        <v/>
      </c>
      <c r="U660" s="2">
        <f ca="1">IF(IF(OP!$C$83=1,$Z659,IF(OP!$C$83=2,$AA659,IF(OP!$C$83=3,$AB659,)))+$K660-$O660-$P660-$AS660&lt;OP!$C$142,0,$AS660)</f>
        <v>0</v>
      </c>
      <c r="V660" s="9"/>
      <c r="W660" s="19">
        <f ca="1">MAX(SUM($K$4:K660),0)</f>
        <v>2000000</v>
      </c>
      <c r="X660" s="19"/>
      <c r="Y660" s="19">
        <f t="shared" ca="1" si="400"/>
        <v>1920000</v>
      </c>
      <c r="Z660" s="2">
        <f ca="1">IF(MIN($Z$4:Z659)=0,0,MAX(0,($Z659+$K660-$O660-$P660)*IF(AND(F660="F",$D$3&lt;&gt;$G$3),((1+(-J660))^(H660/MIN(G660,365))),((1+(-J660))^(1/12)))-$U660))</f>
        <v>115789.35061436374</v>
      </c>
      <c r="AA660" s="2">
        <f ca="1">IF(MIN($AA$4:AA659)=0,0,MAX(0,($AA659+$K660-$O660-$P660)*IF(AND(F660="F",$D$3&lt;&gt;$G$3),((1+$AA$1)^(H660/MIN(G660,365))),((1+$AA$1)^(1/12)))-$U660))</f>
        <v>1920000</v>
      </c>
      <c r="AB660" s="2">
        <f ca="1">IF(MIN($AB$4:AB659)=0,0,MAX(0,($AB659+$K660-$O660-$P660)*IF(AND(F660="F",$D$3&lt;&gt;$G$3),((1+(J660))^(H660/MIN(G660,365))),((1+(J660))^(1/12)))-$U660))</f>
        <v>27759737.354930475</v>
      </c>
      <c r="AC660" s="5"/>
      <c r="AD660" s="5"/>
      <c r="AE660" s="5"/>
      <c r="AF660" s="282">
        <f t="shared" ca="1" si="383"/>
        <v>115789</v>
      </c>
      <c r="AG660" s="282">
        <f t="shared" ca="1" si="384"/>
        <v>1920000</v>
      </c>
      <c r="AH660" s="282">
        <f t="shared" ca="1" si="385"/>
        <v>27759737</v>
      </c>
      <c r="AI660" s="23" t="str">
        <f t="shared" ca="1" si="401"/>
        <v>55-10</v>
      </c>
      <c r="AJ660" s="282">
        <f ca="1">IF(E660&gt;111,,IF(AND(OP!$C$99=1,T660="F"),Z660,IF(AND(OP!$C$99=2,COUNTIF($T$4:T660,"F")=1),OP!$C$97+IF(F660="F",OP!$C$98,0),"")))</f>
        <v>54527</v>
      </c>
      <c r="AK660" s="282">
        <f ca="1">IF(E660&gt;111,,IF(AND(OP!$D$99=1,T660="F"),AA660,IF(AND(OP!$D$99=2,COUNTIF($T$4:T660,"F")=1),OP!$D$97+IF(F660="F",OP!$D$98,0),"")))</f>
        <v>74177</v>
      </c>
      <c r="AL660" s="282">
        <f ca="1">IF(E660&gt;111,,IF(AND(OP!$E$99=1,T660="F"),AB660,IF(AND(OP!$E$99=2,COUNTIF($T$4:T660,"F")=1),OP!$E$97+IF(F660="F",OP!$E$98,0),"")))</f>
        <v>99404</v>
      </c>
      <c r="AM660" s="1">
        <f t="shared" ca="1" si="375"/>
        <v>10</v>
      </c>
      <c r="AN660" s="1" t="e">
        <f ca="1">IF(OR(VLOOKUP($A660,MP,5,0)="月繳"),1,"")</f>
        <v>#N/A</v>
      </c>
      <c r="AO660" s="1">
        <f t="shared" ca="1" si="386"/>
        <v>0</v>
      </c>
      <c r="AP660" s="1" t="str">
        <f ca="1">IF(AND(A660&lt;=OP!$C$120,COUNTIF(PAY,C660)=1),1,"")</f>
        <v/>
      </c>
      <c r="AR660" s="301">
        <f ca="1">IF(繳費報酬率資料!$A$1=1,$AY660+$AZ660,$BF660+$BG660)</f>
        <v>0</v>
      </c>
      <c r="AS660" s="1">
        <f ca="1">IF(C660&lt;&gt;IF($C$3=1,12,$C$3-1),0,IF(繳費報酬率資料!$A$1&lt;&gt;1,VLOOKUP($A660,MP,8,0),IF(AND($A660&gt;=OP!$C$79,$A660&lt;=OP!$C$80),OP!$C$78,)))</f>
        <v>0</v>
      </c>
      <c r="AT660" s="298">
        <f t="shared" ca="1" si="387"/>
        <v>0</v>
      </c>
      <c r="AU660" s="298">
        <f ca="1">IF(AND(A660&lt;=OP!$C$120,COUNTIF(PAY,C660)=1),OP!$C$123,0)</f>
        <v>0</v>
      </c>
      <c r="AV660" s="298">
        <f ca="1">IF(AND(A660&gt;=OP!$C$132,A660&lt;=OP!$C$133,$C$3=C660),OP!$C$135,0)</f>
        <v>0</v>
      </c>
      <c r="AW660" s="180">
        <f t="shared" ca="1" si="388"/>
        <v>0.05</v>
      </c>
      <c r="AX660" s="180">
        <f t="shared" ca="1" si="389"/>
        <v>0.05</v>
      </c>
      <c r="AY660" s="286">
        <f t="shared" ca="1" si="390"/>
        <v>0</v>
      </c>
      <c r="AZ660" s="286">
        <f t="shared" ca="1" si="391"/>
        <v>0</v>
      </c>
      <c r="BA660" s="286">
        <f t="shared" ca="1" si="392"/>
        <v>0</v>
      </c>
      <c r="BB660" s="286">
        <f t="shared" ca="1" si="393"/>
        <v>0</v>
      </c>
      <c r="BC660" s="286">
        <f t="shared" ca="1" si="394"/>
        <v>0</v>
      </c>
      <c r="BD660" s="180">
        <f t="shared" ca="1" si="395"/>
        <v>0.05</v>
      </c>
      <c r="BE660" s="180">
        <f t="shared" ca="1" si="396"/>
        <v>0.05</v>
      </c>
      <c r="BF660" s="286">
        <f t="shared" ca="1" si="397"/>
        <v>0</v>
      </c>
      <c r="BG660" s="286">
        <f t="shared" ca="1" si="398"/>
        <v>0</v>
      </c>
    </row>
    <row r="661" spans="1:59">
      <c r="A661" s="1">
        <f t="shared" ca="1" si="378"/>
        <v>55</v>
      </c>
      <c r="B661" s="1">
        <f t="shared" ca="1" si="371"/>
        <v>161</v>
      </c>
      <c r="C661" s="1">
        <f t="shared" ca="1" si="372"/>
        <v>3</v>
      </c>
      <c r="D661" s="1">
        <f ca="1">MIN($D$3,VLOOKUP(C661,OP!$S$30:$T$41,2))</f>
        <v>2</v>
      </c>
      <c r="E661" s="1">
        <f t="shared" ca="1" si="373"/>
        <v>109</v>
      </c>
      <c r="F661" s="11" t="str">
        <f t="shared" ca="1" si="379"/>
        <v/>
      </c>
      <c r="G661" s="8">
        <f t="shared" ca="1" si="402"/>
        <v>366</v>
      </c>
      <c r="H661" s="8">
        <f t="shared" ca="1" si="380"/>
        <v>31</v>
      </c>
      <c r="I661" s="8" t="str">
        <f t="shared" ca="1" si="377"/>
        <v>553</v>
      </c>
      <c r="J661" s="13">
        <f>IF(繳費報酬率資料!$A$1=1,VALUE(OP!$C$121),VLOOKUP(A661,MP,2,0))</f>
        <v>0.05</v>
      </c>
      <c r="K661" s="14">
        <f ca="1">IF(SUM($K$4:K660,IF(繳費報酬率資料!$A$1=1,$AU661+$AV661,$BB661+$BC661))&gt;OP!$L$58,0,IF(繳費報酬率資料!$A$1=1,$AU661+$AV661,$BB661+$BC661))</f>
        <v>0</v>
      </c>
      <c r="L661" s="2"/>
      <c r="M661" s="2"/>
      <c r="N661" s="2"/>
      <c r="O661" s="261">
        <f t="shared" ca="1" si="381"/>
        <v>0</v>
      </c>
      <c r="P661" s="261">
        <f t="shared" ca="1" si="399"/>
        <v>0</v>
      </c>
      <c r="Q661" s="3">
        <f ca="1">IF(A661&gt;MAX(OP!$R$17:$R$26),0,VLOOKUP(A661,fees,3,FALSE))</f>
        <v>0</v>
      </c>
      <c r="R661" s="200" t="str">
        <f t="shared" ca="1" si="382"/>
        <v/>
      </c>
      <c r="S661" s="9" t="str">
        <f ca="1">IF(COUNTIF(($T$4:T660),"F")&gt;=1,"",IF(OR(C662&lt;&gt;$C$3,E661=""),"",A661))</f>
        <v/>
      </c>
      <c r="T661" s="20" t="str">
        <f t="shared" ca="1" si="374"/>
        <v/>
      </c>
      <c r="U661" s="2">
        <f ca="1">IF(IF(OP!$C$83=1,$Z660,IF(OP!$C$83=2,$AA660,IF(OP!$C$83=3,$AB660,)))+$K661-$O661-$P661-$AS661&lt;OP!$C$142,0,$AS661)</f>
        <v>0</v>
      </c>
      <c r="V661" s="9"/>
      <c r="W661" s="19">
        <f ca="1">MAX(SUM($K$4:K661),0)</f>
        <v>2000000</v>
      </c>
      <c r="X661" s="19"/>
      <c r="Y661" s="19">
        <f t="shared" ca="1" si="400"/>
        <v>1920000</v>
      </c>
      <c r="Z661" s="2">
        <f ca="1">IF(MIN($Z$4:Z660)=0,0,MAX(0,($Z660+$K661-$O661-$P661)*IF(AND(F661="F",$D$3&lt;&gt;$G$3),((1+(-J661))^(H661/MIN(G661,365))),((1+(-J661))^(1/12)))-$U661))</f>
        <v>115295.47212294674</v>
      </c>
      <c r="AA661" s="2">
        <f ca="1">IF(MIN($AA$4:AA660)=0,0,MAX(0,($AA660+$K661-$O661-$P661)*IF(AND(F661="F",$D$3&lt;&gt;$G$3),((1+$AA$1)^(H661/MIN(G661,365))),((1+$AA$1)^(1/12)))-$U661))</f>
        <v>1920000</v>
      </c>
      <c r="AB661" s="2">
        <f ca="1">IF(MIN($AB$4:AB660)=0,0,MAX(0,($AB660+$K661-$O661-$P661)*IF(AND(F661="F",$D$3&lt;&gt;$G$3),((1+(J661))^(H661/MIN(G661,365))),((1+(J661))^(1/12)))-$U661))</f>
        <v>27872833.961116031</v>
      </c>
      <c r="AC661" s="5"/>
      <c r="AD661" s="5"/>
      <c r="AE661" s="5"/>
      <c r="AF661" s="282">
        <f t="shared" ca="1" si="383"/>
        <v>115295</v>
      </c>
      <c r="AG661" s="282">
        <f t="shared" ca="1" si="384"/>
        <v>1920000</v>
      </c>
      <c r="AH661" s="282">
        <f t="shared" ca="1" si="385"/>
        <v>27872834</v>
      </c>
      <c r="AI661" s="23" t="str">
        <f t="shared" ca="1" si="401"/>
        <v>55-11</v>
      </c>
      <c r="AJ661" s="282">
        <f ca="1">IF(E661&gt;111,,IF(AND(OP!$C$99=1,T661="F"),Z661,IF(AND(OP!$C$99=2,COUNTIF($T$4:T661,"F")=1),OP!$C$97+IF(F661="F",OP!$C$98,0),"")))</f>
        <v>54527</v>
      </c>
      <c r="AK661" s="282">
        <f ca="1">IF(E661&gt;111,,IF(AND(OP!$D$99=1,T661="F"),AA661,IF(AND(OP!$D$99=2,COUNTIF($T$4:T661,"F")=1),OP!$D$97+IF(F661="F",OP!$D$98,0),"")))</f>
        <v>74177</v>
      </c>
      <c r="AL661" s="282">
        <f ca="1">IF(E661&gt;111,,IF(AND(OP!$E$99=1,T661="F"),AB661,IF(AND(OP!$E$99=2,COUNTIF($T$4:T661,"F")=1),OP!$E$97+IF(F661="F",OP!$E$98,0),"")))</f>
        <v>99404</v>
      </c>
      <c r="AM661" s="1">
        <f t="shared" ca="1" si="375"/>
        <v>11</v>
      </c>
      <c r="AN661" s="1" t="e">
        <f ca="1">IF(OR(VLOOKUP($A661,MP,5,0)="季繳",VLOOKUP($A661,MP,5,0)="月繳"),1,"")</f>
        <v>#N/A</v>
      </c>
      <c r="AO661" s="1">
        <f t="shared" ca="1" si="386"/>
        <v>0</v>
      </c>
      <c r="AP661" s="1" t="str">
        <f ca="1">IF(AND(A661&lt;=OP!$C$120,COUNTIF(PAY,C661)=1),1,"")</f>
        <v/>
      </c>
      <c r="AR661" s="301">
        <f ca="1">IF(繳費報酬率資料!$A$1=1,$AY661+$AZ661,$BF661+$BG661)</f>
        <v>0</v>
      </c>
      <c r="AS661" s="1">
        <f ca="1">IF(C661&lt;&gt;IF($C$3=1,12,$C$3-1),0,IF(繳費報酬率資料!$A$1&lt;&gt;1,VLOOKUP($A661,MP,8,0),IF(AND($A661&gt;=OP!$C$79,$A661&lt;=OP!$C$80),OP!$C$78,)))</f>
        <v>0</v>
      </c>
      <c r="AT661" s="298">
        <f t="shared" ca="1" si="387"/>
        <v>0</v>
      </c>
      <c r="AU661" s="298">
        <f ca="1">IF(AND(A661&lt;=OP!$C$120,COUNTIF(PAY,C661)=1),OP!$C$123,0)</f>
        <v>0</v>
      </c>
      <c r="AV661" s="298">
        <f ca="1">IF(AND(A661&gt;=OP!$C$132,A661&lt;=OP!$C$133,$C$3=C661),OP!$C$135,0)</f>
        <v>0</v>
      </c>
      <c r="AW661" s="180">
        <f t="shared" ca="1" si="388"/>
        <v>0.05</v>
      </c>
      <c r="AX661" s="180">
        <f t="shared" ca="1" si="389"/>
        <v>0.05</v>
      </c>
      <c r="AY661" s="286">
        <f t="shared" ca="1" si="390"/>
        <v>0</v>
      </c>
      <c r="AZ661" s="286">
        <f t="shared" ca="1" si="391"/>
        <v>0</v>
      </c>
      <c r="BA661" s="286">
        <f t="shared" ca="1" si="392"/>
        <v>0</v>
      </c>
      <c r="BB661" s="286">
        <f t="shared" ca="1" si="393"/>
        <v>0</v>
      </c>
      <c r="BC661" s="286">
        <f t="shared" ca="1" si="394"/>
        <v>0</v>
      </c>
      <c r="BD661" s="180">
        <f t="shared" ca="1" si="395"/>
        <v>0.05</v>
      </c>
      <c r="BE661" s="180">
        <f t="shared" ca="1" si="396"/>
        <v>0.05</v>
      </c>
      <c r="BF661" s="286">
        <f t="shared" ca="1" si="397"/>
        <v>0</v>
      </c>
      <c r="BG661" s="286">
        <f t="shared" ca="1" si="398"/>
        <v>0</v>
      </c>
    </row>
    <row r="662" spans="1:59">
      <c r="A662" s="1">
        <f t="shared" ca="1" si="378"/>
        <v>55</v>
      </c>
      <c r="B662" s="1">
        <f t="shared" ca="1" si="371"/>
        <v>161</v>
      </c>
      <c r="C662" s="1">
        <f t="shared" ca="1" si="372"/>
        <v>4</v>
      </c>
      <c r="D662" s="1">
        <f ca="1">MIN($D$3,VLOOKUP(C662,OP!$S$30:$T$41,2))</f>
        <v>2</v>
      </c>
      <c r="E662" s="1">
        <f t="shared" ca="1" si="373"/>
        <v>109</v>
      </c>
      <c r="F662" s="11" t="str">
        <f t="shared" ca="1" si="379"/>
        <v/>
      </c>
      <c r="G662" s="8">
        <f t="shared" ca="1" si="402"/>
        <v>366</v>
      </c>
      <c r="H662" s="8">
        <f t="shared" ca="1" si="380"/>
        <v>30</v>
      </c>
      <c r="I662" s="8" t="str">
        <f t="shared" ca="1" si="377"/>
        <v>554</v>
      </c>
      <c r="J662" s="13">
        <f>IF(繳費報酬率資料!$A$1=1,VALUE(OP!$C$121),VLOOKUP(A662,MP,2,0))</f>
        <v>0.05</v>
      </c>
      <c r="K662" s="14">
        <f ca="1">IF(SUM($K$4:K661,IF(繳費報酬率資料!$A$1=1,$AU662+$AV662,$BB662+$BC662))&gt;OP!$L$58,0,IF(繳費報酬率資料!$A$1=1,$AU662+$AV662,$BB662+$BC662))</f>
        <v>0</v>
      </c>
      <c r="L662" s="2"/>
      <c r="M662" s="2"/>
      <c r="N662" s="2"/>
      <c r="O662" s="261">
        <f t="shared" ca="1" si="381"/>
        <v>0</v>
      </c>
      <c r="P662" s="261">
        <f t="shared" ca="1" si="399"/>
        <v>0</v>
      </c>
      <c r="Q662" s="3">
        <f ca="1">IF(A662&gt;MAX(OP!$R$17:$R$26),0,VLOOKUP(A662,fees,3,FALSE))</f>
        <v>0</v>
      </c>
      <c r="R662" s="200" t="str">
        <f t="shared" ca="1" si="382"/>
        <v/>
      </c>
      <c r="S662" s="9" t="str">
        <f ca="1">IF(COUNTIF(($T$4:T661),"F")&gt;=1,"",IF(OR(C663&lt;&gt;$C$3,E662=""),"",A662))</f>
        <v/>
      </c>
      <c r="T662" s="20" t="str">
        <f t="shared" ca="1" si="374"/>
        <v/>
      </c>
      <c r="U662" s="2">
        <f ca="1">IF(IF(OP!$C$83=1,$Z661,IF(OP!$C$83=2,$AA661,IF(OP!$C$83=3,$AB661,)))+$K662-$O662-$P662-$AS662&lt;OP!$C$142,0,$AS662)</f>
        <v>0</v>
      </c>
      <c r="V662" s="9"/>
      <c r="W662" s="19">
        <f ca="1">MAX(SUM($K$4:K662),0)</f>
        <v>2000000</v>
      </c>
      <c r="X662" s="19"/>
      <c r="Y662" s="19">
        <f t="shared" ca="1" si="400"/>
        <v>1920000</v>
      </c>
      <c r="Z662" s="2">
        <f ca="1">IF(MIN($Z$4:Z661)=0,0,MAX(0,($Z661+$K662-$O662-$P662)*IF(AND(F662="F",$D$3&lt;&gt;$G$3),((1+(-J662))^(H662/MIN(G662,365))),((1+(-J662))^(1/12)))-$U662))</f>
        <v>114803.70018073301</v>
      </c>
      <c r="AA662" s="2">
        <f ca="1">IF(MIN($AA$4:AA661)=0,0,MAX(0,($AA661+$K662-$O662-$P662)*IF(AND(F662="F",$D$3&lt;&gt;$G$3),((1+$AA$1)^(H662/MIN(G662,365))),((1+$AA$1)^(1/12)))-$U662))</f>
        <v>1920000</v>
      </c>
      <c r="AB662" s="2">
        <f ca="1">IF(MIN($AB$4:AB661)=0,0,MAX(0,($AB661+$K662-$O662-$P662)*IF(AND(F662="F",$D$3&lt;&gt;$G$3),((1+(J662))^(H662/MIN(G662,365))),((1+(J662))^(1/12)))-$U662))</f>
        <v>27986391.336874694</v>
      </c>
      <c r="AC662" s="5"/>
      <c r="AD662" s="5"/>
      <c r="AE662" s="5"/>
      <c r="AF662" s="282">
        <f t="shared" ca="1" si="383"/>
        <v>114804</v>
      </c>
      <c r="AG662" s="282">
        <f t="shared" ca="1" si="384"/>
        <v>1920000</v>
      </c>
      <c r="AH662" s="282">
        <f t="shared" ca="1" si="385"/>
        <v>27986391</v>
      </c>
      <c r="AI662" s="23" t="str">
        <f t="shared" ca="1" si="401"/>
        <v>55-12</v>
      </c>
      <c r="AJ662" s="282">
        <f ca="1">IF(E662&gt;111,,IF(AND(OP!$C$99=1,T662="F"),Z662,IF(AND(OP!$C$99=2,COUNTIF($T$4:T662,"F")=1),OP!$C$97+IF(F662="F",OP!$C$98,0),"")))</f>
        <v>54527</v>
      </c>
      <c r="AK662" s="282">
        <f ca="1">IF(E662&gt;111,,IF(AND(OP!$D$99=1,T662="F"),AA662,IF(AND(OP!$D$99=2,COUNTIF($T$4:T662,"F")=1),OP!$D$97+IF(F662="F",OP!$D$98,0),"")))</f>
        <v>74177</v>
      </c>
      <c r="AL662" s="282">
        <f ca="1">IF(E662&gt;111,,IF(AND(OP!$E$99=1,T662="F"),AB662,IF(AND(OP!$E$99=2,COUNTIF($T$4:T662,"F")=1),OP!$E$97+IF(F662="F",OP!$E$98,0),"")))</f>
        <v>99404</v>
      </c>
      <c r="AM662" s="1">
        <f t="shared" ca="1" si="375"/>
        <v>12</v>
      </c>
      <c r="AN662" s="1" t="e">
        <f ca="1">IF(OR(VLOOKUP($A662,MP,5,0)="月繳"),1,"")</f>
        <v>#N/A</v>
      </c>
      <c r="AO662" s="1">
        <f t="shared" ca="1" si="386"/>
        <v>0</v>
      </c>
      <c r="AP662" s="1" t="str">
        <f ca="1">IF(AND(A662&lt;=OP!$C$120,COUNTIF(PAY,C662)=1),1,"")</f>
        <v/>
      </c>
      <c r="AR662" s="301">
        <f ca="1">IF(繳費報酬率資料!$A$1=1,$AY662+$AZ662,$BF662+$BG662)</f>
        <v>0</v>
      </c>
      <c r="AS662" s="1">
        <f ca="1">IF(C662&lt;&gt;IF($C$3=1,12,$C$3-1),0,IF(繳費報酬率資料!$A$1&lt;&gt;1,VLOOKUP($A662,MP,8,0),IF(AND($A662&gt;=OP!$C$79,$A662&lt;=OP!$C$80),OP!$C$78,)))</f>
        <v>0</v>
      </c>
      <c r="AT662" s="298">
        <f t="shared" ca="1" si="387"/>
        <v>0</v>
      </c>
      <c r="AU662" s="298">
        <f ca="1">IF(AND(A662&lt;=OP!$C$120,COUNTIF(PAY,C662)=1),OP!$C$123,0)</f>
        <v>0</v>
      </c>
      <c r="AV662" s="298">
        <f ca="1">IF(AND(A662&gt;=OP!$C$132,A662&lt;=OP!$C$133,$C$3=C662),OP!$C$135,0)</f>
        <v>0</v>
      </c>
      <c r="AW662" s="180">
        <f t="shared" ca="1" si="388"/>
        <v>0.05</v>
      </c>
      <c r="AX662" s="180">
        <f t="shared" ca="1" si="389"/>
        <v>0.05</v>
      </c>
      <c r="AY662" s="286">
        <f t="shared" ca="1" si="390"/>
        <v>0</v>
      </c>
      <c r="AZ662" s="286">
        <f t="shared" ca="1" si="391"/>
        <v>0</v>
      </c>
      <c r="BA662" s="286">
        <f t="shared" ca="1" si="392"/>
        <v>0</v>
      </c>
      <c r="BB662" s="286">
        <f t="shared" ca="1" si="393"/>
        <v>0</v>
      </c>
      <c r="BC662" s="286">
        <f t="shared" ca="1" si="394"/>
        <v>0</v>
      </c>
      <c r="BD662" s="180">
        <f t="shared" ca="1" si="395"/>
        <v>0.05</v>
      </c>
      <c r="BE662" s="180">
        <f t="shared" ca="1" si="396"/>
        <v>0.05</v>
      </c>
      <c r="BF662" s="286">
        <f t="shared" ca="1" si="397"/>
        <v>0</v>
      </c>
      <c r="BG662" s="286">
        <f t="shared" ca="1" si="398"/>
        <v>0</v>
      </c>
    </row>
    <row r="663" spans="1:59">
      <c r="A663" s="1">
        <f t="shared" ca="1" si="378"/>
        <v>55</v>
      </c>
      <c r="B663" s="1">
        <f t="shared" ca="1" si="371"/>
        <v>161</v>
      </c>
      <c r="C663" s="1">
        <f t="shared" ca="1" si="372"/>
        <v>5</v>
      </c>
      <c r="D663" s="1">
        <f ca="1">MIN($D$3,VLOOKUP(C663,OP!$S$30:$T$41,2))</f>
        <v>2</v>
      </c>
      <c r="E663" s="1">
        <f t="shared" ca="1" si="373"/>
        <v>109</v>
      </c>
      <c r="F663" s="11" t="str">
        <f t="shared" ca="1" si="379"/>
        <v/>
      </c>
      <c r="G663" s="8">
        <f t="shared" ca="1" si="402"/>
        <v>366</v>
      </c>
      <c r="H663" s="8">
        <f t="shared" ca="1" si="380"/>
        <v>31</v>
      </c>
      <c r="I663" s="8" t="str">
        <f t="shared" ca="1" si="377"/>
        <v>555</v>
      </c>
      <c r="J663" s="13">
        <f>IF(繳費報酬率資料!$A$1=1,VALUE(OP!$C$121),VLOOKUP(A663,MP,2,0))</f>
        <v>0.05</v>
      </c>
      <c r="K663" s="14">
        <f ca="1">IF(SUM($K$4:K662,IF(繳費報酬率資料!$A$1=1,$AU663+$AV663,$BB663+$BC663))&gt;OP!$L$58,0,IF(繳費報酬率資料!$A$1=1,$AU663+$AV663,$BB663+$BC663))</f>
        <v>0</v>
      </c>
      <c r="L663" s="2">
        <f ca="1">ROUND(IF(OP!$C$78&lt;(IF(OR($T663="F",$E663&gt;=111),0,Z662+$K663-$O663+IF($C$1=1,OP!$C$78,IF($C664=$C$3,SUM(AC652:AC663,0)))))*5%,0,(OP!$C$78-((IF(OR($T663="F",$E663&gt;=111),0,Z662+$K663-$O663+IF($C$1=1,AC663,IF($C664=$C$3,SUM(AC652:AC663,0)))))*5%))*$Q663),0)</f>
        <v>0</v>
      </c>
      <c r="M663" s="2">
        <f ca="1">ROUND(IF(OP!$C$78&lt;(IF(OR($T663="F",$E663&gt;=111),0,AA662+$K663-$O663+IF($C$1=1,AD663,IF($C664=$C$3,SUM(AD652:AD663,0)))))*5%,0,(OP!$C$78-((IF(OR($T663="F",$E663&gt;=111),0,AA662+$K663-$O663+IF($C$1=1,AD663,IF($C664=$C$3,SUM(AD652:AD663,0)))))*5%))*$Q663),0)</f>
        <v>0</v>
      </c>
      <c r="N663" s="2">
        <f ca="1">ROUND(IF(OP!$C$78&lt;(IF(OR($T663="F",$E663&gt;=111),0,AB662+$K663-$O663+IF($C$1=1,AE663,IF($C664=$C$3,SUM(AE652:AE663,0)))))*5%,0,(OP!$C$78-((IF(OR($T663="F",$E663&gt;=111),0,AB662+$K663-$O663+IF($C$1=1,AE663,IF($C664=$C$3,SUM(AE652:AE663,0)))))*5%))*$Q663),0)</f>
        <v>0</v>
      </c>
      <c r="O663" s="261">
        <f t="shared" ca="1" si="381"/>
        <v>0</v>
      </c>
      <c r="P663" s="261">
        <f t="shared" ca="1" si="399"/>
        <v>0</v>
      </c>
      <c r="Q663" s="3">
        <f ca="1">IF(A663&gt;MAX(OP!$R$17:$R$26),0,VLOOKUP(A663,fees,3,FALSE))</f>
        <v>0</v>
      </c>
      <c r="R663" s="200">
        <f t="shared" ca="1" si="382"/>
        <v>55</v>
      </c>
      <c r="S663" s="9" t="str">
        <f ca="1">IF(COUNTIF(($T$4:T662),"F")&gt;=1,"",IF(OR(C664&lt;&gt;$C$3,E663=""),"",A663))</f>
        <v/>
      </c>
      <c r="T663" s="20" t="str">
        <f t="shared" ca="1" si="374"/>
        <v/>
      </c>
      <c r="U663" s="2">
        <f ca="1">IF(IF(OP!$C$83=1,$Z662,IF(OP!$C$83=2,$AA662,IF(OP!$C$83=3,$AB662,)))+$K663-$O663-$P663-$AS663&lt;OP!$C$142,0,$AS663)</f>
        <v>0</v>
      </c>
      <c r="V663" s="19">
        <f ca="1">SUM(K652:K663)</f>
        <v>0</v>
      </c>
      <c r="W663" s="19">
        <f ca="1">MAX(SUM($K$4:K663),0)</f>
        <v>2000000</v>
      </c>
      <c r="X663" s="19">
        <f ca="1">SUM(O652:P663)</f>
        <v>0</v>
      </c>
      <c r="Y663" s="19">
        <f t="shared" ca="1" si="400"/>
        <v>1920000</v>
      </c>
      <c r="Z663" s="2">
        <f ca="1">IF(MIN($Z$4:Z662)=0,0,MAX(0,($Z662+$K663-$O663-$P663)*IF(AND(F663="F",$D$3&lt;&gt;$G$3),((1+(-J663))^(H663/MIN(G663,365))),((1+(-J663))^(1/12)))-$U663))</f>
        <v>114314.02580261869</v>
      </c>
      <c r="AA663" s="2">
        <f ca="1">IF(MIN($AA$4:AA662)=0,0,MAX(0,($AA662+$K663-$O663-$P663)*IF(AND(F663="F",$D$3&lt;&gt;$G$3),((1+$AA$1)^(H663/MIN(G663,365))),((1+$AA$1)^(1/12)))-$U663))</f>
        <v>1920000</v>
      </c>
      <c r="AB663" s="2">
        <f ca="1">IF(MIN($AB$4:AB662)=0,0,MAX(0,($AB662+$K663-$O663-$P663)*IF(AND(F663="F",$D$3&lt;&gt;$G$3),((1+(J663))^(H663/MIN(G663,365))),((1+(J663))^(1/12)))-$U663))</f>
        <v>28100411.359438743</v>
      </c>
      <c r="AC663" s="5"/>
      <c r="AD663" s="5"/>
      <c r="AE663" s="5"/>
      <c r="AF663" s="282">
        <f t="shared" ca="1" si="383"/>
        <v>114314</v>
      </c>
      <c r="AG663" s="282">
        <f t="shared" ca="1" si="384"/>
        <v>1920000</v>
      </c>
      <c r="AH663" s="282">
        <f t="shared" ca="1" si="385"/>
        <v>28100411</v>
      </c>
      <c r="AI663" s="23" t="str">
        <f t="shared" ca="1" si="401"/>
        <v>56-1</v>
      </c>
      <c r="AJ663" s="282">
        <f ca="1">IF(E663&gt;111,,IF(AND(OP!$C$99=1,T663="F"),Z663,IF(AND(OP!$C$99=2,COUNTIF($T$4:T663,"F")=1),OP!$C$97+IF(F663="F",OP!$C$98,0),"")))</f>
        <v>54527</v>
      </c>
      <c r="AK663" s="282">
        <f ca="1">IF(E663&gt;111,,IF(AND(OP!$D$99=1,T663="F"),AA663,IF(AND(OP!$D$99=2,COUNTIF($T$4:T663,"F")=1),OP!$D$97+IF(F663="F",OP!$D$98,0),"")))</f>
        <v>74177</v>
      </c>
      <c r="AL663" s="282">
        <f ca="1">IF(E663&gt;111,,IF(AND(OP!$E$99=1,T663="F"),AB663,IF(AND(OP!$E$99=2,COUNTIF($T$4:T663,"F")=1),OP!$E$97+IF(F663="F",OP!$E$98,0),"")))</f>
        <v>99404</v>
      </c>
      <c r="AM663" s="1">
        <f t="shared" ca="1" si="375"/>
        <v>1</v>
      </c>
      <c r="AN663" s="1" t="e">
        <f ca="1">IF(OR(VLOOKUP($A663,MP,5,0)="月繳"),1,"")</f>
        <v>#N/A</v>
      </c>
      <c r="AO663" s="1">
        <f t="shared" ca="1" si="386"/>
        <v>0</v>
      </c>
      <c r="AP663" s="1" t="str">
        <f ca="1">IF(AND(A663&lt;=OP!$C$120,COUNTIF(PAY,C663)=1),1,"")</f>
        <v/>
      </c>
      <c r="AR663" s="301">
        <f ca="1">IF(繳費報酬率資料!$A$1=1,$AY663+$AZ663,$BF663+$BG663)</f>
        <v>0</v>
      </c>
      <c r="AS663" s="1">
        <f ca="1">IF(C663&lt;&gt;IF($C$3=1,12,$C$3-1),0,IF(繳費報酬率資料!$A$1&lt;&gt;1,VLOOKUP($A663,MP,8,0),IF(AND($A663&gt;=OP!$C$79,$A663&lt;=OP!$C$80),OP!$C$78,)))</f>
        <v>0</v>
      </c>
      <c r="AT663" s="298">
        <f t="shared" ca="1" si="387"/>
        <v>0</v>
      </c>
      <c r="AU663" s="298">
        <f ca="1">IF(AND(A663&lt;=OP!$C$120,COUNTIF(PAY,C663)=1),OP!$C$123,0)</f>
        <v>0</v>
      </c>
      <c r="AV663" s="298">
        <f ca="1">IF(AND(A663&gt;=OP!$C$132,A663&lt;=OP!$C$133,$C$3=C663),OP!$C$135,0)</f>
        <v>0</v>
      </c>
      <c r="AW663" s="180">
        <f t="shared" ca="1" si="388"/>
        <v>0.05</v>
      </c>
      <c r="AX663" s="180">
        <f t="shared" ca="1" si="389"/>
        <v>0.05</v>
      </c>
      <c r="AY663" s="286">
        <f t="shared" ca="1" si="390"/>
        <v>0</v>
      </c>
      <c r="AZ663" s="286">
        <f t="shared" ca="1" si="391"/>
        <v>0</v>
      </c>
      <c r="BA663" s="286">
        <f t="shared" ca="1" si="392"/>
        <v>0</v>
      </c>
      <c r="BB663" s="286">
        <f t="shared" ca="1" si="393"/>
        <v>0</v>
      </c>
      <c r="BC663" s="286">
        <f t="shared" ca="1" si="394"/>
        <v>0</v>
      </c>
      <c r="BD663" s="180">
        <f t="shared" ca="1" si="395"/>
        <v>0.05</v>
      </c>
      <c r="BE663" s="180">
        <f t="shared" ca="1" si="396"/>
        <v>0.05</v>
      </c>
      <c r="BF663" s="286">
        <f t="shared" ca="1" si="397"/>
        <v>0</v>
      </c>
      <c r="BG663" s="286">
        <f t="shared" ca="1" si="398"/>
        <v>0</v>
      </c>
    </row>
    <row r="664" spans="1:59">
      <c r="A664" s="1">
        <f t="shared" ca="1" si="378"/>
        <v>56</v>
      </c>
      <c r="B664" s="1">
        <f t="shared" ca="1" si="371"/>
        <v>161</v>
      </c>
      <c r="C664" s="1">
        <f t="shared" ca="1" si="372"/>
        <v>6</v>
      </c>
      <c r="D664" s="1">
        <f ca="1">MIN($D$3,VLOOKUP(C664,OP!$S$30:$T$41,2))</f>
        <v>2</v>
      </c>
      <c r="E664" s="1">
        <f t="shared" ca="1" si="373"/>
        <v>110</v>
      </c>
      <c r="F664" s="11" t="str">
        <f t="shared" ca="1" si="379"/>
        <v/>
      </c>
      <c r="G664" s="6">
        <f ca="1">DATEDIF(DATE(B664+1911,C664,D664),DATE(B676+1911,C676,D676),"d")</f>
        <v>365</v>
      </c>
      <c r="H664" s="8">
        <f t="shared" ca="1" si="380"/>
        <v>30</v>
      </c>
      <c r="I664" s="8" t="str">
        <f t="shared" ca="1" si="377"/>
        <v>566</v>
      </c>
      <c r="J664" s="13">
        <f>IF(繳費報酬率資料!$A$1=1,VALUE(OP!$C$121),VLOOKUP(A664,MP,2,0))</f>
        <v>0.05</v>
      </c>
      <c r="K664" s="14">
        <f ca="1">IF(SUM($K$4:K663,IF(繳費報酬率資料!$A$1=1,$AU664+$AV664,$BB664+$BC664))&gt;OP!$L$58,0,IF(繳費報酬率資料!$A$1=1,$AU664+$AV664,$BB664+$BC664))</f>
        <v>0</v>
      </c>
      <c r="L664" s="2"/>
      <c r="M664" s="2"/>
      <c r="N664" s="2"/>
      <c r="O664" s="261">
        <f t="shared" ca="1" si="381"/>
        <v>0</v>
      </c>
      <c r="P664" s="261">
        <f t="shared" ca="1" si="399"/>
        <v>0</v>
      </c>
      <c r="Q664" s="3">
        <f ca="1">IF(A664&gt;MAX(OP!$R$17:$R$26),0,VLOOKUP(A664,fees,3,FALSE))</f>
        <v>0</v>
      </c>
      <c r="R664" s="200" t="str">
        <f t="shared" ca="1" si="382"/>
        <v/>
      </c>
      <c r="S664" s="9" t="str">
        <f ca="1">IF(COUNTIF(($T$4:T663),"F")&gt;=1,"",IF(OR(C665&lt;&gt;$C$3,E664=""),"",A664))</f>
        <v/>
      </c>
      <c r="T664" s="20" t="str">
        <f t="shared" ca="1" si="374"/>
        <v/>
      </c>
      <c r="U664" s="2">
        <f ca="1">IF(IF(OP!$C$83=1,$Z663,IF(OP!$C$83=2,$AA663,IF(OP!$C$83=3,$AB663,)))+$K664-$O664-$P664-$AS664&lt;OP!$C$142,0,$AS664)</f>
        <v>0</v>
      </c>
      <c r="V664" s="9"/>
      <c r="W664" s="19">
        <f ca="1">MAX(SUM($K$4:K664),0)</f>
        <v>2000000</v>
      </c>
      <c r="X664" s="19"/>
      <c r="Y664" s="19">
        <f t="shared" ca="1" si="400"/>
        <v>1920000</v>
      </c>
      <c r="Z664" s="2">
        <f ca="1">IF(MIN($Z$4:Z663)=0,0,MAX(0,($Z663+$K664-$O664-$P664)*IF(AND(F664="F",$D$3&lt;&gt;$G$3),((1+(-J664))^(H664/MIN(G664,365))),((1+(-J664))^(1/12)))-$U664))</f>
        <v>113826.44004182423</v>
      </c>
      <c r="AA664" s="2">
        <f ca="1">IF(MIN($AA$4:AA663)=0,0,MAX(0,($AA663+$K664-$O664-$P664)*IF(AND(F664="F",$D$3&lt;&gt;$G$3),((1+$AA$1)^(H664/MIN(G664,365))),((1+$AA$1)^(1/12)))-$U664))</f>
        <v>1920000</v>
      </c>
      <c r="AB664" s="2">
        <f ca="1">IF(MIN($AB$4:AB663)=0,0,MAX(0,($AB663+$K664-$O664-$P664)*IF(AND(F664="F",$D$3&lt;&gt;$G$3),((1+(J664))^(H664/MIN(G664,365))),((1+(J664))^(1/12)))-$U664))</f>
        <v>28214895.913688537</v>
      </c>
      <c r="AC664" s="21"/>
      <c r="AD664" s="21"/>
      <c r="AE664" s="21"/>
      <c r="AF664" s="282">
        <f t="shared" ca="1" si="383"/>
        <v>113826</v>
      </c>
      <c r="AG664" s="282">
        <f t="shared" ca="1" si="384"/>
        <v>1920000</v>
      </c>
      <c r="AH664" s="282">
        <f t="shared" ca="1" si="385"/>
        <v>28214896</v>
      </c>
      <c r="AI664" s="23" t="str">
        <f t="shared" ca="1" si="401"/>
        <v>56-2</v>
      </c>
      <c r="AJ664" s="281">
        <f ca="1">IF(E664&gt;111,,IF(AND(OP!$C$99=1,T664="F"),Z664,IF(AND(OP!$C$99=2,COUNTIF($T$4:T664,"F")=1),OP!$C$97+IF(F664="F",OP!$C$98,0),"")))</f>
        <v>54527</v>
      </c>
      <c r="AK664" s="281">
        <f ca="1">IF(E664&gt;111,,IF(AND(OP!$D$99=1,T664="F"),AA664,IF(AND(OP!$D$99=2,COUNTIF($T$4:T664,"F")=1),OP!$D$97+IF(F664="F",OP!$D$98,0),"")))</f>
        <v>74177</v>
      </c>
      <c r="AL664" s="281">
        <f ca="1">IF(E664&gt;111,,IF(AND(OP!$E$99=1,T664="F"),AB664,IF(AND(OP!$E$99=2,COUNTIF($T$4:T664,"F")=1),OP!$E$97+IF(F664="F",OP!$E$98,0),"")))</f>
        <v>99404</v>
      </c>
      <c r="AM664" s="1">
        <f t="shared" ca="1" si="375"/>
        <v>2</v>
      </c>
      <c r="AN664" s="1" t="e">
        <f ca="1">IF(OR(VLOOKUP($A664,MP,5,0)="年繳",VLOOKUP($A664,MP,5,0)="半年繳",VLOOKUP($A664,MP,5,0)="季繳",VLOOKUP($A664,MP,5,0)="月繳"),1,"")</f>
        <v>#N/A</v>
      </c>
      <c r="AO664" s="1">
        <f t="shared" ca="1" si="386"/>
        <v>0</v>
      </c>
      <c r="AP664" s="1" t="str">
        <f ca="1">IF(AND(A664&lt;=OP!$C$120,COUNTIF(PAY,C664)=1),1,"")</f>
        <v/>
      </c>
      <c r="AR664" s="301">
        <f ca="1">IF(繳費報酬率資料!$A$1=1,$AY664+$AZ664,$BF664+$BG664)</f>
        <v>0</v>
      </c>
      <c r="AS664" s="1">
        <f ca="1">IF(C664&lt;&gt;IF($C$3=1,12,$C$3-1),0,IF(繳費報酬率資料!$A$1&lt;&gt;1,VLOOKUP($A664,MP,8,0),IF(AND($A664&gt;=OP!$C$79,$A664&lt;=OP!$C$80),OP!$C$78,)))</f>
        <v>0</v>
      </c>
      <c r="AT664" s="298">
        <f t="shared" ca="1" si="387"/>
        <v>0</v>
      </c>
      <c r="AU664" s="298">
        <f ca="1">IF(AND(A664&lt;=OP!$C$120,COUNTIF(PAY,C664)=1),OP!$C$123,0)</f>
        <v>0</v>
      </c>
      <c r="AV664" s="298">
        <f ca="1">IF(AND(A664&gt;=OP!$C$132,A664&lt;=OP!$C$133,$C$3=C664),OP!$C$135,0)</f>
        <v>0</v>
      </c>
      <c r="AW664" s="180">
        <f t="shared" ca="1" si="388"/>
        <v>0.05</v>
      </c>
      <c r="AX664" s="180">
        <f t="shared" ca="1" si="389"/>
        <v>0.05</v>
      </c>
      <c r="AY664" s="286">
        <f t="shared" ca="1" si="390"/>
        <v>0</v>
      </c>
      <c r="AZ664" s="286">
        <f t="shared" ca="1" si="391"/>
        <v>0</v>
      </c>
      <c r="BA664" s="286">
        <f t="shared" ca="1" si="392"/>
        <v>0</v>
      </c>
      <c r="BB664" s="286">
        <f t="shared" ca="1" si="393"/>
        <v>0</v>
      </c>
      <c r="BC664" s="286">
        <f t="shared" ca="1" si="394"/>
        <v>0</v>
      </c>
      <c r="BD664" s="180">
        <f t="shared" ca="1" si="395"/>
        <v>0.05</v>
      </c>
      <c r="BE664" s="180">
        <f t="shared" ca="1" si="396"/>
        <v>0.05</v>
      </c>
      <c r="BF664" s="286">
        <f t="shared" ca="1" si="397"/>
        <v>0</v>
      </c>
      <c r="BG664" s="286">
        <f t="shared" ca="1" si="398"/>
        <v>0</v>
      </c>
    </row>
    <row r="665" spans="1:59">
      <c r="A665" s="1">
        <f t="shared" ca="1" si="378"/>
        <v>56</v>
      </c>
      <c r="B665" s="1">
        <f t="shared" ca="1" si="371"/>
        <v>161</v>
      </c>
      <c r="C665" s="1">
        <f t="shared" ca="1" si="372"/>
        <v>7</v>
      </c>
      <c r="D665" s="1">
        <f ca="1">MIN($D$3,VLOOKUP(C665,OP!$S$30:$T$41,2))</f>
        <v>2</v>
      </c>
      <c r="E665" s="1">
        <f t="shared" ca="1" si="373"/>
        <v>110</v>
      </c>
      <c r="F665" s="11" t="str">
        <f t="shared" ca="1" si="379"/>
        <v/>
      </c>
      <c r="G665" s="8">
        <f t="shared" ref="G665:G675" ca="1" si="403">G664</f>
        <v>365</v>
      </c>
      <c r="H665" s="8">
        <f t="shared" ca="1" si="380"/>
        <v>31</v>
      </c>
      <c r="I665" s="8" t="str">
        <f t="shared" ca="1" si="377"/>
        <v>567</v>
      </c>
      <c r="J665" s="13">
        <f>IF(繳費報酬率資料!$A$1=1,VALUE(OP!$C$121),VLOOKUP(A665,MP,2,0))</f>
        <v>0.05</v>
      </c>
      <c r="K665" s="14">
        <f ca="1">IF(SUM($K$4:K664,IF(繳費報酬率資料!$A$1=1,$AU665+$AV665,$BB665+$BC665))&gt;OP!$L$58,0,IF(繳費報酬率資料!$A$1=1,$AU665+$AV665,$BB665+$BC665))</f>
        <v>0</v>
      </c>
      <c r="L665" s="2"/>
      <c r="M665" s="2"/>
      <c r="N665" s="2"/>
      <c r="O665" s="261">
        <f t="shared" ca="1" si="381"/>
        <v>0</v>
      </c>
      <c r="P665" s="261">
        <f t="shared" ca="1" si="399"/>
        <v>0</v>
      </c>
      <c r="Q665" s="3">
        <f ca="1">IF(A665&gt;MAX(OP!$R$17:$R$26),0,VLOOKUP(A665,fees,3,FALSE))</f>
        <v>0</v>
      </c>
      <c r="R665" s="200" t="str">
        <f t="shared" ca="1" si="382"/>
        <v/>
      </c>
      <c r="S665" s="9" t="str">
        <f ca="1">IF(COUNTIF(($T$4:T664),"F")&gt;=1,"",IF(OR(C666&lt;&gt;$C$3,E665=""),"",A665))</f>
        <v/>
      </c>
      <c r="T665" s="20" t="str">
        <f t="shared" ca="1" si="374"/>
        <v/>
      </c>
      <c r="U665" s="2">
        <f ca="1">IF(IF(OP!$C$83=1,$Z664,IF(OP!$C$83=2,$AA664,IF(OP!$C$83=3,$AB664,)))+$K665-$O665-$P665-$AS665&lt;OP!$C$142,0,$AS665)</f>
        <v>0</v>
      </c>
      <c r="V665" s="9"/>
      <c r="W665" s="19">
        <f ca="1">MAX(SUM($K$4:K665),0)</f>
        <v>2000000</v>
      </c>
      <c r="X665" s="19"/>
      <c r="Y665" s="19">
        <f t="shared" ca="1" si="400"/>
        <v>1920000</v>
      </c>
      <c r="Z665" s="2">
        <f ca="1">IF(MIN($Z$4:Z664)=0,0,MAX(0,($Z664+$K665-$O665-$P665)*IF(AND(F665="F",$D$3&lt;&gt;$G$3),((1+(-J665))^(H665/MIN(G665,365))),((1+(-J665))^(1/12)))-$U665))</f>
        <v>113340.93398973095</v>
      </c>
      <c r="AA665" s="2">
        <f ca="1">IF(MIN($AA$4:AA664)=0,0,MAX(0,($AA664+$K665-$O665-$P665)*IF(AND(F665="F",$D$3&lt;&gt;$G$3),((1+$AA$1)^(H665/MIN(G665,365))),((1+$AA$1)^(1/12)))-$U665))</f>
        <v>1920000</v>
      </c>
      <c r="AB665" s="2">
        <f ca="1">IF(MIN($AB$4:AB664)=0,0,MAX(0,($AB664+$K665-$O665-$P665)*IF(AND(F665="F",$D$3&lt;&gt;$G$3),((1+(J665))^(H665/MIN(G665,365))),((1+(J665))^(1/12)))-$U665))</f>
        <v>28329846.892183658</v>
      </c>
      <c r="AC665" s="5"/>
      <c r="AD665" s="5"/>
      <c r="AE665" s="5"/>
      <c r="AF665" s="282">
        <f t="shared" ca="1" si="383"/>
        <v>113341</v>
      </c>
      <c r="AG665" s="282">
        <f t="shared" ca="1" si="384"/>
        <v>1920000</v>
      </c>
      <c r="AH665" s="282">
        <f t="shared" ca="1" si="385"/>
        <v>28329847</v>
      </c>
      <c r="AI665" s="23" t="str">
        <f t="shared" ca="1" si="401"/>
        <v>56-3</v>
      </c>
      <c r="AJ665" s="282">
        <f ca="1">IF(E665&gt;111,,IF(AND(OP!$C$99=1,T665="F"),Z665,IF(AND(OP!$C$99=2,COUNTIF($T$4:T665,"F")=1),OP!$C$97+IF(F665="F",OP!$C$98,0),"")))</f>
        <v>54527</v>
      </c>
      <c r="AK665" s="282">
        <f ca="1">IF(E665&gt;111,,IF(AND(OP!$D$99=1,T665="F"),AA665,IF(AND(OP!$D$99=2,COUNTIF($T$4:T665,"F")=1),OP!$D$97+IF(F665="F",OP!$D$98,0),"")))</f>
        <v>74177</v>
      </c>
      <c r="AL665" s="282">
        <f ca="1">IF(E665&gt;111,,IF(AND(OP!$E$99=1,T665="F"),AB665,IF(AND(OP!$E$99=2,COUNTIF($T$4:T665,"F")=1),OP!$E$97+IF(F665="F",OP!$E$98,0),"")))</f>
        <v>99404</v>
      </c>
      <c r="AM665" s="1">
        <f t="shared" ca="1" si="375"/>
        <v>3</v>
      </c>
      <c r="AN665" s="1" t="e">
        <f ca="1">IF(OR(VLOOKUP($A665,MP,5,0)="月繳"),1,"")</f>
        <v>#N/A</v>
      </c>
      <c r="AO665" s="1">
        <f t="shared" ca="1" si="386"/>
        <v>0</v>
      </c>
      <c r="AP665" s="1" t="str">
        <f ca="1">IF(AND(A665&lt;=OP!$C$120,COUNTIF(PAY,C665)=1),1,"")</f>
        <v/>
      </c>
      <c r="AR665" s="301">
        <f ca="1">IF(繳費報酬率資料!$A$1=1,$AY665+$AZ665,$BF665+$BG665)</f>
        <v>0</v>
      </c>
      <c r="AS665" s="1">
        <f ca="1">IF(C665&lt;&gt;IF($C$3=1,12,$C$3-1),0,IF(繳費報酬率資料!$A$1&lt;&gt;1,VLOOKUP($A665,MP,8,0),IF(AND($A665&gt;=OP!$C$79,$A665&lt;=OP!$C$80),OP!$C$78,)))</f>
        <v>0</v>
      </c>
      <c r="AT665" s="298">
        <f t="shared" ca="1" si="387"/>
        <v>0</v>
      </c>
      <c r="AU665" s="298">
        <f ca="1">IF(AND(A665&lt;=OP!$C$120,COUNTIF(PAY,C665)=1),OP!$C$123,0)</f>
        <v>0</v>
      </c>
      <c r="AV665" s="298">
        <f ca="1">IF(AND(A665&gt;=OP!$C$132,A665&lt;=OP!$C$133,$C$3=C665),OP!$C$135,0)</f>
        <v>0</v>
      </c>
      <c r="AW665" s="180">
        <f t="shared" ca="1" si="388"/>
        <v>0.05</v>
      </c>
      <c r="AX665" s="180">
        <f t="shared" ca="1" si="389"/>
        <v>0.05</v>
      </c>
      <c r="AY665" s="286">
        <f t="shared" ca="1" si="390"/>
        <v>0</v>
      </c>
      <c r="AZ665" s="286">
        <f t="shared" ca="1" si="391"/>
        <v>0</v>
      </c>
      <c r="BA665" s="286">
        <f t="shared" ca="1" si="392"/>
        <v>0</v>
      </c>
      <c r="BB665" s="286">
        <f t="shared" ca="1" si="393"/>
        <v>0</v>
      </c>
      <c r="BC665" s="286">
        <f t="shared" ca="1" si="394"/>
        <v>0</v>
      </c>
      <c r="BD665" s="180">
        <f t="shared" ca="1" si="395"/>
        <v>0.05</v>
      </c>
      <c r="BE665" s="180">
        <f t="shared" ca="1" si="396"/>
        <v>0.05</v>
      </c>
      <c r="BF665" s="286">
        <f t="shared" ca="1" si="397"/>
        <v>0</v>
      </c>
      <c r="BG665" s="286">
        <f t="shared" ca="1" si="398"/>
        <v>0</v>
      </c>
    </row>
    <row r="666" spans="1:59">
      <c r="A666" s="1">
        <f t="shared" ca="1" si="378"/>
        <v>56</v>
      </c>
      <c r="B666" s="1">
        <f t="shared" ca="1" si="371"/>
        <v>161</v>
      </c>
      <c r="C666" s="1">
        <f t="shared" ca="1" si="372"/>
        <v>8</v>
      </c>
      <c r="D666" s="1">
        <f ca="1">MIN($D$3,VLOOKUP(C666,OP!$S$30:$T$41,2))</f>
        <v>2</v>
      </c>
      <c r="E666" s="1">
        <f t="shared" ca="1" si="373"/>
        <v>110</v>
      </c>
      <c r="F666" s="11" t="str">
        <f t="shared" ca="1" si="379"/>
        <v/>
      </c>
      <c r="G666" s="8">
        <f t="shared" ca="1" si="403"/>
        <v>365</v>
      </c>
      <c r="H666" s="8">
        <f t="shared" ca="1" si="380"/>
        <v>31</v>
      </c>
      <c r="I666" s="8" t="str">
        <f t="shared" ca="1" si="377"/>
        <v>568</v>
      </c>
      <c r="J666" s="13">
        <f>IF(繳費報酬率資料!$A$1=1,VALUE(OP!$C$121),VLOOKUP(A666,MP,2,0))</f>
        <v>0.05</v>
      </c>
      <c r="K666" s="14">
        <f ca="1">IF(SUM($K$4:K665,IF(繳費報酬率資料!$A$1=1,$AU666+$AV666,$BB666+$BC666))&gt;OP!$L$58,0,IF(繳費報酬率資料!$A$1=1,$AU666+$AV666,$BB666+$BC666))</f>
        <v>0</v>
      </c>
      <c r="L666" s="2"/>
      <c r="M666" s="2"/>
      <c r="N666" s="2"/>
      <c r="O666" s="261">
        <f t="shared" ca="1" si="381"/>
        <v>0</v>
      </c>
      <c r="P666" s="261">
        <f t="shared" ca="1" si="399"/>
        <v>0</v>
      </c>
      <c r="Q666" s="3">
        <f ca="1">IF(A666&gt;MAX(OP!$R$17:$R$26),0,VLOOKUP(A666,fees,3,FALSE))</f>
        <v>0</v>
      </c>
      <c r="R666" s="200" t="str">
        <f t="shared" ca="1" si="382"/>
        <v/>
      </c>
      <c r="S666" s="9" t="str">
        <f ca="1">IF(COUNTIF(($T$4:T665),"F")&gt;=1,"",IF(OR(C667&lt;&gt;$C$3,E666=""),"",A666))</f>
        <v/>
      </c>
      <c r="T666" s="20" t="str">
        <f t="shared" ca="1" si="374"/>
        <v/>
      </c>
      <c r="U666" s="2">
        <f ca="1">IF(IF(OP!$C$83=1,$Z665,IF(OP!$C$83=2,$AA665,IF(OP!$C$83=3,$AB665,)))+$K666-$O666-$P666-$AS666&lt;OP!$C$142,0,$AS666)</f>
        <v>0</v>
      </c>
      <c r="V666" s="9"/>
      <c r="W666" s="19">
        <f ca="1">MAX(SUM($K$4:K666),0)</f>
        <v>2000000</v>
      </c>
      <c r="X666" s="19"/>
      <c r="Y666" s="19">
        <f t="shared" ca="1" si="400"/>
        <v>1920000</v>
      </c>
      <c r="Z666" s="2">
        <f ca="1">IF(MIN($Z$4:Z665)=0,0,MAX(0,($Z665+$K666-$O666-$P666)*IF(AND(F666="F",$D$3&lt;&gt;$G$3),((1+(-J666))^(H666/MIN(G666,365))),((1+(-J666))^(1/12)))-$U666))</f>
        <v>112857.4987757183</v>
      </c>
      <c r="AA666" s="2">
        <f ca="1">IF(MIN($AA$4:AA665)=0,0,MAX(0,($AA665+$K666-$O666-$P666)*IF(AND(F666="F",$D$3&lt;&gt;$G$3),((1+$AA$1)^(H666/MIN(G666,365))),((1+$AA$1)^(1/12)))-$U666))</f>
        <v>1920000</v>
      </c>
      <c r="AB666" s="2">
        <f ca="1">IF(MIN($AB$4:AB665)=0,0,MAX(0,($AB665+$K666-$O666-$P666)*IF(AND(F666="F",$D$3&lt;&gt;$G$3),((1+(J666))^(H666/MIN(G666,365))),((1+(J666))^(1/12)))-$U666))</f>
        <v>28445266.195194218</v>
      </c>
      <c r="AC666" s="5"/>
      <c r="AD666" s="5"/>
      <c r="AE666" s="5"/>
      <c r="AF666" s="282">
        <f t="shared" ca="1" si="383"/>
        <v>112857</v>
      </c>
      <c r="AG666" s="282">
        <f t="shared" ca="1" si="384"/>
        <v>1920000</v>
      </c>
      <c r="AH666" s="282">
        <f t="shared" ca="1" si="385"/>
        <v>28445266</v>
      </c>
      <c r="AI666" s="23" t="str">
        <f t="shared" ca="1" si="401"/>
        <v>56-4</v>
      </c>
      <c r="AJ666" s="282">
        <f ca="1">IF(E666&gt;111,,IF(AND(OP!$C$99=1,T666="F"),Z666,IF(AND(OP!$C$99=2,COUNTIF($T$4:T666,"F")=1),OP!$C$97+IF(F666="F",OP!$C$98,0),"")))</f>
        <v>54527</v>
      </c>
      <c r="AK666" s="282">
        <f ca="1">IF(E666&gt;111,,IF(AND(OP!$D$99=1,T666="F"),AA666,IF(AND(OP!$D$99=2,COUNTIF($T$4:T666,"F")=1),OP!$D$97+IF(F666="F",OP!$D$98,0),"")))</f>
        <v>74177</v>
      </c>
      <c r="AL666" s="282">
        <f ca="1">IF(E666&gt;111,,IF(AND(OP!$E$99=1,T666="F"),AB666,IF(AND(OP!$E$99=2,COUNTIF($T$4:T666,"F")=1),OP!$E$97+IF(F666="F",OP!$E$98,0),"")))</f>
        <v>99404</v>
      </c>
      <c r="AM666" s="1">
        <f t="shared" ca="1" si="375"/>
        <v>4</v>
      </c>
      <c r="AN666" s="1" t="e">
        <f ca="1">IF(OR(VLOOKUP($A666,MP,5,0)="月繳"),1,"")</f>
        <v>#N/A</v>
      </c>
      <c r="AO666" s="1">
        <f t="shared" ca="1" si="386"/>
        <v>0</v>
      </c>
      <c r="AP666" s="1" t="str">
        <f ca="1">IF(AND(A666&lt;=OP!$C$120,COUNTIF(PAY,C666)=1),1,"")</f>
        <v/>
      </c>
      <c r="AR666" s="301">
        <f ca="1">IF(繳費報酬率資料!$A$1=1,$AY666+$AZ666,$BF666+$BG666)</f>
        <v>0</v>
      </c>
      <c r="AS666" s="1">
        <f ca="1">IF(C666&lt;&gt;IF($C$3=1,12,$C$3-1),0,IF(繳費報酬率資料!$A$1&lt;&gt;1,VLOOKUP($A666,MP,8,0),IF(AND($A666&gt;=OP!$C$79,$A666&lt;=OP!$C$80),OP!$C$78,)))</f>
        <v>0</v>
      </c>
      <c r="AT666" s="298">
        <f t="shared" ca="1" si="387"/>
        <v>0</v>
      </c>
      <c r="AU666" s="298">
        <f ca="1">IF(AND(A666&lt;=OP!$C$120,COUNTIF(PAY,C666)=1),OP!$C$123,0)</f>
        <v>0</v>
      </c>
      <c r="AV666" s="298">
        <f ca="1">IF(AND(A666&gt;=OP!$C$132,A666&lt;=OP!$C$133,$C$3=C666),OP!$C$135,0)</f>
        <v>0</v>
      </c>
      <c r="AW666" s="180">
        <f t="shared" ca="1" si="388"/>
        <v>0.05</v>
      </c>
      <c r="AX666" s="180">
        <f t="shared" ca="1" si="389"/>
        <v>0.05</v>
      </c>
      <c r="AY666" s="286">
        <f t="shared" ca="1" si="390"/>
        <v>0</v>
      </c>
      <c r="AZ666" s="286">
        <f t="shared" ca="1" si="391"/>
        <v>0</v>
      </c>
      <c r="BA666" s="286">
        <f t="shared" ca="1" si="392"/>
        <v>0</v>
      </c>
      <c r="BB666" s="286">
        <f t="shared" ca="1" si="393"/>
        <v>0</v>
      </c>
      <c r="BC666" s="286">
        <f t="shared" ca="1" si="394"/>
        <v>0</v>
      </c>
      <c r="BD666" s="180">
        <f t="shared" ca="1" si="395"/>
        <v>0.05</v>
      </c>
      <c r="BE666" s="180">
        <f t="shared" ca="1" si="396"/>
        <v>0.05</v>
      </c>
      <c r="BF666" s="286">
        <f t="shared" ca="1" si="397"/>
        <v>0</v>
      </c>
      <c r="BG666" s="286">
        <f t="shared" ca="1" si="398"/>
        <v>0</v>
      </c>
    </row>
    <row r="667" spans="1:59">
      <c r="A667" s="1">
        <f t="shared" ca="1" si="378"/>
        <v>56</v>
      </c>
      <c r="B667" s="1">
        <f t="shared" ca="1" si="371"/>
        <v>161</v>
      </c>
      <c r="C667" s="1">
        <f t="shared" ca="1" si="372"/>
        <v>9</v>
      </c>
      <c r="D667" s="1">
        <f ca="1">MIN($D$3,VLOOKUP(C667,OP!$S$30:$T$41,2))</f>
        <v>2</v>
      </c>
      <c r="E667" s="1">
        <f t="shared" ca="1" si="373"/>
        <v>110</v>
      </c>
      <c r="F667" s="11" t="str">
        <f t="shared" ca="1" si="379"/>
        <v/>
      </c>
      <c r="G667" s="8">
        <f t="shared" ca="1" si="403"/>
        <v>365</v>
      </c>
      <c r="H667" s="8">
        <f t="shared" ca="1" si="380"/>
        <v>30</v>
      </c>
      <c r="I667" s="8" t="str">
        <f t="shared" ca="1" si="377"/>
        <v>569</v>
      </c>
      <c r="J667" s="13">
        <f>IF(繳費報酬率資料!$A$1=1,VALUE(OP!$C$121),VLOOKUP(A667,MP,2,0))</f>
        <v>0.05</v>
      </c>
      <c r="K667" s="14">
        <f ca="1">IF(SUM($K$4:K666,IF(繳費報酬率資料!$A$1=1,$AU667+$AV667,$BB667+$BC667))&gt;OP!$L$58,0,IF(繳費報酬率資料!$A$1=1,$AU667+$AV667,$BB667+$BC667))</f>
        <v>0</v>
      </c>
      <c r="L667" s="2"/>
      <c r="M667" s="2"/>
      <c r="N667" s="2"/>
      <c r="O667" s="261">
        <f t="shared" ca="1" si="381"/>
        <v>0</v>
      </c>
      <c r="P667" s="261">
        <f t="shared" ca="1" si="399"/>
        <v>0</v>
      </c>
      <c r="Q667" s="3">
        <f ca="1">IF(A667&gt;MAX(OP!$R$17:$R$26),0,VLOOKUP(A667,fees,3,FALSE))</f>
        <v>0</v>
      </c>
      <c r="R667" s="200" t="str">
        <f t="shared" ca="1" si="382"/>
        <v/>
      </c>
      <c r="S667" s="9" t="str">
        <f ca="1">IF(COUNTIF(($T$4:T666),"F")&gt;=1,"",IF(OR(C668&lt;&gt;$C$3,E667=""),"",A667))</f>
        <v/>
      </c>
      <c r="T667" s="20" t="str">
        <f t="shared" ca="1" si="374"/>
        <v/>
      </c>
      <c r="U667" s="2">
        <f ca="1">IF(IF(OP!$C$83=1,$Z666,IF(OP!$C$83=2,$AA666,IF(OP!$C$83=3,$AB666,)))+$K667-$O667-$P667-$AS667&lt;OP!$C$142,0,$AS667)</f>
        <v>0</v>
      </c>
      <c r="V667" s="9"/>
      <c r="W667" s="19">
        <f ca="1">MAX(SUM($K$4:K667),0)</f>
        <v>2000000</v>
      </c>
      <c r="X667" s="19"/>
      <c r="Y667" s="19">
        <f t="shared" ca="1" si="400"/>
        <v>1920000</v>
      </c>
      <c r="Z667" s="2">
        <f ca="1">IF(MIN($Z$4:Z666)=0,0,MAX(0,($Z666+$K667-$O667-$P667)*IF(AND(F667="F",$D$3&lt;&gt;$G$3),((1+(-J667))^(H667/MIN(G667,365))),((1+(-J667))^(1/12)))-$U667))</f>
        <v>112376.1255670017</v>
      </c>
      <c r="AA667" s="2">
        <f ca="1">IF(MIN($AA$4:AA666)=0,0,MAX(0,($AA666+$K667-$O667-$P667)*IF(AND(F667="F",$D$3&lt;&gt;$G$3),((1+$AA$1)^(H667/MIN(G667,365))),((1+$AA$1)^(1/12)))-$U667))</f>
        <v>1920000</v>
      </c>
      <c r="AB667" s="2">
        <f ca="1">IF(MIN($AB$4:AB666)=0,0,MAX(0,($AB666+$K667-$O667-$P667)*IF(AND(F667="F",$D$3&lt;&gt;$G$3),((1+(J667))^(H667/MIN(G667,365))),((1+(J667))^(1/12)))-$U667))</f>
        <v>28561155.730732266</v>
      </c>
      <c r="AC667" s="5"/>
      <c r="AD667" s="5"/>
      <c r="AE667" s="5"/>
      <c r="AF667" s="282">
        <f t="shared" ca="1" si="383"/>
        <v>112376</v>
      </c>
      <c r="AG667" s="282">
        <f t="shared" ca="1" si="384"/>
        <v>1920000</v>
      </c>
      <c r="AH667" s="282">
        <f t="shared" ca="1" si="385"/>
        <v>28561156</v>
      </c>
      <c r="AI667" s="23" t="str">
        <f t="shared" ca="1" si="401"/>
        <v>56-5</v>
      </c>
      <c r="AJ667" s="282">
        <f ca="1">IF(E667&gt;111,,IF(AND(OP!$C$99=1,T667="F"),Z667,IF(AND(OP!$C$99=2,COUNTIF($T$4:T667,"F")=1),OP!$C$97+IF(F667="F",OP!$C$98,0),"")))</f>
        <v>54527</v>
      </c>
      <c r="AK667" s="282">
        <f ca="1">IF(E667&gt;111,,IF(AND(OP!$D$99=1,T667="F"),AA667,IF(AND(OP!$D$99=2,COUNTIF($T$4:T667,"F")=1),OP!$D$97+IF(F667="F",OP!$D$98,0),"")))</f>
        <v>74177</v>
      </c>
      <c r="AL667" s="282">
        <f ca="1">IF(E667&gt;111,,IF(AND(OP!$E$99=1,T667="F"),AB667,IF(AND(OP!$E$99=2,COUNTIF($T$4:T667,"F")=1),OP!$E$97+IF(F667="F",OP!$E$98,0),"")))</f>
        <v>99404</v>
      </c>
      <c r="AM667" s="1">
        <f t="shared" ca="1" si="375"/>
        <v>5</v>
      </c>
      <c r="AN667" s="1" t="e">
        <f ca="1">IF(OR(VLOOKUP($A667,MP,5,0)="季繳",VLOOKUP($A667,MP,5,0)="月繳"),1,"")</f>
        <v>#N/A</v>
      </c>
      <c r="AO667" s="1">
        <f t="shared" ca="1" si="386"/>
        <v>0</v>
      </c>
      <c r="AP667" s="1" t="str">
        <f ca="1">IF(AND(A667&lt;=OP!$C$120,COUNTIF(PAY,C667)=1),1,"")</f>
        <v/>
      </c>
      <c r="AR667" s="301">
        <f ca="1">IF(繳費報酬率資料!$A$1=1,$AY667+$AZ667,$BF667+$BG667)</f>
        <v>0</v>
      </c>
      <c r="AS667" s="1">
        <f ca="1">IF(C667&lt;&gt;IF($C$3=1,12,$C$3-1),0,IF(繳費報酬率資料!$A$1&lt;&gt;1,VLOOKUP($A667,MP,8,0),IF(AND($A667&gt;=OP!$C$79,$A667&lt;=OP!$C$80),OP!$C$78,)))</f>
        <v>0</v>
      </c>
      <c r="AT667" s="298">
        <f t="shared" ca="1" si="387"/>
        <v>0</v>
      </c>
      <c r="AU667" s="298">
        <f ca="1">IF(AND(A667&lt;=OP!$C$120,COUNTIF(PAY,C667)=1),OP!$C$123,0)</f>
        <v>0</v>
      </c>
      <c r="AV667" s="298">
        <f ca="1">IF(AND(A667&gt;=OP!$C$132,A667&lt;=OP!$C$133,$C$3=C667),OP!$C$135,0)</f>
        <v>0</v>
      </c>
      <c r="AW667" s="180">
        <f t="shared" ca="1" si="388"/>
        <v>0.05</v>
      </c>
      <c r="AX667" s="180">
        <f t="shared" ca="1" si="389"/>
        <v>0.05</v>
      </c>
      <c r="AY667" s="286">
        <f t="shared" ca="1" si="390"/>
        <v>0</v>
      </c>
      <c r="AZ667" s="286">
        <f t="shared" ca="1" si="391"/>
        <v>0</v>
      </c>
      <c r="BA667" s="286">
        <f t="shared" ca="1" si="392"/>
        <v>0</v>
      </c>
      <c r="BB667" s="286">
        <f t="shared" ca="1" si="393"/>
        <v>0</v>
      </c>
      <c r="BC667" s="286">
        <f t="shared" ca="1" si="394"/>
        <v>0</v>
      </c>
      <c r="BD667" s="180">
        <f t="shared" ca="1" si="395"/>
        <v>0.05</v>
      </c>
      <c r="BE667" s="180">
        <f t="shared" ca="1" si="396"/>
        <v>0.05</v>
      </c>
      <c r="BF667" s="286">
        <f t="shared" ca="1" si="397"/>
        <v>0</v>
      </c>
      <c r="BG667" s="286">
        <f t="shared" ca="1" si="398"/>
        <v>0</v>
      </c>
    </row>
    <row r="668" spans="1:59">
      <c r="A668" s="1">
        <f t="shared" ca="1" si="378"/>
        <v>56</v>
      </c>
      <c r="B668" s="1">
        <f t="shared" ca="1" si="371"/>
        <v>161</v>
      </c>
      <c r="C668" s="1">
        <f t="shared" ca="1" si="372"/>
        <v>10</v>
      </c>
      <c r="D668" s="1">
        <f ca="1">MIN($D$3,VLOOKUP(C668,OP!$S$30:$T$41,2))</f>
        <v>2</v>
      </c>
      <c r="E668" s="1">
        <f t="shared" ca="1" si="373"/>
        <v>110</v>
      </c>
      <c r="F668" s="11" t="str">
        <f t="shared" ca="1" si="379"/>
        <v/>
      </c>
      <c r="G668" s="8">
        <f t="shared" ca="1" si="403"/>
        <v>365</v>
      </c>
      <c r="H668" s="8">
        <f t="shared" ca="1" si="380"/>
        <v>31</v>
      </c>
      <c r="I668" s="8" t="str">
        <f t="shared" ca="1" si="377"/>
        <v>5610</v>
      </c>
      <c r="J668" s="13">
        <f>IF(繳費報酬率資料!$A$1=1,VALUE(OP!$C$121),VLOOKUP(A668,MP,2,0))</f>
        <v>0.05</v>
      </c>
      <c r="K668" s="14">
        <f ca="1">IF(SUM($K$4:K667,IF(繳費報酬率資料!$A$1=1,$AU668+$AV668,$BB668+$BC668))&gt;OP!$L$58,0,IF(繳費報酬率資料!$A$1=1,$AU668+$AV668,$BB668+$BC668))</f>
        <v>0</v>
      </c>
      <c r="L668" s="2"/>
      <c r="M668" s="2"/>
      <c r="N668" s="2"/>
      <c r="O668" s="261">
        <f t="shared" ca="1" si="381"/>
        <v>0</v>
      </c>
      <c r="P668" s="261">
        <f t="shared" ca="1" si="399"/>
        <v>0</v>
      </c>
      <c r="Q668" s="3">
        <f ca="1">IF(A668&gt;MAX(OP!$R$17:$R$26),0,VLOOKUP(A668,fees,3,FALSE))</f>
        <v>0</v>
      </c>
      <c r="R668" s="200" t="str">
        <f t="shared" ca="1" si="382"/>
        <v/>
      </c>
      <c r="S668" s="9" t="str">
        <f ca="1">IF(COUNTIF(($T$4:T667),"F")&gt;=1,"",IF(OR(C669&lt;&gt;$C$3,E668=""),"",A668))</f>
        <v/>
      </c>
      <c r="T668" s="20" t="str">
        <f t="shared" ca="1" si="374"/>
        <v/>
      </c>
      <c r="U668" s="2">
        <f ca="1">IF(IF(OP!$C$83=1,$Z667,IF(OP!$C$83=2,$AA667,IF(OP!$C$83=3,$AB667,)))+$K668-$O668-$P668-$AS668&lt;OP!$C$142,0,$AS668)</f>
        <v>0</v>
      </c>
      <c r="V668" s="9"/>
      <c r="W668" s="19">
        <f ca="1">MAX(SUM($K$4:K668),0)</f>
        <v>2000000</v>
      </c>
      <c r="X668" s="19"/>
      <c r="Y668" s="19">
        <f t="shared" ca="1" si="400"/>
        <v>1920000</v>
      </c>
      <c r="Z668" s="2">
        <f ca="1">IF(MIN($Z$4:Z667)=0,0,MAX(0,($Z667+$K668-$O668-$P668)*IF(AND(F668="F",$D$3&lt;&gt;$G$3),((1+(-J668))^(H668/MIN(G668,365))),((1+(-J668))^(1/12)))-$U668))</f>
        <v>111896.80556847126</v>
      </c>
      <c r="AA668" s="2">
        <f ca="1">IF(MIN($AA$4:AA667)=0,0,MAX(0,($AA667+$K668-$O668-$P668)*IF(AND(F668="F",$D$3&lt;&gt;$G$3),((1+$AA$1)^(H668/MIN(G668,365))),((1+$AA$1)^(1/12)))-$U668))</f>
        <v>1920000</v>
      </c>
      <c r="AB668" s="2">
        <f ca="1">IF(MIN($AB$4:AB667)=0,0,MAX(0,($AB667+$K668-$O668-$P668)*IF(AND(F668="F",$D$3&lt;&gt;$G$3),((1+(J668))^(H668/MIN(G668,365))),((1+(J668))^(1/12)))-$U668))</f>
        <v>28677517.414583325</v>
      </c>
      <c r="AC668" s="5"/>
      <c r="AD668" s="5"/>
      <c r="AE668" s="5"/>
      <c r="AF668" s="282">
        <f t="shared" ca="1" si="383"/>
        <v>111897</v>
      </c>
      <c r="AG668" s="282">
        <f t="shared" ca="1" si="384"/>
        <v>1920000</v>
      </c>
      <c r="AH668" s="282">
        <f t="shared" ca="1" si="385"/>
        <v>28677517</v>
      </c>
      <c r="AI668" s="23" t="str">
        <f t="shared" ca="1" si="401"/>
        <v>56-6</v>
      </c>
      <c r="AJ668" s="282">
        <f ca="1">IF(E668&gt;111,,IF(AND(OP!$C$99=1,T668="F"),Z668,IF(AND(OP!$C$99=2,COUNTIF($T$4:T668,"F")=1),OP!$C$97+IF(F668="F",OP!$C$98,0),"")))</f>
        <v>54527</v>
      </c>
      <c r="AK668" s="282">
        <f ca="1">IF(E668&gt;111,,IF(AND(OP!$D$99=1,T668="F"),AA668,IF(AND(OP!$D$99=2,COUNTIF($T$4:T668,"F")=1),OP!$D$97+IF(F668="F",OP!$D$98,0),"")))</f>
        <v>74177</v>
      </c>
      <c r="AL668" s="282">
        <f ca="1">IF(E668&gt;111,,IF(AND(OP!$E$99=1,T668="F"),AB668,IF(AND(OP!$E$99=2,COUNTIF($T$4:T668,"F")=1),OP!$E$97+IF(F668="F",OP!$E$98,0),"")))</f>
        <v>99404</v>
      </c>
      <c r="AM668" s="1">
        <f t="shared" ca="1" si="375"/>
        <v>6</v>
      </c>
      <c r="AN668" s="1" t="e">
        <f ca="1">IF(OR(VLOOKUP($A668,MP,5,0)="月繳"),1,"")</f>
        <v>#N/A</v>
      </c>
      <c r="AO668" s="1">
        <f t="shared" ca="1" si="386"/>
        <v>0</v>
      </c>
      <c r="AP668" s="1" t="str">
        <f ca="1">IF(AND(A668&lt;=OP!$C$120,COUNTIF(PAY,C668)=1),1,"")</f>
        <v/>
      </c>
      <c r="AR668" s="301">
        <f ca="1">IF(繳費報酬率資料!$A$1=1,$AY668+$AZ668,$BF668+$BG668)</f>
        <v>0</v>
      </c>
      <c r="AS668" s="1">
        <f ca="1">IF(C668&lt;&gt;IF($C$3=1,12,$C$3-1),0,IF(繳費報酬率資料!$A$1&lt;&gt;1,VLOOKUP($A668,MP,8,0),IF(AND($A668&gt;=OP!$C$79,$A668&lt;=OP!$C$80),OP!$C$78,)))</f>
        <v>0</v>
      </c>
      <c r="AT668" s="298">
        <f t="shared" ca="1" si="387"/>
        <v>0</v>
      </c>
      <c r="AU668" s="298">
        <f ca="1">IF(AND(A668&lt;=OP!$C$120,COUNTIF(PAY,C668)=1),OP!$C$123,0)</f>
        <v>0</v>
      </c>
      <c r="AV668" s="298">
        <f ca="1">IF(AND(A668&gt;=OP!$C$132,A668&lt;=OP!$C$133,$C$3=C668),OP!$C$135,0)</f>
        <v>0</v>
      </c>
      <c r="AW668" s="180">
        <f t="shared" ca="1" si="388"/>
        <v>0.05</v>
      </c>
      <c r="AX668" s="180">
        <f t="shared" ca="1" si="389"/>
        <v>0.05</v>
      </c>
      <c r="AY668" s="286">
        <f t="shared" ca="1" si="390"/>
        <v>0</v>
      </c>
      <c r="AZ668" s="286">
        <f t="shared" ca="1" si="391"/>
        <v>0</v>
      </c>
      <c r="BA668" s="286">
        <f t="shared" ca="1" si="392"/>
        <v>0</v>
      </c>
      <c r="BB668" s="286">
        <f t="shared" ca="1" si="393"/>
        <v>0</v>
      </c>
      <c r="BC668" s="286">
        <f t="shared" ca="1" si="394"/>
        <v>0</v>
      </c>
      <c r="BD668" s="180">
        <f t="shared" ca="1" si="395"/>
        <v>0.05</v>
      </c>
      <c r="BE668" s="180">
        <f t="shared" ca="1" si="396"/>
        <v>0.05</v>
      </c>
      <c r="BF668" s="286">
        <f t="shared" ca="1" si="397"/>
        <v>0</v>
      </c>
      <c r="BG668" s="286">
        <f t="shared" ca="1" si="398"/>
        <v>0</v>
      </c>
    </row>
    <row r="669" spans="1:59">
      <c r="A669" s="1">
        <f t="shared" ca="1" si="378"/>
        <v>56</v>
      </c>
      <c r="B669" s="1">
        <f t="shared" ca="1" si="371"/>
        <v>161</v>
      </c>
      <c r="C669" s="1">
        <f t="shared" ca="1" si="372"/>
        <v>11</v>
      </c>
      <c r="D669" s="1">
        <f ca="1">MIN($D$3,VLOOKUP(C669,OP!$S$30:$T$41,2))</f>
        <v>2</v>
      </c>
      <c r="E669" s="1">
        <f t="shared" ca="1" si="373"/>
        <v>110</v>
      </c>
      <c r="F669" s="11" t="str">
        <f t="shared" ca="1" si="379"/>
        <v/>
      </c>
      <c r="G669" s="8">
        <f t="shared" ca="1" si="403"/>
        <v>365</v>
      </c>
      <c r="H669" s="8">
        <f t="shared" ca="1" si="380"/>
        <v>30</v>
      </c>
      <c r="I669" s="8" t="str">
        <f t="shared" ca="1" si="377"/>
        <v>5611</v>
      </c>
      <c r="J669" s="13">
        <f>IF(繳費報酬率資料!$A$1=1,VALUE(OP!$C$121),VLOOKUP(A669,MP,2,0))</f>
        <v>0.05</v>
      </c>
      <c r="K669" s="14">
        <f ca="1">IF(SUM($K$4:K668,IF(繳費報酬率資料!$A$1=1,$AU669+$AV669,$BB669+$BC669))&gt;OP!$L$58,0,IF(繳費報酬率資料!$A$1=1,$AU669+$AV669,$BB669+$BC669))</f>
        <v>0</v>
      </c>
      <c r="L669" s="2"/>
      <c r="M669" s="2"/>
      <c r="N669" s="2"/>
      <c r="O669" s="261">
        <f t="shared" ca="1" si="381"/>
        <v>0</v>
      </c>
      <c r="P669" s="261">
        <f t="shared" ca="1" si="399"/>
        <v>0</v>
      </c>
      <c r="Q669" s="3">
        <f ca="1">IF(A669&gt;MAX(OP!$R$17:$R$26),0,VLOOKUP(A669,fees,3,FALSE))</f>
        <v>0</v>
      </c>
      <c r="R669" s="200" t="str">
        <f t="shared" ca="1" si="382"/>
        <v/>
      </c>
      <c r="S669" s="9" t="str">
        <f ca="1">IF(COUNTIF(($T$4:T668),"F")&gt;=1,"",IF(OR(C670&lt;&gt;$C$3,E669=""),"",A669))</f>
        <v/>
      </c>
      <c r="T669" s="20" t="str">
        <f t="shared" ca="1" si="374"/>
        <v/>
      </c>
      <c r="U669" s="2">
        <f ca="1">IF(IF(OP!$C$83=1,$Z668,IF(OP!$C$83=2,$AA668,IF(OP!$C$83=3,$AB668,)))+$K669-$O669-$P669-$AS669&lt;OP!$C$142,0,$AS669)</f>
        <v>0</v>
      </c>
      <c r="V669" s="9"/>
      <c r="W669" s="19">
        <f ca="1">MAX(SUM($K$4:K669),0)</f>
        <v>2000000</v>
      </c>
      <c r="X669" s="19"/>
      <c r="Y669" s="19">
        <f t="shared" ca="1" si="400"/>
        <v>1920000</v>
      </c>
      <c r="Z669" s="2">
        <f ca="1">IF(MIN($Z$4:Z668)=0,0,MAX(0,($Z668+$K669-$O669-$P669)*IF(AND(F669="F",$D$3&lt;&gt;$G$3),((1+(-J669))^(H669/MIN(G669,365))),((1+(-J669))^(1/12)))-$U669))</f>
        <v>111419.53002253101</v>
      </c>
      <c r="AA669" s="2">
        <f ca="1">IF(MIN($AA$4:AA668)=0,0,MAX(0,($AA668+$K669-$O669-$P669)*IF(AND(F669="F",$D$3&lt;&gt;$G$3),((1+$AA$1)^(H669/MIN(G669,365))),((1+$AA$1)^(1/12)))-$U669))</f>
        <v>1920000</v>
      </c>
      <c r="AB669" s="2">
        <f ca="1">IF(MIN($AB$4:AB668)=0,0,MAX(0,($AB668+$K669-$O669-$P669)*IF(AND(F669="F",$D$3&lt;&gt;$G$3),((1+(J669))^(H669/MIN(G669,365))),((1+(J669))^(1/12)))-$U669))</f>
        <v>28794353.170338068</v>
      </c>
      <c r="AC669" s="5"/>
      <c r="AD669" s="5"/>
      <c r="AE669" s="5"/>
      <c r="AF669" s="282">
        <f t="shared" ca="1" si="383"/>
        <v>111420</v>
      </c>
      <c r="AG669" s="282">
        <f t="shared" ca="1" si="384"/>
        <v>1920000</v>
      </c>
      <c r="AH669" s="282">
        <f t="shared" ca="1" si="385"/>
        <v>28794353</v>
      </c>
      <c r="AI669" s="23" t="str">
        <f t="shared" ca="1" si="401"/>
        <v>56-7</v>
      </c>
      <c r="AJ669" s="282">
        <f ca="1">IF(E669&gt;111,,IF(AND(OP!$C$99=1,T669="F"),Z669,IF(AND(OP!$C$99=2,COUNTIF($T$4:T669,"F")=1),OP!$C$97+IF(F669="F",OP!$C$98,0),"")))</f>
        <v>54527</v>
      </c>
      <c r="AK669" s="282">
        <f ca="1">IF(E669&gt;111,,IF(AND(OP!$D$99=1,T669="F"),AA669,IF(AND(OP!$D$99=2,COUNTIF($T$4:T669,"F")=1),OP!$D$97+IF(F669="F",OP!$D$98,0),"")))</f>
        <v>74177</v>
      </c>
      <c r="AL669" s="282">
        <f ca="1">IF(E669&gt;111,,IF(AND(OP!$E$99=1,T669="F"),AB669,IF(AND(OP!$E$99=2,COUNTIF($T$4:T669,"F")=1),OP!$E$97+IF(F669="F",OP!$E$98,0),"")))</f>
        <v>99404</v>
      </c>
      <c r="AM669" s="1">
        <f t="shared" ca="1" si="375"/>
        <v>7</v>
      </c>
      <c r="AN669" s="1" t="e">
        <f ca="1">IF(OR(VLOOKUP($A669,MP,5,0)="月繳"),1,"")</f>
        <v>#N/A</v>
      </c>
      <c r="AO669" s="1">
        <f t="shared" ca="1" si="386"/>
        <v>0</v>
      </c>
      <c r="AP669" s="1" t="str">
        <f ca="1">IF(AND(A669&lt;=OP!$C$120,COUNTIF(PAY,C669)=1),1,"")</f>
        <v/>
      </c>
      <c r="AR669" s="301">
        <f ca="1">IF(繳費報酬率資料!$A$1=1,$AY669+$AZ669,$BF669+$BG669)</f>
        <v>0</v>
      </c>
      <c r="AS669" s="1">
        <f ca="1">IF(C669&lt;&gt;IF($C$3=1,12,$C$3-1),0,IF(繳費報酬率資料!$A$1&lt;&gt;1,VLOOKUP($A669,MP,8,0),IF(AND($A669&gt;=OP!$C$79,$A669&lt;=OP!$C$80),OP!$C$78,)))</f>
        <v>0</v>
      </c>
      <c r="AT669" s="298">
        <f t="shared" ca="1" si="387"/>
        <v>0</v>
      </c>
      <c r="AU669" s="298">
        <f ca="1">IF(AND(A669&lt;=OP!$C$120,COUNTIF(PAY,C669)=1),OP!$C$123,0)</f>
        <v>0</v>
      </c>
      <c r="AV669" s="298">
        <f ca="1">IF(AND(A669&gt;=OP!$C$132,A669&lt;=OP!$C$133,$C$3=C669),OP!$C$135,0)</f>
        <v>0</v>
      </c>
      <c r="AW669" s="180">
        <f t="shared" ca="1" si="388"/>
        <v>0.05</v>
      </c>
      <c r="AX669" s="180">
        <f t="shared" ca="1" si="389"/>
        <v>0.05</v>
      </c>
      <c r="AY669" s="286">
        <f t="shared" ca="1" si="390"/>
        <v>0</v>
      </c>
      <c r="AZ669" s="286">
        <f t="shared" ca="1" si="391"/>
        <v>0</v>
      </c>
      <c r="BA669" s="286">
        <f t="shared" ca="1" si="392"/>
        <v>0</v>
      </c>
      <c r="BB669" s="286">
        <f t="shared" ca="1" si="393"/>
        <v>0</v>
      </c>
      <c r="BC669" s="286">
        <f t="shared" ca="1" si="394"/>
        <v>0</v>
      </c>
      <c r="BD669" s="180">
        <f t="shared" ca="1" si="395"/>
        <v>0.05</v>
      </c>
      <c r="BE669" s="180">
        <f t="shared" ca="1" si="396"/>
        <v>0.05</v>
      </c>
      <c r="BF669" s="286">
        <f t="shared" ca="1" si="397"/>
        <v>0</v>
      </c>
      <c r="BG669" s="286">
        <f t="shared" ca="1" si="398"/>
        <v>0</v>
      </c>
    </row>
    <row r="670" spans="1:59">
      <c r="A670" s="1">
        <f t="shared" ca="1" si="378"/>
        <v>56</v>
      </c>
      <c r="B670" s="1">
        <f t="shared" ca="1" si="371"/>
        <v>161</v>
      </c>
      <c r="C670" s="1">
        <f t="shared" ca="1" si="372"/>
        <v>12</v>
      </c>
      <c r="D670" s="1">
        <f ca="1">MIN($D$3,VLOOKUP(C670,OP!$S$30:$T$41,2))</f>
        <v>2</v>
      </c>
      <c r="E670" s="1">
        <f t="shared" ca="1" si="373"/>
        <v>110</v>
      </c>
      <c r="F670" s="11" t="str">
        <f t="shared" ca="1" si="379"/>
        <v/>
      </c>
      <c r="G670" s="8">
        <f t="shared" ca="1" si="403"/>
        <v>365</v>
      </c>
      <c r="H670" s="8">
        <f t="shared" ca="1" si="380"/>
        <v>31</v>
      </c>
      <c r="I670" s="8" t="str">
        <f t="shared" ca="1" si="377"/>
        <v>5612</v>
      </c>
      <c r="J670" s="13">
        <f>IF(繳費報酬率資料!$A$1=1,VALUE(OP!$C$121),VLOOKUP(A670,MP,2,0))</f>
        <v>0.05</v>
      </c>
      <c r="K670" s="14">
        <f ca="1">IF(SUM($K$4:K669,IF(繳費報酬率資料!$A$1=1,$AU670+$AV670,$BB670+$BC670))&gt;OP!$L$58,0,IF(繳費報酬率資料!$A$1=1,$AU670+$AV670,$BB670+$BC670))</f>
        <v>0</v>
      </c>
      <c r="L670" s="2"/>
      <c r="M670" s="2"/>
      <c r="N670" s="2"/>
      <c r="O670" s="261">
        <f t="shared" ca="1" si="381"/>
        <v>0</v>
      </c>
      <c r="P670" s="261">
        <f t="shared" ca="1" si="399"/>
        <v>0</v>
      </c>
      <c r="Q670" s="3">
        <f ca="1">IF(A670&gt;MAX(OP!$R$17:$R$26),0,VLOOKUP(A670,fees,3,FALSE))</f>
        <v>0</v>
      </c>
      <c r="R670" s="200" t="str">
        <f t="shared" ca="1" si="382"/>
        <v/>
      </c>
      <c r="S670" s="9" t="str">
        <f ca="1">IF(COUNTIF(($T$4:T669),"F")&gt;=1,"",IF(OR(C671&lt;&gt;$C$3,E670=""),"",A670))</f>
        <v/>
      </c>
      <c r="T670" s="20" t="str">
        <f t="shared" ca="1" si="374"/>
        <v/>
      </c>
      <c r="U670" s="2">
        <f ca="1">IF(IF(OP!$C$83=1,$Z669,IF(OP!$C$83=2,$AA669,IF(OP!$C$83=3,$AB669,)))+$K670-$O670-$P670-$AS670&lt;OP!$C$142,0,$AS670)</f>
        <v>0</v>
      </c>
      <c r="V670" s="9"/>
      <c r="W670" s="19">
        <f ca="1">MAX(SUM($K$4:K670),0)</f>
        <v>2000000</v>
      </c>
      <c r="X670" s="19"/>
      <c r="Y670" s="19">
        <f t="shared" ca="1" si="400"/>
        <v>1920000</v>
      </c>
      <c r="Z670" s="2">
        <f ca="1">IF(MIN($Z$4:Z669)=0,0,MAX(0,($Z669+$K670-$O670-$P670)*IF(AND(F670="F",$D$3&lt;&gt;$G$3),((1+(-J670))^(H670/MIN(G670,365))),((1+(-J670))^(1/12)))-$U670))</f>
        <v>110944.29020893892</v>
      </c>
      <c r="AA670" s="2">
        <f ca="1">IF(MIN($AA$4:AA669)=0,0,MAX(0,($AA669+$K670-$O670-$P670)*IF(AND(F670="F",$D$3&lt;&gt;$G$3),((1+$AA$1)^(H670/MIN(G670,365))),((1+$AA$1)^(1/12)))-$U670))</f>
        <v>1920000</v>
      </c>
      <c r="AB670" s="2">
        <f ca="1">IF(MIN($AB$4:AB669)=0,0,MAX(0,($AB669+$K670-$O670-$P670)*IF(AND(F670="F",$D$3&lt;&gt;$G$3),((1+(J670))^(H670/MIN(G670,365))),((1+(J670))^(1/12)))-$U670))</f>
        <v>28911664.929424115</v>
      </c>
      <c r="AC670" s="5"/>
      <c r="AD670" s="5"/>
      <c r="AE670" s="5"/>
      <c r="AF670" s="282">
        <f t="shared" ca="1" si="383"/>
        <v>110944</v>
      </c>
      <c r="AG670" s="282">
        <f t="shared" ca="1" si="384"/>
        <v>1920000</v>
      </c>
      <c r="AH670" s="282">
        <f t="shared" ca="1" si="385"/>
        <v>28911665</v>
      </c>
      <c r="AI670" s="23" t="str">
        <f t="shared" ca="1" si="401"/>
        <v>56-8</v>
      </c>
      <c r="AJ670" s="282">
        <f ca="1">IF(E670&gt;111,,IF(AND(OP!$C$99=1,T670="F"),Z670,IF(AND(OP!$C$99=2,COUNTIF($T$4:T670,"F")=1),OP!$C$97+IF(F670="F",OP!$C$98,0),"")))</f>
        <v>54527</v>
      </c>
      <c r="AK670" s="282">
        <f ca="1">IF(E670&gt;111,,IF(AND(OP!$D$99=1,T670="F"),AA670,IF(AND(OP!$D$99=2,COUNTIF($T$4:T670,"F")=1),OP!$D$97+IF(F670="F",OP!$D$98,0),"")))</f>
        <v>74177</v>
      </c>
      <c r="AL670" s="282">
        <f ca="1">IF(E670&gt;111,,IF(AND(OP!$E$99=1,T670="F"),AB670,IF(AND(OP!$E$99=2,COUNTIF($T$4:T670,"F")=1),OP!$E$97+IF(F670="F",OP!$E$98,0),"")))</f>
        <v>99404</v>
      </c>
      <c r="AM670" s="1">
        <f t="shared" ca="1" si="375"/>
        <v>8</v>
      </c>
      <c r="AN670" s="1" t="e">
        <f ca="1">IF(OR(VLOOKUP($A670,MP,5,0)="半年繳",VLOOKUP($A670,MP,5,0)="季繳",VLOOKUP($A670,MP,5,0)="月繳"),1,"")</f>
        <v>#N/A</v>
      </c>
      <c r="AO670" s="1">
        <f t="shared" ca="1" si="386"/>
        <v>0</v>
      </c>
      <c r="AP670" s="1" t="str">
        <f ca="1">IF(AND(A670&lt;=OP!$C$120,COUNTIF(PAY,C670)=1),1,"")</f>
        <v/>
      </c>
      <c r="AR670" s="301">
        <f ca="1">IF(繳費報酬率資料!$A$1=1,$AY670+$AZ670,$BF670+$BG670)</f>
        <v>0</v>
      </c>
      <c r="AS670" s="1">
        <f ca="1">IF(C670&lt;&gt;IF($C$3=1,12,$C$3-1),0,IF(繳費報酬率資料!$A$1&lt;&gt;1,VLOOKUP($A670,MP,8,0),IF(AND($A670&gt;=OP!$C$79,$A670&lt;=OP!$C$80),OP!$C$78,)))</f>
        <v>0</v>
      </c>
      <c r="AT670" s="298">
        <f t="shared" ca="1" si="387"/>
        <v>0</v>
      </c>
      <c r="AU670" s="298">
        <f ca="1">IF(AND(A670&lt;=OP!$C$120,COUNTIF(PAY,C670)=1),OP!$C$123,0)</f>
        <v>0</v>
      </c>
      <c r="AV670" s="298">
        <f ca="1">IF(AND(A670&gt;=OP!$C$132,A670&lt;=OP!$C$133,$C$3=C670),OP!$C$135,0)</f>
        <v>0</v>
      </c>
      <c r="AW670" s="180">
        <f t="shared" ca="1" si="388"/>
        <v>0.05</v>
      </c>
      <c r="AX670" s="180">
        <f t="shared" ca="1" si="389"/>
        <v>0.05</v>
      </c>
      <c r="AY670" s="286">
        <f t="shared" ca="1" si="390"/>
        <v>0</v>
      </c>
      <c r="AZ670" s="286">
        <f t="shared" ca="1" si="391"/>
        <v>0</v>
      </c>
      <c r="BA670" s="286">
        <f t="shared" ca="1" si="392"/>
        <v>0</v>
      </c>
      <c r="BB670" s="286">
        <f t="shared" ca="1" si="393"/>
        <v>0</v>
      </c>
      <c r="BC670" s="286">
        <f t="shared" ca="1" si="394"/>
        <v>0</v>
      </c>
      <c r="BD670" s="180">
        <f t="shared" ca="1" si="395"/>
        <v>0.05</v>
      </c>
      <c r="BE670" s="180">
        <f t="shared" ca="1" si="396"/>
        <v>0.05</v>
      </c>
      <c r="BF670" s="286">
        <f t="shared" ca="1" si="397"/>
        <v>0</v>
      </c>
      <c r="BG670" s="286">
        <f t="shared" ca="1" si="398"/>
        <v>0</v>
      </c>
    </row>
    <row r="671" spans="1:59">
      <c r="A671" s="1">
        <f t="shared" ca="1" si="378"/>
        <v>56</v>
      </c>
      <c r="B671" s="1">
        <f t="shared" ca="1" si="371"/>
        <v>162</v>
      </c>
      <c r="C671" s="1">
        <f t="shared" ca="1" si="372"/>
        <v>1</v>
      </c>
      <c r="D671" s="1">
        <f ca="1">MIN($D$3,VLOOKUP(C671,OP!$S$30:$T$41,2))</f>
        <v>2</v>
      </c>
      <c r="E671" s="1">
        <f t="shared" ca="1" si="373"/>
        <v>110</v>
      </c>
      <c r="F671" s="11" t="str">
        <f t="shared" ca="1" si="379"/>
        <v/>
      </c>
      <c r="G671" s="8">
        <f t="shared" ca="1" si="403"/>
        <v>365</v>
      </c>
      <c r="H671" s="8">
        <f t="shared" ca="1" si="380"/>
        <v>31</v>
      </c>
      <c r="I671" s="8" t="str">
        <f t="shared" ca="1" si="377"/>
        <v>561</v>
      </c>
      <c r="J671" s="13">
        <f>IF(繳費報酬率資料!$A$1=1,VALUE(OP!$C$121),VLOOKUP(A671,MP,2,0))</f>
        <v>0.05</v>
      </c>
      <c r="K671" s="14">
        <f ca="1">IF(SUM($K$4:K670,IF(繳費報酬率資料!$A$1=1,$AU671+$AV671,$BB671+$BC671))&gt;OP!$L$58,0,IF(繳費報酬率資料!$A$1=1,$AU671+$AV671,$BB671+$BC671))</f>
        <v>0</v>
      </c>
      <c r="L671" s="2"/>
      <c r="M671" s="2"/>
      <c r="N671" s="2"/>
      <c r="O671" s="261">
        <f t="shared" ca="1" si="381"/>
        <v>0</v>
      </c>
      <c r="P671" s="261">
        <f t="shared" ca="1" si="399"/>
        <v>0</v>
      </c>
      <c r="Q671" s="3">
        <f ca="1">IF(A671&gt;MAX(OP!$R$17:$R$26),0,VLOOKUP(A671,fees,3,FALSE))</f>
        <v>0</v>
      </c>
      <c r="R671" s="200" t="str">
        <f t="shared" ca="1" si="382"/>
        <v/>
      </c>
      <c r="S671" s="9" t="str">
        <f ca="1">IF(COUNTIF(($T$4:T670),"F")&gt;=1,"",IF(OR(C672&lt;&gt;$C$3,E671=""),"",A671))</f>
        <v/>
      </c>
      <c r="T671" s="20" t="str">
        <f t="shared" ca="1" si="374"/>
        <v/>
      </c>
      <c r="U671" s="2">
        <f ca="1">IF(IF(OP!$C$83=1,$Z670,IF(OP!$C$83=2,$AA670,IF(OP!$C$83=3,$AB670,)))+$K671-$O671-$P671-$AS671&lt;OP!$C$142,0,$AS671)</f>
        <v>0</v>
      </c>
      <c r="V671" s="9"/>
      <c r="W671" s="19">
        <f ca="1">MAX(SUM($K$4:K671),0)</f>
        <v>2000000</v>
      </c>
      <c r="X671" s="19"/>
      <c r="Y671" s="19">
        <f t="shared" ca="1" si="400"/>
        <v>1920000</v>
      </c>
      <c r="Z671" s="2">
        <f ca="1">IF(MIN($Z$4:Z670)=0,0,MAX(0,($Z670+$K671-$O671-$P671)*IF(AND(F671="F",$D$3&lt;&gt;$G$3),((1+(-J671))^(H671/MIN(G671,365))),((1+(-J671))^(1/12)))-$U671))</f>
        <v>110471.0774446476</v>
      </c>
      <c r="AA671" s="2">
        <f ca="1">IF(MIN($AA$4:AA670)=0,0,MAX(0,($AA670+$K671-$O671-$P671)*IF(AND(F671="F",$D$3&lt;&gt;$G$3),((1+$AA$1)^(H671/MIN(G671,365))),((1+$AA$1)^(1/12)))-$U671))</f>
        <v>1920000</v>
      </c>
      <c r="AB671" s="2">
        <f ca="1">IF(MIN($AB$4:AB670)=0,0,MAX(0,($AB670+$K671-$O671-$P671)*IF(AND(F671="F",$D$3&lt;&gt;$G$3),((1+(J671))^(H671/MIN(G671,365))),((1+(J671))^(1/12)))-$U671))</f>
        <v>29029454.631137952</v>
      </c>
      <c r="AC671" s="5"/>
      <c r="AD671" s="5"/>
      <c r="AE671" s="5"/>
      <c r="AF671" s="282">
        <f t="shared" ca="1" si="383"/>
        <v>110471</v>
      </c>
      <c r="AG671" s="282">
        <f t="shared" ca="1" si="384"/>
        <v>1920000</v>
      </c>
      <c r="AH671" s="282">
        <f t="shared" ca="1" si="385"/>
        <v>29029455</v>
      </c>
      <c r="AI671" s="23" t="str">
        <f t="shared" ca="1" si="401"/>
        <v>56-9</v>
      </c>
      <c r="AJ671" s="282">
        <f ca="1">IF(E671&gt;111,,IF(AND(OP!$C$99=1,T671="F"),Z671,IF(AND(OP!$C$99=2,COUNTIF($T$4:T671,"F")=1),OP!$C$97+IF(F671="F",OP!$C$98,0),"")))</f>
        <v>54527</v>
      </c>
      <c r="AK671" s="282">
        <f ca="1">IF(E671&gt;111,,IF(AND(OP!$D$99=1,T671="F"),AA671,IF(AND(OP!$D$99=2,COUNTIF($T$4:T671,"F")=1),OP!$D$97+IF(F671="F",OP!$D$98,0),"")))</f>
        <v>74177</v>
      </c>
      <c r="AL671" s="282">
        <f ca="1">IF(E671&gt;111,,IF(AND(OP!$E$99=1,T671="F"),AB671,IF(AND(OP!$E$99=2,COUNTIF($T$4:T671,"F")=1),OP!$E$97+IF(F671="F",OP!$E$98,0),"")))</f>
        <v>99404</v>
      </c>
      <c r="AM671" s="1">
        <f t="shared" ca="1" si="375"/>
        <v>9</v>
      </c>
      <c r="AN671" s="1" t="e">
        <f ca="1">IF(OR(VLOOKUP($A671,MP,5,0)="月繳"),1,"")</f>
        <v>#N/A</v>
      </c>
      <c r="AO671" s="1">
        <f t="shared" ca="1" si="386"/>
        <v>0</v>
      </c>
      <c r="AP671" s="1" t="str">
        <f ca="1">IF(AND(A671&lt;=OP!$C$120,COUNTIF(PAY,C671)=1),1,"")</f>
        <v/>
      </c>
      <c r="AR671" s="301">
        <f ca="1">IF(繳費報酬率資料!$A$1=1,$AY671+$AZ671,$BF671+$BG671)</f>
        <v>0</v>
      </c>
      <c r="AS671" s="1">
        <f ca="1">IF(C671&lt;&gt;IF($C$3=1,12,$C$3-1),0,IF(繳費報酬率資料!$A$1&lt;&gt;1,VLOOKUP($A671,MP,8,0),IF(AND($A671&gt;=OP!$C$79,$A671&lt;=OP!$C$80),OP!$C$78,)))</f>
        <v>0</v>
      </c>
      <c r="AT671" s="298">
        <f t="shared" ca="1" si="387"/>
        <v>0</v>
      </c>
      <c r="AU671" s="298">
        <f ca="1">IF(AND(A671&lt;=OP!$C$120,COUNTIF(PAY,C671)=1),OP!$C$123,0)</f>
        <v>0</v>
      </c>
      <c r="AV671" s="298">
        <f ca="1">IF(AND(A671&gt;=OP!$C$132,A671&lt;=OP!$C$133,$C$3=C671),OP!$C$135,0)</f>
        <v>0</v>
      </c>
      <c r="AW671" s="180">
        <f t="shared" ca="1" si="388"/>
        <v>0.05</v>
      </c>
      <c r="AX671" s="180">
        <f t="shared" ca="1" si="389"/>
        <v>0.05</v>
      </c>
      <c r="AY671" s="286">
        <f t="shared" ca="1" si="390"/>
        <v>0</v>
      </c>
      <c r="AZ671" s="286">
        <f t="shared" ca="1" si="391"/>
        <v>0</v>
      </c>
      <c r="BA671" s="286">
        <f t="shared" ca="1" si="392"/>
        <v>0</v>
      </c>
      <c r="BB671" s="286">
        <f t="shared" ca="1" si="393"/>
        <v>0</v>
      </c>
      <c r="BC671" s="286">
        <f t="shared" ca="1" si="394"/>
        <v>0</v>
      </c>
      <c r="BD671" s="180">
        <f t="shared" ca="1" si="395"/>
        <v>0.05</v>
      </c>
      <c r="BE671" s="180">
        <f t="shared" ca="1" si="396"/>
        <v>0.05</v>
      </c>
      <c r="BF671" s="286">
        <f t="shared" ca="1" si="397"/>
        <v>0</v>
      </c>
      <c r="BG671" s="286">
        <f t="shared" ca="1" si="398"/>
        <v>0</v>
      </c>
    </row>
    <row r="672" spans="1:59">
      <c r="A672" s="1">
        <f t="shared" ca="1" si="378"/>
        <v>56</v>
      </c>
      <c r="B672" s="1">
        <f t="shared" ca="1" si="371"/>
        <v>162</v>
      </c>
      <c r="C672" s="1">
        <f t="shared" ca="1" si="372"/>
        <v>2</v>
      </c>
      <c r="D672" s="1">
        <f ca="1">MIN($D$3,VLOOKUP(C672,OP!$S$30:$T$41,2))</f>
        <v>2</v>
      </c>
      <c r="E672" s="1">
        <f t="shared" ca="1" si="373"/>
        <v>110</v>
      </c>
      <c r="F672" s="11" t="str">
        <f t="shared" ca="1" si="379"/>
        <v/>
      </c>
      <c r="G672" s="8">
        <f t="shared" ca="1" si="403"/>
        <v>365</v>
      </c>
      <c r="H672" s="8">
        <f t="shared" ca="1" si="380"/>
        <v>28</v>
      </c>
      <c r="I672" s="8" t="str">
        <f t="shared" ca="1" si="377"/>
        <v>562</v>
      </c>
      <c r="J672" s="13">
        <f>IF(繳費報酬率資料!$A$1=1,VALUE(OP!$C$121),VLOOKUP(A672,MP,2,0))</f>
        <v>0.05</v>
      </c>
      <c r="K672" s="14">
        <f ca="1">IF(SUM($K$4:K671,IF(繳費報酬率資料!$A$1=1,$AU672+$AV672,$BB672+$BC672))&gt;OP!$L$58,0,IF(繳費報酬率資料!$A$1=1,$AU672+$AV672,$BB672+$BC672))</f>
        <v>0</v>
      </c>
      <c r="L672" s="2"/>
      <c r="M672" s="2"/>
      <c r="N672" s="2"/>
      <c r="O672" s="261">
        <f t="shared" ca="1" si="381"/>
        <v>0</v>
      </c>
      <c r="P672" s="261">
        <f t="shared" ca="1" si="399"/>
        <v>0</v>
      </c>
      <c r="Q672" s="3">
        <f ca="1">IF(A672&gt;MAX(OP!$R$17:$R$26),0,VLOOKUP(A672,fees,3,FALSE))</f>
        <v>0</v>
      </c>
      <c r="R672" s="200" t="str">
        <f t="shared" ca="1" si="382"/>
        <v/>
      </c>
      <c r="S672" s="9" t="str">
        <f ca="1">IF(COUNTIF(($T$4:T671),"F")&gt;=1,"",IF(OR(C673&lt;&gt;$C$3,E672=""),"",A672))</f>
        <v/>
      </c>
      <c r="T672" s="20" t="str">
        <f t="shared" ca="1" si="374"/>
        <v/>
      </c>
      <c r="U672" s="2">
        <f ca="1">IF(IF(OP!$C$83=1,$Z671,IF(OP!$C$83=2,$AA671,IF(OP!$C$83=3,$AB671,)))+$K672-$O672-$P672-$AS672&lt;OP!$C$142,0,$AS672)</f>
        <v>0</v>
      </c>
      <c r="V672" s="9"/>
      <c r="W672" s="19">
        <f ca="1">MAX(SUM($K$4:K672),0)</f>
        <v>2000000</v>
      </c>
      <c r="X672" s="19"/>
      <c r="Y672" s="19">
        <f t="shared" ca="1" si="400"/>
        <v>1920000</v>
      </c>
      <c r="Z672" s="2">
        <f ca="1">IF(MIN($Z$4:Z671)=0,0,MAX(0,($Z671+$K672-$O672-$P672)*IF(AND(F672="F",$D$3&lt;&gt;$G$3),((1+(-J672))^(H672/MIN(G672,365))),((1+(-J672))^(1/12)))-$U672))</f>
        <v>109999.88308364559</v>
      </c>
      <c r="AA672" s="2">
        <f ca="1">IF(MIN($AA$4:AA671)=0,0,MAX(0,($AA671+$K672-$O672-$P672)*IF(AND(F672="F",$D$3&lt;&gt;$G$3),((1+$AA$1)^(H672/MIN(G672,365))),((1+$AA$1)^(1/12)))-$U672))</f>
        <v>1920000</v>
      </c>
      <c r="AB672" s="2">
        <f ca="1">IF(MIN($AB$4:AB671)=0,0,MAX(0,($AB671+$K672-$O672-$P672)*IF(AND(F672="F",$D$3&lt;&gt;$G$3),((1+(J672))^(H672/MIN(G672,365))),((1+(J672))^(1/12)))-$U672))</f>
        <v>29147724.222677011</v>
      </c>
      <c r="AC672" s="5"/>
      <c r="AD672" s="5"/>
      <c r="AE672" s="5"/>
      <c r="AF672" s="282">
        <f t="shared" ca="1" si="383"/>
        <v>110000</v>
      </c>
      <c r="AG672" s="282">
        <f t="shared" ca="1" si="384"/>
        <v>1920000</v>
      </c>
      <c r="AH672" s="282">
        <f t="shared" ca="1" si="385"/>
        <v>29147724</v>
      </c>
      <c r="AI672" s="23" t="str">
        <f t="shared" ca="1" si="401"/>
        <v>56-10</v>
      </c>
      <c r="AJ672" s="282">
        <f ca="1">IF(E672&gt;111,,IF(AND(OP!$C$99=1,T672="F"),Z672,IF(AND(OP!$C$99=2,COUNTIF($T$4:T672,"F")=1),OP!$C$97+IF(F672="F",OP!$C$98,0),"")))</f>
        <v>54527</v>
      </c>
      <c r="AK672" s="282">
        <f ca="1">IF(E672&gt;111,,IF(AND(OP!$D$99=1,T672="F"),AA672,IF(AND(OP!$D$99=2,COUNTIF($T$4:T672,"F")=1),OP!$D$97+IF(F672="F",OP!$D$98,0),"")))</f>
        <v>74177</v>
      </c>
      <c r="AL672" s="282">
        <f ca="1">IF(E672&gt;111,,IF(AND(OP!$E$99=1,T672="F"),AB672,IF(AND(OP!$E$99=2,COUNTIF($T$4:T672,"F")=1),OP!$E$97+IF(F672="F",OP!$E$98,0),"")))</f>
        <v>99404</v>
      </c>
      <c r="AM672" s="1">
        <f t="shared" ca="1" si="375"/>
        <v>10</v>
      </c>
      <c r="AN672" s="1" t="e">
        <f ca="1">IF(OR(VLOOKUP($A672,MP,5,0)="月繳"),1,"")</f>
        <v>#N/A</v>
      </c>
      <c r="AO672" s="1">
        <f t="shared" ca="1" si="386"/>
        <v>0</v>
      </c>
      <c r="AP672" s="1" t="str">
        <f ca="1">IF(AND(A672&lt;=OP!$C$120,COUNTIF(PAY,C672)=1),1,"")</f>
        <v/>
      </c>
      <c r="AR672" s="301">
        <f ca="1">IF(繳費報酬率資料!$A$1=1,$AY672+$AZ672,$BF672+$BG672)</f>
        <v>0</v>
      </c>
      <c r="AS672" s="1">
        <f ca="1">IF(C672&lt;&gt;IF($C$3=1,12,$C$3-1),0,IF(繳費報酬率資料!$A$1&lt;&gt;1,VLOOKUP($A672,MP,8,0),IF(AND($A672&gt;=OP!$C$79,$A672&lt;=OP!$C$80),OP!$C$78,)))</f>
        <v>0</v>
      </c>
      <c r="AT672" s="298">
        <f t="shared" ca="1" si="387"/>
        <v>0</v>
      </c>
      <c r="AU672" s="298">
        <f ca="1">IF(AND(A672&lt;=OP!$C$120,COUNTIF(PAY,C672)=1),OP!$C$123,0)</f>
        <v>0</v>
      </c>
      <c r="AV672" s="298">
        <f ca="1">IF(AND(A672&gt;=OP!$C$132,A672&lt;=OP!$C$133,$C$3=C672),OP!$C$135,0)</f>
        <v>0</v>
      </c>
      <c r="AW672" s="180">
        <f t="shared" ca="1" si="388"/>
        <v>0.05</v>
      </c>
      <c r="AX672" s="180">
        <f t="shared" ca="1" si="389"/>
        <v>0.05</v>
      </c>
      <c r="AY672" s="286">
        <f t="shared" ca="1" si="390"/>
        <v>0</v>
      </c>
      <c r="AZ672" s="286">
        <f t="shared" ca="1" si="391"/>
        <v>0</v>
      </c>
      <c r="BA672" s="286">
        <f t="shared" ca="1" si="392"/>
        <v>0</v>
      </c>
      <c r="BB672" s="286">
        <f t="shared" ca="1" si="393"/>
        <v>0</v>
      </c>
      <c r="BC672" s="286">
        <f t="shared" ca="1" si="394"/>
        <v>0</v>
      </c>
      <c r="BD672" s="180">
        <f t="shared" ca="1" si="395"/>
        <v>0.05</v>
      </c>
      <c r="BE672" s="180">
        <f t="shared" ca="1" si="396"/>
        <v>0.05</v>
      </c>
      <c r="BF672" s="286">
        <f t="shared" ca="1" si="397"/>
        <v>0</v>
      </c>
      <c r="BG672" s="286">
        <f t="shared" ca="1" si="398"/>
        <v>0</v>
      </c>
    </row>
    <row r="673" spans="1:59">
      <c r="A673" s="1">
        <f t="shared" ca="1" si="378"/>
        <v>56</v>
      </c>
      <c r="B673" s="1">
        <f t="shared" ca="1" si="371"/>
        <v>162</v>
      </c>
      <c r="C673" s="1">
        <f t="shared" ca="1" si="372"/>
        <v>3</v>
      </c>
      <c r="D673" s="1">
        <f ca="1">MIN($D$3,VLOOKUP(C673,OP!$S$30:$T$41,2))</f>
        <v>2</v>
      </c>
      <c r="E673" s="1">
        <f t="shared" ca="1" si="373"/>
        <v>110</v>
      </c>
      <c r="F673" s="11" t="str">
        <f t="shared" ca="1" si="379"/>
        <v/>
      </c>
      <c r="G673" s="8">
        <f t="shared" ca="1" si="403"/>
        <v>365</v>
      </c>
      <c r="H673" s="8">
        <f t="shared" ca="1" si="380"/>
        <v>31</v>
      </c>
      <c r="I673" s="8" t="str">
        <f t="shared" ca="1" si="377"/>
        <v>563</v>
      </c>
      <c r="J673" s="13">
        <f>IF(繳費報酬率資料!$A$1=1,VALUE(OP!$C$121),VLOOKUP(A673,MP,2,0))</f>
        <v>0.05</v>
      </c>
      <c r="K673" s="14">
        <f ca="1">IF(SUM($K$4:K672,IF(繳費報酬率資料!$A$1=1,$AU673+$AV673,$BB673+$BC673))&gt;OP!$L$58,0,IF(繳費報酬率資料!$A$1=1,$AU673+$AV673,$BB673+$BC673))</f>
        <v>0</v>
      </c>
      <c r="L673" s="2"/>
      <c r="M673" s="2"/>
      <c r="N673" s="2"/>
      <c r="O673" s="261">
        <f t="shared" ca="1" si="381"/>
        <v>0</v>
      </c>
      <c r="P673" s="261">
        <f t="shared" ca="1" si="399"/>
        <v>0</v>
      </c>
      <c r="Q673" s="3">
        <f ca="1">IF(A673&gt;MAX(OP!$R$17:$R$26),0,VLOOKUP(A673,fees,3,FALSE))</f>
        <v>0</v>
      </c>
      <c r="R673" s="200" t="str">
        <f t="shared" ca="1" si="382"/>
        <v/>
      </c>
      <c r="S673" s="9" t="str">
        <f ca="1">IF(COUNTIF(($T$4:T672),"F")&gt;=1,"",IF(OR(C674&lt;&gt;$C$3,E673=""),"",A673))</f>
        <v/>
      </c>
      <c r="T673" s="20" t="str">
        <f t="shared" ca="1" si="374"/>
        <v/>
      </c>
      <c r="U673" s="2">
        <f ca="1">IF(IF(OP!$C$83=1,$Z672,IF(OP!$C$83=2,$AA672,IF(OP!$C$83=3,$AB672,)))+$K673-$O673-$P673-$AS673&lt;OP!$C$142,0,$AS673)</f>
        <v>0</v>
      </c>
      <c r="V673" s="9"/>
      <c r="W673" s="19">
        <f ca="1">MAX(SUM($K$4:K673),0)</f>
        <v>2000000</v>
      </c>
      <c r="X673" s="19"/>
      <c r="Y673" s="19">
        <f t="shared" ca="1" si="400"/>
        <v>1920000</v>
      </c>
      <c r="Z673" s="2">
        <f ca="1">IF(MIN($Z$4:Z672)=0,0,MAX(0,($Z672+$K673-$O673-$P673)*IF(AND(F673="F",$D$3&lt;&gt;$G$3),((1+(-J673))^(H673/MIN(G673,365))),((1+(-J673))^(1/12)))-$U673))</f>
        <v>109530.69851679944</v>
      </c>
      <c r="AA673" s="2">
        <f ca="1">IF(MIN($AA$4:AA672)=0,0,MAX(0,($AA672+$K673-$O673-$P673)*IF(AND(F673="F",$D$3&lt;&gt;$G$3),((1+$AA$1)^(H673/MIN(G673,365))),((1+$AA$1)^(1/12)))-$U673))</f>
        <v>1920000</v>
      </c>
      <c r="AB673" s="2">
        <f ca="1">IF(MIN($AB$4:AB672)=0,0,MAX(0,($AB672+$K673-$O673-$P673)*IF(AND(F673="F",$D$3&lt;&gt;$G$3),((1+(J673))^(H673/MIN(G673,365))),((1+(J673))^(1/12)))-$U673))</f>
        <v>29266475.659171842</v>
      </c>
      <c r="AC673" s="5"/>
      <c r="AD673" s="5"/>
      <c r="AE673" s="5"/>
      <c r="AF673" s="282">
        <f t="shared" ca="1" si="383"/>
        <v>109531</v>
      </c>
      <c r="AG673" s="282">
        <f t="shared" ca="1" si="384"/>
        <v>1920000</v>
      </c>
      <c r="AH673" s="282">
        <f t="shared" ca="1" si="385"/>
        <v>29266476</v>
      </c>
      <c r="AI673" s="23" t="str">
        <f t="shared" ca="1" si="401"/>
        <v>56-11</v>
      </c>
      <c r="AJ673" s="282">
        <f ca="1">IF(E673&gt;111,,IF(AND(OP!$C$99=1,T673="F"),Z673,IF(AND(OP!$C$99=2,COUNTIF($T$4:T673,"F")=1),OP!$C$97+IF(F673="F",OP!$C$98,0),"")))</f>
        <v>54527</v>
      </c>
      <c r="AK673" s="282">
        <f ca="1">IF(E673&gt;111,,IF(AND(OP!$D$99=1,T673="F"),AA673,IF(AND(OP!$D$99=2,COUNTIF($T$4:T673,"F")=1),OP!$D$97+IF(F673="F",OP!$D$98,0),"")))</f>
        <v>74177</v>
      </c>
      <c r="AL673" s="282">
        <f ca="1">IF(E673&gt;111,,IF(AND(OP!$E$99=1,T673="F"),AB673,IF(AND(OP!$E$99=2,COUNTIF($T$4:T673,"F")=1),OP!$E$97+IF(F673="F",OP!$E$98,0),"")))</f>
        <v>99404</v>
      </c>
      <c r="AM673" s="1">
        <f t="shared" ca="1" si="375"/>
        <v>11</v>
      </c>
      <c r="AN673" s="1" t="e">
        <f ca="1">IF(OR(VLOOKUP($A673,MP,5,0)="季繳",VLOOKUP($A673,MP,5,0)="月繳"),1,"")</f>
        <v>#N/A</v>
      </c>
      <c r="AO673" s="1">
        <f t="shared" ca="1" si="386"/>
        <v>0</v>
      </c>
      <c r="AP673" s="1" t="str">
        <f ca="1">IF(AND(A673&lt;=OP!$C$120,COUNTIF(PAY,C673)=1),1,"")</f>
        <v/>
      </c>
      <c r="AR673" s="301">
        <f ca="1">IF(繳費報酬率資料!$A$1=1,$AY673+$AZ673,$BF673+$BG673)</f>
        <v>0</v>
      </c>
      <c r="AS673" s="1">
        <f ca="1">IF(C673&lt;&gt;IF($C$3=1,12,$C$3-1),0,IF(繳費報酬率資料!$A$1&lt;&gt;1,VLOOKUP($A673,MP,8,0),IF(AND($A673&gt;=OP!$C$79,$A673&lt;=OP!$C$80),OP!$C$78,)))</f>
        <v>0</v>
      </c>
      <c r="AT673" s="298">
        <f t="shared" ca="1" si="387"/>
        <v>0</v>
      </c>
      <c r="AU673" s="298">
        <f ca="1">IF(AND(A673&lt;=OP!$C$120,COUNTIF(PAY,C673)=1),OP!$C$123,0)</f>
        <v>0</v>
      </c>
      <c r="AV673" s="298">
        <f ca="1">IF(AND(A673&gt;=OP!$C$132,A673&lt;=OP!$C$133,$C$3=C673),OP!$C$135,0)</f>
        <v>0</v>
      </c>
      <c r="AW673" s="180">
        <f t="shared" ca="1" si="388"/>
        <v>0.05</v>
      </c>
      <c r="AX673" s="180">
        <f t="shared" ca="1" si="389"/>
        <v>0.05</v>
      </c>
      <c r="AY673" s="286">
        <f t="shared" ca="1" si="390"/>
        <v>0</v>
      </c>
      <c r="AZ673" s="286">
        <f t="shared" ca="1" si="391"/>
        <v>0</v>
      </c>
      <c r="BA673" s="286">
        <f t="shared" ca="1" si="392"/>
        <v>0</v>
      </c>
      <c r="BB673" s="286">
        <f t="shared" ca="1" si="393"/>
        <v>0</v>
      </c>
      <c r="BC673" s="286">
        <f t="shared" ca="1" si="394"/>
        <v>0</v>
      </c>
      <c r="BD673" s="180">
        <f t="shared" ca="1" si="395"/>
        <v>0.05</v>
      </c>
      <c r="BE673" s="180">
        <f t="shared" ca="1" si="396"/>
        <v>0.05</v>
      </c>
      <c r="BF673" s="286">
        <f t="shared" ca="1" si="397"/>
        <v>0</v>
      </c>
      <c r="BG673" s="286">
        <f t="shared" ca="1" si="398"/>
        <v>0</v>
      </c>
    </row>
    <row r="674" spans="1:59">
      <c r="A674" s="1">
        <f t="shared" ca="1" si="378"/>
        <v>56</v>
      </c>
      <c r="B674" s="1">
        <f t="shared" ca="1" si="371"/>
        <v>162</v>
      </c>
      <c r="C674" s="1">
        <f t="shared" ca="1" si="372"/>
        <v>4</v>
      </c>
      <c r="D674" s="1">
        <f ca="1">MIN($D$3,VLOOKUP(C674,OP!$S$30:$T$41,2))</f>
        <v>2</v>
      </c>
      <c r="E674" s="1">
        <f t="shared" ca="1" si="373"/>
        <v>110</v>
      </c>
      <c r="F674" s="11" t="str">
        <f t="shared" ca="1" si="379"/>
        <v/>
      </c>
      <c r="G674" s="8">
        <f t="shared" ca="1" si="403"/>
        <v>365</v>
      </c>
      <c r="H674" s="8">
        <f t="shared" ca="1" si="380"/>
        <v>30</v>
      </c>
      <c r="I674" s="8" t="str">
        <f t="shared" ca="1" si="377"/>
        <v>564</v>
      </c>
      <c r="J674" s="13">
        <f>IF(繳費報酬率資料!$A$1=1,VALUE(OP!$C$121),VLOOKUP(A674,MP,2,0))</f>
        <v>0.05</v>
      </c>
      <c r="K674" s="14">
        <f ca="1">IF(SUM($K$4:K673,IF(繳費報酬率資料!$A$1=1,$AU674+$AV674,$BB674+$BC674))&gt;OP!$L$58,0,IF(繳費報酬率資料!$A$1=1,$AU674+$AV674,$BB674+$BC674))</f>
        <v>0</v>
      </c>
      <c r="L674" s="2"/>
      <c r="M674" s="2"/>
      <c r="N674" s="2"/>
      <c r="O674" s="261">
        <f t="shared" ca="1" si="381"/>
        <v>0</v>
      </c>
      <c r="P674" s="261">
        <f t="shared" ca="1" si="399"/>
        <v>0</v>
      </c>
      <c r="Q674" s="3">
        <f ca="1">IF(A674&gt;MAX(OP!$R$17:$R$26),0,VLOOKUP(A674,fees,3,FALSE))</f>
        <v>0</v>
      </c>
      <c r="R674" s="200" t="str">
        <f t="shared" ca="1" si="382"/>
        <v/>
      </c>
      <c r="S674" s="9" t="str">
        <f ca="1">IF(COUNTIF(($T$4:T673),"F")&gt;=1,"",IF(OR(C675&lt;&gt;$C$3,E674=""),"",A674))</f>
        <v/>
      </c>
      <c r="T674" s="20" t="str">
        <f t="shared" ca="1" si="374"/>
        <v/>
      </c>
      <c r="U674" s="2">
        <f ca="1">IF(IF(OP!$C$83=1,$Z673,IF(OP!$C$83=2,$AA673,IF(OP!$C$83=3,$AB673,)))+$K674-$O674-$P674-$AS674&lt;OP!$C$142,0,$AS674)</f>
        <v>0</v>
      </c>
      <c r="V674" s="9"/>
      <c r="W674" s="19">
        <f ca="1">MAX(SUM($K$4:K674),0)</f>
        <v>2000000</v>
      </c>
      <c r="X674" s="19"/>
      <c r="Y674" s="19">
        <f t="shared" ca="1" si="400"/>
        <v>1920000</v>
      </c>
      <c r="Z674" s="2">
        <f ca="1">IF(MIN($Z$4:Z673)=0,0,MAX(0,($Z673+$K674-$O674-$P674)*IF(AND(F674="F",$D$3&lt;&gt;$G$3),((1+(-J674))^(H674/MIN(G674,365))),((1+(-J674))^(1/12)))-$U674))</f>
        <v>109063.5151716964</v>
      </c>
      <c r="AA674" s="2">
        <f ca="1">IF(MIN($AA$4:AA673)=0,0,MAX(0,($AA673+$K674-$O674-$P674)*IF(AND(F674="F",$D$3&lt;&gt;$G$3),((1+$AA$1)^(H674/MIN(G674,365))),((1+$AA$1)^(1/12)))-$U674))</f>
        <v>1920000</v>
      </c>
      <c r="AB674" s="2">
        <f ca="1">IF(MIN($AB$4:AB673)=0,0,MAX(0,($AB673+$K674-$O674-$P674)*IF(AND(F674="F",$D$3&lt;&gt;$G$3),((1+(J674))^(H674/MIN(G674,365))),((1+(J674))^(1/12)))-$U674))</f>
        <v>29385710.903718438</v>
      </c>
      <c r="AC674" s="5"/>
      <c r="AD674" s="5"/>
      <c r="AE674" s="5"/>
      <c r="AF674" s="282">
        <f t="shared" ca="1" si="383"/>
        <v>109064</v>
      </c>
      <c r="AG674" s="282">
        <f t="shared" ca="1" si="384"/>
        <v>1920000</v>
      </c>
      <c r="AH674" s="282">
        <f t="shared" ca="1" si="385"/>
        <v>29385711</v>
      </c>
      <c r="AI674" s="23" t="str">
        <f t="shared" ca="1" si="401"/>
        <v>56-12</v>
      </c>
      <c r="AJ674" s="282">
        <f ca="1">IF(E674&gt;111,,IF(AND(OP!$C$99=1,T674="F"),Z674,IF(AND(OP!$C$99=2,COUNTIF($T$4:T674,"F")=1),OP!$C$97+IF(F674="F",OP!$C$98,0),"")))</f>
        <v>54527</v>
      </c>
      <c r="AK674" s="282">
        <f ca="1">IF(E674&gt;111,,IF(AND(OP!$D$99=1,T674="F"),AA674,IF(AND(OP!$D$99=2,COUNTIF($T$4:T674,"F")=1),OP!$D$97+IF(F674="F",OP!$D$98,0),"")))</f>
        <v>74177</v>
      </c>
      <c r="AL674" s="282">
        <f ca="1">IF(E674&gt;111,,IF(AND(OP!$E$99=1,T674="F"),AB674,IF(AND(OP!$E$99=2,COUNTIF($T$4:T674,"F")=1),OP!$E$97+IF(F674="F",OP!$E$98,0),"")))</f>
        <v>99404</v>
      </c>
      <c r="AM674" s="1">
        <f t="shared" ca="1" si="375"/>
        <v>12</v>
      </c>
      <c r="AN674" s="1" t="e">
        <f ca="1">IF(OR(VLOOKUP($A674,MP,5,0)="月繳"),1,"")</f>
        <v>#N/A</v>
      </c>
      <c r="AO674" s="1">
        <f t="shared" ca="1" si="386"/>
        <v>0</v>
      </c>
      <c r="AP674" s="1" t="str">
        <f ca="1">IF(AND(A674&lt;=OP!$C$120,COUNTIF(PAY,C674)=1),1,"")</f>
        <v/>
      </c>
      <c r="AR674" s="301">
        <f ca="1">IF(繳費報酬率資料!$A$1=1,$AY674+$AZ674,$BF674+$BG674)</f>
        <v>0</v>
      </c>
      <c r="AS674" s="1">
        <f ca="1">IF(C674&lt;&gt;IF($C$3=1,12,$C$3-1),0,IF(繳費報酬率資料!$A$1&lt;&gt;1,VLOOKUP($A674,MP,8,0),IF(AND($A674&gt;=OP!$C$79,$A674&lt;=OP!$C$80),OP!$C$78,)))</f>
        <v>0</v>
      </c>
      <c r="AT674" s="298">
        <f t="shared" ca="1" si="387"/>
        <v>0</v>
      </c>
      <c r="AU674" s="298">
        <f ca="1">IF(AND(A674&lt;=OP!$C$120,COUNTIF(PAY,C674)=1),OP!$C$123,0)</f>
        <v>0</v>
      </c>
      <c r="AV674" s="298">
        <f ca="1">IF(AND(A674&gt;=OP!$C$132,A674&lt;=OP!$C$133,$C$3=C674),OP!$C$135,0)</f>
        <v>0</v>
      </c>
      <c r="AW674" s="180">
        <f t="shared" ca="1" si="388"/>
        <v>0.05</v>
      </c>
      <c r="AX674" s="180">
        <f t="shared" ca="1" si="389"/>
        <v>0.05</v>
      </c>
      <c r="AY674" s="286">
        <f t="shared" ca="1" si="390"/>
        <v>0</v>
      </c>
      <c r="AZ674" s="286">
        <f t="shared" ca="1" si="391"/>
        <v>0</v>
      </c>
      <c r="BA674" s="286">
        <f t="shared" ca="1" si="392"/>
        <v>0</v>
      </c>
      <c r="BB674" s="286">
        <f t="shared" ca="1" si="393"/>
        <v>0</v>
      </c>
      <c r="BC674" s="286">
        <f t="shared" ca="1" si="394"/>
        <v>0</v>
      </c>
      <c r="BD674" s="180">
        <f t="shared" ca="1" si="395"/>
        <v>0.05</v>
      </c>
      <c r="BE674" s="180">
        <f t="shared" ca="1" si="396"/>
        <v>0.05</v>
      </c>
      <c r="BF674" s="286">
        <f t="shared" ca="1" si="397"/>
        <v>0</v>
      </c>
      <c r="BG674" s="286">
        <f t="shared" ca="1" si="398"/>
        <v>0</v>
      </c>
    </row>
    <row r="675" spans="1:59">
      <c r="A675" s="1">
        <f t="shared" ca="1" si="378"/>
        <v>56</v>
      </c>
      <c r="B675" s="1">
        <f t="shared" ca="1" si="371"/>
        <v>162</v>
      </c>
      <c r="C675" s="1">
        <f t="shared" ca="1" si="372"/>
        <v>5</v>
      </c>
      <c r="D675" s="1">
        <f ca="1">MIN($D$3,VLOOKUP(C675,OP!$S$30:$T$41,2))</f>
        <v>2</v>
      </c>
      <c r="E675" s="1">
        <f t="shared" ca="1" si="373"/>
        <v>110</v>
      </c>
      <c r="F675" s="11" t="str">
        <f t="shared" ca="1" si="379"/>
        <v/>
      </c>
      <c r="G675" s="8">
        <f t="shared" ca="1" si="403"/>
        <v>365</v>
      </c>
      <c r="H675" s="8">
        <f t="shared" ca="1" si="380"/>
        <v>31</v>
      </c>
      <c r="I675" s="8" t="str">
        <f t="shared" ca="1" si="377"/>
        <v>565</v>
      </c>
      <c r="J675" s="13">
        <f>IF(繳費報酬率資料!$A$1=1,VALUE(OP!$C$121),VLOOKUP(A675,MP,2,0))</f>
        <v>0.05</v>
      </c>
      <c r="K675" s="14">
        <f ca="1">IF(SUM($K$4:K674,IF(繳費報酬率資料!$A$1=1,$AU675+$AV675,$BB675+$BC675))&gt;OP!$L$58,0,IF(繳費報酬率資料!$A$1=1,$AU675+$AV675,$BB675+$BC675))</f>
        <v>0</v>
      </c>
      <c r="L675" s="2">
        <f ca="1">ROUND(IF(OP!$C$78&lt;(IF(OR($T675="F",$E675&gt;=111),0,Z674+$K675-$O675+IF($C$1=1,OP!$C$78,IF($C676=$C$3,SUM(AC664:AC675,0)))))*5%,0,(OP!$C$78-((IF(OR($T675="F",$E675&gt;=111),0,Z674+$K675-$O675+IF($C$1=1,AC675,IF($C676=$C$3,SUM(AC664:AC675,0)))))*5%))*$Q675),0)</f>
        <v>0</v>
      </c>
      <c r="M675" s="2">
        <f ca="1">ROUND(IF(OP!$C$78&lt;(IF(OR($T675="F",$E675&gt;=111),0,AA674+$K675-$O675+IF($C$1=1,AD675,IF($C676=$C$3,SUM(AD664:AD675,0)))))*5%,0,(OP!$C$78-((IF(OR($T675="F",$E675&gt;=111),0,AA674+$K675-$O675+IF($C$1=1,AD675,IF($C676=$C$3,SUM(AD664:AD675,0)))))*5%))*$Q675),0)</f>
        <v>0</v>
      </c>
      <c r="N675" s="2">
        <f ca="1">ROUND(IF(OP!$C$78&lt;(IF(OR($T675="F",$E675&gt;=111),0,AB674+$K675-$O675+IF($C$1=1,AE675,IF($C676=$C$3,SUM(AE664:AE675,0)))))*5%,0,(OP!$C$78-((IF(OR($T675="F",$E675&gt;=111),0,AB674+$K675-$O675+IF($C$1=1,AE675,IF($C676=$C$3,SUM(AE664:AE675,0)))))*5%))*$Q675),0)</f>
        <v>0</v>
      </c>
      <c r="O675" s="261">
        <f t="shared" ca="1" si="381"/>
        <v>0</v>
      </c>
      <c r="P675" s="261">
        <f t="shared" ca="1" si="399"/>
        <v>0</v>
      </c>
      <c r="Q675" s="3">
        <f ca="1">IF(A675&gt;MAX(OP!$R$17:$R$26),0,VLOOKUP(A675,fees,3,FALSE))</f>
        <v>0</v>
      </c>
      <c r="R675" s="200">
        <f t="shared" ca="1" si="382"/>
        <v>56</v>
      </c>
      <c r="S675" s="9" t="str">
        <f ca="1">IF(COUNTIF(($T$4:T674),"F")&gt;=1,"",IF(OR(C676&lt;&gt;$C$3,E675=""),"",A675))</f>
        <v/>
      </c>
      <c r="T675" s="20" t="str">
        <f t="shared" ca="1" si="374"/>
        <v/>
      </c>
      <c r="U675" s="2">
        <f ca="1">IF(IF(OP!$C$83=1,$Z674,IF(OP!$C$83=2,$AA674,IF(OP!$C$83=3,$AB674,)))+$K675-$O675-$P675-$AS675&lt;OP!$C$142,0,$AS675)</f>
        <v>0</v>
      </c>
      <c r="V675" s="19">
        <f ca="1">SUM(K664:K675)</f>
        <v>0</v>
      </c>
      <c r="W675" s="19">
        <f ca="1">MAX(SUM($K$4:K675),0)</f>
        <v>2000000</v>
      </c>
      <c r="X675" s="19">
        <f ca="1">SUM(O664:P675)</f>
        <v>0</v>
      </c>
      <c r="Y675" s="19">
        <f t="shared" ca="1" si="400"/>
        <v>1920000</v>
      </c>
      <c r="Z675" s="2">
        <f ca="1">IF(MIN($Z$4:Z674)=0,0,MAX(0,($Z674+$K675-$O675-$P675)*IF(AND(F675="F",$D$3&lt;&gt;$G$3),((1+(-J675))^(H675/MIN(G675,365))),((1+(-J675))^(1/12)))-$U675))</f>
        <v>108598.3245124878</v>
      </c>
      <c r="AA675" s="2">
        <f ca="1">IF(MIN($AA$4:AA674)=0,0,MAX(0,($AA674+$K675-$O675-$P675)*IF(AND(F675="F",$D$3&lt;&gt;$G$3),((1+$AA$1)^(H675/MIN(G675,365))),((1+$AA$1)^(1/12)))-$U675))</f>
        <v>1920000</v>
      </c>
      <c r="AB675" s="2">
        <f ca="1">IF(MIN($AB$4:AB674)=0,0,MAX(0,($AB674+$K675-$O675-$P675)*IF(AND(F675="F",$D$3&lt;&gt;$G$3),((1+(J675))^(H675/MIN(G675,365))),((1+(J675))^(1/12)))-$U675))</f>
        <v>29505431.927410692</v>
      </c>
      <c r="AC675" s="5"/>
      <c r="AD675" s="5"/>
      <c r="AE675" s="5"/>
      <c r="AF675" s="282">
        <f t="shared" ca="1" si="383"/>
        <v>108598</v>
      </c>
      <c r="AG675" s="282">
        <f t="shared" ca="1" si="384"/>
        <v>1920000</v>
      </c>
      <c r="AH675" s="282">
        <f t="shared" ca="1" si="385"/>
        <v>29505432</v>
      </c>
      <c r="AI675" s="23" t="str">
        <f t="shared" ca="1" si="401"/>
        <v>57-1</v>
      </c>
      <c r="AJ675" s="282">
        <f ca="1">IF(E675&gt;111,,IF(AND(OP!$C$99=1,T675="F"),Z675,IF(AND(OP!$C$99=2,COUNTIF($T$4:T675,"F")=1),OP!$C$97+IF(F675="F",OP!$C$98,0),"")))</f>
        <v>54527</v>
      </c>
      <c r="AK675" s="282">
        <f ca="1">IF(E675&gt;111,,IF(AND(OP!$D$99=1,T675="F"),AA675,IF(AND(OP!$D$99=2,COUNTIF($T$4:T675,"F")=1),OP!$D$97+IF(F675="F",OP!$D$98,0),"")))</f>
        <v>74177</v>
      </c>
      <c r="AL675" s="282">
        <f ca="1">IF(E675&gt;111,,IF(AND(OP!$E$99=1,T675="F"),AB675,IF(AND(OP!$E$99=2,COUNTIF($T$4:T675,"F")=1),OP!$E$97+IF(F675="F",OP!$E$98,0),"")))</f>
        <v>99404</v>
      </c>
      <c r="AM675" s="1">
        <f t="shared" ca="1" si="375"/>
        <v>1</v>
      </c>
      <c r="AN675" s="1" t="e">
        <f ca="1">IF(OR(VLOOKUP($A675,MP,5,0)="月繳"),1,"")</f>
        <v>#N/A</v>
      </c>
      <c r="AO675" s="1">
        <f t="shared" ca="1" si="386"/>
        <v>0</v>
      </c>
      <c r="AP675" s="1" t="str">
        <f ca="1">IF(AND(A675&lt;=OP!$C$120,COUNTIF(PAY,C675)=1),1,"")</f>
        <v/>
      </c>
      <c r="AR675" s="301">
        <f ca="1">IF(繳費報酬率資料!$A$1=1,$AY675+$AZ675,$BF675+$BG675)</f>
        <v>0</v>
      </c>
      <c r="AS675" s="1">
        <f ca="1">IF(C675&lt;&gt;IF($C$3=1,12,$C$3-1),0,IF(繳費報酬率資料!$A$1&lt;&gt;1,VLOOKUP($A675,MP,8,0),IF(AND($A675&gt;=OP!$C$79,$A675&lt;=OP!$C$80),OP!$C$78,)))</f>
        <v>0</v>
      </c>
      <c r="AT675" s="298">
        <f t="shared" ca="1" si="387"/>
        <v>0</v>
      </c>
      <c r="AU675" s="298">
        <f ca="1">IF(AND(A675&lt;=OP!$C$120,COUNTIF(PAY,C675)=1),OP!$C$123,0)</f>
        <v>0</v>
      </c>
      <c r="AV675" s="298">
        <f ca="1">IF(AND(A675&gt;=OP!$C$132,A675&lt;=OP!$C$133,$C$3=C675),OP!$C$135,0)</f>
        <v>0</v>
      </c>
      <c r="AW675" s="180">
        <f t="shared" ca="1" si="388"/>
        <v>0.05</v>
      </c>
      <c r="AX675" s="180">
        <f t="shared" ca="1" si="389"/>
        <v>0.05</v>
      </c>
      <c r="AY675" s="286">
        <f t="shared" ca="1" si="390"/>
        <v>0</v>
      </c>
      <c r="AZ675" s="286">
        <f t="shared" ca="1" si="391"/>
        <v>0</v>
      </c>
      <c r="BA675" s="286">
        <f t="shared" ca="1" si="392"/>
        <v>0</v>
      </c>
      <c r="BB675" s="286">
        <f t="shared" ca="1" si="393"/>
        <v>0</v>
      </c>
      <c r="BC675" s="286">
        <f t="shared" ca="1" si="394"/>
        <v>0</v>
      </c>
      <c r="BD675" s="180">
        <f t="shared" ca="1" si="395"/>
        <v>0.05</v>
      </c>
      <c r="BE675" s="180">
        <f t="shared" ca="1" si="396"/>
        <v>0.05</v>
      </c>
      <c r="BF675" s="286">
        <f t="shared" ca="1" si="397"/>
        <v>0</v>
      </c>
      <c r="BG675" s="286">
        <f t="shared" ca="1" si="398"/>
        <v>0</v>
      </c>
    </row>
    <row r="676" spans="1:59">
      <c r="A676" s="1">
        <f t="shared" ca="1" si="378"/>
        <v>57</v>
      </c>
      <c r="B676" s="1">
        <f t="shared" ca="1" si="371"/>
        <v>162</v>
      </c>
      <c r="C676" s="1">
        <f t="shared" ca="1" si="372"/>
        <v>6</v>
      </c>
      <c r="D676" s="1">
        <f ca="1">MIN($D$3,VLOOKUP(C676,OP!$S$30:$T$41,2))</f>
        <v>2</v>
      </c>
      <c r="E676" s="1" t="str">
        <f t="shared" ca="1" si="373"/>
        <v/>
      </c>
      <c r="F676" s="11" t="str">
        <f t="shared" ca="1" si="379"/>
        <v/>
      </c>
      <c r="G676" s="6">
        <f ca="1">DATEDIF(DATE(B676+1911,C676,D676),DATE(B688+1911,C688,D688),"d")</f>
        <v>365</v>
      </c>
      <c r="H676" s="8">
        <f t="shared" ca="1" si="380"/>
        <v>30</v>
      </c>
      <c r="I676" s="8" t="str">
        <f t="shared" ca="1" si="377"/>
        <v>576</v>
      </c>
      <c r="J676" s="13">
        <f>IF(繳費報酬率資料!$A$1=1,VALUE(OP!$C$121),VLOOKUP(A676,MP,2,0))</f>
        <v>0.05</v>
      </c>
      <c r="K676" s="14">
        <f ca="1">IF(SUM($K$4:K675,IF(繳費報酬率資料!$A$1=1,$AU676+$AV676,$BB676+$BC676))&gt;OP!$L$58,0,IF(繳費報酬率資料!$A$1=1,$AU676+$AV676,$BB676+$BC676))</f>
        <v>0</v>
      </c>
      <c r="L676" s="2"/>
      <c r="M676" s="2"/>
      <c r="N676" s="2"/>
      <c r="O676" s="261">
        <f t="shared" ca="1" si="381"/>
        <v>0</v>
      </c>
      <c r="P676" s="261">
        <f t="shared" ca="1" si="399"/>
        <v>0</v>
      </c>
      <c r="Q676" s="3">
        <f ca="1">IF(A676&gt;MAX(OP!$R$17:$R$26),0,VLOOKUP(A676,fees,3,FALSE))</f>
        <v>0</v>
      </c>
      <c r="R676" s="200" t="str">
        <f t="shared" ca="1" si="382"/>
        <v/>
      </c>
      <c r="S676" s="9" t="str">
        <f ca="1">IF(COUNTIF(($T$4:T675),"F")&gt;=1,"",IF(OR(C677&lt;&gt;$C$3,E676=""),"",A676))</f>
        <v/>
      </c>
      <c r="T676" s="20" t="str">
        <f t="shared" ca="1" si="374"/>
        <v/>
      </c>
      <c r="U676" s="2">
        <f ca="1">IF(IF(OP!$C$83=1,$Z675,IF(OP!$C$83=2,$AA675,IF(OP!$C$83=3,$AB675,)))+$K676-$O676-$P676-$AS676&lt;OP!$C$142,0,$AS676)</f>
        <v>0</v>
      </c>
      <c r="V676" s="9"/>
      <c r="W676" s="19">
        <f ca="1">MAX(SUM($K$4:K676),0)</f>
        <v>2000000</v>
      </c>
      <c r="X676" s="19"/>
      <c r="Y676" s="19">
        <f t="shared" ca="1" si="400"/>
        <v>1920000</v>
      </c>
      <c r="Z676" s="2">
        <f ca="1">IF(MIN($Z$4:Z675)=0,0,MAX(0,($Z675+$K676-$O676-$P676)*IF(AND(F676="F",$D$3&lt;&gt;$G$3),((1+(-J676))^(H676/MIN(G676,365))),((1+(-J676))^(1/12)))-$U676))</f>
        <v>108135.11803973306</v>
      </c>
      <c r="AA676" s="2">
        <f ca="1">IF(MIN($AA$4:AA675)=0,0,MAX(0,($AA675+$K676-$O676-$P676)*IF(AND(F676="F",$D$3&lt;&gt;$G$3),((1+$AA$1)^(H676/MIN(G676,365))),((1+$AA$1)^(1/12)))-$U676))</f>
        <v>1920000</v>
      </c>
      <c r="AB676" s="2">
        <f ca="1">IF(MIN($AB$4:AB675)=0,0,MAX(0,($AB675+$K676-$O676-$P676)*IF(AND(F676="F",$D$3&lt;&gt;$G$3),((1+(J676))^(H676/MIN(G676,365))),((1+(J676))^(1/12)))-$U676))</f>
        <v>29625640.709372975</v>
      </c>
      <c r="AC676" s="21"/>
      <c r="AD676" s="21"/>
      <c r="AE676" s="21"/>
      <c r="AF676" s="282">
        <f t="shared" ca="1" si="383"/>
        <v>108135</v>
      </c>
      <c r="AG676" s="282">
        <f t="shared" ca="1" si="384"/>
        <v>1920000</v>
      </c>
      <c r="AH676" s="282">
        <f t="shared" ca="1" si="385"/>
        <v>29625641</v>
      </c>
      <c r="AI676" s="23" t="str">
        <f t="shared" ca="1" si="401"/>
        <v>57-2</v>
      </c>
      <c r="AJ676" s="281">
        <f ca="1">IF(E676&gt;111,,IF(AND(OP!$C$99=1,T676="F"),Z676,IF(AND(OP!$C$99=2,COUNTIF($T$4:T676,"F")=1),OP!$C$97+IF(F676="F",OP!$C$98,0),"")))</f>
        <v>0</v>
      </c>
      <c r="AK676" s="281">
        <f ca="1">IF(E676&gt;111,,IF(AND(OP!$D$99=1,T676="F"),AA676,IF(AND(OP!$D$99=2,COUNTIF($T$4:T676,"F")=1),OP!$D$97+IF(F676="F",OP!$D$98,0),"")))</f>
        <v>0</v>
      </c>
      <c r="AL676" s="281">
        <f ca="1">IF(E676&gt;111,,IF(AND(OP!$E$99=1,T676="F"),AB676,IF(AND(OP!$E$99=2,COUNTIF($T$4:T676,"F")=1),OP!$E$97+IF(F676="F",OP!$E$98,0),"")))</f>
        <v>0</v>
      </c>
      <c r="AM676" s="1">
        <f t="shared" ca="1" si="375"/>
        <v>2</v>
      </c>
      <c r="AN676" s="1" t="e">
        <f ca="1">IF(OR(VLOOKUP($A676,MP,5,0)="年繳",VLOOKUP($A676,MP,5,0)="半年繳",VLOOKUP($A676,MP,5,0)="季繳",VLOOKUP($A676,MP,5,0)="月繳"),1,"")</f>
        <v>#N/A</v>
      </c>
      <c r="AO676" s="1">
        <f t="shared" ca="1" si="386"/>
        <v>0</v>
      </c>
      <c r="AP676" s="1" t="str">
        <f ca="1">IF(AND(A676&lt;=OP!$C$120,COUNTIF(PAY,C676)=1),1,"")</f>
        <v/>
      </c>
      <c r="AR676" s="301">
        <f ca="1">IF(繳費報酬率資料!$A$1=1,$AY676+$AZ676,$BF676+$BG676)</f>
        <v>0</v>
      </c>
      <c r="AS676" s="1">
        <f ca="1">IF(C676&lt;&gt;IF($C$3=1,12,$C$3-1),0,IF(繳費報酬率資料!$A$1&lt;&gt;1,VLOOKUP($A676,MP,8,0),IF(AND($A676&gt;=OP!$C$79,$A676&lt;=OP!$C$80),OP!$C$78,)))</f>
        <v>0</v>
      </c>
      <c r="AT676" s="298">
        <f t="shared" ca="1" si="387"/>
        <v>0</v>
      </c>
      <c r="AU676" s="298">
        <f ca="1">IF(AND(A676&lt;=OP!$C$120,COUNTIF(PAY,C676)=1),OP!$C$123,0)</f>
        <v>0</v>
      </c>
      <c r="AV676" s="298">
        <f ca="1">IF(AND(A676&gt;=OP!$C$132,A676&lt;=OP!$C$133,$C$3=C676),OP!$C$135,0)</f>
        <v>0</v>
      </c>
      <c r="AW676" s="180">
        <f t="shared" ca="1" si="388"/>
        <v>0.05</v>
      </c>
      <c r="AX676" s="180">
        <f t="shared" ca="1" si="389"/>
        <v>0.05</v>
      </c>
      <c r="AY676" s="286">
        <f t="shared" ca="1" si="390"/>
        <v>0</v>
      </c>
      <c r="AZ676" s="286">
        <f t="shared" ca="1" si="391"/>
        <v>0</v>
      </c>
      <c r="BA676" s="286">
        <f t="shared" ca="1" si="392"/>
        <v>0</v>
      </c>
      <c r="BB676" s="286">
        <f t="shared" ca="1" si="393"/>
        <v>0</v>
      </c>
      <c r="BC676" s="286">
        <f t="shared" ca="1" si="394"/>
        <v>0</v>
      </c>
      <c r="BD676" s="180">
        <f t="shared" ca="1" si="395"/>
        <v>0.05</v>
      </c>
      <c r="BE676" s="180">
        <f t="shared" ca="1" si="396"/>
        <v>0.05</v>
      </c>
      <c r="BF676" s="286">
        <f t="shared" ca="1" si="397"/>
        <v>0</v>
      </c>
      <c r="BG676" s="286">
        <f t="shared" ca="1" si="398"/>
        <v>0</v>
      </c>
    </row>
    <row r="677" spans="1:59">
      <c r="A677" s="1">
        <f t="shared" ca="1" si="378"/>
        <v>57</v>
      </c>
      <c r="B677" s="1">
        <f t="shared" ca="1" si="371"/>
        <v>162</v>
      </c>
      <c r="C677" s="1">
        <f t="shared" ca="1" si="372"/>
        <v>7</v>
      </c>
      <c r="D677" s="1">
        <f ca="1">MIN($D$3,VLOOKUP(C677,OP!$S$30:$T$41,2))</f>
        <v>2</v>
      </c>
      <c r="E677" s="1" t="str">
        <f t="shared" ca="1" si="373"/>
        <v/>
      </c>
      <c r="F677" s="11" t="str">
        <f t="shared" ca="1" si="379"/>
        <v/>
      </c>
      <c r="G677" s="8">
        <f t="shared" ref="G677:G687" ca="1" si="404">G676</f>
        <v>365</v>
      </c>
      <c r="H677" s="8">
        <f t="shared" ca="1" si="380"/>
        <v>31</v>
      </c>
      <c r="I677" s="8" t="str">
        <f t="shared" ca="1" si="377"/>
        <v>577</v>
      </c>
      <c r="J677" s="13">
        <f>IF(繳費報酬率資料!$A$1=1,VALUE(OP!$C$121),VLOOKUP(A677,MP,2,0))</f>
        <v>0.05</v>
      </c>
      <c r="K677" s="14">
        <f ca="1">IF(SUM($K$4:K676,IF(繳費報酬率資料!$A$1=1,$AU677+$AV677,$BB677+$BC677))&gt;OP!$L$58,0,IF(繳費報酬率資料!$A$1=1,$AU677+$AV677,$BB677+$BC677))</f>
        <v>0</v>
      </c>
      <c r="L677" s="2"/>
      <c r="M677" s="2"/>
      <c r="N677" s="2"/>
      <c r="O677" s="261">
        <f t="shared" ca="1" si="381"/>
        <v>0</v>
      </c>
      <c r="P677" s="261">
        <f t="shared" ca="1" si="399"/>
        <v>0</v>
      </c>
      <c r="Q677" s="3">
        <f ca="1">IF(A677&gt;MAX(OP!$R$17:$R$26),0,VLOOKUP(A677,fees,3,FALSE))</f>
        <v>0</v>
      </c>
      <c r="R677" s="200" t="str">
        <f t="shared" ca="1" si="382"/>
        <v/>
      </c>
      <c r="S677" s="9" t="str">
        <f ca="1">IF(COUNTIF(($T$4:T676),"F")&gt;=1,"",IF(OR(C678&lt;&gt;$C$3,E677=""),"",A677))</f>
        <v/>
      </c>
      <c r="T677" s="20" t="str">
        <f t="shared" ca="1" si="374"/>
        <v/>
      </c>
      <c r="U677" s="2">
        <f ca="1">IF(IF(OP!$C$83=1,$Z676,IF(OP!$C$83=2,$AA676,IF(OP!$C$83=3,$AB676,)))+$K677-$O677-$P677-$AS677&lt;OP!$C$142,0,$AS677)</f>
        <v>0</v>
      </c>
      <c r="V677" s="9"/>
      <c r="W677" s="19">
        <f ca="1">MAX(SUM($K$4:K677),0)</f>
        <v>2000000</v>
      </c>
      <c r="X677" s="19"/>
      <c r="Y677" s="19">
        <f t="shared" ca="1" si="400"/>
        <v>1920000</v>
      </c>
      <c r="Z677" s="2">
        <f ca="1">IF(MIN($Z$4:Z676)=0,0,MAX(0,($Z676+$K677-$O677-$P677)*IF(AND(F677="F",$D$3&lt;&gt;$G$3),((1+(-J677))^(H677/MIN(G677,365))),((1+(-J677))^(1/12)))-$U677))</f>
        <v>107673.88729024446</v>
      </c>
      <c r="AA677" s="2">
        <f ca="1">IF(MIN($AA$4:AA676)=0,0,MAX(0,($AA676+$K677-$O677-$P677)*IF(AND(F677="F",$D$3&lt;&gt;$G$3),((1+$AA$1)^(H677/MIN(G677,365))),((1+$AA$1)^(1/12)))-$U677))</f>
        <v>1920000</v>
      </c>
      <c r="AB677" s="2">
        <f ca="1">IF(MIN($AB$4:AB676)=0,0,MAX(0,($AB676+$K677-$O677-$P677)*IF(AND(F677="F",$D$3&lt;&gt;$G$3),((1+(J677))^(H677/MIN(G677,365))),((1+(J677))^(1/12)))-$U677))</f>
        <v>29746339.236792851</v>
      </c>
      <c r="AC677" s="5"/>
      <c r="AD677" s="5"/>
      <c r="AE677" s="5"/>
      <c r="AF677" s="282">
        <f t="shared" ca="1" si="383"/>
        <v>107674</v>
      </c>
      <c r="AG677" s="282">
        <f t="shared" ca="1" si="384"/>
        <v>1920000</v>
      </c>
      <c r="AH677" s="282">
        <f t="shared" ca="1" si="385"/>
        <v>29746339</v>
      </c>
      <c r="AI677" s="23" t="str">
        <f t="shared" ca="1" si="401"/>
        <v>57-3</v>
      </c>
      <c r="AJ677" s="282">
        <f ca="1">IF(E677&gt;111,,IF(AND(OP!$C$99=1,T677="F"),Z677,IF(AND(OP!$C$99=2,COUNTIF($T$4:T677,"F")=1),OP!$C$97+IF(F677="F",OP!$C$98,0),"")))</f>
        <v>0</v>
      </c>
      <c r="AK677" s="282">
        <f ca="1">IF(E677&gt;111,,IF(AND(OP!$D$99=1,T677="F"),AA677,IF(AND(OP!$D$99=2,COUNTIF($T$4:T677,"F")=1),OP!$D$97+IF(F677="F",OP!$D$98,0),"")))</f>
        <v>0</v>
      </c>
      <c r="AL677" s="282">
        <f ca="1">IF(E677&gt;111,,IF(AND(OP!$E$99=1,T677="F"),AB677,IF(AND(OP!$E$99=2,COUNTIF($T$4:T677,"F")=1),OP!$E$97+IF(F677="F",OP!$E$98,0),"")))</f>
        <v>0</v>
      </c>
      <c r="AM677" s="1">
        <f t="shared" ca="1" si="375"/>
        <v>3</v>
      </c>
      <c r="AN677" s="1" t="e">
        <f ca="1">IF(OR(VLOOKUP($A677,MP,5,0)="月繳"),1,"")</f>
        <v>#N/A</v>
      </c>
      <c r="AO677" s="1">
        <f t="shared" ca="1" si="386"/>
        <v>0</v>
      </c>
      <c r="AP677" s="1" t="str">
        <f ca="1">IF(AND(A677&lt;=OP!$C$120,COUNTIF(PAY,C677)=1),1,"")</f>
        <v/>
      </c>
      <c r="AR677" s="301">
        <f ca="1">IF(繳費報酬率資料!$A$1=1,$AY677+$AZ677,$BF677+$BG677)</f>
        <v>0</v>
      </c>
      <c r="AS677" s="1">
        <f ca="1">IF(C677&lt;&gt;IF($C$3=1,12,$C$3-1),0,IF(繳費報酬率資料!$A$1&lt;&gt;1,VLOOKUP($A677,MP,8,0),IF(AND($A677&gt;=OP!$C$79,$A677&lt;=OP!$C$80),OP!$C$78,)))</f>
        <v>0</v>
      </c>
      <c r="AT677" s="298">
        <f t="shared" ca="1" si="387"/>
        <v>0</v>
      </c>
      <c r="AU677" s="298">
        <f ca="1">IF(AND(A677&lt;=OP!$C$120,COUNTIF(PAY,C677)=1),OP!$C$123,0)</f>
        <v>0</v>
      </c>
      <c r="AV677" s="298">
        <f ca="1">IF(AND(A677&gt;=OP!$C$132,A677&lt;=OP!$C$133,$C$3=C677),OP!$C$135,0)</f>
        <v>0</v>
      </c>
      <c r="AW677" s="180">
        <f t="shared" ca="1" si="388"/>
        <v>0.05</v>
      </c>
      <c r="AX677" s="180">
        <f t="shared" ca="1" si="389"/>
        <v>0.05</v>
      </c>
      <c r="AY677" s="286">
        <f t="shared" ca="1" si="390"/>
        <v>0</v>
      </c>
      <c r="AZ677" s="286">
        <f t="shared" ca="1" si="391"/>
        <v>0</v>
      </c>
      <c r="BA677" s="286">
        <f t="shared" ca="1" si="392"/>
        <v>0</v>
      </c>
      <c r="BB677" s="286">
        <f t="shared" ca="1" si="393"/>
        <v>0</v>
      </c>
      <c r="BC677" s="286">
        <f t="shared" ca="1" si="394"/>
        <v>0</v>
      </c>
      <c r="BD677" s="180">
        <f t="shared" ca="1" si="395"/>
        <v>0.05</v>
      </c>
      <c r="BE677" s="180">
        <f t="shared" ca="1" si="396"/>
        <v>0.05</v>
      </c>
      <c r="BF677" s="286">
        <f t="shared" ca="1" si="397"/>
        <v>0</v>
      </c>
      <c r="BG677" s="286">
        <f t="shared" ca="1" si="398"/>
        <v>0</v>
      </c>
    </row>
    <row r="678" spans="1:59">
      <c r="A678" s="1">
        <f t="shared" ca="1" si="378"/>
        <v>57</v>
      </c>
      <c r="B678" s="1">
        <f t="shared" ca="1" si="371"/>
        <v>162</v>
      </c>
      <c r="C678" s="1">
        <f t="shared" ca="1" si="372"/>
        <v>8</v>
      </c>
      <c r="D678" s="1">
        <f ca="1">MIN($D$3,VLOOKUP(C678,OP!$S$30:$T$41,2))</f>
        <v>2</v>
      </c>
      <c r="E678" s="1" t="str">
        <f t="shared" ca="1" si="373"/>
        <v/>
      </c>
      <c r="F678" s="11" t="str">
        <f t="shared" ca="1" si="379"/>
        <v/>
      </c>
      <c r="G678" s="8">
        <f t="shared" ca="1" si="404"/>
        <v>365</v>
      </c>
      <c r="H678" s="8">
        <f t="shared" ca="1" si="380"/>
        <v>31</v>
      </c>
      <c r="I678" s="8" t="str">
        <f t="shared" ca="1" si="377"/>
        <v>578</v>
      </c>
      <c r="J678" s="13">
        <f>IF(繳費報酬率資料!$A$1=1,VALUE(OP!$C$121),VLOOKUP(A678,MP,2,0))</f>
        <v>0.05</v>
      </c>
      <c r="K678" s="14">
        <f ca="1">IF(SUM($K$4:K677,IF(繳費報酬率資料!$A$1=1,$AU678+$AV678,$BB678+$BC678))&gt;OP!$L$58,0,IF(繳費報酬率資料!$A$1=1,$AU678+$AV678,$BB678+$BC678))</f>
        <v>0</v>
      </c>
      <c r="L678" s="2"/>
      <c r="M678" s="2"/>
      <c r="N678" s="2"/>
      <c r="O678" s="261">
        <f t="shared" ca="1" si="381"/>
        <v>0</v>
      </c>
      <c r="P678" s="261">
        <f t="shared" ca="1" si="399"/>
        <v>0</v>
      </c>
      <c r="Q678" s="3">
        <f ca="1">IF(A678&gt;MAX(OP!$R$17:$R$26),0,VLOOKUP(A678,fees,3,FALSE))</f>
        <v>0</v>
      </c>
      <c r="R678" s="200" t="str">
        <f t="shared" ca="1" si="382"/>
        <v/>
      </c>
      <c r="S678" s="9" t="str">
        <f ca="1">IF(COUNTIF(($T$4:T677),"F")&gt;=1,"",IF(OR(C679&lt;&gt;$C$3,E678=""),"",A678))</f>
        <v/>
      </c>
      <c r="T678" s="20" t="str">
        <f t="shared" ca="1" si="374"/>
        <v/>
      </c>
      <c r="U678" s="2">
        <f ca="1">IF(IF(OP!$C$83=1,$Z677,IF(OP!$C$83=2,$AA677,IF(OP!$C$83=3,$AB677,)))+$K678-$O678-$P678-$AS678&lt;OP!$C$142,0,$AS678)</f>
        <v>0</v>
      </c>
      <c r="V678" s="9"/>
      <c r="W678" s="19">
        <f ca="1">MAX(SUM($K$4:K678),0)</f>
        <v>2000000</v>
      </c>
      <c r="X678" s="19"/>
      <c r="Y678" s="19">
        <f t="shared" ca="1" si="400"/>
        <v>1920000</v>
      </c>
      <c r="Z678" s="2">
        <f ca="1">IF(MIN($Z$4:Z677)=0,0,MAX(0,($Z677+$K678-$O678-$P678)*IF(AND(F678="F",$D$3&lt;&gt;$G$3),((1+(-J678))^(H678/MIN(G678,365))),((1+(-J678))^(1/12)))-$U678))</f>
        <v>107214.62383693243</v>
      </c>
      <c r="AA678" s="2">
        <f ca="1">IF(MIN($AA$4:AA677)=0,0,MAX(0,($AA677+$K678-$O678-$P678)*IF(AND(F678="F",$D$3&lt;&gt;$G$3),((1+$AA$1)^(H678/MIN(G678,365))),((1+$AA$1)^(1/12)))-$U678))</f>
        <v>1920000</v>
      </c>
      <c r="AB678" s="2">
        <f ca="1">IF(MIN($AB$4:AB677)=0,0,MAX(0,($AB677+$K678-$O678-$P678)*IF(AND(F678="F",$D$3&lt;&gt;$G$3),((1+(J678))^(H678/MIN(G678,365))),((1+(J678))^(1/12)))-$U678))</f>
        <v>29867529.504953939</v>
      </c>
      <c r="AC678" s="5"/>
      <c r="AD678" s="5"/>
      <c r="AE678" s="5"/>
      <c r="AF678" s="282">
        <f t="shared" ca="1" si="383"/>
        <v>107215</v>
      </c>
      <c r="AG678" s="282">
        <f t="shared" ca="1" si="384"/>
        <v>1920000</v>
      </c>
      <c r="AH678" s="282">
        <f t="shared" ca="1" si="385"/>
        <v>29867530</v>
      </c>
      <c r="AI678" s="23" t="str">
        <f t="shared" ca="1" si="401"/>
        <v>57-4</v>
      </c>
      <c r="AJ678" s="282">
        <f ca="1">IF(E678&gt;111,,IF(AND(OP!$C$99=1,T678="F"),Z678,IF(AND(OP!$C$99=2,COUNTIF($T$4:T678,"F")=1),OP!$C$97+IF(F678="F",OP!$C$98,0),"")))</f>
        <v>0</v>
      </c>
      <c r="AK678" s="282">
        <f ca="1">IF(E678&gt;111,,IF(AND(OP!$D$99=1,T678="F"),AA678,IF(AND(OP!$D$99=2,COUNTIF($T$4:T678,"F")=1),OP!$D$97+IF(F678="F",OP!$D$98,0),"")))</f>
        <v>0</v>
      </c>
      <c r="AL678" s="282">
        <f ca="1">IF(E678&gt;111,,IF(AND(OP!$E$99=1,T678="F"),AB678,IF(AND(OP!$E$99=2,COUNTIF($T$4:T678,"F")=1),OP!$E$97+IF(F678="F",OP!$E$98,0),"")))</f>
        <v>0</v>
      </c>
      <c r="AM678" s="1">
        <f t="shared" ca="1" si="375"/>
        <v>4</v>
      </c>
      <c r="AN678" s="1" t="e">
        <f ca="1">IF(OR(VLOOKUP($A678,MP,5,0)="月繳"),1,"")</f>
        <v>#N/A</v>
      </c>
      <c r="AO678" s="1">
        <f t="shared" ca="1" si="386"/>
        <v>0</v>
      </c>
      <c r="AP678" s="1" t="str">
        <f ca="1">IF(AND(A678&lt;=OP!$C$120,COUNTIF(PAY,C678)=1),1,"")</f>
        <v/>
      </c>
      <c r="AR678" s="301">
        <f ca="1">IF(繳費報酬率資料!$A$1=1,$AY678+$AZ678,$BF678+$BG678)</f>
        <v>0</v>
      </c>
      <c r="AS678" s="1">
        <f ca="1">IF(C678&lt;&gt;IF($C$3=1,12,$C$3-1),0,IF(繳費報酬率資料!$A$1&lt;&gt;1,VLOOKUP($A678,MP,8,0),IF(AND($A678&gt;=OP!$C$79,$A678&lt;=OP!$C$80),OP!$C$78,)))</f>
        <v>0</v>
      </c>
      <c r="AT678" s="298">
        <f t="shared" ca="1" si="387"/>
        <v>0</v>
      </c>
      <c r="AU678" s="298">
        <f ca="1">IF(AND(A678&lt;=OP!$C$120,COUNTIF(PAY,C678)=1),OP!$C$123,0)</f>
        <v>0</v>
      </c>
      <c r="AV678" s="298">
        <f ca="1">IF(AND(A678&gt;=OP!$C$132,A678&lt;=OP!$C$133,$C$3=C678),OP!$C$135,0)</f>
        <v>0</v>
      </c>
      <c r="AW678" s="180">
        <f t="shared" ca="1" si="388"/>
        <v>0.05</v>
      </c>
      <c r="AX678" s="180">
        <f t="shared" ca="1" si="389"/>
        <v>0.05</v>
      </c>
      <c r="AY678" s="286">
        <f t="shared" ca="1" si="390"/>
        <v>0</v>
      </c>
      <c r="AZ678" s="286">
        <f t="shared" ca="1" si="391"/>
        <v>0</v>
      </c>
      <c r="BA678" s="286">
        <f t="shared" ca="1" si="392"/>
        <v>0</v>
      </c>
      <c r="BB678" s="286">
        <f t="shared" ca="1" si="393"/>
        <v>0</v>
      </c>
      <c r="BC678" s="286">
        <f t="shared" ca="1" si="394"/>
        <v>0</v>
      </c>
      <c r="BD678" s="180">
        <f t="shared" ca="1" si="395"/>
        <v>0.05</v>
      </c>
      <c r="BE678" s="180">
        <f t="shared" ca="1" si="396"/>
        <v>0.05</v>
      </c>
      <c r="BF678" s="286">
        <f t="shared" ca="1" si="397"/>
        <v>0</v>
      </c>
      <c r="BG678" s="286">
        <f t="shared" ca="1" si="398"/>
        <v>0</v>
      </c>
    </row>
    <row r="679" spans="1:59">
      <c r="A679" s="1">
        <f t="shared" ca="1" si="378"/>
        <v>57</v>
      </c>
      <c r="B679" s="1">
        <f t="shared" ca="1" si="371"/>
        <v>162</v>
      </c>
      <c r="C679" s="1">
        <f t="shared" ca="1" si="372"/>
        <v>9</v>
      </c>
      <c r="D679" s="1">
        <f ca="1">MIN($D$3,VLOOKUP(C679,OP!$S$30:$T$41,2))</f>
        <v>2</v>
      </c>
      <c r="E679" s="1" t="str">
        <f t="shared" ca="1" si="373"/>
        <v/>
      </c>
      <c r="F679" s="11" t="str">
        <f t="shared" ca="1" si="379"/>
        <v/>
      </c>
      <c r="G679" s="8">
        <f t="shared" ca="1" si="404"/>
        <v>365</v>
      </c>
      <c r="H679" s="8">
        <f t="shared" ca="1" si="380"/>
        <v>30</v>
      </c>
      <c r="I679" s="8" t="str">
        <f t="shared" ca="1" si="377"/>
        <v>579</v>
      </c>
      <c r="J679" s="13">
        <f>IF(繳費報酬率資料!$A$1=1,VALUE(OP!$C$121),VLOOKUP(A679,MP,2,0))</f>
        <v>0.05</v>
      </c>
      <c r="K679" s="14">
        <f ca="1">IF(SUM($K$4:K678,IF(繳費報酬率資料!$A$1=1,$AU679+$AV679,$BB679+$BC679))&gt;OP!$L$58,0,IF(繳費報酬率資料!$A$1=1,$AU679+$AV679,$BB679+$BC679))</f>
        <v>0</v>
      </c>
      <c r="L679" s="2"/>
      <c r="M679" s="2"/>
      <c r="N679" s="2"/>
      <c r="O679" s="261">
        <f t="shared" ca="1" si="381"/>
        <v>0</v>
      </c>
      <c r="P679" s="261">
        <f t="shared" ca="1" si="399"/>
        <v>0</v>
      </c>
      <c r="Q679" s="3">
        <f ca="1">IF(A679&gt;MAX(OP!$R$17:$R$26),0,VLOOKUP(A679,fees,3,FALSE))</f>
        <v>0</v>
      </c>
      <c r="R679" s="200" t="str">
        <f t="shared" ca="1" si="382"/>
        <v/>
      </c>
      <c r="S679" s="9" t="str">
        <f ca="1">IF(COUNTIF(($T$4:T678),"F")&gt;=1,"",IF(OR(C680&lt;&gt;$C$3,E679=""),"",A679))</f>
        <v/>
      </c>
      <c r="T679" s="20" t="str">
        <f t="shared" ca="1" si="374"/>
        <v/>
      </c>
      <c r="U679" s="2">
        <f ca="1">IF(IF(OP!$C$83=1,$Z678,IF(OP!$C$83=2,$AA678,IF(OP!$C$83=3,$AB678,)))+$K679-$O679-$P679-$AS679&lt;OP!$C$142,0,$AS679)</f>
        <v>0</v>
      </c>
      <c r="V679" s="9"/>
      <c r="W679" s="19">
        <f ca="1">MAX(SUM($K$4:K679),0)</f>
        <v>2000000</v>
      </c>
      <c r="X679" s="19"/>
      <c r="Y679" s="19">
        <f t="shared" ca="1" si="400"/>
        <v>1920000</v>
      </c>
      <c r="Z679" s="2">
        <f ca="1">IF(MIN($Z$4:Z678)=0,0,MAX(0,($Z678+$K679-$O679-$P679)*IF(AND(F679="F",$D$3&lt;&gt;$G$3),((1+(-J679))^(H679/MIN(G679,365))),((1+(-J679))^(1/12)))-$U679))</f>
        <v>106757.31928865166</v>
      </c>
      <c r="AA679" s="2">
        <f ca="1">IF(MIN($AA$4:AA678)=0,0,MAX(0,($AA678+$K679-$O679-$P679)*IF(AND(F679="F",$D$3&lt;&gt;$G$3),((1+$AA$1)^(H679/MIN(G679,365))),((1+$AA$1)^(1/12)))-$U679))</f>
        <v>1920000</v>
      </c>
      <c r="AB679" s="2">
        <f ca="1">IF(MIN($AB$4:AB678)=0,0,MAX(0,($AB678+$K679-$O679-$P679)*IF(AND(F679="F",$D$3&lt;&gt;$G$3),((1+(J679))^(H679/MIN(G679,365))),((1+(J679))^(1/12)))-$U679))</f>
        <v>29989213.517268892</v>
      </c>
      <c r="AC679" s="5"/>
      <c r="AD679" s="5"/>
      <c r="AE679" s="5"/>
      <c r="AF679" s="282">
        <f t="shared" ca="1" si="383"/>
        <v>106757</v>
      </c>
      <c r="AG679" s="282">
        <f t="shared" ca="1" si="384"/>
        <v>1920000</v>
      </c>
      <c r="AH679" s="282">
        <f t="shared" ca="1" si="385"/>
        <v>29989214</v>
      </c>
      <c r="AI679" s="23" t="str">
        <f t="shared" ca="1" si="401"/>
        <v>57-5</v>
      </c>
      <c r="AJ679" s="282">
        <f ca="1">IF(E679&gt;111,,IF(AND(OP!$C$99=1,T679="F"),Z679,IF(AND(OP!$C$99=2,COUNTIF($T$4:T679,"F")=1),OP!$C$97+IF(F679="F",OP!$C$98,0),"")))</f>
        <v>0</v>
      </c>
      <c r="AK679" s="282">
        <f ca="1">IF(E679&gt;111,,IF(AND(OP!$D$99=1,T679="F"),AA679,IF(AND(OP!$D$99=2,COUNTIF($T$4:T679,"F")=1),OP!$D$97+IF(F679="F",OP!$D$98,0),"")))</f>
        <v>0</v>
      </c>
      <c r="AL679" s="282">
        <f ca="1">IF(E679&gt;111,,IF(AND(OP!$E$99=1,T679="F"),AB679,IF(AND(OP!$E$99=2,COUNTIF($T$4:T679,"F")=1),OP!$E$97+IF(F679="F",OP!$E$98,0),"")))</f>
        <v>0</v>
      </c>
      <c r="AM679" s="1">
        <f t="shared" ca="1" si="375"/>
        <v>5</v>
      </c>
      <c r="AN679" s="1" t="e">
        <f ca="1">IF(OR(VLOOKUP($A679,MP,5,0)="季繳",VLOOKUP($A679,MP,5,0)="月繳"),1,"")</f>
        <v>#N/A</v>
      </c>
      <c r="AO679" s="1">
        <f t="shared" ca="1" si="386"/>
        <v>0</v>
      </c>
      <c r="AP679" s="1" t="str">
        <f ca="1">IF(AND(A679&lt;=OP!$C$120,COUNTIF(PAY,C679)=1),1,"")</f>
        <v/>
      </c>
      <c r="AR679" s="301">
        <f ca="1">IF(繳費報酬率資料!$A$1=1,$AY679+$AZ679,$BF679+$BG679)</f>
        <v>0</v>
      </c>
      <c r="AS679" s="1">
        <f ca="1">IF(C679&lt;&gt;IF($C$3=1,12,$C$3-1),0,IF(繳費報酬率資料!$A$1&lt;&gt;1,VLOOKUP($A679,MP,8,0),IF(AND($A679&gt;=OP!$C$79,$A679&lt;=OP!$C$80),OP!$C$78,)))</f>
        <v>0</v>
      </c>
      <c r="AT679" s="298">
        <f t="shared" ca="1" si="387"/>
        <v>0</v>
      </c>
      <c r="AU679" s="298">
        <f ca="1">IF(AND(A679&lt;=OP!$C$120,COUNTIF(PAY,C679)=1),OP!$C$123,0)</f>
        <v>0</v>
      </c>
      <c r="AV679" s="298">
        <f ca="1">IF(AND(A679&gt;=OP!$C$132,A679&lt;=OP!$C$133,$C$3=C679),OP!$C$135,0)</f>
        <v>0</v>
      </c>
      <c r="AW679" s="180">
        <f t="shared" ca="1" si="388"/>
        <v>0.05</v>
      </c>
      <c r="AX679" s="180">
        <f t="shared" ca="1" si="389"/>
        <v>0.05</v>
      </c>
      <c r="AY679" s="286">
        <f t="shared" ca="1" si="390"/>
        <v>0</v>
      </c>
      <c r="AZ679" s="286">
        <f t="shared" ca="1" si="391"/>
        <v>0</v>
      </c>
      <c r="BA679" s="286">
        <f t="shared" ca="1" si="392"/>
        <v>0</v>
      </c>
      <c r="BB679" s="286">
        <f t="shared" ca="1" si="393"/>
        <v>0</v>
      </c>
      <c r="BC679" s="286">
        <f t="shared" ca="1" si="394"/>
        <v>0</v>
      </c>
      <c r="BD679" s="180">
        <f t="shared" ca="1" si="395"/>
        <v>0.05</v>
      </c>
      <c r="BE679" s="180">
        <f t="shared" ca="1" si="396"/>
        <v>0.05</v>
      </c>
      <c r="BF679" s="286">
        <f t="shared" ca="1" si="397"/>
        <v>0</v>
      </c>
      <c r="BG679" s="286">
        <f t="shared" ca="1" si="398"/>
        <v>0</v>
      </c>
    </row>
    <row r="680" spans="1:59">
      <c r="A680" s="1">
        <f t="shared" ca="1" si="378"/>
        <v>57</v>
      </c>
      <c r="B680" s="1">
        <f t="shared" ca="1" si="371"/>
        <v>162</v>
      </c>
      <c r="C680" s="1">
        <f t="shared" ca="1" si="372"/>
        <v>10</v>
      </c>
      <c r="D680" s="1">
        <f ca="1">MIN($D$3,VLOOKUP(C680,OP!$S$30:$T$41,2))</f>
        <v>2</v>
      </c>
      <c r="E680" s="1" t="str">
        <f t="shared" ca="1" si="373"/>
        <v/>
      </c>
      <c r="F680" s="11" t="str">
        <f t="shared" ca="1" si="379"/>
        <v/>
      </c>
      <c r="G680" s="8">
        <f t="shared" ca="1" si="404"/>
        <v>365</v>
      </c>
      <c r="H680" s="8">
        <f t="shared" ca="1" si="380"/>
        <v>31</v>
      </c>
      <c r="I680" s="8" t="str">
        <f t="shared" ca="1" si="377"/>
        <v>5710</v>
      </c>
      <c r="J680" s="13">
        <f>IF(繳費報酬率資料!$A$1=1,VALUE(OP!$C$121),VLOOKUP(A680,MP,2,0))</f>
        <v>0.05</v>
      </c>
      <c r="K680" s="14">
        <f ca="1">IF(SUM($K$4:K679,IF(繳費報酬率資料!$A$1=1,$AU680+$AV680,$BB680+$BC680))&gt;OP!$L$58,0,IF(繳費報酬率資料!$A$1=1,$AU680+$AV680,$BB680+$BC680))</f>
        <v>0</v>
      </c>
      <c r="L680" s="2"/>
      <c r="M680" s="2"/>
      <c r="N680" s="2"/>
      <c r="O680" s="261">
        <f t="shared" ca="1" si="381"/>
        <v>0</v>
      </c>
      <c r="P680" s="261">
        <f t="shared" ca="1" si="399"/>
        <v>0</v>
      </c>
      <c r="Q680" s="3">
        <f ca="1">IF(A680&gt;MAX(OP!$R$17:$R$26),0,VLOOKUP(A680,fees,3,FALSE))</f>
        <v>0</v>
      </c>
      <c r="R680" s="200" t="str">
        <f t="shared" ca="1" si="382"/>
        <v/>
      </c>
      <c r="S680" s="9" t="str">
        <f ca="1">IF(COUNTIF(($T$4:T679),"F")&gt;=1,"",IF(OR(C681&lt;&gt;$C$3,E680=""),"",A680))</f>
        <v/>
      </c>
      <c r="T680" s="20" t="str">
        <f t="shared" ca="1" si="374"/>
        <v/>
      </c>
      <c r="U680" s="2">
        <f ca="1">IF(IF(OP!$C$83=1,$Z679,IF(OP!$C$83=2,$AA679,IF(OP!$C$83=3,$AB679,)))+$K680-$O680-$P680-$AS680&lt;OP!$C$142,0,$AS680)</f>
        <v>0</v>
      </c>
      <c r="V680" s="9"/>
      <c r="W680" s="19">
        <f ca="1">MAX(SUM($K$4:K680),0)</f>
        <v>2000000</v>
      </c>
      <c r="X680" s="19"/>
      <c r="Y680" s="19">
        <f t="shared" ca="1" si="400"/>
        <v>1920000</v>
      </c>
      <c r="Z680" s="2">
        <f ca="1">IF(MIN($Z$4:Z679)=0,0,MAX(0,($Z679+$K680-$O680-$P680)*IF(AND(F680="F",$D$3&lt;&gt;$G$3),((1+(-J680))^(H680/MIN(G680,365))),((1+(-J680))^(1/12)))-$U680))</f>
        <v>106301.96529004774</v>
      </c>
      <c r="AA680" s="2">
        <f ca="1">IF(MIN($AA$4:AA679)=0,0,MAX(0,($AA679+$K680-$O680-$P680)*IF(AND(F680="F",$D$3&lt;&gt;$G$3),((1+$AA$1)^(H680/MIN(G680,365))),((1+$AA$1)^(1/12)))-$U680))</f>
        <v>1920000</v>
      </c>
      <c r="AB680" s="2">
        <f ca="1">IF(MIN($AB$4:AB679)=0,0,MAX(0,($AB679+$K680-$O680-$P680)*IF(AND(F680="F",$D$3&lt;&gt;$G$3),((1+(J680))^(H680/MIN(G680,365))),((1+(J680))^(1/12)))-$U680))</f>
        <v>30111393.285312507</v>
      </c>
      <c r="AC680" s="5"/>
      <c r="AD680" s="5"/>
      <c r="AE680" s="5"/>
      <c r="AF680" s="282">
        <f t="shared" ca="1" si="383"/>
        <v>106302</v>
      </c>
      <c r="AG680" s="282">
        <f t="shared" ca="1" si="384"/>
        <v>1920000</v>
      </c>
      <c r="AH680" s="282">
        <f t="shared" ca="1" si="385"/>
        <v>30111393</v>
      </c>
      <c r="AI680" s="23" t="str">
        <f t="shared" ca="1" si="401"/>
        <v>57-6</v>
      </c>
      <c r="AJ680" s="282">
        <f ca="1">IF(E680&gt;111,,IF(AND(OP!$C$99=1,T680="F"),Z680,IF(AND(OP!$C$99=2,COUNTIF($T$4:T680,"F")=1),OP!$C$97+IF(F680="F",OP!$C$98,0),"")))</f>
        <v>0</v>
      </c>
      <c r="AK680" s="282">
        <f ca="1">IF(E680&gt;111,,IF(AND(OP!$D$99=1,T680="F"),AA680,IF(AND(OP!$D$99=2,COUNTIF($T$4:T680,"F")=1),OP!$D$97+IF(F680="F",OP!$D$98,0),"")))</f>
        <v>0</v>
      </c>
      <c r="AL680" s="282">
        <f ca="1">IF(E680&gt;111,,IF(AND(OP!$E$99=1,T680="F"),AB680,IF(AND(OP!$E$99=2,COUNTIF($T$4:T680,"F")=1),OP!$E$97+IF(F680="F",OP!$E$98,0),"")))</f>
        <v>0</v>
      </c>
      <c r="AM680" s="1">
        <f t="shared" ca="1" si="375"/>
        <v>6</v>
      </c>
      <c r="AN680" s="1" t="e">
        <f ca="1">IF(OR(VLOOKUP($A680,MP,5,0)="月繳"),1,"")</f>
        <v>#N/A</v>
      </c>
      <c r="AO680" s="1">
        <f t="shared" ca="1" si="386"/>
        <v>0</v>
      </c>
      <c r="AP680" s="1" t="str">
        <f ca="1">IF(AND(A680&lt;=OP!$C$120,COUNTIF(PAY,C680)=1),1,"")</f>
        <v/>
      </c>
      <c r="AR680" s="301">
        <f ca="1">IF(繳費報酬率資料!$A$1=1,$AY680+$AZ680,$BF680+$BG680)</f>
        <v>0</v>
      </c>
      <c r="AS680" s="1">
        <f ca="1">IF(C680&lt;&gt;IF($C$3=1,12,$C$3-1),0,IF(繳費報酬率資料!$A$1&lt;&gt;1,VLOOKUP($A680,MP,8,0),IF(AND($A680&gt;=OP!$C$79,$A680&lt;=OP!$C$80),OP!$C$78,)))</f>
        <v>0</v>
      </c>
      <c r="AT680" s="298">
        <f t="shared" ca="1" si="387"/>
        <v>0</v>
      </c>
      <c r="AU680" s="298">
        <f ca="1">IF(AND(A680&lt;=OP!$C$120,COUNTIF(PAY,C680)=1),OP!$C$123,0)</f>
        <v>0</v>
      </c>
      <c r="AV680" s="298">
        <f ca="1">IF(AND(A680&gt;=OP!$C$132,A680&lt;=OP!$C$133,$C$3=C680),OP!$C$135,0)</f>
        <v>0</v>
      </c>
      <c r="AW680" s="180">
        <f t="shared" ca="1" si="388"/>
        <v>0.05</v>
      </c>
      <c r="AX680" s="180">
        <f t="shared" ca="1" si="389"/>
        <v>0.05</v>
      </c>
      <c r="AY680" s="286">
        <f t="shared" ca="1" si="390"/>
        <v>0</v>
      </c>
      <c r="AZ680" s="286">
        <f t="shared" ca="1" si="391"/>
        <v>0</v>
      </c>
      <c r="BA680" s="286">
        <f t="shared" ca="1" si="392"/>
        <v>0</v>
      </c>
      <c r="BB680" s="286">
        <f t="shared" ca="1" si="393"/>
        <v>0</v>
      </c>
      <c r="BC680" s="286">
        <f t="shared" ca="1" si="394"/>
        <v>0</v>
      </c>
      <c r="BD680" s="180">
        <f t="shared" ca="1" si="395"/>
        <v>0.05</v>
      </c>
      <c r="BE680" s="180">
        <f t="shared" ca="1" si="396"/>
        <v>0.05</v>
      </c>
      <c r="BF680" s="286">
        <f t="shared" ca="1" si="397"/>
        <v>0</v>
      </c>
      <c r="BG680" s="286">
        <f t="shared" ca="1" si="398"/>
        <v>0</v>
      </c>
    </row>
    <row r="681" spans="1:59">
      <c r="A681" s="1">
        <f t="shared" ca="1" si="378"/>
        <v>57</v>
      </c>
      <c r="B681" s="1">
        <f t="shared" ca="1" si="371"/>
        <v>162</v>
      </c>
      <c r="C681" s="1">
        <f t="shared" ca="1" si="372"/>
        <v>11</v>
      </c>
      <c r="D681" s="1">
        <f ca="1">MIN($D$3,VLOOKUP(C681,OP!$S$30:$T$41,2))</f>
        <v>2</v>
      </c>
      <c r="E681" s="1" t="str">
        <f t="shared" ca="1" si="373"/>
        <v/>
      </c>
      <c r="F681" s="11" t="str">
        <f t="shared" ca="1" si="379"/>
        <v/>
      </c>
      <c r="G681" s="8">
        <f t="shared" ca="1" si="404"/>
        <v>365</v>
      </c>
      <c r="H681" s="8">
        <f t="shared" ca="1" si="380"/>
        <v>30</v>
      </c>
      <c r="I681" s="8" t="str">
        <f t="shared" ca="1" si="377"/>
        <v>5711</v>
      </c>
      <c r="J681" s="13">
        <f>IF(繳費報酬率資料!$A$1=1,VALUE(OP!$C$121),VLOOKUP(A681,MP,2,0))</f>
        <v>0.05</v>
      </c>
      <c r="K681" s="14">
        <f ca="1">IF(SUM($K$4:K680,IF(繳費報酬率資料!$A$1=1,$AU681+$AV681,$BB681+$BC681))&gt;OP!$L$58,0,IF(繳費報酬率資料!$A$1=1,$AU681+$AV681,$BB681+$BC681))</f>
        <v>0</v>
      </c>
      <c r="L681" s="2"/>
      <c r="M681" s="2"/>
      <c r="N681" s="2"/>
      <c r="O681" s="261">
        <f t="shared" ca="1" si="381"/>
        <v>0</v>
      </c>
      <c r="P681" s="261">
        <f t="shared" ca="1" si="399"/>
        <v>0</v>
      </c>
      <c r="Q681" s="3">
        <f ca="1">IF(A681&gt;MAX(OP!$R$17:$R$26),0,VLOOKUP(A681,fees,3,FALSE))</f>
        <v>0</v>
      </c>
      <c r="R681" s="200" t="str">
        <f t="shared" ca="1" si="382"/>
        <v/>
      </c>
      <c r="S681" s="9" t="str">
        <f ca="1">IF(COUNTIF(($T$4:T680),"F")&gt;=1,"",IF(OR(C682&lt;&gt;$C$3,E681=""),"",A681))</f>
        <v/>
      </c>
      <c r="T681" s="20" t="str">
        <f t="shared" ca="1" si="374"/>
        <v/>
      </c>
      <c r="U681" s="2">
        <f ca="1">IF(IF(OP!$C$83=1,$Z680,IF(OP!$C$83=2,$AA680,IF(OP!$C$83=3,$AB680,)))+$K681-$O681-$P681-$AS681&lt;OP!$C$142,0,$AS681)</f>
        <v>0</v>
      </c>
      <c r="V681" s="9"/>
      <c r="W681" s="19">
        <f ca="1">MAX(SUM($K$4:K681),0)</f>
        <v>2000000</v>
      </c>
      <c r="X681" s="19"/>
      <c r="Y681" s="19">
        <f t="shared" ca="1" si="400"/>
        <v>1920000</v>
      </c>
      <c r="Z681" s="2">
        <f ca="1">IF(MIN($Z$4:Z680)=0,0,MAX(0,($Z680+$K681-$O681-$P681)*IF(AND(F681="F",$D$3&lt;&gt;$G$3),((1+(-J681))^(H681/MIN(G681,365))),((1+(-J681))^(1/12)))-$U681))</f>
        <v>105848.55352140449</v>
      </c>
      <c r="AA681" s="2">
        <f ca="1">IF(MIN($AA$4:AA680)=0,0,MAX(0,($AA680+$K681-$O681-$P681)*IF(AND(F681="F",$D$3&lt;&gt;$G$3),((1+$AA$1)^(H681/MIN(G681,365))),((1+$AA$1)^(1/12)))-$U681))</f>
        <v>1920000</v>
      </c>
      <c r="AB681" s="2">
        <f ca="1">IF(MIN($AB$4:AB680)=0,0,MAX(0,($AB680+$K681-$O681-$P681)*IF(AND(F681="F",$D$3&lt;&gt;$G$3),((1+(J681))^(H681/MIN(G681,365))),((1+(J681))^(1/12)))-$U681))</f>
        <v>30234070.828854989</v>
      </c>
      <c r="AC681" s="5"/>
      <c r="AD681" s="5"/>
      <c r="AE681" s="5"/>
      <c r="AF681" s="282">
        <f t="shared" ca="1" si="383"/>
        <v>105849</v>
      </c>
      <c r="AG681" s="282">
        <f t="shared" ca="1" si="384"/>
        <v>1920000</v>
      </c>
      <c r="AH681" s="282">
        <f t="shared" ca="1" si="385"/>
        <v>30234071</v>
      </c>
      <c r="AI681" s="23" t="str">
        <f t="shared" ca="1" si="401"/>
        <v>57-7</v>
      </c>
      <c r="AJ681" s="282">
        <f ca="1">IF(E681&gt;111,,IF(AND(OP!$C$99=1,T681="F"),Z681,IF(AND(OP!$C$99=2,COUNTIF($T$4:T681,"F")=1),OP!$C$97+IF(F681="F",OP!$C$98,0),"")))</f>
        <v>0</v>
      </c>
      <c r="AK681" s="282">
        <f ca="1">IF(E681&gt;111,,IF(AND(OP!$D$99=1,T681="F"),AA681,IF(AND(OP!$D$99=2,COUNTIF($T$4:T681,"F")=1),OP!$D$97+IF(F681="F",OP!$D$98,0),"")))</f>
        <v>0</v>
      </c>
      <c r="AL681" s="282">
        <f ca="1">IF(E681&gt;111,,IF(AND(OP!$E$99=1,T681="F"),AB681,IF(AND(OP!$E$99=2,COUNTIF($T$4:T681,"F")=1),OP!$E$97+IF(F681="F",OP!$E$98,0),"")))</f>
        <v>0</v>
      </c>
      <c r="AM681" s="1">
        <f t="shared" ca="1" si="375"/>
        <v>7</v>
      </c>
      <c r="AN681" s="1" t="e">
        <f ca="1">IF(OR(VLOOKUP($A681,MP,5,0)="月繳"),1,"")</f>
        <v>#N/A</v>
      </c>
      <c r="AO681" s="1">
        <f t="shared" ca="1" si="386"/>
        <v>0</v>
      </c>
      <c r="AP681" s="1" t="str">
        <f ca="1">IF(AND(A681&lt;=OP!$C$120,COUNTIF(PAY,C681)=1),1,"")</f>
        <v/>
      </c>
      <c r="AR681" s="301">
        <f ca="1">IF(繳費報酬率資料!$A$1=1,$AY681+$AZ681,$BF681+$BG681)</f>
        <v>0</v>
      </c>
      <c r="AS681" s="1">
        <f ca="1">IF(C681&lt;&gt;IF($C$3=1,12,$C$3-1),0,IF(繳費報酬率資料!$A$1&lt;&gt;1,VLOOKUP($A681,MP,8,0),IF(AND($A681&gt;=OP!$C$79,$A681&lt;=OP!$C$80),OP!$C$78,)))</f>
        <v>0</v>
      </c>
      <c r="AT681" s="298">
        <f t="shared" ca="1" si="387"/>
        <v>0</v>
      </c>
      <c r="AU681" s="298">
        <f ca="1">IF(AND(A681&lt;=OP!$C$120,COUNTIF(PAY,C681)=1),OP!$C$123,0)</f>
        <v>0</v>
      </c>
      <c r="AV681" s="298">
        <f ca="1">IF(AND(A681&gt;=OP!$C$132,A681&lt;=OP!$C$133,$C$3=C681),OP!$C$135,0)</f>
        <v>0</v>
      </c>
      <c r="AW681" s="180">
        <f t="shared" ca="1" si="388"/>
        <v>0.05</v>
      </c>
      <c r="AX681" s="180">
        <f t="shared" ca="1" si="389"/>
        <v>0.05</v>
      </c>
      <c r="AY681" s="286">
        <f t="shared" ca="1" si="390"/>
        <v>0</v>
      </c>
      <c r="AZ681" s="286">
        <f t="shared" ca="1" si="391"/>
        <v>0</v>
      </c>
      <c r="BA681" s="286">
        <f t="shared" ca="1" si="392"/>
        <v>0</v>
      </c>
      <c r="BB681" s="286">
        <f t="shared" ca="1" si="393"/>
        <v>0</v>
      </c>
      <c r="BC681" s="286">
        <f t="shared" ca="1" si="394"/>
        <v>0</v>
      </c>
      <c r="BD681" s="180">
        <f t="shared" ca="1" si="395"/>
        <v>0.05</v>
      </c>
      <c r="BE681" s="180">
        <f t="shared" ca="1" si="396"/>
        <v>0.05</v>
      </c>
      <c r="BF681" s="286">
        <f t="shared" ca="1" si="397"/>
        <v>0</v>
      </c>
      <c r="BG681" s="286">
        <f t="shared" ca="1" si="398"/>
        <v>0</v>
      </c>
    </row>
    <row r="682" spans="1:59">
      <c r="A682" s="1">
        <f t="shared" ca="1" si="378"/>
        <v>57</v>
      </c>
      <c r="B682" s="1">
        <f t="shared" ca="1" si="371"/>
        <v>162</v>
      </c>
      <c r="C682" s="1">
        <f t="shared" ca="1" si="372"/>
        <v>12</v>
      </c>
      <c r="D682" s="1">
        <f ca="1">MIN($D$3,VLOOKUP(C682,OP!$S$30:$T$41,2))</f>
        <v>2</v>
      </c>
      <c r="E682" s="1" t="str">
        <f t="shared" ca="1" si="373"/>
        <v/>
      </c>
      <c r="F682" s="11" t="str">
        <f t="shared" ca="1" si="379"/>
        <v/>
      </c>
      <c r="G682" s="8">
        <f t="shared" ca="1" si="404"/>
        <v>365</v>
      </c>
      <c r="H682" s="8">
        <f t="shared" ca="1" si="380"/>
        <v>31</v>
      </c>
      <c r="I682" s="8" t="str">
        <f t="shared" ca="1" si="377"/>
        <v>5712</v>
      </c>
      <c r="J682" s="13">
        <f>IF(繳費報酬率資料!$A$1=1,VALUE(OP!$C$121),VLOOKUP(A682,MP,2,0))</f>
        <v>0.05</v>
      </c>
      <c r="K682" s="14">
        <f ca="1">IF(SUM($K$4:K681,IF(繳費報酬率資料!$A$1=1,$AU682+$AV682,$BB682+$BC682))&gt;OP!$L$58,0,IF(繳費報酬率資料!$A$1=1,$AU682+$AV682,$BB682+$BC682))</f>
        <v>0</v>
      </c>
      <c r="L682" s="2"/>
      <c r="M682" s="2"/>
      <c r="N682" s="2"/>
      <c r="O682" s="261">
        <f t="shared" ca="1" si="381"/>
        <v>0</v>
      </c>
      <c r="P682" s="261">
        <f t="shared" ca="1" si="399"/>
        <v>0</v>
      </c>
      <c r="Q682" s="3">
        <f ca="1">IF(A682&gt;MAX(OP!$R$17:$R$26),0,VLOOKUP(A682,fees,3,FALSE))</f>
        <v>0</v>
      </c>
      <c r="R682" s="200" t="str">
        <f t="shared" ca="1" si="382"/>
        <v/>
      </c>
      <c r="S682" s="9" t="str">
        <f ca="1">IF(COUNTIF(($T$4:T681),"F")&gt;=1,"",IF(OR(C683&lt;&gt;$C$3,E682=""),"",A682))</f>
        <v/>
      </c>
      <c r="T682" s="20" t="str">
        <f t="shared" ca="1" si="374"/>
        <v/>
      </c>
      <c r="U682" s="2">
        <f ca="1">IF(IF(OP!$C$83=1,$Z681,IF(OP!$C$83=2,$AA681,IF(OP!$C$83=3,$AB681,)))+$K682-$O682-$P682-$AS682&lt;OP!$C$142,0,$AS682)</f>
        <v>0</v>
      </c>
      <c r="V682" s="9"/>
      <c r="W682" s="19">
        <f ca="1">MAX(SUM($K$4:K682),0)</f>
        <v>2000000</v>
      </c>
      <c r="X682" s="19"/>
      <c r="Y682" s="19">
        <f t="shared" ca="1" si="400"/>
        <v>1920000</v>
      </c>
      <c r="Z682" s="2">
        <f ca="1">IF(MIN($Z$4:Z681)=0,0,MAX(0,($Z681+$K682-$O682-$P682)*IF(AND(F682="F",$D$3&lt;&gt;$G$3),((1+(-J682))^(H682/MIN(G682,365))),((1+(-J682))^(1/12)))-$U682))</f>
        <v>105397.07569849202</v>
      </c>
      <c r="AA682" s="2">
        <f ca="1">IF(MIN($AA$4:AA681)=0,0,MAX(0,($AA681+$K682-$O682-$P682)*IF(AND(F682="F",$D$3&lt;&gt;$G$3),((1+$AA$1)^(H682/MIN(G682,365))),((1+$AA$1)^(1/12)))-$U682))</f>
        <v>1920000</v>
      </c>
      <c r="AB682" s="2">
        <f ca="1">IF(MIN($AB$4:AB681)=0,0,MAX(0,($AB681+$K682-$O682-$P682)*IF(AND(F682="F",$D$3&lt;&gt;$G$3),((1+(J682))^(H682/MIN(G682,365))),((1+(J682))^(1/12)))-$U682))</f>
        <v>30357248.175895337</v>
      </c>
      <c r="AC682" s="5"/>
      <c r="AD682" s="5"/>
      <c r="AE682" s="5"/>
      <c r="AF682" s="282">
        <f t="shared" ca="1" si="383"/>
        <v>105397</v>
      </c>
      <c r="AG682" s="282">
        <f t="shared" ca="1" si="384"/>
        <v>1920000</v>
      </c>
      <c r="AH682" s="282">
        <f t="shared" ca="1" si="385"/>
        <v>30357248</v>
      </c>
      <c r="AI682" s="23" t="str">
        <f t="shared" ca="1" si="401"/>
        <v>57-8</v>
      </c>
      <c r="AJ682" s="282">
        <f ca="1">IF(E682&gt;111,,IF(AND(OP!$C$99=1,T682="F"),Z682,IF(AND(OP!$C$99=2,COUNTIF($T$4:T682,"F")=1),OP!$C$97+IF(F682="F",OP!$C$98,0),"")))</f>
        <v>0</v>
      </c>
      <c r="AK682" s="282">
        <f ca="1">IF(E682&gt;111,,IF(AND(OP!$D$99=1,T682="F"),AA682,IF(AND(OP!$D$99=2,COUNTIF($T$4:T682,"F")=1),OP!$D$97+IF(F682="F",OP!$D$98,0),"")))</f>
        <v>0</v>
      </c>
      <c r="AL682" s="282">
        <f ca="1">IF(E682&gt;111,,IF(AND(OP!$E$99=1,T682="F"),AB682,IF(AND(OP!$E$99=2,COUNTIF($T$4:T682,"F")=1),OP!$E$97+IF(F682="F",OP!$E$98,0),"")))</f>
        <v>0</v>
      </c>
      <c r="AM682" s="1">
        <f t="shared" ca="1" si="375"/>
        <v>8</v>
      </c>
      <c r="AN682" s="1" t="e">
        <f ca="1">IF(OR(VLOOKUP($A682,MP,5,0)="半年繳",VLOOKUP($A682,MP,5,0)="季繳",VLOOKUP($A682,MP,5,0)="月繳"),1,"")</f>
        <v>#N/A</v>
      </c>
      <c r="AO682" s="1">
        <f t="shared" ca="1" si="386"/>
        <v>0</v>
      </c>
      <c r="AP682" s="1" t="str">
        <f ca="1">IF(AND(A682&lt;=OP!$C$120,COUNTIF(PAY,C682)=1),1,"")</f>
        <v/>
      </c>
      <c r="AR682" s="301">
        <f ca="1">IF(繳費報酬率資料!$A$1=1,$AY682+$AZ682,$BF682+$BG682)</f>
        <v>0</v>
      </c>
      <c r="AS682" s="1">
        <f ca="1">IF(C682&lt;&gt;IF($C$3=1,12,$C$3-1),0,IF(繳費報酬率資料!$A$1&lt;&gt;1,VLOOKUP($A682,MP,8,0),IF(AND($A682&gt;=OP!$C$79,$A682&lt;=OP!$C$80),OP!$C$78,)))</f>
        <v>0</v>
      </c>
      <c r="AT682" s="298">
        <f t="shared" ca="1" si="387"/>
        <v>0</v>
      </c>
      <c r="AU682" s="298">
        <f ca="1">IF(AND(A682&lt;=OP!$C$120,COUNTIF(PAY,C682)=1),OP!$C$123,0)</f>
        <v>0</v>
      </c>
      <c r="AV682" s="298">
        <f ca="1">IF(AND(A682&gt;=OP!$C$132,A682&lt;=OP!$C$133,$C$3=C682),OP!$C$135,0)</f>
        <v>0</v>
      </c>
      <c r="AW682" s="180">
        <f t="shared" ca="1" si="388"/>
        <v>0.05</v>
      </c>
      <c r="AX682" s="180">
        <f t="shared" ca="1" si="389"/>
        <v>0.05</v>
      </c>
      <c r="AY682" s="286">
        <f t="shared" ca="1" si="390"/>
        <v>0</v>
      </c>
      <c r="AZ682" s="286">
        <f t="shared" ca="1" si="391"/>
        <v>0</v>
      </c>
      <c r="BA682" s="286">
        <f t="shared" ca="1" si="392"/>
        <v>0</v>
      </c>
      <c r="BB682" s="286">
        <f t="shared" ca="1" si="393"/>
        <v>0</v>
      </c>
      <c r="BC682" s="286">
        <f t="shared" ca="1" si="394"/>
        <v>0</v>
      </c>
      <c r="BD682" s="180">
        <f t="shared" ca="1" si="395"/>
        <v>0.05</v>
      </c>
      <c r="BE682" s="180">
        <f t="shared" ca="1" si="396"/>
        <v>0.05</v>
      </c>
      <c r="BF682" s="286">
        <f t="shared" ca="1" si="397"/>
        <v>0</v>
      </c>
      <c r="BG682" s="286">
        <f t="shared" ca="1" si="398"/>
        <v>0</v>
      </c>
    </row>
    <row r="683" spans="1:59">
      <c r="A683" s="1">
        <f t="shared" ca="1" si="378"/>
        <v>57</v>
      </c>
      <c r="B683" s="1">
        <f t="shared" ca="1" si="371"/>
        <v>163</v>
      </c>
      <c r="C683" s="1">
        <f t="shared" ca="1" si="372"/>
        <v>1</v>
      </c>
      <c r="D683" s="1">
        <f ca="1">MIN($D$3,VLOOKUP(C683,OP!$S$30:$T$41,2))</f>
        <v>2</v>
      </c>
      <c r="E683" s="1" t="str">
        <f t="shared" ca="1" si="373"/>
        <v/>
      </c>
      <c r="F683" s="11" t="str">
        <f t="shared" ca="1" si="379"/>
        <v/>
      </c>
      <c r="G683" s="8">
        <f t="shared" ca="1" si="404"/>
        <v>365</v>
      </c>
      <c r="H683" s="8">
        <f t="shared" ca="1" si="380"/>
        <v>31</v>
      </c>
      <c r="I683" s="8" t="str">
        <f t="shared" ca="1" si="377"/>
        <v>571</v>
      </c>
      <c r="J683" s="13">
        <f>IF(繳費報酬率資料!$A$1=1,VALUE(OP!$C$121),VLOOKUP(A683,MP,2,0))</f>
        <v>0.05</v>
      </c>
      <c r="K683" s="14">
        <f ca="1">IF(SUM($K$4:K682,IF(繳費報酬率資料!$A$1=1,$AU683+$AV683,$BB683+$BC683))&gt;OP!$L$58,0,IF(繳費報酬率資料!$A$1=1,$AU683+$AV683,$BB683+$BC683))</f>
        <v>0</v>
      </c>
      <c r="L683" s="2"/>
      <c r="M683" s="2"/>
      <c r="N683" s="2"/>
      <c r="O683" s="261">
        <f t="shared" ca="1" si="381"/>
        <v>0</v>
      </c>
      <c r="P683" s="261">
        <f t="shared" ca="1" si="399"/>
        <v>0</v>
      </c>
      <c r="Q683" s="3">
        <f ca="1">IF(A683&gt;MAX(OP!$R$17:$R$26),0,VLOOKUP(A683,fees,3,FALSE))</f>
        <v>0</v>
      </c>
      <c r="R683" s="200" t="str">
        <f t="shared" ca="1" si="382"/>
        <v/>
      </c>
      <c r="S683" s="9" t="str">
        <f ca="1">IF(COUNTIF(($T$4:T682),"F")&gt;=1,"",IF(OR(C684&lt;&gt;$C$3,E683=""),"",A683))</f>
        <v/>
      </c>
      <c r="T683" s="20" t="str">
        <f t="shared" ca="1" si="374"/>
        <v/>
      </c>
      <c r="U683" s="2">
        <f ca="1">IF(IF(OP!$C$83=1,$Z682,IF(OP!$C$83=2,$AA682,IF(OP!$C$83=3,$AB682,)))+$K683-$O683-$P683-$AS683&lt;OP!$C$142,0,$AS683)</f>
        <v>0</v>
      </c>
      <c r="V683" s="9"/>
      <c r="W683" s="19">
        <f ca="1">MAX(SUM($K$4:K683),0)</f>
        <v>2000000</v>
      </c>
      <c r="X683" s="19"/>
      <c r="Y683" s="19">
        <f t="shared" ca="1" si="400"/>
        <v>1920000</v>
      </c>
      <c r="Z683" s="2">
        <f ca="1">IF(MIN($Z$4:Z682)=0,0,MAX(0,($Z682+$K683-$O683-$P683)*IF(AND(F683="F",$D$3&lt;&gt;$G$3),((1+(-J683))^(H683/MIN(G683,365))),((1+(-J683))^(1/12)))-$U683))</f>
        <v>104947.52357241526</v>
      </c>
      <c r="AA683" s="2">
        <f ca="1">IF(MIN($AA$4:AA682)=0,0,MAX(0,($AA682+$K683-$O683-$P683)*IF(AND(F683="F",$D$3&lt;&gt;$G$3),((1+$AA$1)^(H683/MIN(G683,365))),((1+$AA$1)^(1/12)))-$U683))</f>
        <v>1920000</v>
      </c>
      <c r="AB683" s="2">
        <f ca="1">IF(MIN($AB$4:AB682)=0,0,MAX(0,($AB682+$K683-$O683-$P683)*IF(AND(F683="F",$D$3&lt;&gt;$G$3),((1+(J683))^(H683/MIN(G683,365))),((1+(J683))^(1/12)))-$U683))</f>
        <v>30480927.362694867</v>
      </c>
      <c r="AC683" s="5"/>
      <c r="AD683" s="5"/>
      <c r="AE683" s="5"/>
      <c r="AF683" s="282">
        <f t="shared" ca="1" si="383"/>
        <v>104948</v>
      </c>
      <c r="AG683" s="282">
        <f t="shared" ca="1" si="384"/>
        <v>1920000</v>
      </c>
      <c r="AH683" s="282">
        <f t="shared" ca="1" si="385"/>
        <v>30480927</v>
      </c>
      <c r="AI683" s="23" t="str">
        <f t="shared" ca="1" si="401"/>
        <v>57-9</v>
      </c>
      <c r="AJ683" s="282">
        <f ca="1">IF(E683&gt;111,,IF(AND(OP!$C$99=1,T683="F"),Z683,IF(AND(OP!$C$99=2,COUNTIF($T$4:T683,"F")=1),OP!$C$97+IF(F683="F",OP!$C$98,0),"")))</f>
        <v>0</v>
      </c>
      <c r="AK683" s="282">
        <f ca="1">IF(E683&gt;111,,IF(AND(OP!$D$99=1,T683="F"),AA683,IF(AND(OP!$D$99=2,COUNTIF($T$4:T683,"F")=1),OP!$D$97+IF(F683="F",OP!$D$98,0),"")))</f>
        <v>0</v>
      </c>
      <c r="AL683" s="282">
        <f ca="1">IF(E683&gt;111,,IF(AND(OP!$E$99=1,T683="F"),AB683,IF(AND(OP!$E$99=2,COUNTIF($T$4:T683,"F")=1),OP!$E$97+IF(F683="F",OP!$E$98,0),"")))</f>
        <v>0</v>
      </c>
      <c r="AM683" s="1">
        <f t="shared" ca="1" si="375"/>
        <v>9</v>
      </c>
      <c r="AN683" s="1" t="e">
        <f ca="1">IF(OR(VLOOKUP($A683,MP,5,0)="月繳"),1,"")</f>
        <v>#N/A</v>
      </c>
      <c r="AO683" s="1">
        <f t="shared" ca="1" si="386"/>
        <v>0</v>
      </c>
      <c r="AP683" s="1" t="str">
        <f ca="1">IF(AND(A683&lt;=OP!$C$120,COUNTIF(PAY,C683)=1),1,"")</f>
        <v/>
      </c>
      <c r="AR683" s="301">
        <f ca="1">IF(繳費報酬率資料!$A$1=1,$AY683+$AZ683,$BF683+$BG683)</f>
        <v>0</v>
      </c>
      <c r="AS683" s="1">
        <f ca="1">IF(C683&lt;&gt;IF($C$3=1,12,$C$3-1),0,IF(繳費報酬率資料!$A$1&lt;&gt;1,VLOOKUP($A683,MP,8,0),IF(AND($A683&gt;=OP!$C$79,$A683&lt;=OP!$C$80),OP!$C$78,)))</f>
        <v>0</v>
      </c>
      <c r="AT683" s="298">
        <f t="shared" ca="1" si="387"/>
        <v>0</v>
      </c>
      <c r="AU683" s="298">
        <f ca="1">IF(AND(A683&lt;=OP!$C$120,COUNTIF(PAY,C683)=1),OP!$C$123,0)</f>
        <v>0</v>
      </c>
      <c r="AV683" s="298">
        <f ca="1">IF(AND(A683&gt;=OP!$C$132,A683&lt;=OP!$C$133,$C$3=C683),OP!$C$135,0)</f>
        <v>0</v>
      </c>
      <c r="AW683" s="180">
        <f t="shared" ca="1" si="388"/>
        <v>0.05</v>
      </c>
      <c r="AX683" s="180">
        <f t="shared" ca="1" si="389"/>
        <v>0.05</v>
      </c>
      <c r="AY683" s="286">
        <f t="shared" ca="1" si="390"/>
        <v>0</v>
      </c>
      <c r="AZ683" s="286">
        <f t="shared" ca="1" si="391"/>
        <v>0</v>
      </c>
      <c r="BA683" s="286">
        <f t="shared" ca="1" si="392"/>
        <v>0</v>
      </c>
      <c r="BB683" s="286">
        <f t="shared" ca="1" si="393"/>
        <v>0</v>
      </c>
      <c r="BC683" s="286">
        <f t="shared" ca="1" si="394"/>
        <v>0</v>
      </c>
      <c r="BD683" s="180">
        <f t="shared" ca="1" si="395"/>
        <v>0.05</v>
      </c>
      <c r="BE683" s="180">
        <f t="shared" ca="1" si="396"/>
        <v>0.05</v>
      </c>
      <c r="BF683" s="286">
        <f t="shared" ca="1" si="397"/>
        <v>0</v>
      </c>
      <c r="BG683" s="286">
        <f t="shared" ca="1" si="398"/>
        <v>0</v>
      </c>
    </row>
    <row r="684" spans="1:59">
      <c r="A684" s="1">
        <f t="shared" ca="1" si="378"/>
        <v>57</v>
      </c>
      <c r="B684" s="1">
        <f t="shared" ca="1" si="371"/>
        <v>163</v>
      </c>
      <c r="C684" s="1">
        <f t="shared" ca="1" si="372"/>
        <v>2</v>
      </c>
      <c r="D684" s="1">
        <f ca="1">MIN($D$3,VLOOKUP(C684,OP!$S$30:$T$41,2))</f>
        <v>2</v>
      </c>
      <c r="E684" s="1" t="str">
        <f t="shared" ca="1" si="373"/>
        <v/>
      </c>
      <c r="F684" s="11" t="str">
        <f t="shared" ca="1" si="379"/>
        <v/>
      </c>
      <c r="G684" s="8">
        <f t="shared" ca="1" si="404"/>
        <v>365</v>
      </c>
      <c r="H684" s="8">
        <f t="shared" ca="1" si="380"/>
        <v>28</v>
      </c>
      <c r="I684" s="8" t="str">
        <f t="shared" ca="1" si="377"/>
        <v>572</v>
      </c>
      <c r="J684" s="13">
        <f>IF(繳費報酬率資料!$A$1=1,VALUE(OP!$C$121),VLOOKUP(A684,MP,2,0))</f>
        <v>0.05</v>
      </c>
      <c r="K684" s="14">
        <f ca="1">IF(SUM($K$4:K683,IF(繳費報酬率資料!$A$1=1,$AU684+$AV684,$BB684+$BC684))&gt;OP!$L$58,0,IF(繳費報酬率資料!$A$1=1,$AU684+$AV684,$BB684+$BC684))</f>
        <v>0</v>
      </c>
      <c r="L684" s="2"/>
      <c r="M684" s="2"/>
      <c r="N684" s="2"/>
      <c r="O684" s="261">
        <f t="shared" ca="1" si="381"/>
        <v>0</v>
      </c>
      <c r="P684" s="261">
        <f t="shared" ca="1" si="399"/>
        <v>0</v>
      </c>
      <c r="Q684" s="3">
        <f ca="1">IF(A684&gt;MAX(OP!$R$17:$R$26),0,VLOOKUP(A684,fees,3,FALSE))</f>
        <v>0</v>
      </c>
      <c r="R684" s="200" t="str">
        <f t="shared" ca="1" si="382"/>
        <v/>
      </c>
      <c r="S684" s="9" t="str">
        <f ca="1">IF(COUNTIF(($T$4:T683),"F")&gt;=1,"",IF(OR(C685&lt;&gt;$C$3,E684=""),"",A684))</f>
        <v/>
      </c>
      <c r="T684" s="20" t="str">
        <f t="shared" ca="1" si="374"/>
        <v/>
      </c>
      <c r="U684" s="2">
        <f ca="1">IF(IF(OP!$C$83=1,$Z683,IF(OP!$C$83=2,$AA683,IF(OP!$C$83=3,$AB683,)))+$K684-$O684-$P684-$AS684&lt;OP!$C$142,0,$AS684)</f>
        <v>0</v>
      </c>
      <c r="V684" s="9"/>
      <c r="W684" s="19">
        <f ca="1">MAX(SUM($K$4:K684),0)</f>
        <v>2000000</v>
      </c>
      <c r="X684" s="19"/>
      <c r="Y684" s="19">
        <f t="shared" ca="1" si="400"/>
        <v>1920000</v>
      </c>
      <c r="Z684" s="2">
        <f ca="1">IF(MIN($Z$4:Z683)=0,0,MAX(0,($Z683+$K684-$O684-$P684)*IF(AND(F684="F",$D$3&lt;&gt;$G$3),((1+(-J684))^(H684/MIN(G684,365))),((1+(-J684))^(1/12)))-$U684))</f>
        <v>104499.88892946334</v>
      </c>
      <c r="AA684" s="2">
        <f ca="1">IF(MIN($AA$4:AA683)=0,0,MAX(0,($AA683+$K684-$O684-$P684)*IF(AND(F684="F",$D$3&lt;&gt;$G$3),((1+$AA$1)^(H684/MIN(G684,365))),((1+$AA$1)^(1/12)))-$U684))</f>
        <v>1920000</v>
      </c>
      <c r="AB684" s="2">
        <f ca="1">IF(MIN($AB$4:AB683)=0,0,MAX(0,($AB683+$K684-$O684-$P684)*IF(AND(F684="F",$D$3&lt;&gt;$G$3),((1+(J684))^(H684/MIN(G684,365))),((1+(J684))^(1/12)))-$U684))</f>
        <v>30605110.433810879</v>
      </c>
      <c r="AC684" s="5"/>
      <c r="AD684" s="5"/>
      <c r="AE684" s="5"/>
      <c r="AF684" s="282">
        <f t="shared" ca="1" si="383"/>
        <v>104500</v>
      </c>
      <c r="AG684" s="282">
        <f t="shared" ca="1" si="384"/>
        <v>1920000</v>
      </c>
      <c r="AH684" s="282">
        <f t="shared" ca="1" si="385"/>
        <v>30605110</v>
      </c>
      <c r="AI684" s="23" t="str">
        <f t="shared" ca="1" si="401"/>
        <v>57-10</v>
      </c>
      <c r="AJ684" s="282">
        <f ca="1">IF(E684&gt;111,,IF(AND(OP!$C$99=1,T684="F"),Z684,IF(AND(OP!$C$99=2,COUNTIF($T$4:T684,"F")=1),OP!$C$97+IF(F684="F",OP!$C$98,0),"")))</f>
        <v>0</v>
      </c>
      <c r="AK684" s="282">
        <f ca="1">IF(E684&gt;111,,IF(AND(OP!$D$99=1,T684="F"),AA684,IF(AND(OP!$D$99=2,COUNTIF($T$4:T684,"F")=1),OP!$D$97+IF(F684="F",OP!$D$98,0),"")))</f>
        <v>0</v>
      </c>
      <c r="AL684" s="282">
        <f ca="1">IF(E684&gt;111,,IF(AND(OP!$E$99=1,T684="F"),AB684,IF(AND(OP!$E$99=2,COUNTIF($T$4:T684,"F")=1),OP!$E$97+IF(F684="F",OP!$E$98,0),"")))</f>
        <v>0</v>
      </c>
      <c r="AM684" s="1">
        <f t="shared" ca="1" si="375"/>
        <v>10</v>
      </c>
      <c r="AN684" s="1" t="e">
        <f ca="1">IF(OR(VLOOKUP($A684,MP,5,0)="月繳"),1,"")</f>
        <v>#N/A</v>
      </c>
      <c r="AO684" s="1">
        <f t="shared" ca="1" si="386"/>
        <v>0</v>
      </c>
      <c r="AP684" s="1" t="str">
        <f ca="1">IF(AND(A684&lt;=OP!$C$120,COUNTIF(PAY,C684)=1),1,"")</f>
        <v/>
      </c>
      <c r="AR684" s="301">
        <f ca="1">IF(繳費報酬率資料!$A$1=1,$AY684+$AZ684,$BF684+$BG684)</f>
        <v>0</v>
      </c>
      <c r="AS684" s="1">
        <f ca="1">IF(C684&lt;&gt;IF($C$3=1,12,$C$3-1),0,IF(繳費報酬率資料!$A$1&lt;&gt;1,VLOOKUP($A684,MP,8,0),IF(AND($A684&gt;=OP!$C$79,$A684&lt;=OP!$C$80),OP!$C$78,)))</f>
        <v>0</v>
      </c>
      <c r="AT684" s="298">
        <f t="shared" ca="1" si="387"/>
        <v>0</v>
      </c>
      <c r="AU684" s="298">
        <f ca="1">IF(AND(A684&lt;=OP!$C$120,COUNTIF(PAY,C684)=1),OP!$C$123,0)</f>
        <v>0</v>
      </c>
      <c r="AV684" s="298">
        <f ca="1">IF(AND(A684&gt;=OP!$C$132,A684&lt;=OP!$C$133,$C$3=C684),OP!$C$135,0)</f>
        <v>0</v>
      </c>
      <c r="AW684" s="180">
        <f t="shared" ca="1" si="388"/>
        <v>0.05</v>
      </c>
      <c r="AX684" s="180">
        <f t="shared" ca="1" si="389"/>
        <v>0.05</v>
      </c>
      <c r="AY684" s="286">
        <f t="shared" ca="1" si="390"/>
        <v>0</v>
      </c>
      <c r="AZ684" s="286">
        <f t="shared" ca="1" si="391"/>
        <v>0</v>
      </c>
      <c r="BA684" s="286">
        <f t="shared" ca="1" si="392"/>
        <v>0</v>
      </c>
      <c r="BB684" s="286">
        <f t="shared" ca="1" si="393"/>
        <v>0</v>
      </c>
      <c r="BC684" s="286">
        <f t="shared" ca="1" si="394"/>
        <v>0</v>
      </c>
      <c r="BD684" s="180">
        <f t="shared" ca="1" si="395"/>
        <v>0.05</v>
      </c>
      <c r="BE684" s="180">
        <f t="shared" ca="1" si="396"/>
        <v>0.05</v>
      </c>
      <c r="BF684" s="286">
        <f t="shared" ca="1" si="397"/>
        <v>0</v>
      </c>
      <c r="BG684" s="286">
        <f t="shared" ca="1" si="398"/>
        <v>0</v>
      </c>
    </row>
    <row r="685" spans="1:59">
      <c r="A685" s="1">
        <f t="shared" ca="1" si="378"/>
        <v>57</v>
      </c>
      <c r="B685" s="1">
        <f t="shared" ca="1" si="371"/>
        <v>163</v>
      </c>
      <c r="C685" s="1">
        <f t="shared" ca="1" si="372"/>
        <v>3</v>
      </c>
      <c r="D685" s="1">
        <f ca="1">MIN($D$3,VLOOKUP(C685,OP!$S$30:$T$41,2))</f>
        <v>2</v>
      </c>
      <c r="E685" s="1" t="str">
        <f t="shared" ca="1" si="373"/>
        <v/>
      </c>
      <c r="F685" s="11" t="str">
        <f t="shared" ca="1" si="379"/>
        <v/>
      </c>
      <c r="G685" s="8">
        <f t="shared" ca="1" si="404"/>
        <v>365</v>
      </c>
      <c r="H685" s="8">
        <f t="shared" ca="1" si="380"/>
        <v>31</v>
      </c>
      <c r="I685" s="8" t="str">
        <f t="shared" ca="1" si="377"/>
        <v>573</v>
      </c>
      <c r="J685" s="13">
        <f>IF(繳費報酬率資料!$A$1=1,VALUE(OP!$C$121),VLOOKUP(A685,MP,2,0))</f>
        <v>0.05</v>
      </c>
      <c r="K685" s="14">
        <f ca="1">IF(SUM($K$4:K684,IF(繳費報酬率資料!$A$1=1,$AU685+$AV685,$BB685+$BC685))&gt;OP!$L$58,0,IF(繳費報酬率資料!$A$1=1,$AU685+$AV685,$BB685+$BC685))</f>
        <v>0</v>
      </c>
      <c r="L685" s="2"/>
      <c r="M685" s="2"/>
      <c r="N685" s="2"/>
      <c r="O685" s="261">
        <f t="shared" ca="1" si="381"/>
        <v>0</v>
      </c>
      <c r="P685" s="261">
        <f t="shared" ca="1" si="399"/>
        <v>0</v>
      </c>
      <c r="Q685" s="3">
        <f ca="1">IF(A685&gt;MAX(OP!$R$17:$R$26),0,VLOOKUP(A685,fees,3,FALSE))</f>
        <v>0</v>
      </c>
      <c r="R685" s="200" t="str">
        <f t="shared" ca="1" si="382"/>
        <v/>
      </c>
      <c r="S685" s="9" t="str">
        <f ca="1">IF(COUNTIF(($T$4:T684),"F")&gt;=1,"",IF(OR(C686&lt;&gt;$C$3,E685=""),"",A685))</f>
        <v/>
      </c>
      <c r="T685" s="20" t="str">
        <f t="shared" ca="1" si="374"/>
        <v/>
      </c>
      <c r="U685" s="2">
        <f ca="1">IF(IF(OP!$C$83=1,$Z684,IF(OP!$C$83=2,$AA684,IF(OP!$C$83=3,$AB684,)))+$K685-$O685-$P685-$AS685&lt;OP!$C$142,0,$AS685)</f>
        <v>0</v>
      </c>
      <c r="V685" s="9"/>
      <c r="W685" s="19">
        <f ca="1">MAX(SUM($K$4:K685),0)</f>
        <v>2000000</v>
      </c>
      <c r="X685" s="19"/>
      <c r="Y685" s="19">
        <f t="shared" ca="1" si="400"/>
        <v>1920000</v>
      </c>
      <c r="Z685" s="2">
        <f ca="1">IF(MIN($Z$4:Z684)=0,0,MAX(0,($Z684+$K685-$O685-$P685)*IF(AND(F685="F",$D$3&lt;&gt;$G$3),((1+(-J685))^(H685/MIN(G685,365))),((1+(-J685))^(1/12)))-$U685))</f>
        <v>104054.16359095951</v>
      </c>
      <c r="AA685" s="2">
        <f ca="1">IF(MIN($AA$4:AA684)=0,0,MAX(0,($AA684+$K685-$O685-$P685)*IF(AND(F685="F",$D$3&lt;&gt;$G$3),((1+$AA$1)^(H685/MIN(G685,365))),((1+$AA$1)^(1/12)))-$U685))</f>
        <v>1920000</v>
      </c>
      <c r="AB685" s="2">
        <f ca="1">IF(MIN($AB$4:AB684)=0,0,MAX(0,($AB684+$K685-$O685-$P685)*IF(AND(F685="F",$D$3&lt;&gt;$G$3),((1+(J685))^(H685/MIN(G685,365))),((1+(J685))^(1/12)))-$U685))</f>
        <v>30729799.44213045</v>
      </c>
      <c r="AC685" s="5"/>
      <c r="AD685" s="5"/>
      <c r="AE685" s="5"/>
      <c r="AF685" s="282">
        <f t="shared" ca="1" si="383"/>
        <v>104054</v>
      </c>
      <c r="AG685" s="282">
        <f t="shared" ca="1" si="384"/>
        <v>1920000</v>
      </c>
      <c r="AH685" s="282">
        <f t="shared" ca="1" si="385"/>
        <v>30729799</v>
      </c>
      <c r="AI685" s="23" t="str">
        <f t="shared" ca="1" si="401"/>
        <v>57-11</v>
      </c>
      <c r="AJ685" s="282">
        <f ca="1">IF(E685&gt;111,,IF(AND(OP!$C$99=1,T685="F"),Z685,IF(AND(OP!$C$99=2,COUNTIF($T$4:T685,"F")=1),OP!$C$97+IF(F685="F",OP!$C$98,0),"")))</f>
        <v>0</v>
      </c>
      <c r="AK685" s="282">
        <f ca="1">IF(E685&gt;111,,IF(AND(OP!$D$99=1,T685="F"),AA685,IF(AND(OP!$D$99=2,COUNTIF($T$4:T685,"F")=1),OP!$D$97+IF(F685="F",OP!$D$98,0),"")))</f>
        <v>0</v>
      </c>
      <c r="AL685" s="282">
        <f ca="1">IF(E685&gt;111,,IF(AND(OP!$E$99=1,T685="F"),AB685,IF(AND(OP!$E$99=2,COUNTIF($T$4:T685,"F")=1),OP!$E$97+IF(F685="F",OP!$E$98,0),"")))</f>
        <v>0</v>
      </c>
      <c r="AM685" s="1">
        <f t="shared" ca="1" si="375"/>
        <v>11</v>
      </c>
      <c r="AN685" s="1" t="e">
        <f ca="1">IF(OR(VLOOKUP($A685,MP,5,0)="季繳",VLOOKUP($A685,MP,5,0)="月繳"),1,"")</f>
        <v>#N/A</v>
      </c>
      <c r="AO685" s="1">
        <f t="shared" ca="1" si="386"/>
        <v>0</v>
      </c>
      <c r="AP685" s="1" t="str">
        <f ca="1">IF(AND(A685&lt;=OP!$C$120,COUNTIF(PAY,C685)=1),1,"")</f>
        <v/>
      </c>
      <c r="AR685" s="301">
        <f ca="1">IF(繳費報酬率資料!$A$1=1,$AY685+$AZ685,$BF685+$BG685)</f>
        <v>0</v>
      </c>
      <c r="AS685" s="1">
        <f ca="1">IF(C685&lt;&gt;IF($C$3=1,12,$C$3-1),0,IF(繳費報酬率資料!$A$1&lt;&gt;1,VLOOKUP($A685,MP,8,0),IF(AND($A685&gt;=OP!$C$79,$A685&lt;=OP!$C$80),OP!$C$78,)))</f>
        <v>0</v>
      </c>
      <c r="AT685" s="298">
        <f t="shared" ca="1" si="387"/>
        <v>0</v>
      </c>
      <c r="AU685" s="298">
        <f ca="1">IF(AND(A685&lt;=OP!$C$120,COUNTIF(PAY,C685)=1),OP!$C$123,0)</f>
        <v>0</v>
      </c>
      <c r="AV685" s="298">
        <f ca="1">IF(AND(A685&gt;=OP!$C$132,A685&lt;=OP!$C$133,$C$3=C685),OP!$C$135,0)</f>
        <v>0</v>
      </c>
      <c r="AW685" s="180">
        <f t="shared" ca="1" si="388"/>
        <v>0.05</v>
      </c>
      <c r="AX685" s="180">
        <f t="shared" ca="1" si="389"/>
        <v>0.05</v>
      </c>
      <c r="AY685" s="286">
        <f t="shared" ca="1" si="390"/>
        <v>0</v>
      </c>
      <c r="AZ685" s="286">
        <f t="shared" ca="1" si="391"/>
        <v>0</v>
      </c>
      <c r="BA685" s="286">
        <f t="shared" ca="1" si="392"/>
        <v>0</v>
      </c>
      <c r="BB685" s="286">
        <f t="shared" ca="1" si="393"/>
        <v>0</v>
      </c>
      <c r="BC685" s="286">
        <f t="shared" ca="1" si="394"/>
        <v>0</v>
      </c>
      <c r="BD685" s="180">
        <f t="shared" ca="1" si="395"/>
        <v>0.05</v>
      </c>
      <c r="BE685" s="180">
        <f t="shared" ca="1" si="396"/>
        <v>0.05</v>
      </c>
      <c r="BF685" s="286">
        <f t="shared" ca="1" si="397"/>
        <v>0</v>
      </c>
      <c r="BG685" s="286">
        <f t="shared" ca="1" si="398"/>
        <v>0</v>
      </c>
    </row>
    <row r="686" spans="1:59">
      <c r="A686" s="1">
        <f t="shared" ca="1" si="378"/>
        <v>57</v>
      </c>
      <c r="B686" s="1">
        <f t="shared" ca="1" si="371"/>
        <v>163</v>
      </c>
      <c r="C686" s="1">
        <f t="shared" ca="1" si="372"/>
        <v>4</v>
      </c>
      <c r="D686" s="1">
        <f ca="1">MIN($D$3,VLOOKUP(C686,OP!$S$30:$T$41,2))</f>
        <v>2</v>
      </c>
      <c r="E686" s="1" t="str">
        <f t="shared" ca="1" si="373"/>
        <v/>
      </c>
      <c r="F686" s="11" t="str">
        <f t="shared" ca="1" si="379"/>
        <v/>
      </c>
      <c r="G686" s="8">
        <f t="shared" ca="1" si="404"/>
        <v>365</v>
      </c>
      <c r="H686" s="8">
        <f t="shared" ca="1" si="380"/>
        <v>30</v>
      </c>
      <c r="I686" s="8" t="str">
        <f t="shared" ca="1" si="377"/>
        <v>574</v>
      </c>
      <c r="J686" s="13">
        <f>IF(繳費報酬率資料!$A$1=1,VALUE(OP!$C$121),VLOOKUP(A686,MP,2,0))</f>
        <v>0.05</v>
      </c>
      <c r="K686" s="14">
        <f ca="1">IF(SUM($K$4:K685,IF(繳費報酬率資料!$A$1=1,$AU686+$AV686,$BB686+$BC686))&gt;OP!$L$58,0,IF(繳費報酬率資料!$A$1=1,$AU686+$AV686,$BB686+$BC686))</f>
        <v>0</v>
      </c>
      <c r="L686" s="2"/>
      <c r="M686" s="2"/>
      <c r="N686" s="2"/>
      <c r="O686" s="261">
        <f t="shared" ca="1" si="381"/>
        <v>0</v>
      </c>
      <c r="P686" s="261">
        <f t="shared" ca="1" si="399"/>
        <v>0</v>
      </c>
      <c r="Q686" s="3">
        <f ca="1">IF(A686&gt;MAX(OP!$R$17:$R$26),0,VLOOKUP(A686,fees,3,FALSE))</f>
        <v>0</v>
      </c>
      <c r="R686" s="200" t="str">
        <f t="shared" ca="1" si="382"/>
        <v/>
      </c>
      <c r="S686" s="9" t="str">
        <f ca="1">IF(COUNTIF(($T$4:T685),"F")&gt;=1,"",IF(OR(C687&lt;&gt;$C$3,E686=""),"",A686))</f>
        <v/>
      </c>
      <c r="T686" s="20" t="str">
        <f t="shared" ca="1" si="374"/>
        <v/>
      </c>
      <c r="U686" s="2">
        <f ca="1">IF(IF(OP!$C$83=1,$Z685,IF(OP!$C$83=2,$AA685,IF(OP!$C$83=3,$AB685,)))+$K686-$O686-$P686-$AS686&lt;OP!$C$142,0,$AS686)</f>
        <v>0</v>
      </c>
      <c r="V686" s="9"/>
      <c r="W686" s="19">
        <f ca="1">MAX(SUM($K$4:K686),0)</f>
        <v>2000000</v>
      </c>
      <c r="X686" s="19"/>
      <c r="Y686" s="19">
        <f t="shared" ca="1" si="400"/>
        <v>1920000</v>
      </c>
      <c r="Z686" s="2">
        <f ca="1">IF(MIN($Z$4:Z685)=0,0,MAX(0,($Z685+$K686-$O686-$P686)*IF(AND(F686="F",$D$3&lt;&gt;$G$3),((1+(-J686))^(H686/MIN(G686,365))),((1+(-J686))^(1/12)))-$U686))</f>
        <v>103610.33941311162</v>
      </c>
      <c r="AA686" s="2">
        <f ca="1">IF(MIN($AA$4:AA685)=0,0,MAX(0,($AA685+$K686-$O686-$P686)*IF(AND(F686="F",$D$3&lt;&gt;$G$3),((1+$AA$1)^(H686/MIN(G686,365))),((1+$AA$1)^(1/12)))-$U686))</f>
        <v>1920000</v>
      </c>
      <c r="AB686" s="2">
        <f ca="1">IF(MIN($AB$4:AB685)=0,0,MAX(0,($AB685+$K686-$O686-$P686)*IF(AND(F686="F",$D$3&lt;&gt;$G$3),((1+(J686))^(H686/MIN(G686,365))),((1+(J686))^(1/12)))-$U686))</f>
        <v>30854996.448904376</v>
      </c>
      <c r="AC686" s="5"/>
      <c r="AD686" s="5"/>
      <c r="AE686" s="5"/>
      <c r="AF686" s="282">
        <f t="shared" ca="1" si="383"/>
        <v>103610</v>
      </c>
      <c r="AG686" s="282">
        <f t="shared" ca="1" si="384"/>
        <v>1920000</v>
      </c>
      <c r="AH686" s="282">
        <f t="shared" ca="1" si="385"/>
        <v>30854996</v>
      </c>
      <c r="AI686" s="23" t="str">
        <f t="shared" ca="1" si="401"/>
        <v>57-12</v>
      </c>
      <c r="AJ686" s="282">
        <f ca="1">IF(E686&gt;111,,IF(AND(OP!$C$99=1,T686="F"),Z686,IF(AND(OP!$C$99=2,COUNTIF($T$4:T686,"F")=1),OP!$C$97+IF(F686="F",OP!$C$98,0),"")))</f>
        <v>0</v>
      </c>
      <c r="AK686" s="282">
        <f ca="1">IF(E686&gt;111,,IF(AND(OP!$D$99=1,T686="F"),AA686,IF(AND(OP!$D$99=2,COUNTIF($T$4:T686,"F")=1),OP!$D$97+IF(F686="F",OP!$D$98,0),"")))</f>
        <v>0</v>
      </c>
      <c r="AL686" s="282">
        <f ca="1">IF(E686&gt;111,,IF(AND(OP!$E$99=1,T686="F"),AB686,IF(AND(OP!$E$99=2,COUNTIF($T$4:T686,"F")=1),OP!$E$97+IF(F686="F",OP!$E$98,0),"")))</f>
        <v>0</v>
      </c>
      <c r="AM686" s="1">
        <f t="shared" ca="1" si="375"/>
        <v>12</v>
      </c>
      <c r="AN686" s="1" t="e">
        <f ca="1">IF(OR(VLOOKUP($A686,MP,5,0)="月繳"),1,"")</f>
        <v>#N/A</v>
      </c>
      <c r="AO686" s="1">
        <f t="shared" ca="1" si="386"/>
        <v>0</v>
      </c>
      <c r="AP686" s="1" t="str">
        <f ca="1">IF(AND(A686&lt;=OP!$C$120,COUNTIF(PAY,C686)=1),1,"")</f>
        <v/>
      </c>
      <c r="AR686" s="301">
        <f ca="1">IF(繳費報酬率資料!$A$1=1,$AY686+$AZ686,$BF686+$BG686)</f>
        <v>0</v>
      </c>
      <c r="AS686" s="1">
        <f ca="1">IF(C686&lt;&gt;IF($C$3=1,12,$C$3-1),0,IF(繳費報酬率資料!$A$1&lt;&gt;1,VLOOKUP($A686,MP,8,0),IF(AND($A686&gt;=OP!$C$79,$A686&lt;=OP!$C$80),OP!$C$78,)))</f>
        <v>0</v>
      </c>
      <c r="AT686" s="298">
        <f t="shared" ca="1" si="387"/>
        <v>0</v>
      </c>
      <c r="AU686" s="298">
        <f ca="1">IF(AND(A686&lt;=OP!$C$120,COUNTIF(PAY,C686)=1),OP!$C$123,0)</f>
        <v>0</v>
      </c>
      <c r="AV686" s="298">
        <f ca="1">IF(AND(A686&gt;=OP!$C$132,A686&lt;=OP!$C$133,$C$3=C686),OP!$C$135,0)</f>
        <v>0</v>
      </c>
      <c r="AW686" s="180">
        <f t="shared" ca="1" si="388"/>
        <v>0.05</v>
      </c>
      <c r="AX686" s="180">
        <f t="shared" ca="1" si="389"/>
        <v>0.05</v>
      </c>
      <c r="AY686" s="286">
        <f t="shared" ca="1" si="390"/>
        <v>0</v>
      </c>
      <c r="AZ686" s="286">
        <f t="shared" ca="1" si="391"/>
        <v>0</v>
      </c>
      <c r="BA686" s="286">
        <f t="shared" ca="1" si="392"/>
        <v>0</v>
      </c>
      <c r="BB686" s="286">
        <f t="shared" ca="1" si="393"/>
        <v>0</v>
      </c>
      <c r="BC686" s="286">
        <f t="shared" ca="1" si="394"/>
        <v>0</v>
      </c>
      <c r="BD686" s="180">
        <f t="shared" ca="1" si="395"/>
        <v>0.05</v>
      </c>
      <c r="BE686" s="180">
        <f t="shared" ca="1" si="396"/>
        <v>0.05</v>
      </c>
      <c r="BF686" s="286">
        <f t="shared" ca="1" si="397"/>
        <v>0</v>
      </c>
      <c r="BG686" s="286">
        <f t="shared" ca="1" si="398"/>
        <v>0</v>
      </c>
    </row>
    <row r="687" spans="1:59">
      <c r="A687" s="1">
        <f t="shared" ca="1" si="378"/>
        <v>57</v>
      </c>
      <c r="B687" s="1">
        <f t="shared" ca="1" si="371"/>
        <v>163</v>
      </c>
      <c r="C687" s="1">
        <f t="shared" ca="1" si="372"/>
        <v>5</v>
      </c>
      <c r="D687" s="1">
        <f ca="1">MIN($D$3,VLOOKUP(C687,OP!$S$30:$T$41,2))</f>
        <v>2</v>
      </c>
      <c r="E687" s="1" t="str">
        <f t="shared" ca="1" si="373"/>
        <v/>
      </c>
      <c r="F687" s="11" t="str">
        <f t="shared" ca="1" si="379"/>
        <v/>
      </c>
      <c r="G687" s="8">
        <f t="shared" ca="1" si="404"/>
        <v>365</v>
      </c>
      <c r="H687" s="8">
        <f t="shared" ca="1" si="380"/>
        <v>31</v>
      </c>
      <c r="I687" s="8" t="str">
        <f t="shared" ca="1" si="377"/>
        <v>575</v>
      </c>
      <c r="J687" s="13">
        <f>IF(繳費報酬率資料!$A$1=1,VALUE(OP!$C$121),VLOOKUP(A687,MP,2,0))</f>
        <v>0.05</v>
      </c>
      <c r="K687" s="14">
        <f ca="1">IF(SUM($K$4:K686,IF(繳費報酬率資料!$A$1=1,$AU687+$AV687,$BB687+$BC687))&gt;OP!$L$58,0,IF(繳費報酬率資料!$A$1=1,$AU687+$AV687,$BB687+$BC687))</f>
        <v>0</v>
      </c>
      <c r="L687" s="2">
        <f ca="1">ROUND(IF(OP!$C$78&lt;(IF(OR($T687="F",$E687&gt;=111),0,Z686+$K687-$O687+IF($C$1=1,OP!$C$78,IF($C688=$C$3,SUM(AC676:AC687,0)))))*5%,0,(OP!$C$78-((IF(OR($T687="F",$E687&gt;=111),0,Z686+$K687-$O687+IF($C$1=1,AC687,IF($C688=$C$3,SUM(AC676:AC687,0)))))*5%))*$Q687),0)</f>
        <v>0</v>
      </c>
      <c r="M687" s="2">
        <f ca="1">ROUND(IF(OP!$C$78&lt;(IF(OR($T687="F",$E687&gt;=111),0,AA686+$K687-$O687+IF($C$1=1,AD687,IF($C688=$C$3,SUM(AD676:AD687,0)))))*5%,0,(OP!$C$78-((IF(OR($T687="F",$E687&gt;=111),0,AA686+$K687-$O687+IF($C$1=1,AD687,IF($C688=$C$3,SUM(AD676:AD687,0)))))*5%))*$Q687),0)</f>
        <v>0</v>
      </c>
      <c r="N687" s="2">
        <f ca="1">ROUND(IF(OP!$C$78&lt;(IF(OR($T687="F",$E687&gt;=111),0,AB686+$K687-$O687+IF($C$1=1,AE687,IF($C688=$C$3,SUM(AE676:AE687,0)))))*5%,0,(OP!$C$78-((IF(OR($T687="F",$E687&gt;=111),0,AB686+$K687-$O687+IF($C$1=1,AE687,IF($C688=$C$3,SUM(AE676:AE687,0)))))*5%))*$Q687),0)</f>
        <v>0</v>
      </c>
      <c r="O687" s="261">
        <f t="shared" ca="1" si="381"/>
        <v>0</v>
      </c>
      <c r="P687" s="261">
        <f t="shared" ca="1" si="399"/>
        <v>0</v>
      </c>
      <c r="Q687" s="3">
        <f ca="1">IF(A687&gt;MAX(OP!$R$17:$R$26),0,VLOOKUP(A687,fees,3,FALSE))</f>
        <v>0</v>
      </c>
      <c r="R687" s="200" t="str">
        <f t="shared" ca="1" si="382"/>
        <v/>
      </c>
      <c r="S687" s="9" t="str">
        <f ca="1">IF(COUNTIF(($T$4:T686),"F")&gt;=1,"",IF(OR(C688&lt;&gt;$C$3,E687=""),"",A687))</f>
        <v/>
      </c>
      <c r="T687" s="20" t="str">
        <f t="shared" ca="1" si="374"/>
        <v/>
      </c>
      <c r="U687" s="2">
        <f ca="1">IF(IF(OP!$C$83=1,$Z686,IF(OP!$C$83=2,$AA686,IF(OP!$C$83=3,$AB686,)))+$K687-$O687-$P687-$AS687&lt;OP!$C$142,0,$AS687)</f>
        <v>0</v>
      </c>
      <c r="V687" s="19">
        <f ca="1">SUM(K676:K687)</f>
        <v>0</v>
      </c>
      <c r="W687" s="19">
        <f ca="1">MAX(SUM($K$4:K687),0)</f>
        <v>2000000</v>
      </c>
      <c r="X687" s="19">
        <f ca="1">SUM(O676:P687)</f>
        <v>0</v>
      </c>
      <c r="Y687" s="19">
        <f t="shared" ca="1" si="400"/>
        <v>1920000</v>
      </c>
      <c r="Z687" s="2">
        <f ca="1">IF(MIN($Z$4:Z686)=0,0,MAX(0,($Z686+$K687-$O687-$P687)*IF(AND(F687="F",$D$3&lt;&gt;$G$3),((1+(-J687))^(H687/MIN(G687,365))),((1+(-J687))^(1/12)))-$U687))</f>
        <v>103168.40828686344</v>
      </c>
      <c r="AA687" s="2">
        <f ca="1">IF(MIN($AA$4:AA686)=0,0,MAX(0,($AA686+$K687-$O687-$P687)*IF(AND(F687="F",$D$3&lt;&gt;$G$3),((1+$AA$1)^(H687/MIN(G687,365))),((1+$AA$1)^(1/12)))-$U687))</f>
        <v>1920000</v>
      </c>
      <c r="AB687" s="2">
        <f ca="1">IF(MIN($AB$4:AB686)=0,0,MAX(0,($AB686+$K687-$O687-$P687)*IF(AND(F687="F",$D$3&lt;&gt;$G$3),((1+(J687))^(H687/MIN(G687,365))),((1+(J687))^(1/12)))-$U687))</f>
        <v>30980703.523781244</v>
      </c>
      <c r="AC687" s="5"/>
      <c r="AD687" s="5"/>
      <c r="AE687" s="5"/>
      <c r="AF687" s="282">
        <f t="shared" ca="1" si="383"/>
        <v>103168</v>
      </c>
      <c r="AG687" s="282">
        <f t="shared" ca="1" si="384"/>
        <v>1920000</v>
      </c>
      <c r="AH687" s="282">
        <f t="shared" ca="1" si="385"/>
        <v>30980704</v>
      </c>
      <c r="AI687" s="23" t="str">
        <f t="shared" ca="1" si="401"/>
        <v>58-1</v>
      </c>
      <c r="AJ687" s="282">
        <f ca="1">IF(E687&gt;111,,IF(AND(OP!$C$99=1,T687="F"),Z687,IF(AND(OP!$C$99=2,COUNTIF($T$4:T687,"F")=1),OP!$C$97+IF(F687="F",OP!$C$98,0),"")))</f>
        <v>0</v>
      </c>
      <c r="AK687" s="282">
        <f ca="1">IF(E687&gt;111,,IF(AND(OP!$D$99=1,T687="F"),AA687,IF(AND(OP!$D$99=2,COUNTIF($T$4:T687,"F")=1),OP!$D$97+IF(F687="F",OP!$D$98,0),"")))</f>
        <v>0</v>
      </c>
      <c r="AL687" s="282">
        <f ca="1">IF(E687&gt;111,,IF(AND(OP!$E$99=1,T687="F"),AB687,IF(AND(OP!$E$99=2,COUNTIF($T$4:T687,"F")=1),OP!$E$97+IF(F687="F",OP!$E$98,0),"")))</f>
        <v>0</v>
      </c>
      <c r="AM687" s="1">
        <f t="shared" ca="1" si="375"/>
        <v>1</v>
      </c>
      <c r="AN687" s="1" t="e">
        <f ca="1">IF(OR(VLOOKUP($A687,MP,5,0)="月繳"),1,"")</f>
        <v>#N/A</v>
      </c>
      <c r="AO687" s="1">
        <f t="shared" ca="1" si="386"/>
        <v>0</v>
      </c>
      <c r="AP687" s="1" t="str">
        <f ca="1">IF(AND(A687&lt;=OP!$C$120,COUNTIF(PAY,C687)=1),1,"")</f>
        <v/>
      </c>
      <c r="AR687" s="301">
        <f ca="1">IF(繳費報酬率資料!$A$1=1,$AY687+$AZ687,$BF687+$BG687)</f>
        <v>0</v>
      </c>
      <c r="AS687" s="1">
        <f ca="1">IF(C687&lt;&gt;IF($C$3=1,12,$C$3-1),0,IF(繳費報酬率資料!$A$1&lt;&gt;1,VLOOKUP($A687,MP,8,0),IF(AND($A687&gt;=OP!$C$79,$A687&lt;=OP!$C$80),OP!$C$78,)))</f>
        <v>0</v>
      </c>
      <c r="AT687" s="298">
        <f t="shared" ca="1" si="387"/>
        <v>0</v>
      </c>
      <c r="AU687" s="298">
        <f ca="1">IF(AND(A687&lt;=OP!$C$120,COUNTIF(PAY,C687)=1),OP!$C$123,0)</f>
        <v>0</v>
      </c>
      <c r="AV687" s="298">
        <f ca="1">IF(AND(A687&gt;=OP!$C$132,A687&lt;=OP!$C$133,$C$3=C687),OP!$C$135,0)</f>
        <v>0</v>
      </c>
      <c r="AW687" s="180">
        <f t="shared" ca="1" si="388"/>
        <v>0.05</v>
      </c>
      <c r="AX687" s="180">
        <f t="shared" ca="1" si="389"/>
        <v>0.05</v>
      </c>
      <c r="AY687" s="286">
        <f t="shared" ca="1" si="390"/>
        <v>0</v>
      </c>
      <c r="AZ687" s="286">
        <f t="shared" ca="1" si="391"/>
        <v>0</v>
      </c>
      <c r="BA687" s="286">
        <f t="shared" ca="1" si="392"/>
        <v>0</v>
      </c>
      <c r="BB687" s="286">
        <f t="shared" ca="1" si="393"/>
        <v>0</v>
      </c>
      <c r="BC687" s="286">
        <f t="shared" ca="1" si="394"/>
        <v>0</v>
      </c>
      <c r="BD687" s="180">
        <f t="shared" ca="1" si="395"/>
        <v>0.05</v>
      </c>
      <c r="BE687" s="180">
        <f t="shared" ca="1" si="396"/>
        <v>0.05</v>
      </c>
      <c r="BF687" s="286">
        <f t="shared" ca="1" si="397"/>
        <v>0</v>
      </c>
      <c r="BG687" s="286">
        <f t="shared" ca="1" si="398"/>
        <v>0</v>
      </c>
    </row>
    <row r="688" spans="1:59">
      <c r="A688" s="1">
        <f t="shared" ca="1" si="378"/>
        <v>58</v>
      </c>
      <c r="B688" s="1">
        <f t="shared" ca="1" si="371"/>
        <v>163</v>
      </c>
      <c r="C688" s="1">
        <f t="shared" ca="1" si="372"/>
        <v>6</v>
      </c>
      <c r="D688" s="1">
        <f ca="1">MIN($D$3,VLOOKUP(C688,OP!$S$30:$T$41,2))</f>
        <v>2</v>
      </c>
      <c r="E688" s="1" t="str">
        <f t="shared" ca="1" si="373"/>
        <v/>
      </c>
      <c r="F688" s="11" t="str">
        <f t="shared" ca="1" si="379"/>
        <v/>
      </c>
      <c r="G688" s="6">
        <f ca="1">DATEDIF(DATE(B688+1911,C688,D688),DATE(B700+1911,C700,D700),"d")</f>
        <v>365</v>
      </c>
      <c r="H688" s="8">
        <f t="shared" ca="1" si="380"/>
        <v>30</v>
      </c>
      <c r="I688" s="8" t="str">
        <f t="shared" ca="1" si="377"/>
        <v>586</v>
      </c>
      <c r="J688" s="13">
        <f>IF(繳費報酬率資料!$A$1=1,VALUE(OP!$C$121),VLOOKUP(A688,MP,2,0))</f>
        <v>0.05</v>
      </c>
      <c r="K688" s="14">
        <f ca="1">IF(SUM($K$4:K687,IF(繳費報酬率資料!$A$1=1,$AU688+$AV688,$BB688+$BC688))&gt;OP!$L$58,0,IF(繳費報酬率資料!$A$1=1,$AU688+$AV688,$BB688+$BC688))</f>
        <v>0</v>
      </c>
      <c r="L688" s="2"/>
      <c r="M688" s="2"/>
      <c r="N688" s="2"/>
      <c r="O688" s="261">
        <f t="shared" ca="1" si="381"/>
        <v>0</v>
      </c>
      <c r="P688" s="261">
        <f t="shared" ca="1" si="399"/>
        <v>0</v>
      </c>
      <c r="Q688" s="3">
        <f ca="1">IF(A688&gt;MAX(OP!$R$17:$R$26),0,VLOOKUP(A688,fees,3,FALSE))</f>
        <v>0</v>
      </c>
      <c r="R688" s="200" t="str">
        <f t="shared" ca="1" si="382"/>
        <v/>
      </c>
      <c r="S688" s="9" t="str">
        <f ca="1">IF(COUNTIF(($T$4:T687),"F")&gt;=1,"",IF(OR(C689&lt;&gt;$C$3,E688=""),"",A688))</f>
        <v/>
      </c>
      <c r="T688" s="20" t="str">
        <f t="shared" ca="1" si="374"/>
        <v/>
      </c>
      <c r="U688" s="2">
        <f ca="1">IF(IF(OP!$C$83=1,$Z687,IF(OP!$C$83=2,$AA687,IF(OP!$C$83=3,$AB687,)))+$K688-$O688-$P688-$AS688&lt;OP!$C$142,0,$AS688)</f>
        <v>0</v>
      </c>
      <c r="V688" s="9"/>
      <c r="W688" s="19">
        <f ca="1">MAX(SUM($K$4:K688),0)</f>
        <v>2000000</v>
      </c>
      <c r="X688" s="19"/>
      <c r="Y688" s="19">
        <f t="shared" ca="1" si="400"/>
        <v>1920000</v>
      </c>
      <c r="Z688" s="2">
        <f ca="1">IF(MIN($Z$4:Z687)=0,0,MAX(0,($Z687+$K688-$O688-$P688)*IF(AND(F688="F",$D$3&lt;&gt;$G$3),((1+(-J688))^(H688/MIN(G688,365))),((1+(-J688))^(1/12)))-$U688))</f>
        <v>102728.36213774644</v>
      </c>
      <c r="AA688" s="2">
        <f ca="1">IF(MIN($AA$4:AA687)=0,0,MAX(0,($AA687+$K688-$O688-$P688)*IF(AND(F688="F",$D$3&lt;&gt;$G$3),((1+$AA$1)^(H688/MIN(G688,365))),((1+$AA$1)^(1/12)))-$U688))</f>
        <v>1920000</v>
      </c>
      <c r="AB688" s="2">
        <f ca="1">IF(MIN($AB$4:AB687)=0,0,MAX(0,($AB687+$K688-$O688-$P688)*IF(AND(F688="F",$D$3&lt;&gt;$G$3),((1+(J688))^(H688/MIN(G688,365))),((1+(J688))^(1/12)))-$U688))</f>
        <v>31106922.744841639</v>
      </c>
      <c r="AC688" s="21"/>
      <c r="AD688" s="21"/>
      <c r="AE688" s="21"/>
      <c r="AF688" s="282">
        <f t="shared" ca="1" si="383"/>
        <v>102728</v>
      </c>
      <c r="AG688" s="282">
        <f t="shared" ca="1" si="384"/>
        <v>1920000</v>
      </c>
      <c r="AH688" s="282">
        <f t="shared" ca="1" si="385"/>
        <v>31106923</v>
      </c>
      <c r="AI688" s="23" t="str">
        <f t="shared" ca="1" si="401"/>
        <v>58-2</v>
      </c>
      <c r="AJ688" s="281">
        <f ca="1">IF(E688&gt;111,,IF(AND(OP!$C$99=1,T688="F"),Z688,IF(AND(OP!$C$99=2,COUNTIF($T$4:T688,"F")=1),OP!$C$97+IF(F688="F",OP!$C$98,0),"")))</f>
        <v>0</v>
      </c>
      <c r="AK688" s="281">
        <f ca="1">IF(E688&gt;111,,IF(AND(OP!$D$99=1,T688="F"),AA688,IF(AND(OP!$D$99=2,COUNTIF($T$4:T688,"F")=1),OP!$D$97+IF(F688="F",OP!$D$98,0),"")))</f>
        <v>0</v>
      </c>
      <c r="AL688" s="281">
        <f ca="1">IF(E688&gt;111,,IF(AND(OP!$E$99=1,T688="F"),AB688,IF(AND(OP!$E$99=2,COUNTIF($T$4:T688,"F")=1),OP!$E$97+IF(F688="F",OP!$E$98,0),"")))</f>
        <v>0</v>
      </c>
      <c r="AM688" s="1">
        <f t="shared" ca="1" si="375"/>
        <v>2</v>
      </c>
      <c r="AN688" s="1" t="e">
        <f ca="1">IF(OR(VLOOKUP($A688,MP,5,0)="年繳",VLOOKUP($A688,MP,5,0)="半年繳",VLOOKUP($A688,MP,5,0)="季繳",VLOOKUP($A688,MP,5,0)="月繳"),1,"")</f>
        <v>#N/A</v>
      </c>
      <c r="AO688" s="1">
        <f t="shared" ca="1" si="386"/>
        <v>0</v>
      </c>
      <c r="AP688" s="1" t="str">
        <f ca="1">IF(AND(A688&lt;=OP!$C$120,COUNTIF(PAY,C688)=1),1,"")</f>
        <v/>
      </c>
      <c r="AR688" s="301">
        <f ca="1">IF(繳費報酬率資料!$A$1=1,$AY688+$AZ688,$BF688+$BG688)</f>
        <v>0</v>
      </c>
      <c r="AS688" s="1">
        <f ca="1">IF(C688&lt;&gt;IF($C$3=1,12,$C$3-1),0,IF(繳費報酬率資料!$A$1&lt;&gt;1,VLOOKUP($A688,MP,8,0),IF(AND($A688&gt;=OP!$C$79,$A688&lt;=OP!$C$80),OP!$C$78,)))</f>
        <v>0</v>
      </c>
      <c r="AT688" s="298">
        <f t="shared" ca="1" si="387"/>
        <v>0</v>
      </c>
      <c r="AU688" s="298">
        <f ca="1">IF(AND(A688&lt;=OP!$C$120,COUNTIF(PAY,C688)=1),OP!$C$123,0)</f>
        <v>0</v>
      </c>
      <c r="AV688" s="298">
        <f ca="1">IF(AND(A688&gt;=OP!$C$132,A688&lt;=OP!$C$133,$C$3=C688),OP!$C$135,0)</f>
        <v>0</v>
      </c>
      <c r="AW688" s="180">
        <f t="shared" ca="1" si="388"/>
        <v>0.05</v>
      </c>
      <c r="AX688" s="180">
        <f t="shared" ca="1" si="389"/>
        <v>0.05</v>
      </c>
      <c r="AY688" s="286">
        <f t="shared" ca="1" si="390"/>
        <v>0</v>
      </c>
      <c r="AZ688" s="286">
        <f t="shared" ca="1" si="391"/>
        <v>0</v>
      </c>
      <c r="BA688" s="286">
        <f t="shared" ca="1" si="392"/>
        <v>0</v>
      </c>
      <c r="BB688" s="286">
        <f t="shared" ca="1" si="393"/>
        <v>0</v>
      </c>
      <c r="BC688" s="286">
        <f t="shared" ca="1" si="394"/>
        <v>0</v>
      </c>
      <c r="BD688" s="180">
        <f t="shared" ca="1" si="395"/>
        <v>0.05</v>
      </c>
      <c r="BE688" s="180">
        <f t="shared" ca="1" si="396"/>
        <v>0.05</v>
      </c>
      <c r="BF688" s="286">
        <f t="shared" ca="1" si="397"/>
        <v>0</v>
      </c>
      <c r="BG688" s="286">
        <f t="shared" ca="1" si="398"/>
        <v>0</v>
      </c>
    </row>
    <row r="689" spans="1:59">
      <c r="A689" s="1">
        <f t="shared" ca="1" si="378"/>
        <v>58</v>
      </c>
      <c r="B689" s="1">
        <f t="shared" ca="1" si="371"/>
        <v>163</v>
      </c>
      <c r="C689" s="1">
        <f t="shared" ca="1" si="372"/>
        <v>7</v>
      </c>
      <c r="D689" s="1">
        <f ca="1">MIN($D$3,VLOOKUP(C689,OP!$S$30:$T$41,2))</f>
        <v>2</v>
      </c>
      <c r="E689" s="1" t="str">
        <f t="shared" ca="1" si="373"/>
        <v/>
      </c>
      <c r="F689" s="11" t="str">
        <f t="shared" ca="1" si="379"/>
        <v/>
      </c>
      <c r="G689" s="8">
        <f t="shared" ref="G689:G699" ca="1" si="405">G688</f>
        <v>365</v>
      </c>
      <c r="H689" s="8">
        <f t="shared" ca="1" si="380"/>
        <v>31</v>
      </c>
      <c r="I689" s="8" t="str">
        <f t="shared" ca="1" si="377"/>
        <v>587</v>
      </c>
      <c r="J689" s="13">
        <f>IF(繳費報酬率資料!$A$1=1,VALUE(OP!$C$121),VLOOKUP(A689,MP,2,0))</f>
        <v>0.05</v>
      </c>
      <c r="K689" s="14">
        <f ca="1">IF(SUM($K$4:K688,IF(繳費報酬率資料!$A$1=1,$AU689+$AV689,$BB689+$BC689))&gt;OP!$L$58,0,IF(繳費報酬率資料!$A$1=1,$AU689+$AV689,$BB689+$BC689))</f>
        <v>0</v>
      </c>
      <c r="L689" s="2"/>
      <c r="M689" s="2"/>
      <c r="N689" s="2"/>
      <c r="O689" s="261">
        <f t="shared" ca="1" si="381"/>
        <v>0</v>
      </c>
      <c r="P689" s="261">
        <f t="shared" ca="1" si="399"/>
        <v>0</v>
      </c>
      <c r="Q689" s="3">
        <f ca="1">IF(A689&gt;MAX(OP!$R$17:$R$26),0,VLOOKUP(A689,fees,3,FALSE))</f>
        <v>0</v>
      </c>
      <c r="R689" s="200" t="str">
        <f t="shared" ca="1" si="382"/>
        <v/>
      </c>
      <c r="S689" s="9" t="str">
        <f ca="1">IF(COUNTIF(($T$4:T688),"F")&gt;=1,"",IF(OR(C690&lt;&gt;$C$3,E689=""),"",A689))</f>
        <v/>
      </c>
      <c r="T689" s="20" t="str">
        <f t="shared" ca="1" si="374"/>
        <v/>
      </c>
      <c r="U689" s="2">
        <f ca="1">IF(IF(OP!$C$83=1,$Z688,IF(OP!$C$83=2,$AA688,IF(OP!$C$83=3,$AB688,)))+$K689-$O689-$P689-$AS689&lt;OP!$C$142,0,$AS689)</f>
        <v>0</v>
      </c>
      <c r="V689" s="9"/>
      <c r="W689" s="19">
        <f ca="1">MAX(SUM($K$4:K689),0)</f>
        <v>2000000</v>
      </c>
      <c r="X689" s="19"/>
      <c r="Y689" s="19">
        <f t="shared" ca="1" si="400"/>
        <v>1920000</v>
      </c>
      <c r="Z689" s="2">
        <f ca="1">IF(MIN($Z$4:Z688)=0,0,MAX(0,($Z688+$K689-$O689-$P689)*IF(AND(F689="F",$D$3&lt;&gt;$G$3),((1+(-J689))^(H689/MIN(G689,365))),((1+(-J689))^(1/12)))-$U689))</f>
        <v>102290.19292573226</v>
      </c>
      <c r="AA689" s="2">
        <f ca="1">IF(MIN($AA$4:AA688)=0,0,MAX(0,($AA688+$K689-$O689-$P689)*IF(AND(F689="F",$D$3&lt;&gt;$G$3),((1+$AA$1)^(H689/MIN(G689,365))),((1+$AA$1)^(1/12)))-$U689))</f>
        <v>1920000</v>
      </c>
      <c r="AB689" s="2">
        <f ca="1">IF(MIN($AB$4:AB688)=0,0,MAX(0,($AB688+$K689-$O689-$P689)*IF(AND(F689="F",$D$3&lt;&gt;$G$3),((1+(J689))^(H689/MIN(G689,365))),((1+(J689))^(1/12)))-$U689))</f>
        <v>31233656.198632509</v>
      </c>
      <c r="AC689" s="5"/>
      <c r="AD689" s="5"/>
      <c r="AE689" s="5"/>
      <c r="AF689" s="282">
        <f t="shared" ca="1" si="383"/>
        <v>102290</v>
      </c>
      <c r="AG689" s="282">
        <f t="shared" ca="1" si="384"/>
        <v>1920000</v>
      </c>
      <c r="AH689" s="282">
        <f t="shared" ca="1" si="385"/>
        <v>31233656</v>
      </c>
      <c r="AI689" s="23" t="str">
        <f t="shared" ca="1" si="401"/>
        <v>58-3</v>
      </c>
      <c r="AJ689" s="282">
        <f ca="1">IF(E689&gt;111,,IF(AND(OP!$C$99=1,T689="F"),Z689,IF(AND(OP!$C$99=2,COUNTIF($T$4:T689,"F")=1),OP!$C$97+IF(F689="F",OP!$C$98,0),"")))</f>
        <v>0</v>
      </c>
      <c r="AK689" s="282">
        <f ca="1">IF(E689&gt;111,,IF(AND(OP!$D$99=1,T689="F"),AA689,IF(AND(OP!$D$99=2,COUNTIF($T$4:T689,"F")=1),OP!$D$97+IF(F689="F",OP!$D$98,0),"")))</f>
        <v>0</v>
      </c>
      <c r="AL689" s="282">
        <f ca="1">IF(E689&gt;111,,IF(AND(OP!$E$99=1,T689="F"),AB689,IF(AND(OP!$E$99=2,COUNTIF($T$4:T689,"F")=1),OP!$E$97+IF(F689="F",OP!$E$98,0),"")))</f>
        <v>0</v>
      </c>
      <c r="AM689" s="1">
        <f t="shared" ca="1" si="375"/>
        <v>3</v>
      </c>
      <c r="AN689" s="1" t="e">
        <f ca="1">IF(OR(VLOOKUP($A689,MP,5,0)="月繳"),1,"")</f>
        <v>#N/A</v>
      </c>
      <c r="AO689" s="1">
        <f t="shared" ca="1" si="386"/>
        <v>0</v>
      </c>
      <c r="AP689" s="1" t="str">
        <f ca="1">IF(AND(A689&lt;=OP!$C$120,COUNTIF(PAY,C689)=1),1,"")</f>
        <v/>
      </c>
      <c r="AR689" s="301">
        <f ca="1">IF(繳費報酬率資料!$A$1=1,$AY689+$AZ689,$BF689+$BG689)</f>
        <v>0</v>
      </c>
      <c r="AS689" s="1">
        <f ca="1">IF(C689&lt;&gt;IF($C$3=1,12,$C$3-1),0,IF(繳費報酬率資料!$A$1&lt;&gt;1,VLOOKUP($A689,MP,8,0),IF(AND($A689&gt;=OP!$C$79,$A689&lt;=OP!$C$80),OP!$C$78,)))</f>
        <v>0</v>
      </c>
      <c r="AT689" s="298">
        <f t="shared" ca="1" si="387"/>
        <v>0</v>
      </c>
      <c r="AU689" s="298">
        <f ca="1">IF(AND(A689&lt;=OP!$C$120,COUNTIF(PAY,C689)=1),OP!$C$123,0)</f>
        <v>0</v>
      </c>
      <c r="AV689" s="298">
        <f ca="1">IF(AND(A689&gt;=OP!$C$132,A689&lt;=OP!$C$133,$C$3=C689),OP!$C$135,0)</f>
        <v>0</v>
      </c>
      <c r="AW689" s="180">
        <f t="shared" ca="1" si="388"/>
        <v>0.05</v>
      </c>
      <c r="AX689" s="180">
        <f t="shared" ca="1" si="389"/>
        <v>0.05</v>
      </c>
      <c r="AY689" s="286">
        <f t="shared" ca="1" si="390"/>
        <v>0</v>
      </c>
      <c r="AZ689" s="286">
        <f t="shared" ca="1" si="391"/>
        <v>0</v>
      </c>
      <c r="BA689" s="286">
        <f t="shared" ca="1" si="392"/>
        <v>0</v>
      </c>
      <c r="BB689" s="286">
        <f t="shared" ca="1" si="393"/>
        <v>0</v>
      </c>
      <c r="BC689" s="286">
        <f t="shared" ca="1" si="394"/>
        <v>0</v>
      </c>
      <c r="BD689" s="180">
        <f t="shared" ca="1" si="395"/>
        <v>0.05</v>
      </c>
      <c r="BE689" s="180">
        <f t="shared" ca="1" si="396"/>
        <v>0.05</v>
      </c>
      <c r="BF689" s="286">
        <f t="shared" ca="1" si="397"/>
        <v>0</v>
      </c>
      <c r="BG689" s="286">
        <f t="shared" ca="1" si="398"/>
        <v>0</v>
      </c>
    </row>
    <row r="690" spans="1:59">
      <c r="A690" s="1">
        <f t="shared" ca="1" si="378"/>
        <v>58</v>
      </c>
      <c r="B690" s="1">
        <f t="shared" ca="1" si="371"/>
        <v>163</v>
      </c>
      <c r="C690" s="1">
        <f t="shared" ca="1" si="372"/>
        <v>8</v>
      </c>
      <c r="D690" s="1">
        <f ca="1">MIN($D$3,VLOOKUP(C690,OP!$S$30:$T$41,2))</f>
        <v>2</v>
      </c>
      <c r="E690" s="1" t="str">
        <f t="shared" ca="1" si="373"/>
        <v/>
      </c>
      <c r="F690" s="11" t="str">
        <f t="shared" ca="1" si="379"/>
        <v/>
      </c>
      <c r="G690" s="8">
        <f t="shared" ca="1" si="405"/>
        <v>365</v>
      </c>
      <c r="H690" s="8">
        <f t="shared" ca="1" si="380"/>
        <v>31</v>
      </c>
      <c r="I690" s="8" t="str">
        <f t="shared" ca="1" si="377"/>
        <v>588</v>
      </c>
      <c r="J690" s="13">
        <f>IF(繳費報酬率資料!$A$1=1,VALUE(OP!$C$121),VLOOKUP(A690,MP,2,0))</f>
        <v>0.05</v>
      </c>
      <c r="K690" s="14">
        <f ca="1">IF(SUM($K$4:K689,IF(繳費報酬率資料!$A$1=1,$AU690+$AV690,$BB690+$BC690))&gt;OP!$L$58,0,IF(繳費報酬率資料!$A$1=1,$AU690+$AV690,$BB690+$BC690))</f>
        <v>0</v>
      </c>
      <c r="L690" s="2"/>
      <c r="M690" s="2"/>
      <c r="N690" s="2"/>
      <c r="O690" s="261">
        <f t="shared" ca="1" si="381"/>
        <v>0</v>
      </c>
      <c r="P690" s="261">
        <f t="shared" ca="1" si="399"/>
        <v>0</v>
      </c>
      <c r="Q690" s="3">
        <f ca="1">IF(A690&gt;MAX(OP!$R$17:$R$26),0,VLOOKUP(A690,fees,3,FALSE))</f>
        <v>0</v>
      </c>
      <c r="R690" s="200" t="str">
        <f t="shared" ca="1" si="382"/>
        <v/>
      </c>
      <c r="S690" s="9" t="str">
        <f ca="1">IF(COUNTIF(($T$4:T689),"F")&gt;=1,"",IF(OR(C691&lt;&gt;$C$3,E690=""),"",A690))</f>
        <v/>
      </c>
      <c r="T690" s="20" t="str">
        <f t="shared" ca="1" si="374"/>
        <v/>
      </c>
      <c r="U690" s="2">
        <f ca="1">IF(IF(OP!$C$83=1,$Z689,IF(OP!$C$83=2,$AA689,IF(OP!$C$83=3,$AB689,)))+$K690-$O690-$P690-$AS690&lt;OP!$C$142,0,$AS690)</f>
        <v>0</v>
      </c>
      <c r="V690" s="9"/>
      <c r="W690" s="19">
        <f ca="1">MAX(SUM($K$4:K690),0)</f>
        <v>2000000</v>
      </c>
      <c r="X690" s="19"/>
      <c r="Y690" s="19">
        <f t="shared" ca="1" si="400"/>
        <v>1920000</v>
      </c>
      <c r="Z690" s="2">
        <f ca="1">IF(MIN($Z$4:Z689)=0,0,MAX(0,($Z689+$K690-$O690-$P690)*IF(AND(F690="F",$D$3&lt;&gt;$G$3),((1+(-J690))^(H690/MIN(G690,365))),((1+(-J690))^(1/12)))-$U690))</f>
        <v>101853.89264508584</v>
      </c>
      <c r="AA690" s="2">
        <f ca="1">IF(MIN($AA$4:AA689)=0,0,MAX(0,($AA689+$K690-$O690-$P690)*IF(AND(F690="F",$D$3&lt;&gt;$G$3),((1+$AA$1)^(H690/MIN(G690,365))),((1+$AA$1)^(1/12)))-$U690))</f>
        <v>1920000</v>
      </c>
      <c r="AB690" s="2">
        <f ca="1">IF(MIN($AB$4:AB689)=0,0,MAX(0,($AB689+$K690-$O690-$P690)*IF(AND(F690="F",$D$3&lt;&gt;$G$3),((1+(J690))^(H690/MIN(G690,365))),((1+(J690))^(1/12)))-$U690))</f>
        <v>31360905.980201654</v>
      </c>
      <c r="AC690" s="5"/>
      <c r="AD690" s="5"/>
      <c r="AE690" s="5"/>
      <c r="AF690" s="282">
        <f t="shared" ca="1" si="383"/>
        <v>101854</v>
      </c>
      <c r="AG690" s="282">
        <f t="shared" ca="1" si="384"/>
        <v>1920000</v>
      </c>
      <c r="AH690" s="282">
        <f t="shared" ca="1" si="385"/>
        <v>31360906</v>
      </c>
      <c r="AI690" s="23" t="str">
        <f t="shared" ca="1" si="401"/>
        <v>58-4</v>
      </c>
      <c r="AJ690" s="282">
        <f ca="1">IF(E690&gt;111,,IF(AND(OP!$C$99=1,T690="F"),Z690,IF(AND(OP!$C$99=2,COUNTIF($T$4:T690,"F")=1),OP!$C$97+IF(F690="F",OP!$C$98,0),"")))</f>
        <v>0</v>
      </c>
      <c r="AK690" s="282">
        <f ca="1">IF(E690&gt;111,,IF(AND(OP!$D$99=1,T690="F"),AA690,IF(AND(OP!$D$99=2,COUNTIF($T$4:T690,"F")=1),OP!$D$97+IF(F690="F",OP!$D$98,0),"")))</f>
        <v>0</v>
      </c>
      <c r="AL690" s="282">
        <f ca="1">IF(E690&gt;111,,IF(AND(OP!$E$99=1,T690="F"),AB690,IF(AND(OP!$E$99=2,COUNTIF($T$4:T690,"F")=1),OP!$E$97+IF(F690="F",OP!$E$98,0),"")))</f>
        <v>0</v>
      </c>
      <c r="AM690" s="1">
        <f t="shared" ca="1" si="375"/>
        <v>4</v>
      </c>
      <c r="AN690" s="1" t="e">
        <f ca="1">IF(OR(VLOOKUP($A690,MP,5,0)="月繳"),1,"")</f>
        <v>#N/A</v>
      </c>
      <c r="AO690" s="1">
        <f t="shared" ca="1" si="386"/>
        <v>0</v>
      </c>
      <c r="AP690" s="1" t="str">
        <f ca="1">IF(AND(A690&lt;=OP!$C$120,COUNTIF(PAY,C690)=1),1,"")</f>
        <v/>
      </c>
      <c r="AR690" s="301">
        <f ca="1">IF(繳費報酬率資料!$A$1=1,$AY690+$AZ690,$BF690+$BG690)</f>
        <v>0</v>
      </c>
      <c r="AS690" s="1">
        <f ca="1">IF(C690&lt;&gt;IF($C$3=1,12,$C$3-1),0,IF(繳費報酬率資料!$A$1&lt;&gt;1,VLOOKUP($A690,MP,8,0),IF(AND($A690&gt;=OP!$C$79,$A690&lt;=OP!$C$80),OP!$C$78,)))</f>
        <v>0</v>
      </c>
      <c r="AT690" s="298">
        <f t="shared" ca="1" si="387"/>
        <v>0</v>
      </c>
      <c r="AU690" s="298">
        <f ca="1">IF(AND(A690&lt;=OP!$C$120,COUNTIF(PAY,C690)=1),OP!$C$123,0)</f>
        <v>0</v>
      </c>
      <c r="AV690" s="298">
        <f ca="1">IF(AND(A690&gt;=OP!$C$132,A690&lt;=OP!$C$133,$C$3=C690),OP!$C$135,0)</f>
        <v>0</v>
      </c>
      <c r="AW690" s="180">
        <f t="shared" ca="1" si="388"/>
        <v>0.05</v>
      </c>
      <c r="AX690" s="180">
        <f t="shared" ca="1" si="389"/>
        <v>0.05</v>
      </c>
      <c r="AY690" s="286">
        <f t="shared" ca="1" si="390"/>
        <v>0</v>
      </c>
      <c r="AZ690" s="286">
        <f t="shared" ca="1" si="391"/>
        <v>0</v>
      </c>
      <c r="BA690" s="286">
        <f t="shared" ca="1" si="392"/>
        <v>0</v>
      </c>
      <c r="BB690" s="286">
        <f t="shared" ca="1" si="393"/>
        <v>0</v>
      </c>
      <c r="BC690" s="286">
        <f t="shared" ca="1" si="394"/>
        <v>0</v>
      </c>
      <c r="BD690" s="180">
        <f t="shared" ca="1" si="395"/>
        <v>0.05</v>
      </c>
      <c r="BE690" s="180">
        <f t="shared" ca="1" si="396"/>
        <v>0.05</v>
      </c>
      <c r="BF690" s="286">
        <f t="shared" ca="1" si="397"/>
        <v>0</v>
      </c>
      <c r="BG690" s="286">
        <f t="shared" ca="1" si="398"/>
        <v>0</v>
      </c>
    </row>
    <row r="691" spans="1:59">
      <c r="A691" s="1">
        <f t="shared" ca="1" si="378"/>
        <v>58</v>
      </c>
      <c r="B691" s="1">
        <f t="shared" ca="1" si="371"/>
        <v>163</v>
      </c>
      <c r="C691" s="1">
        <f t="shared" ca="1" si="372"/>
        <v>9</v>
      </c>
      <c r="D691" s="1">
        <f ca="1">MIN($D$3,VLOOKUP(C691,OP!$S$30:$T$41,2))</f>
        <v>2</v>
      </c>
      <c r="E691" s="1" t="str">
        <f t="shared" ca="1" si="373"/>
        <v/>
      </c>
      <c r="F691" s="11" t="str">
        <f t="shared" ca="1" si="379"/>
        <v/>
      </c>
      <c r="G691" s="8">
        <f t="shared" ca="1" si="405"/>
        <v>365</v>
      </c>
      <c r="H691" s="8">
        <f t="shared" ca="1" si="380"/>
        <v>30</v>
      </c>
      <c r="I691" s="8" t="str">
        <f t="shared" ca="1" si="377"/>
        <v>589</v>
      </c>
      <c r="J691" s="13">
        <f>IF(繳費報酬率資料!$A$1=1,VALUE(OP!$C$121),VLOOKUP(A691,MP,2,0))</f>
        <v>0.05</v>
      </c>
      <c r="K691" s="14">
        <f ca="1">IF(SUM($K$4:K690,IF(繳費報酬率資料!$A$1=1,$AU691+$AV691,$BB691+$BC691))&gt;OP!$L$58,0,IF(繳費報酬率資料!$A$1=1,$AU691+$AV691,$BB691+$BC691))</f>
        <v>0</v>
      </c>
      <c r="L691" s="2"/>
      <c r="M691" s="2"/>
      <c r="N691" s="2"/>
      <c r="O691" s="261">
        <f t="shared" ca="1" si="381"/>
        <v>0</v>
      </c>
      <c r="P691" s="261">
        <f t="shared" ca="1" si="399"/>
        <v>0</v>
      </c>
      <c r="Q691" s="3">
        <f ca="1">IF(A691&gt;MAX(OP!$R$17:$R$26),0,VLOOKUP(A691,fees,3,FALSE))</f>
        <v>0</v>
      </c>
      <c r="R691" s="200" t="str">
        <f t="shared" ca="1" si="382"/>
        <v/>
      </c>
      <c r="S691" s="9" t="str">
        <f ca="1">IF(COUNTIF(($T$4:T690),"F")&gt;=1,"",IF(OR(C692&lt;&gt;$C$3,E691=""),"",A691))</f>
        <v/>
      </c>
      <c r="T691" s="20" t="str">
        <f t="shared" ca="1" si="374"/>
        <v/>
      </c>
      <c r="U691" s="2">
        <f ca="1">IF(IF(OP!$C$83=1,$Z690,IF(OP!$C$83=2,$AA690,IF(OP!$C$83=3,$AB690,)))+$K691-$O691-$P691-$AS691&lt;OP!$C$142,0,$AS691)</f>
        <v>0</v>
      </c>
      <c r="V691" s="9"/>
      <c r="W691" s="19">
        <f ca="1">MAX(SUM($K$4:K691),0)</f>
        <v>2000000</v>
      </c>
      <c r="X691" s="19"/>
      <c r="Y691" s="19">
        <f t="shared" ca="1" si="400"/>
        <v>1920000</v>
      </c>
      <c r="Z691" s="2">
        <f ca="1">IF(MIN($Z$4:Z690)=0,0,MAX(0,($Z690+$K691-$O691-$P691)*IF(AND(F691="F",$D$3&lt;&gt;$G$3),((1+(-J691))^(H691/MIN(G691,365))),((1+(-J691))^(1/12)))-$U691))</f>
        <v>101419.45332421911</v>
      </c>
      <c r="AA691" s="2">
        <f ca="1">IF(MIN($AA$4:AA690)=0,0,MAX(0,($AA690+$K691-$O691-$P691)*IF(AND(F691="F",$D$3&lt;&gt;$G$3),((1+$AA$1)^(H691/MIN(G691,365))),((1+$AA$1)^(1/12)))-$U691))</f>
        <v>1920000</v>
      </c>
      <c r="AB691" s="2">
        <f ca="1">IF(MIN($AB$4:AB690)=0,0,MAX(0,($AB690+$K691-$O691-$P691)*IF(AND(F691="F",$D$3&lt;&gt;$G$3),((1+(J691))^(H691/MIN(G691,365))),((1+(J691))^(1/12)))-$U691))</f>
        <v>31488674.193132352</v>
      </c>
      <c r="AC691" s="5"/>
      <c r="AD691" s="5"/>
      <c r="AE691" s="5"/>
      <c r="AF691" s="282">
        <f t="shared" ca="1" si="383"/>
        <v>101419</v>
      </c>
      <c r="AG691" s="282">
        <f t="shared" ca="1" si="384"/>
        <v>1920000</v>
      </c>
      <c r="AH691" s="282">
        <f t="shared" ca="1" si="385"/>
        <v>31488674</v>
      </c>
      <c r="AI691" s="23" t="str">
        <f t="shared" ca="1" si="401"/>
        <v>58-5</v>
      </c>
      <c r="AJ691" s="282">
        <f ca="1">IF(E691&gt;111,,IF(AND(OP!$C$99=1,T691="F"),Z691,IF(AND(OP!$C$99=2,COUNTIF($T$4:T691,"F")=1),OP!$C$97+IF(F691="F",OP!$C$98,0),"")))</f>
        <v>0</v>
      </c>
      <c r="AK691" s="282">
        <f ca="1">IF(E691&gt;111,,IF(AND(OP!$D$99=1,T691="F"),AA691,IF(AND(OP!$D$99=2,COUNTIF($T$4:T691,"F")=1),OP!$D$97+IF(F691="F",OP!$D$98,0),"")))</f>
        <v>0</v>
      </c>
      <c r="AL691" s="282">
        <f ca="1">IF(E691&gt;111,,IF(AND(OP!$E$99=1,T691="F"),AB691,IF(AND(OP!$E$99=2,COUNTIF($T$4:T691,"F")=1),OP!$E$97+IF(F691="F",OP!$E$98,0),"")))</f>
        <v>0</v>
      </c>
      <c r="AM691" s="1">
        <f t="shared" ca="1" si="375"/>
        <v>5</v>
      </c>
      <c r="AN691" s="1" t="e">
        <f ca="1">IF(OR(VLOOKUP($A691,MP,5,0)="季繳",VLOOKUP($A691,MP,5,0)="月繳"),1,"")</f>
        <v>#N/A</v>
      </c>
      <c r="AO691" s="1">
        <f t="shared" ca="1" si="386"/>
        <v>0</v>
      </c>
      <c r="AP691" s="1" t="str">
        <f ca="1">IF(AND(A691&lt;=OP!$C$120,COUNTIF(PAY,C691)=1),1,"")</f>
        <v/>
      </c>
      <c r="AR691" s="301">
        <f ca="1">IF(繳費報酬率資料!$A$1=1,$AY691+$AZ691,$BF691+$BG691)</f>
        <v>0</v>
      </c>
      <c r="AS691" s="1">
        <f ca="1">IF(C691&lt;&gt;IF($C$3=1,12,$C$3-1),0,IF(繳費報酬率資料!$A$1&lt;&gt;1,VLOOKUP($A691,MP,8,0),IF(AND($A691&gt;=OP!$C$79,$A691&lt;=OP!$C$80),OP!$C$78,)))</f>
        <v>0</v>
      </c>
      <c r="AT691" s="298">
        <f t="shared" ca="1" si="387"/>
        <v>0</v>
      </c>
      <c r="AU691" s="298">
        <f ca="1">IF(AND(A691&lt;=OP!$C$120,COUNTIF(PAY,C691)=1),OP!$C$123,0)</f>
        <v>0</v>
      </c>
      <c r="AV691" s="298">
        <f ca="1">IF(AND(A691&gt;=OP!$C$132,A691&lt;=OP!$C$133,$C$3=C691),OP!$C$135,0)</f>
        <v>0</v>
      </c>
      <c r="AW691" s="180">
        <f t="shared" ca="1" si="388"/>
        <v>0.05</v>
      </c>
      <c r="AX691" s="180">
        <f t="shared" ca="1" si="389"/>
        <v>0.05</v>
      </c>
      <c r="AY691" s="286">
        <f t="shared" ca="1" si="390"/>
        <v>0</v>
      </c>
      <c r="AZ691" s="286">
        <f t="shared" ca="1" si="391"/>
        <v>0</v>
      </c>
      <c r="BA691" s="286">
        <f t="shared" ca="1" si="392"/>
        <v>0</v>
      </c>
      <c r="BB691" s="286">
        <f t="shared" ca="1" si="393"/>
        <v>0</v>
      </c>
      <c r="BC691" s="286">
        <f t="shared" ca="1" si="394"/>
        <v>0</v>
      </c>
      <c r="BD691" s="180">
        <f t="shared" ca="1" si="395"/>
        <v>0.05</v>
      </c>
      <c r="BE691" s="180">
        <f t="shared" ca="1" si="396"/>
        <v>0.05</v>
      </c>
      <c r="BF691" s="286">
        <f t="shared" ca="1" si="397"/>
        <v>0</v>
      </c>
      <c r="BG691" s="286">
        <f t="shared" ca="1" si="398"/>
        <v>0</v>
      </c>
    </row>
    <row r="692" spans="1:59">
      <c r="A692" s="1">
        <f t="shared" ca="1" si="378"/>
        <v>58</v>
      </c>
      <c r="B692" s="1">
        <f t="shared" ca="1" si="371"/>
        <v>163</v>
      </c>
      <c r="C692" s="1">
        <f t="shared" ca="1" si="372"/>
        <v>10</v>
      </c>
      <c r="D692" s="1">
        <f ca="1">MIN($D$3,VLOOKUP(C692,OP!$S$30:$T$41,2))</f>
        <v>2</v>
      </c>
      <c r="E692" s="1" t="str">
        <f t="shared" ca="1" si="373"/>
        <v/>
      </c>
      <c r="F692" s="11" t="str">
        <f t="shared" ca="1" si="379"/>
        <v/>
      </c>
      <c r="G692" s="8">
        <f t="shared" ca="1" si="405"/>
        <v>365</v>
      </c>
      <c r="H692" s="8">
        <f t="shared" ca="1" si="380"/>
        <v>31</v>
      </c>
      <c r="I692" s="8" t="str">
        <f t="shared" ca="1" si="377"/>
        <v>5810</v>
      </c>
      <c r="J692" s="13">
        <f>IF(繳費報酬率資料!$A$1=1,VALUE(OP!$C$121),VLOOKUP(A692,MP,2,0))</f>
        <v>0.05</v>
      </c>
      <c r="K692" s="14">
        <f ca="1">IF(SUM($K$4:K691,IF(繳費報酬率資料!$A$1=1,$AU692+$AV692,$BB692+$BC692))&gt;OP!$L$58,0,IF(繳費報酬率資料!$A$1=1,$AU692+$AV692,$BB692+$BC692))</f>
        <v>0</v>
      </c>
      <c r="L692" s="2"/>
      <c r="M692" s="2"/>
      <c r="N692" s="2"/>
      <c r="O692" s="261">
        <f t="shared" ca="1" si="381"/>
        <v>0</v>
      </c>
      <c r="P692" s="261">
        <f t="shared" ca="1" si="399"/>
        <v>0</v>
      </c>
      <c r="Q692" s="3">
        <f ca="1">IF(A692&gt;MAX(OP!$R$17:$R$26),0,VLOOKUP(A692,fees,3,FALSE))</f>
        <v>0</v>
      </c>
      <c r="R692" s="200" t="str">
        <f t="shared" ca="1" si="382"/>
        <v/>
      </c>
      <c r="S692" s="9" t="str">
        <f ca="1">IF(COUNTIF(($T$4:T691),"F")&gt;=1,"",IF(OR(C693&lt;&gt;$C$3,E692=""),"",A692))</f>
        <v/>
      </c>
      <c r="T692" s="20" t="str">
        <f t="shared" ca="1" si="374"/>
        <v/>
      </c>
      <c r="U692" s="2">
        <f ca="1">IF(IF(OP!$C$83=1,$Z691,IF(OP!$C$83=2,$AA691,IF(OP!$C$83=3,$AB691,)))+$K692-$O692-$P692-$AS692&lt;OP!$C$142,0,$AS692)</f>
        <v>0</v>
      </c>
      <c r="V692" s="9"/>
      <c r="W692" s="19">
        <f ca="1">MAX(SUM($K$4:K692),0)</f>
        <v>2000000</v>
      </c>
      <c r="X692" s="19"/>
      <c r="Y692" s="19">
        <f t="shared" ca="1" si="400"/>
        <v>1920000</v>
      </c>
      <c r="Z692" s="2">
        <f ca="1">IF(MIN($Z$4:Z691)=0,0,MAX(0,($Z691+$K692-$O692-$P692)*IF(AND(F692="F",$D$3&lt;&gt;$G$3),((1+(-J692))^(H692/MIN(G692,365))),((1+(-J692))^(1/12)))-$U692))</f>
        <v>100986.86702554538</v>
      </c>
      <c r="AA692" s="2">
        <f ca="1">IF(MIN($AA$4:AA691)=0,0,MAX(0,($AA691+$K692-$O692-$P692)*IF(AND(F692="F",$D$3&lt;&gt;$G$3),((1+$AA$1)^(H692/MIN(G692,365))),((1+$AA$1)^(1/12)))-$U692))</f>
        <v>1920000</v>
      </c>
      <c r="AB692" s="2">
        <f ca="1">IF(MIN($AB$4:AB691)=0,0,MAX(0,($AB691+$K692-$O692-$P692)*IF(AND(F692="F",$D$3&lt;&gt;$G$3),((1+(J692))^(H692/MIN(G692,365))),((1+(J692))^(1/12)))-$U692))</f>
        <v>31616962.949578147</v>
      </c>
      <c r="AC692" s="5"/>
      <c r="AD692" s="5"/>
      <c r="AE692" s="5"/>
      <c r="AF692" s="282">
        <f t="shared" ca="1" si="383"/>
        <v>100987</v>
      </c>
      <c r="AG692" s="282">
        <f t="shared" ca="1" si="384"/>
        <v>1920000</v>
      </c>
      <c r="AH692" s="282">
        <f t="shared" ca="1" si="385"/>
        <v>31616963</v>
      </c>
      <c r="AI692" s="23" t="str">
        <f t="shared" ca="1" si="401"/>
        <v>58-6</v>
      </c>
      <c r="AJ692" s="282">
        <f ca="1">IF(E692&gt;111,,IF(AND(OP!$C$99=1,T692="F"),Z692,IF(AND(OP!$C$99=2,COUNTIF($T$4:T692,"F")=1),OP!$C$97+IF(F692="F",OP!$C$98,0),"")))</f>
        <v>0</v>
      </c>
      <c r="AK692" s="282">
        <f ca="1">IF(E692&gt;111,,IF(AND(OP!$D$99=1,T692="F"),AA692,IF(AND(OP!$D$99=2,COUNTIF($T$4:T692,"F")=1),OP!$D$97+IF(F692="F",OP!$D$98,0),"")))</f>
        <v>0</v>
      </c>
      <c r="AL692" s="282">
        <f ca="1">IF(E692&gt;111,,IF(AND(OP!$E$99=1,T692="F"),AB692,IF(AND(OP!$E$99=2,COUNTIF($T$4:T692,"F")=1),OP!$E$97+IF(F692="F",OP!$E$98,0),"")))</f>
        <v>0</v>
      </c>
      <c r="AM692" s="1">
        <f t="shared" ca="1" si="375"/>
        <v>6</v>
      </c>
      <c r="AN692" s="1" t="e">
        <f ca="1">IF(OR(VLOOKUP($A692,MP,5,0)="月繳"),1,"")</f>
        <v>#N/A</v>
      </c>
      <c r="AO692" s="1">
        <f t="shared" ca="1" si="386"/>
        <v>0</v>
      </c>
      <c r="AP692" s="1" t="str">
        <f ca="1">IF(AND(A692&lt;=OP!$C$120,COUNTIF(PAY,C692)=1),1,"")</f>
        <v/>
      </c>
      <c r="AR692" s="301">
        <f ca="1">IF(繳費報酬率資料!$A$1=1,$AY692+$AZ692,$BF692+$BG692)</f>
        <v>0</v>
      </c>
      <c r="AS692" s="1">
        <f ca="1">IF(C692&lt;&gt;IF($C$3=1,12,$C$3-1),0,IF(繳費報酬率資料!$A$1&lt;&gt;1,VLOOKUP($A692,MP,8,0),IF(AND($A692&gt;=OP!$C$79,$A692&lt;=OP!$C$80),OP!$C$78,)))</f>
        <v>0</v>
      </c>
      <c r="AT692" s="298">
        <f t="shared" ca="1" si="387"/>
        <v>0</v>
      </c>
      <c r="AU692" s="298">
        <f ca="1">IF(AND(A692&lt;=OP!$C$120,COUNTIF(PAY,C692)=1),OP!$C$123,0)</f>
        <v>0</v>
      </c>
      <c r="AV692" s="298">
        <f ca="1">IF(AND(A692&gt;=OP!$C$132,A692&lt;=OP!$C$133,$C$3=C692),OP!$C$135,0)</f>
        <v>0</v>
      </c>
      <c r="AW692" s="180">
        <f t="shared" ca="1" si="388"/>
        <v>0.05</v>
      </c>
      <c r="AX692" s="180">
        <f t="shared" ca="1" si="389"/>
        <v>0.05</v>
      </c>
      <c r="AY692" s="286">
        <f t="shared" ca="1" si="390"/>
        <v>0</v>
      </c>
      <c r="AZ692" s="286">
        <f t="shared" ca="1" si="391"/>
        <v>0</v>
      </c>
      <c r="BA692" s="286">
        <f t="shared" ca="1" si="392"/>
        <v>0</v>
      </c>
      <c r="BB692" s="286">
        <f t="shared" ca="1" si="393"/>
        <v>0</v>
      </c>
      <c r="BC692" s="286">
        <f t="shared" ca="1" si="394"/>
        <v>0</v>
      </c>
      <c r="BD692" s="180">
        <f t="shared" ca="1" si="395"/>
        <v>0.05</v>
      </c>
      <c r="BE692" s="180">
        <f t="shared" ca="1" si="396"/>
        <v>0.05</v>
      </c>
      <c r="BF692" s="286">
        <f t="shared" ca="1" si="397"/>
        <v>0</v>
      </c>
      <c r="BG692" s="286">
        <f t="shared" ca="1" si="398"/>
        <v>0</v>
      </c>
    </row>
    <row r="693" spans="1:59">
      <c r="A693" s="1">
        <f t="shared" ca="1" si="378"/>
        <v>58</v>
      </c>
      <c r="B693" s="1">
        <f t="shared" ca="1" si="371"/>
        <v>163</v>
      </c>
      <c r="C693" s="1">
        <f t="shared" ca="1" si="372"/>
        <v>11</v>
      </c>
      <c r="D693" s="1">
        <f ca="1">MIN($D$3,VLOOKUP(C693,OP!$S$30:$T$41,2))</f>
        <v>2</v>
      </c>
      <c r="E693" s="1" t="str">
        <f t="shared" ca="1" si="373"/>
        <v/>
      </c>
      <c r="F693" s="11" t="str">
        <f t="shared" ca="1" si="379"/>
        <v/>
      </c>
      <c r="G693" s="8">
        <f t="shared" ca="1" si="405"/>
        <v>365</v>
      </c>
      <c r="H693" s="8">
        <f t="shared" ca="1" si="380"/>
        <v>30</v>
      </c>
      <c r="I693" s="8" t="str">
        <f t="shared" ca="1" si="377"/>
        <v>5811</v>
      </c>
      <c r="J693" s="13">
        <f>IF(繳費報酬率資料!$A$1=1,VALUE(OP!$C$121),VLOOKUP(A693,MP,2,0))</f>
        <v>0.05</v>
      </c>
      <c r="K693" s="14">
        <f ca="1">IF(SUM($K$4:K692,IF(繳費報酬率資料!$A$1=1,$AU693+$AV693,$BB693+$BC693))&gt;OP!$L$58,0,IF(繳費報酬率資料!$A$1=1,$AU693+$AV693,$BB693+$BC693))</f>
        <v>0</v>
      </c>
      <c r="L693" s="2"/>
      <c r="M693" s="2"/>
      <c r="N693" s="2"/>
      <c r="O693" s="261">
        <f t="shared" ca="1" si="381"/>
        <v>0</v>
      </c>
      <c r="P693" s="261">
        <f t="shared" ca="1" si="399"/>
        <v>0</v>
      </c>
      <c r="Q693" s="3">
        <f ca="1">IF(A693&gt;MAX(OP!$R$17:$R$26),0,VLOOKUP(A693,fees,3,FALSE))</f>
        <v>0</v>
      </c>
      <c r="R693" s="200" t="str">
        <f t="shared" ca="1" si="382"/>
        <v/>
      </c>
      <c r="S693" s="9" t="str">
        <f ca="1">IF(COUNTIF(($T$4:T692),"F")&gt;=1,"",IF(OR(C694&lt;&gt;$C$3,E693=""),"",A693))</f>
        <v/>
      </c>
      <c r="T693" s="20" t="str">
        <f t="shared" ca="1" si="374"/>
        <v/>
      </c>
      <c r="U693" s="2">
        <f ca="1">IF(IF(OP!$C$83=1,$Z692,IF(OP!$C$83=2,$AA692,IF(OP!$C$83=3,$AB692,)))+$K693-$O693-$P693-$AS693&lt;OP!$C$142,0,$AS693)</f>
        <v>0</v>
      </c>
      <c r="V693" s="9"/>
      <c r="W693" s="19">
        <f ca="1">MAX(SUM($K$4:K693),0)</f>
        <v>2000000</v>
      </c>
      <c r="X693" s="19"/>
      <c r="Y693" s="19">
        <f t="shared" ca="1" si="400"/>
        <v>1920000</v>
      </c>
      <c r="Z693" s="2">
        <f ca="1">IF(MIN($Z$4:Z692)=0,0,MAX(0,($Z692+$K693-$O693-$P693)*IF(AND(F693="F",$D$3&lt;&gt;$G$3),((1+(-J693))^(H693/MIN(G693,365))),((1+(-J693))^(1/12)))-$U693))</f>
        <v>100556.1258453343</v>
      </c>
      <c r="AA693" s="2">
        <f ca="1">IF(MIN($AA$4:AA692)=0,0,MAX(0,($AA692+$K693-$O693-$P693)*IF(AND(F693="F",$D$3&lt;&gt;$G$3),((1+$AA$1)^(H693/MIN(G693,365))),((1+$AA$1)^(1/12)))-$U693))</f>
        <v>1920000</v>
      </c>
      <c r="AB693" s="2">
        <f ca="1">IF(MIN($AB$4:AB692)=0,0,MAX(0,($AB692+$K693-$O693-$P693)*IF(AND(F693="F",$D$3&lt;&gt;$G$3),((1+(J693))^(H693/MIN(G693,365))),((1+(J693))^(1/12)))-$U693))</f>
        <v>31745774.370297752</v>
      </c>
      <c r="AC693" s="5"/>
      <c r="AD693" s="5"/>
      <c r="AE693" s="5"/>
      <c r="AF693" s="282">
        <f t="shared" ca="1" si="383"/>
        <v>100556</v>
      </c>
      <c r="AG693" s="282">
        <f t="shared" ca="1" si="384"/>
        <v>1920000</v>
      </c>
      <c r="AH693" s="282">
        <f t="shared" ca="1" si="385"/>
        <v>31745774</v>
      </c>
      <c r="AI693" s="23" t="str">
        <f t="shared" ca="1" si="401"/>
        <v>58-7</v>
      </c>
      <c r="AJ693" s="282">
        <f ca="1">IF(E693&gt;111,,IF(AND(OP!$C$99=1,T693="F"),Z693,IF(AND(OP!$C$99=2,COUNTIF($T$4:T693,"F")=1),OP!$C$97+IF(F693="F",OP!$C$98,0),"")))</f>
        <v>0</v>
      </c>
      <c r="AK693" s="282">
        <f ca="1">IF(E693&gt;111,,IF(AND(OP!$D$99=1,T693="F"),AA693,IF(AND(OP!$D$99=2,COUNTIF($T$4:T693,"F")=1),OP!$D$97+IF(F693="F",OP!$D$98,0),"")))</f>
        <v>0</v>
      </c>
      <c r="AL693" s="282">
        <f ca="1">IF(E693&gt;111,,IF(AND(OP!$E$99=1,T693="F"),AB693,IF(AND(OP!$E$99=2,COUNTIF($T$4:T693,"F")=1),OP!$E$97+IF(F693="F",OP!$E$98,0),"")))</f>
        <v>0</v>
      </c>
      <c r="AM693" s="1">
        <f t="shared" ca="1" si="375"/>
        <v>7</v>
      </c>
      <c r="AN693" s="1" t="e">
        <f ca="1">IF(OR(VLOOKUP($A693,MP,5,0)="月繳"),1,"")</f>
        <v>#N/A</v>
      </c>
      <c r="AO693" s="1">
        <f t="shared" ca="1" si="386"/>
        <v>0</v>
      </c>
      <c r="AP693" s="1" t="str">
        <f ca="1">IF(AND(A693&lt;=OP!$C$120,COUNTIF(PAY,C693)=1),1,"")</f>
        <v/>
      </c>
      <c r="AR693" s="301">
        <f ca="1">IF(繳費報酬率資料!$A$1=1,$AY693+$AZ693,$BF693+$BG693)</f>
        <v>0</v>
      </c>
      <c r="AS693" s="1">
        <f ca="1">IF(C693&lt;&gt;IF($C$3=1,12,$C$3-1),0,IF(繳費報酬率資料!$A$1&lt;&gt;1,VLOOKUP($A693,MP,8,0),IF(AND($A693&gt;=OP!$C$79,$A693&lt;=OP!$C$80),OP!$C$78,)))</f>
        <v>0</v>
      </c>
      <c r="AT693" s="298">
        <f t="shared" ca="1" si="387"/>
        <v>0</v>
      </c>
      <c r="AU693" s="298">
        <f ca="1">IF(AND(A693&lt;=OP!$C$120,COUNTIF(PAY,C693)=1),OP!$C$123,0)</f>
        <v>0</v>
      </c>
      <c r="AV693" s="298">
        <f ca="1">IF(AND(A693&gt;=OP!$C$132,A693&lt;=OP!$C$133,$C$3=C693),OP!$C$135,0)</f>
        <v>0</v>
      </c>
      <c r="AW693" s="180">
        <f t="shared" ca="1" si="388"/>
        <v>0.05</v>
      </c>
      <c r="AX693" s="180">
        <f t="shared" ca="1" si="389"/>
        <v>0.05</v>
      </c>
      <c r="AY693" s="286">
        <f t="shared" ca="1" si="390"/>
        <v>0</v>
      </c>
      <c r="AZ693" s="286">
        <f t="shared" ca="1" si="391"/>
        <v>0</v>
      </c>
      <c r="BA693" s="286">
        <f t="shared" ca="1" si="392"/>
        <v>0</v>
      </c>
      <c r="BB693" s="286">
        <f t="shared" ca="1" si="393"/>
        <v>0</v>
      </c>
      <c r="BC693" s="286">
        <f t="shared" ca="1" si="394"/>
        <v>0</v>
      </c>
      <c r="BD693" s="180">
        <f t="shared" ca="1" si="395"/>
        <v>0.05</v>
      </c>
      <c r="BE693" s="180">
        <f t="shared" ca="1" si="396"/>
        <v>0.05</v>
      </c>
      <c r="BF693" s="286">
        <f t="shared" ca="1" si="397"/>
        <v>0</v>
      </c>
      <c r="BG693" s="286">
        <f t="shared" ca="1" si="398"/>
        <v>0</v>
      </c>
    </row>
    <row r="694" spans="1:59">
      <c r="A694" s="1">
        <f t="shared" ca="1" si="378"/>
        <v>58</v>
      </c>
      <c r="B694" s="1">
        <f t="shared" ca="1" si="371"/>
        <v>163</v>
      </c>
      <c r="C694" s="1">
        <f t="shared" ca="1" si="372"/>
        <v>12</v>
      </c>
      <c r="D694" s="1">
        <f ca="1">MIN($D$3,VLOOKUP(C694,OP!$S$30:$T$41,2))</f>
        <v>2</v>
      </c>
      <c r="E694" s="1" t="str">
        <f t="shared" ca="1" si="373"/>
        <v/>
      </c>
      <c r="F694" s="11" t="str">
        <f t="shared" ca="1" si="379"/>
        <v/>
      </c>
      <c r="G694" s="8">
        <f t="shared" ca="1" si="405"/>
        <v>365</v>
      </c>
      <c r="H694" s="8">
        <f t="shared" ca="1" si="380"/>
        <v>31</v>
      </c>
      <c r="I694" s="8" t="str">
        <f t="shared" ca="1" si="377"/>
        <v>5812</v>
      </c>
      <c r="J694" s="13">
        <f>IF(繳費報酬率資料!$A$1=1,VALUE(OP!$C$121),VLOOKUP(A694,MP,2,0))</f>
        <v>0.05</v>
      </c>
      <c r="K694" s="14">
        <f ca="1">IF(SUM($K$4:K693,IF(繳費報酬率資料!$A$1=1,$AU694+$AV694,$BB694+$BC694))&gt;OP!$L$58,0,IF(繳費報酬率資料!$A$1=1,$AU694+$AV694,$BB694+$BC694))</f>
        <v>0</v>
      </c>
      <c r="L694" s="2"/>
      <c r="M694" s="2"/>
      <c r="N694" s="2"/>
      <c r="O694" s="261">
        <f t="shared" ca="1" si="381"/>
        <v>0</v>
      </c>
      <c r="P694" s="261">
        <f t="shared" ca="1" si="399"/>
        <v>0</v>
      </c>
      <c r="Q694" s="3">
        <f ca="1">IF(A694&gt;MAX(OP!$R$17:$R$26),0,VLOOKUP(A694,fees,3,FALSE))</f>
        <v>0</v>
      </c>
      <c r="R694" s="200" t="str">
        <f t="shared" ca="1" si="382"/>
        <v/>
      </c>
      <c r="S694" s="9" t="str">
        <f ca="1">IF(COUNTIF(($T$4:T693),"F")&gt;=1,"",IF(OR(C695&lt;&gt;$C$3,E694=""),"",A694))</f>
        <v/>
      </c>
      <c r="T694" s="20" t="str">
        <f t="shared" ca="1" si="374"/>
        <v/>
      </c>
      <c r="U694" s="2">
        <f ca="1">IF(IF(OP!$C$83=1,$Z693,IF(OP!$C$83=2,$AA693,IF(OP!$C$83=3,$AB693,)))+$K694-$O694-$P694-$AS694&lt;OP!$C$142,0,$AS694)</f>
        <v>0</v>
      </c>
      <c r="V694" s="9"/>
      <c r="W694" s="19">
        <f ca="1">MAX(SUM($K$4:K694),0)</f>
        <v>2000000</v>
      </c>
      <c r="X694" s="19"/>
      <c r="Y694" s="19">
        <f t="shared" ca="1" si="400"/>
        <v>1920000</v>
      </c>
      <c r="Z694" s="2">
        <f ca="1">IF(MIN($Z$4:Z693)=0,0,MAX(0,($Z693+$K694-$O694-$P694)*IF(AND(F694="F",$D$3&lt;&gt;$G$3),((1+(-J694))^(H694/MIN(G694,365))),((1+(-J694))^(1/12)))-$U694))</f>
        <v>100127.22191356745</v>
      </c>
      <c r="AA694" s="2">
        <f ca="1">IF(MIN($AA$4:AA693)=0,0,MAX(0,($AA693+$K694-$O694-$P694)*IF(AND(F694="F",$D$3&lt;&gt;$G$3),((1+$AA$1)^(H694/MIN(G694,365))),((1+$AA$1)^(1/12)))-$U694))</f>
        <v>1920000</v>
      </c>
      <c r="AB694" s="2">
        <f ca="1">IF(MIN($AB$4:AB693)=0,0,MAX(0,($AB693+$K694-$O694-$P694)*IF(AND(F694="F",$D$3&lt;&gt;$G$3),((1+(J694))^(H694/MIN(G694,365))),((1+(J694))^(1/12)))-$U694))</f>
        <v>31875110.584690116</v>
      </c>
      <c r="AC694" s="5"/>
      <c r="AD694" s="5"/>
      <c r="AE694" s="5"/>
      <c r="AF694" s="282">
        <f t="shared" ca="1" si="383"/>
        <v>100127</v>
      </c>
      <c r="AG694" s="282">
        <f t="shared" ca="1" si="384"/>
        <v>1920000</v>
      </c>
      <c r="AH694" s="282">
        <f t="shared" ca="1" si="385"/>
        <v>31875111</v>
      </c>
      <c r="AI694" s="23" t="str">
        <f t="shared" ca="1" si="401"/>
        <v>58-8</v>
      </c>
      <c r="AJ694" s="282">
        <f ca="1">IF(E694&gt;111,,IF(AND(OP!$C$99=1,T694="F"),Z694,IF(AND(OP!$C$99=2,COUNTIF($T$4:T694,"F")=1),OP!$C$97+IF(F694="F",OP!$C$98,0),"")))</f>
        <v>0</v>
      </c>
      <c r="AK694" s="282">
        <f ca="1">IF(E694&gt;111,,IF(AND(OP!$D$99=1,T694="F"),AA694,IF(AND(OP!$D$99=2,COUNTIF($T$4:T694,"F")=1),OP!$D$97+IF(F694="F",OP!$D$98,0),"")))</f>
        <v>0</v>
      </c>
      <c r="AL694" s="282">
        <f ca="1">IF(E694&gt;111,,IF(AND(OP!$E$99=1,T694="F"),AB694,IF(AND(OP!$E$99=2,COUNTIF($T$4:T694,"F")=1),OP!$E$97+IF(F694="F",OP!$E$98,0),"")))</f>
        <v>0</v>
      </c>
      <c r="AM694" s="1">
        <f t="shared" ca="1" si="375"/>
        <v>8</v>
      </c>
      <c r="AN694" s="1" t="e">
        <f ca="1">IF(OR(VLOOKUP($A694,MP,5,0)="半年繳",VLOOKUP($A694,MP,5,0)="季繳",VLOOKUP($A694,MP,5,0)="月繳"),1,"")</f>
        <v>#N/A</v>
      </c>
      <c r="AO694" s="1">
        <f t="shared" ca="1" si="386"/>
        <v>0</v>
      </c>
      <c r="AP694" s="1" t="str">
        <f ca="1">IF(AND(A694&lt;=OP!$C$120,COUNTIF(PAY,C694)=1),1,"")</f>
        <v/>
      </c>
      <c r="AR694" s="301">
        <f ca="1">IF(繳費報酬率資料!$A$1=1,$AY694+$AZ694,$BF694+$BG694)</f>
        <v>0</v>
      </c>
      <c r="AS694" s="1">
        <f ca="1">IF(C694&lt;&gt;IF($C$3=1,12,$C$3-1),0,IF(繳費報酬率資料!$A$1&lt;&gt;1,VLOOKUP($A694,MP,8,0),IF(AND($A694&gt;=OP!$C$79,$A694&lt;=OP!$C$80),OP!$C$78,)))</f>
        <v>0</v>
      </c>
      <c r="AT694" s="298">
        <f t="shared" ca="1" si="387"/>
        <v>0</v>
      </c>
      <c r="AU694" s="298">
        <f ca="1">IF(AND(A694&lt;=OP!$C$120,COUNTIF(PAY,C694)=1),OP!$C$123,0)</f>
        <v>0</v>
      </c>
      <c r="AV694" s="298">
        <f ca="1">IF(AND(A694&gt;=OP!$C$132,A694&lt;=OP!$C$133,$C$3=C694),OP!$C$135,0)</f>
        <v>0</v>
      </c>
      <c r="AW694" s="180">
        <f t="shared" ca="1" si="388"/>
        <v>0.05</v>
      </c>
      <c r="AX694" s="180">
        <f t="shared" ca="1" si="389"/>
        <v>0.05</v>
      </c>
      <c r="AY694" s="286">
        <f t="shared" ca="1" si="390"/>
        <v>0</v>
      </c>
      <c r="AZ694" s="286">
        <f t="shared" ca="1" si="391"/>
        <v>0</v>
      </c>
      <c r="BA694" s="286">
        <f t="shared" ca="1" si="392"/>
        <v>0</v>
      </c>
      <c r="BB694" s="286">
        <f t="shared" ca="1" si="393"/>
        <v>0</v>
      </c>
      <c r="BC694" s="286">
        <f t="shared" ca="1" si="394"/>
        <v>0</v>
      </c>
      <c r="BD694" s="180">
        <f t="shared" ca="1" si="395"/>
        <v>0.05</v>
      </c>
      <c r="BE694" s="180">
        <f t="shared" ca="1" si="396"/>
        <v>0.05</v>
      </c>
      <c r="BF694" s="286">
        <f t="shared" ca="1" si="397"/>
        <v>0</v>
      </c>
      <c r="BG694" s="286">
        <f t="shared" ca="1" si="398"/>
        <v>0</v>
      </c>
    </row>
    <row r="695" spans="1:59">
      <c r="A695" s="1">
        <f t="shared" ca="1" si="378"/>
        <v>58</v>
      </c>
      <c r="B695" s="1">
        <f t="shared" ca="1" si="371"/>
        <v>164</v>
      </c>
      <c r="C695" s="1">
        <f t="shared" ca="1" si="372"/>
        <v>1</v>
      </c>
      <c r="D695" s="1">
        <f ca="1">MIN($D$3,VLOOKUP(C695,OP!$S$30:$T$41,2))</f>
        <v>2</v>
      </c>
      <c r="E695" s="1" t="str">
        <f t="shared" ca="1" si="373"/>
        <v/>
      </c>
      <c r="F695" s="11" t="str">
        <f t="shared" ca="1" si="379"/>
        <v/>
      </c>
      <c r="G695" s="8">
        <f t="shared" ca="1" si="405"/>
        <v>365</v>
      </c>
      <c r="H695" s="8">
        <f t="shared" ca="1" si="380"/>
        <v>31</v>
      </c>
      <c r="I695" s="8" t="str">
        <f t="shared" ca="1" si="377"/>
        <v>581</v>
      </c>
      <c r="J695" s="13">
        <f>IF(繳費報酬率資料!$A$1=1,VALUE(OP!$C$121),VLOOKUP(A695,MP,2,0))</f>
        <v>0.05</v>
      </c>
      <c r="K695" s="14">
        <f ca="1">IF(SUM($K$4:K694,IF(繳費報酬率資料!$A$1=1,$AU695+$AV695,$BB695+$BC695))&gt;OP!$L$58,0,IF(繳費報酬率資料!$A$1=1,$AU695+$AV695,$BB695+$BC695))</f>
        <v>0</v>
      </c>
      <c r="L695" s="2"/>
      <c r="M695" s="2"/>
      <c r="N695" s="2"/>
      <c r="O695" s="261">
        <f t="shared" ca="1" si="381"/>
        <v>0</v>
      </c>
      <c r="P695" s="261">
        <f t="shared" ca="1" si="399"/>
        <v>0</v>
      </c>
      <c r="Q695" s="3">
        <f ca="1">IF(A695&gt;MAX(OP!$R$17:$R$26),0,VLOOKUP(A695,fees,3,FALSE))</f>
        <v>0</v>
      </c>
      <c r="R695" s="200" t="str">
        <f t="shared" ca="1" si="382"/>
        <v/>
      </c>
      <c r="S695" s="9" t="str">
        <f ca="1">IF(COUNTIF(($T$4:T694),"F")&gt;=1,"",IF(OR(C696&lt;&gt;$C$3,E695=""),"",A695))</f>
        <v/>
      </c>
      <c r="T695" s="20" t="str">
        <f t="shared" ca="1" si="374"/>
        <v/>
      </c>
      <c r="U695" s="2">
        <f ca="1">IF(IF(OP!$C$83=1,$Z694,IF(OP!$C$83=2,$AA694,IF(OP!$C$83=3,$AB694,)))+$K695-$O695-$P695-$AS695&lt;OP!$C$142,0,$AS695)</f>
        <v>0</v>
      </c>
      <c r="V695" s="9"/>
      <c r="W695" s="19">
        <f ca="1">MAX(SUM($K$4:K695),0)</f>
        <v>2000000</v>
      </c>
      <c r="X695" s="19"/>
      <c r="Y695" s="19">
        <f t="shared" ca="1" si="400"/>
        <v>1920000</v>
      </c>
      <c r="Z695" s="2">
        <f ca="1">IF(MIN($Z$4:Z694)=0,0,MAX(0,($Z694+$K695-$O695-$P695)*IF(AND(F695="F",$D$3&lt;&gt;$G$3),((1+(-J695))^(H695/MIN(G695,365))),((1+(-J695))^(1/12)))-$U695))</f>
        <v>99700.147393794527</v>
      </c>
      <c r="AA695" s="2">
        <f ca="1">IF(MIN($AA$4:AA694)=0,0,MAX(0,($AA694+$K695-$O695-$P695)*IF(AND(F695="F",$D$3&lt;&gt;$G$3),((1+$AA$1)^(H695/MIN(G695,365))),((1+$AA$1)^(1/12)))-$U695))</f>
        <v>1920000</v>
      </c>
      <c r="AB695" s="2">
        <f ca="1">IF(MIN($AB$4:AB694)=0,0,MAX(0,($AB694+$K695-$O695-$P695)*IF(AND(F695="F",$D$3&lt;&gt;$G$3),((1+(J695))^(H695/MIN(G695,365))),((1+(J695))^(1/12)))-$U695))</f>
        <v>32004973.730829623</v>
      </c>
      <c r="AC695" s="5"/>
      <c r="AD695" s="5"/>
      <c r="AE695" s="5"/>
      <c r="AF695" s="282">
        <f t="shared" ca="1" si="383"/>
        <v>99700</v>
      </c>
      <c r="AG695" s="282">
        <f t="shared" ca="1" si="384"/>
        <v>1920000</v>
      </c>
      <c r="AH695" s="282">
        <f t="shared" ca="1" si="385"/>
        <v>32004974</v>
      </c>
      <c r="AI695" s="23" t="str">
        <f t="shared" ca="1" si="401"/>
        <v>58-9</v>
      </c>
      <c r="AJ695" s="282">
        <f ca="1">IF(E695&gt;111,,IF(AND(OP!$C$99=1,T695="F"),Z695,IF(AND(OP!$C$99=2,COUNTIF($T$4:T695,"F")=1),OP!$C$97+IF(F695="F",OP!$C$98,0),"")))</f>
        <v>0</v>
      </c>
      <c r="AK695" s="282">
        <f ca="1">IF(E695&gt;111,,IF(AND(OP!$D$99=1,T695="F"),AA695,IF(AND(OP!$D$99=2,COUNTIF($T$4:T695,"F")=1),OP!$D$97+IF(F695="F",OP!$D$98,0),"")))</f>
        <v>0</v>
      </c>
      <c r="AL695" s="282">
        <f ca="1">IF(E695&gt;111,,IF(AND(OP!$E$99=1,T695="F"),AB695,IF(AND(OP!$E$99=2,COUNTIF($T$4:T695,"F")=1),OP!$E$97+IF(F695="F",OP!$E$98,0),"")))</f>
        <v>0</v>
      </c>
      <c r="AM695" s="1">
        <f t="shared" ca="1" si="375"/>
        <v>9</v>
      </c>
      <c r="AN695" s="1" t="e">
        <f ca="1">IF(OR(VLOOKUP($A695,MP,5,0)="月繳"),1,"")</f>
        <v>#N/A</v>
      </c>
      <c r="AO695" s="1">
        <f t="shared" ca="1" si="386"/>
        <v>0</v>
      </c>
      <c r="AP695" s="1" t="str">
        <f ca="1">IF(AND(A695&lt;=OP!$C$120,COUNTIF(PAY,C695)=1),1,"")</f>
        <v/>
      </c>
      <c r="AR695" s="301">
        <f ca="1">IF(繳費報酬率資料!$A$1=1,$AY695+$AZ695,$BF695+$BG695)</f>
        <v>0</v>
      </c>
      <c r="AS695" s="1">
        <f ca="1">IF(C695&lt;&gt;IF($C$3=1,12,$C$3-1),0,IF(繳費報酬率資料!$A$1&lt;&gt;1,VLOOKUP($A695,MP,8,0),IF(AND($A695&gt;=OP!$C$79,$A695&lt;=OP!$C$80),OP!$C$78,)))</f>
        <v>0</v>
      </c>
      <c r="AT695" s="298">
        <f t="shared" ca="1" si="387"/>
        <v>0</v>
      </c>
      <c r="AU695" s="298">
        <f ca="1">IF(AND(A695&lt;=OP!$C$120,COUNTIF(PAY,C695)=1),OP!$C$123,0)</f>
        <v>0</v>
      </c>
      <c r="AV695" s="298">
        <f ca="1">IF(AND(A695&gt;=OP!$C$132,A695&lt;=OP!$C$133,$C$3=C695),OP!$C$135,0)</f>
        <v>0</v>
      </c>
      <c r="AW695" s="180">
        <f t="shared" ca="1" si="388"/>
        <v>0.05</v>
      </c>
      <c r="AX695" s="180">
        <f t="shared" ca="1" si="389"/>
        <v>0.05</v>
      </c>
      <c r="AY695" s="286">
        <f t="shared" ca="1" si="390"/>
        <v>0</v>
      </c>
      <c r="AZ695" s="286">
        <f t="shared" ca="1" si="391"/>
        <v>0</v>
      </c>
      <c r="BA695" s="286">
        <f t="shared" ca="1" si="392"/>
        <v>0</v>
      </c>
      <c r="BB695" s="286">
        <f t="shared" ca="1" si="393"/>
        <v>0</v>
      </c>
      <c r="BC695" s="286">
        <f t="shared" ca="1" si="394"/>
        <v>0</v>
      </c>
      <c r="BD695" s="180">
        <f t="shared" ca="1" si="395"/>
        <v>0.05</v>
      </c>
      <c r="BE695" s="180">
        <f t="shared" ca="1" si="396"/>
        <v>0.05</v>
      </c>
      <c r="BF695" s="286">
        <f t="shared" ca="1" si="397"/>
        <v>0</v>
      </c>
      <c r="BG695" s="286">
        <f t="shared" ca="1" si="398"/>
        <v>0</v>
      </c>
    </row>
    <row r="696" spans="1:59">
      <c r="A696" s="1">
        <f t="shared" ca="1" si="378"/>
        <v>58</v>
      </c>
      <c r="B696" s="1">
        <f t="shared" ca="1" si="371"/>
        <v>164</v>
      </c>
      <c r="C696" s="1">
        <f t="shared" ca="1" si="372"/>
        <v>2</v>
      </c>
      <c r="D696" s="1">
        <f ca="1">MIN($D$3,VLOOKUP(C696,OP!$S$30:$T$41,2))</f>
        <v>2</v>
      </c>
      <c r="E696" s="1" t="str">
        <f t="shared" ca="1" si="373"/>
        <v/>
      </c>
      <c r="F696" s="11" t="str">
        <f t="shared" ca="1" si="379"/>
        <v/>
      </c>
      <c r="G696" s="8">
        <f t="shared" ca="1" si="405"/>
        <v>365</v>
      </c>
      <c r="H696" s="8">
        <f t="shared" ca="1" si="380"/>
        <v>28</v>
      </c>
      <c r="I696" s="8" t="str">
        <f t="shared" ca="1" si="377"/>
        <v>582</v>
      </c>
      <c r="J696" s="13">
        <f>IF(繳費報酬率資料!$A$1=1,VALUE(OP!$C$121),VLOOKUP(A696,MP,2,0))</f>
        <v>0.05</v>
      </c>
      <c r="K696" s="14">
        <f ca="1">IF(SUM($K$4:K695,IF(繳費報酬率資料!$A$1=1,$AU696+$AV696,$BB696+$BC696))&gt;OP!$L$58,0,IF(繳費報酬率資料!$A$1=1,$AU696+$AV696,$BB696+$BC696))</f>
        <v>0</v>
      </c>
      <c r="L696" s="2"/>
      <c r="M696" s="2"/>
      <c r="N696" s="2"/>
      <c r="O696" s="261">
        <f t="shared" ca="1" si="381"/>
        <v>0</v>
      </c>
      <c r="P696" s="261">
        <f t="shared" ca="1" si="399"/>
        <v>0</v>
      </c>
      <c r="Q696" s="3">
        <f ca="1">IF(A696&gt;MAX(OP!$R$17:$R$26),0,VLOOKUP(A696,fees,3,FALSE))</f>
        <v>0</v>
      </c>
      <c r="R696" s="200" t="str">
        <f t="shared" ca="1" si="382"/>
        <v/>
      </c>
      <c r="S696" s="9" t="str">
        <f ca="1">IF(COUNTIF(($T$4:T695),"F")&gt;=1,"",IF(OR(C697&lt;&gt;$C$3,E696=""),"",A696))</f>
        <v/>
      </c>
      <c r="T696" s="20" t="str">
        <f t="shared" ca="1" si="374"/>
        <v/>
      </c>
      <c r="U696" s="2">
        <f ca="1">IF(IF(OP!$C$83=1,$Z695,IF(OP!$C$83=2,$AA695,IF(OP!$C$83=3,$AB695,)))+$K696-$O696-$P696-$AS696&lt;OP!$C$142,0,$AS696)</f>
        <v>0</v>
      </c>
      <c r="V696" s="9"/>
      <c r="W696" s="19">
        <f ca="1">MAX(SUM($K$4:K696),0)</f>
        <v>2000000</v>
      </c>
      <c r="X696" s="19"/>
      <c r="Y696" s="19">
        <f t="shared" ca="1" si="400"/>
        <v>1920000</v>
      </c>
      <c r="Z696" s="2">
        <f ca="1">IF(MIN($Z$4:Z695)=0,0,MAX(0,($Z695+$K696-$O696-$P696)*IF(AND(F696="F",$D$3&lt;&gt;$G$3),((1+(-J696))^(H696/MIN(G696,365))),((1+(-J696))^(1/12)))-$U696))</f>
        <v>99274.894482990218</v>
      </c>
      <c r="AA696" s="2">
        <f ca="1">IF(MIN($AA$4:AA695)=0,0,MAX(0,($AA695+$K696-$O696-$P696)*IF(AND(F696="F",$D$3&lt;&gt;$G$3),((1+$AA$1)^(H696/MIN(G696,365))),((1+$AA$1)^(1/12)))-$U696))</f>
        <v>1920000</v>
      </c>
      <c r="AB696" s="2">
        <f ca="1">IF(MIN($AB$4:AB695)=0,0,MAX(0,($AB695+$K696-$O696-$P696)*IF(AND(F696="F",$D$3&lt;&gt;$G$3),((1+(J696))^(H696/MIN(G696,365))),((1+(J696))^(1/12)))-$U696))</f>
        <v>32135365.955501437</v>
      </c>
      <c r="AC696" s="5"/>
      <c r="AD696" s="5"/>
      <c r="AE696" s="5"/>
      <c r="AF696" s="282">
        <f t="shared" ca="1" si="383"/>
        <v>99275</v>
      </c>
      <c r="AG696" s="282">
        <f t="shared" ca="1" si="384"/>
        <v>1920000</v>
      </c>
      <c r="AH696" s="282">
        <f t="shared" ca="1" si="385"/>
        <v>32135366</v>
      </c>
      <c r="AI696" s="23" t="str">
        <f t="shared" ca="1" si="401"/>
        <v>58-10</v>
      </c>
      <c r="AJ696" s="282">
        <f ca="1">IF(E696&gt;111,,IF(AND(OP!$C$99=1,T696="F"),Z696,IF(AND(OP!$C$99=2,COUNTIF($T$4:T696,"F")=1),OP!$C$97+IF(F696="F",OP!$C$98,0),"")))</f>
        <v>0</v>
      </c>
      <c r="AK696" s="282">
        <f ca="1">IF(E696&gt;111,,IF(AND(OP!$D$99=1,T696="F"),AA696,IF(AND(OP!$D$99=2,COUNTIF($T$4:T696,"F")=1),OP!$D$97+IF(F696="F",OP!$D$98,0),"")))</f>
        <v>0</v>
      </c>
      <c r="AL696" s="282">
        <f ca="1">IF(E696&gt;111,,IF(AND(OP!$E$99=1,T696="F"),AB696,IF(AND(OP!$E$99=2,COUNTIF($T$4:T696,"F")=1),OP!$E$97+IF(F696="F",OP!$E$98,0),"")))</f>
        <v>0</v>
      </c>
      <c r="AM696" s="1">
        <f t="shared" ca="1" si="375"/>
        <v>10</v>
      </c>
      <c r="AN696" s="1" t="e">
        <f ca="1">IF(OR(VLOOKUP($A696,MP,5,0)="月繳"),1,"")</f>
        <v>#N/A</v>
      </c>
      <c r="AO696" s="1">
        <f t="shared" ca="1" si="386"/>
        <v>0</v>
      </c>
      <c r="AP696" s="1" t="str">
        <f ca="1">IF(AND(A696&lt;=OP!$C$120,COUNTIF(PAY,C696)=1),1,"")</f>
        <v/>
      </c>
      <c r="AR696" s="301">
        <f ca="1">IF(繳費報酬率資料!$A$1=1,$AY696+$AZ696,$BF696+$BG696)</f>
        <v>0</v>
      </c>
      <c r="AS696" s="1">
        <f ca="1">IF(C696&lt;&gt;IF($C$3=1,12,$C$3-1),0,IF(繳費報酬率資料!$A$1&lt;&gt;1,VLOOKUP($A696,MP,8,0),IF(AND($A696&gt;=OP!$C$79,$A696&lt;=OP!$C$80),OP!$C$78,)))</f>
        <v>0</v>
      </c>
      <c r="AT696" s="298">
        <f t="shared" ca="1" si="387"/>
        <v>0</v>
      </c>
      <c r="AU696" s="298">
        <f ca="1">IF(AND(A696&lt;=OP!$C$120,COUNTIF(PAY,C696)=1),OP!$C$123,0)</f>
        <v>0</v>
      </c>
      <c r="AV696" s="298">
        <f ca="1">IF(AND(A696&gt;=OP!$C$132,A696&lt;=OP!$C$133,$C$3=C696),OP!$C$135,0)</f>
        <v>0</v>
      </c>
      <c r="AW696" s="180">
        <f t="shared" ca="1" si="388"/>
        <v>0.05</v>
      </c>
      <c r="AX696" s="180">
        <f t="shared" ca="1" si="389"/>
        <v>0.05</v>
      </c>
      <c r="AY696" s="286">
        <f t="shared" ca="1" si="390"/>
        <v>0</v>
      </c>
      <c r="AZ696" s="286">
        <f t="shared" ca="1" si="391"/>
        <v>0</v>
      </c>
      <c r="BA696" s="286">
        <f t="shared" ca="1" si="392"/>
        <v>0</v>
      </c>
      <c r="BB696" s="286">
        <f t="shared" ca="1" si="393"/>
        <v>0</v>
      </c>
      <c r="BC696" s="286">
        <f t="shared" ca="1" si="394"/>
        <v>0</v>
      </c>
      <c r="BD696" s="180">
        <f t="shared" ca="1" si="395"/>
        <v>0.05</v>
      </c>
      <c r="BE696" s="180">
        <f t="shared" ca="1" si="396"/>
        <v>0.05</v>
      </c>
      <c r="BF696" s="286">
        <f t="shared" ca="1" si="397"/>
        <v>0</v>
      </c>
      <c r="BG696" s="286">
        <f t="shared" ca="1" si="398"/>
        <v>0</v>
      </c>
    </row>
    <row r="697" spans="1:59">
      <c r="A697" s="1">
        <f t="shared" ca="1" si="378"/>
        <v>58</v>
      </c>
      <c r="B697" s="1">
        <f t="shared" ca="1" si="371"/>
        <v>164</v>
      </c>
      <c r="C697" s="1">
        <f t="shared" ca="1" si="372"/>
        <v>3</v>
      </c>
      <c r="D697" s="1">
        <f ca="1">MIN($D$3,VLOOKUP(C697,OP!$S$30:$T$41,2))</f>
        <v>2</v>
      </c>
      <c r="E697" s="1" t="str">
        <f t="shared" ca="1" si="373"/>
        <v/>
      </c>
      <c r="F697" s="11" t="str">
        <f t="shared" ca="1" si="379"/>
        <v/>
      </c>
      <c r="G697" s="8">
        <f t="shared" ca="1" si="405"/>
        <v>365</v>
      </c>
      <c r="H697" s="8">
        <f t="shared" ca="1" si="380"/>
        <v>31</v>
      </c>
      <c r="I697" s="8" t="str">
        <f t="shared" ca="1" si="377"/>
        <v>583</v>
      </c>
      <c r="J697" s="13">
        <f>IF(繳費報酬率資料!$A$1=1,VALUE(OP!$C$121),VLOOKUP(A697,MP,2,0))</f>
        <v>0.05</v>
      </c>
      <c r="K697" s="14">
        <f ca="1">IF(SUM($K$4:K696,IF(繳費報酬率資料!$A$1=1,$AU697+$AV697,$BB697+$BC697))&gt;OP!$L$58,0,IF(繳費報酬率資料!$A$1=1,$AU697+$AV697,$BB697+$BC697))</f>
        <v>0</v>
      </c>
      <c r="L697" s="2"/>
      <c r="M697" s="2"/>
      <c r="N697" s="2"/>
      <c r="O697" s="261">
        <f t="shared" ca="1" si="381"/>
        <v>0</v>
      </c>
      <c r="P697" s="261">
        <f t="shared" ca="1" si="399"/>
        <v>0</v>
      </c>
      <c r="Q697" s="3">
        <f ca="1">IF(A697&gt;MAX(OP!$R$17:$R$26),0,VLOOKUP(A697,fees,3,FALSE))</f>
        <v>0</v>
      </c>
      <c r="R697" s="200" t="str">
        <f t="shared" ca="1" si="382"/>
        <v/>
      </c>
      <c r="S697" s="9" t="str">
        <f ca="1">IF(COUNTIF(($T$4:T696),"F")&gt;=1,"",IF(OR(C698&lt;&gt;$C$3,E697=""),"",A697))</f>
        <v/>
      </c>
      <c r="T697" s="20" t="str">
        <f t="shared" ca="1" si="374"/>
        <v/>
      </c>
      <c r="U697" s="2">
        <f ca="1">IF(IF(OP!$C$83=1,$Z696,IF(OP!$C$83=2,$AA696,IF(OP!$C$83=3,$AB696,)))+$K697-$O697-$P697-$AS697&lt;OP!$C$142,0,$AS697)</f>
        <v>0</v>
      </c>
      <c r="V697" s="9"/>
      <c r="W697" s="19">
        <f ca="1">MAX(SUM($K$4:K697),0)</f>
        <v>2000000</v>
      </c>
      <c r="X697" s="19"/>
      <c r="Y697" s="19">
        <f t="shared" ca="1" si="400"/>
        <v>1920000</v>
      </c>
      <c r="Z697" s="2">
        <f ca="1">IF(MIN($Z$4:Z696)=0,0,MAX(0,($Z696+$K697-$O697-$P697)*IF(AND(F697="F",$D$3&lt;&gt;$G$3),((1+(-J697))^(H697/MIN(G697,365))),((1+(-J697))^(1/12)))-$U697))</f>
        <v>98851.455411411574</v>
      </c>
      <c r="AA697" s="2">
        <f ca="1">IF(MIN($AA$4:AA696)=0,0,MAX(0,($AA696+$K697-$O697-$P697)*IF(AND(F697="F",$D$3&lt;&gt;$G$3),((1+$AA$1)^(H697/MIN(G697,365))),((1+$AA$1)^(1/12)))-$U697))</f>
        <v>1920000</v>
      </c>
      <c r="AB697" s="2">
        <f ca="1">IF(MIN($AB$4:AB696)=0,0,MAX(0,($AB696+$K697-$O697-$P697)*IF(AND(F697="F",$D$3&lt;&gt;$G$3),((1+(J697))^(H697/MIN(G697,365))),((1+(J697))^(1/12)))-$U697))</f>
        <v>32266289.414236989</v>
      </c>
      <c r="AC697" s="5"/>
      <c r="AD697" s="5"/>
      <c r="AE697" s="5"/>
      <c r="AF697" s="282">
        <f t="shared" ca="1" si="383"/>
        <v>98851</v>
      </c>
      <c r="AG697" s="282">
        <f t="shared" ca="1" si="384"/>
        <v>1920000</v>
      </c>
      <c r="AH697" s="282">
        <f t="shared" ca="1" si="385"/>
        <v>32266289</v>
      </c>
      <c r="AI697" s="23" t="str">
        <f t="shared" ca="1" si="401"/>
        <v>58-11</v>
      </c>
      <c r="AJ697" s="282">
        <f ca="1">IF(E697&gt;111,,IF(AND(OP!$C$99=1,T697="F"),Z697,IF(AND(OP!$C$99=2,COUNTIF($T$4:T697,"F")=1),OP!$C$97+IF(F697="F",OP!$C$98,0),"")))</f>
        <v>0</v>
      </c>
      <c r="AK697" s="282">
        <f ca="1">IF(E697&gt;111,,IF(AND(OP!$D$99=1,T697="F"),AA697,IF(AND(OP!$D$99=2,COUNTIF($T$4:T697,"F")=1),OP!$D$97+IF(F697="F",OP!$D$98,0),"")))</f>
        <v>0</v>
      </c>
      <c r="AL697" s="282">
        <f ca="1">IF(E697&gt;111,,IF(AND(OP!$E$99=1,T697="F"),AB697,IF(AND(OP!$E$99=2,COUNTIF($T$4:T697,"F")=1),OP!$E$97+IF(F697="F",OP!$E$98,0),"")))</f>
        <v>0</v>
      </c>
      <c r="AM697" s="1">
        <f t="shared" ca="1" si="375"/>
        <v>11</v>
      </c>
      <c r="AN697" s="1" t="e">
        <f ca="1">IF(OR(VLOOKUP($A697,MP,5,0)="季繳",VLOOKUP($A697,MP,5,0)="月繳"),1,"")</f>
        <v>#N/A</v>
      </c>
      <c r="AO697" s="1">
        <f t="shared" ca="1" si="386"/>
        <v>0</v>
      </c>
      <c r="AP697" s="1" t="str">
        <f ca="1">IF(AND(A697&lt;=OP!$C$120,COUNTIF(PAY,C697)=1),1,"")</f>
        <v/>
      </c>
      <c r="AR697" s="301">
        <f ca="1">IF(繳費報酬率資料!$A$1=1,$AY697+$AZ697,$BF697+$BG697)</f>
        <v>0</v>
      </c>
      <c r="AS697" s="1">
        <f ca="1">IF(C697&lt;&gt;IF($C$3=1,12,$C$3-1),0,IF(繳費報酬率資料!$A$1&lt;&gt;1,VLOOKUP($A697,MP,8,0),IF(AND($A697&gt;=OP!$C$79,$A697&lt;=OP!$C$80),OP!$C$78,)))</f>
        <v>0</v>
      </c>
      <c r="AT697" s="298">
        <f t="shared" ca="1" si="387"/>
        <v>0</v>
      </c>
      <c r="AU697" s="298">
        <f ca="1">IF(AND(A697&lt;=OP!$C$120,COUNTIF(PAY,C697)=1),OP!$C$123,0)</f>
        <v>0</v>
      </c>
      <c r="AV697" s="298">
        <f ca="1">IF(AND(A697&gt;=OP!$C$132,A697&lt;=OP!$C$133,$C$3=C697),OP!$C$135,0)</f>
        <v>0</v>
      </c>
      <c r="AW697" s="180">
        <f t="shared" ca="1" si="388"/>
        <v>0.05</v>
      </c>
      <c r="AX697" s="180">
        <f t="shared" ca="1" si="389"/>
        <v>0.05</v>
      </c>
      <c r="AY697" s="286">
        <f t="shared" ca="1" si="390"/>
        <v>0</v>
      </c>
      <c r="AZ697" s="286">
        <f t="shared" ca="1" si="391"/>
        <v>0</v>
      </c>
      <c r="BA697" s="286">
        <f t="shared" ca="1" si="392"/>
        <v>0</v>
      </c>
      <c r="BB697" s="286">
        <f t="shared" ca="1" si="393"/>
        <v>0</v>
      </c>
      <c r="BC697" s="286">
        <f t="shared" ca="1" si="394"/>
        <v>0</v>
      </c>
      <c r="BD697" s="180">
        <f t="shared" ca="1" si="395"/>
        <v>0.05</v>
      </c>
      <c r="BE697" s="180">
        <f t="shared" ca="1" si="396"/>
        <v>0.05</v>
      </c>
      <c r="BF697" s="286">
        <f t="shared" ca="1" si="397"/>
        <v>0</v>
      </c>
      <c r="BG697" s="286">
        <f t="shared" ca="1" si="398"/>
        <v>0</v>
      </c>
    </row>
    <row r="698" spans="1:59">
      <c r="A698" s="1">
        <f t="shared" ca="1" si="378"/>
        <v>58</v>
      </c>
      <c r="B698" s="1">
        <f t="shared" ca="1" si="371"/>
        <v>164</v>
      </c>
      <c r="C698" s="1">
        <f t="shared" ca="1" si="372"/>
        <v>4</v>
      </c>
      <c r="D698" s="1">
        <f ca="1">MIN($D$3,VLOOKUP(C698,OP!$S$30:$T$41,2))</f>
        <v>2</v>
      </c>
      <c r="E698" s="1" t="str">
        <f t="shared" ca="1" si="373"/>
        <v/>
      </c>
      <c r="F698" s="11" t="str">
        <f t="shared" ca="1" si="379"/>
        <v/>
      </c>
      <c r="G698" s="8">
        <f t="shared" ca="1" si="405"/>
        <v>365</v>
      </c>
      <c r="H698" s="8">
        <f t="shared" ca="1" si="380"/>
        <v>30</v>
      </c>
      <c r="I698" s="8" t="str">
        <f t="shared" ca="1" si="377"/>
        <v>584</v>
      </c>
      <c r="J698" s="13">
        <f>IF(繳費報酬率資料!$A$1=1,VALUE(OP!$C$121),VLOOKUP(A698,MP,2,0))</f>
        <v>0.05</v>
      </c>
      <c r="K698" s="14">
        <f ca="1">IF(SUM($K$4:K697,IF(繳費報酬率資料!$A$1=1,$AU698+$AV698,$BB698+$BC698))&gt;OP!$L$58,0,IF(繳費報酬率資料!$A$1=1,$AU698+$AV698,$BB698+$BC698))</f>
        <v>0</v>
      </c>
      <c r="L698" s="2"/>
      <c r="M698" s="2"/>
      <c r="N698" s="2"/>
      <c r="O698" s="261">
        <f t="shared" ca="1" si="381"/>
        <v>0</v>
      </c>
      <c r="P698" s="261">
        <f t="shared" ca="1" si="399"/>
        <v>0</v>
      </c>
      <c r="Q698" s="3">
        <f ca="1">IF(A698&gt;MAX(OP!$R$17:$R$26),0,VLOOKUP(A698,fees,3,FALSE))</f>
        <v>0</v>
      </c>
      <c r="R698" s="200" t="str">
        <f t="shared" ca="1" si="382"/>
        <v/>
      </c>
      <c r="S698" s="9" t="str">
        <f ca="1">IF(COUNTIF(($T$4:T697),"F")&gt;=1,"",IF(OR(C699&lt;&gt;$C$3,E698=""),"",A698))</f>
        <v/>
      </c>
      <c r="T698" s="20" t="str">
        <f t="shared" ca="1" si="374"/>
        <v/>
      </c>
      <c r="U698" s="2">
        <f ca="1">IF(IF(OP!$C$83=1,$Z697,IF(OP!$C$83=2,$AA697,IF(OP!$C$83=3,$AB697,)))+$K698-$O698-$P698-$AS698&lt;OP!$C$142,0,$AS698)</f>
        <v>0</v>
      </c>
      <c r="V698" s="9"/>
      <c r="W698" s="19">
        <f ca="1">MAX(SUM($K$4:K698),0)</f>
        <v>2000000</v>
      </c>
      <c r="X698" s="19"/>
      <c r="Y698" s="19">
        <f t="shared" ca="1" si="400"/>
        <v>1920000</v>
      </c>
      <c r="Z698" s="2">
        <f ca="1">IF(MIN($Z$4:Z697)=0,0,MAX(0,($Z697+$K698-$O698-$P698)*IF(AND(F698="F",$D$3&lt;&gt;$G$3),((1+(-J698))^(H698/MIN(G698,365))),((1+(-J698))^(1/12)))-$U698))</f>
        <v>98429.822442456076</v>
      </c>
      <c r="AA698" s="2">
        <f ca="1">IF(MIN($AA$4:AA697)=0,0,MAX(0,($AA697+$K698-$O698-$P698)*IF(AND(F698="F",$D$3&lt;&gt;$G$3),((1+$AA$1)^(H698/MIN(G698,365))),((1+$AA$1)^(1/12)))-$U698))</f>
        <v>1920000</v>
      </c>
      <c r="AB698" s="2">
        <f ca="1">IF(MIN($AB$4:AB697)=0,0,MAX(0,($AB697+$K698-$O698-$P698)*IF(AND(F698="F",$D$3&lt;&gt;$G$3),((1+(J698))^(H698/MIN(G698,365))),((1+(J698))^(1/12)))-$U698))</f>
        <v>32397746.271349613</v>
      </c>
      <c r="AC698" s="5"/>
      <c r="AD698" s="5"/>
      <c r="AE698" s="5"/>
      <c r="AF698" s="282">
        <f t="shared" ca="1" si="383"/>
        <v>98430</v>
      </c>
      <c r="AG698" s="282">
        <f t="shared" ca="1" si="384"/>
        <v>1920000</v>
      </c>
      <c r="AH698" s="282">
        <f t="shared" ca="1" si="385"/>
        <v>32397746</v>
      </c>
      <c r="AI698" s="23" t="str">
        <f t="shared" ca="1" si="401"/>
        <v>58-12</v>
      </c>
      <c r="AJ698" s="282">
        <f ca="1">IF(E698&gt;111,,IF(AND(OP!$C$99=1,T698="F"),Z698,IF(AND(OP!$C$99=2,COUNTIF($T$4:T698,"F")=1),OP!$C$97+IF(F698="F",OP!$C$98,0),"")))</f>
        <v>0</v>
      </c>
      <c r="AK698" s="282">
        <f ca="1">IF(E698&gt;111,,IF(AND(OP!$D$99=1,T698="F"),AA698,IF(AND(OP!$D$99=2,COUNTIF($T$4:T698,"F")=1),OP!$D$97+IF(F698="F",OP!$D$98,0),"")))</f>
        <v>0</v>
      </c>
      <c r="AL698" s="282">
        <f ca="1">IF(E698&gt;111,,IF(AND(OP!$E$99=1,T698="F"),AB698,IF(AND(OP!$E$99=2,COUNTIF($T$4:T698,"F")=1),OP!$E$97+IF(F698="F",OP!$E$98,0),"")))</f>
        <v>0</v>
      </c>
      <c r="AM698" s="1">
        <f t="shared" ca="1" si="375"/>
        <v>12</v>
      </c>
      <c r="AN698" s="1" t="e">
        <f ca="1">IF(OR(VLOOKUP($A698,MP,5,0)="月繳"),1,"")</f>
        <v>#N/A</v>
      </c>
      <c r="AO698" s="1">
        <f t="shared" ca="1" si="386"/>
        <v>0</v>
      </c>
      <c r="AP698" s="1" t="str">
        <f ca="1">IF(AND(A698&lt;=OP!$C$120,COUNTIF(PAY,C698)=1),1,"")</f>
        <v/>
      </c>
      <c r="AR698" s="301">
        <f ca="1">IF(繳費報酬率資料!$A$1=1,$AY698+$AZ698,$BF698+$BG698)</f>
        <v>0</v>
      </c>
      <c r="AS698" s="1">
        <f ca="1">IF(C698&lt;&gt;IF($C$3=1,12,$C$3-1),0,IF(繳費報酬率資料!$A$1&lt;&gt;1,VLOOKUP($A698,MP,8,0),IF(AND($A698&gt;=OP!$C$79,$A698&lt;=OP!$C$80),OP!$C$78,)))</f>
        <v>0</v>
      </c>
      <c r="AT698" s="298">
        <f t="shared" ca="1" si="387"/>
        <v>0</v>
      </c>
      <c r="AU698" s="298">
        <f ca="1">IF(AND(A698&lt;=OP!$C$120,COUNTIF(PAY,C698)=1),OP!$C$123,0)</f>
        <v>0</v>
      </c>
      <c r="AV698" s="298">
        <f ca="1">IF(AND(A698&gt;=OP!$C$132,A698&lt;=OP!$C$133,$C$3=C698),OP!$C$135,0)</f>
        <v>0</v>
      </c>
      <c r="AW698" s="180">
        <f t="shared" ca="1" si="388"/>
        <v>0.05</v>
      </c>
      <c r="AX698" s="180">
        <f t="shared" ca="1" si="389"/>
        <v>0.05</v>
      </c>
      <c r="AY698" s="286">
        <f t="shared" ca="1" si="390"/>
        <v>0</v>
      </c>
      <c r="AZ698" s="286">
        <f t="shared" ca="1" si="391"/>
        <v>0</v>
      </c>
      <c r="BA698" s="286">
        <f t="shared" ca="1" si="392"/>
        <v>0</v>
      </c>
      <c r="BB698" s="286">
        <f t="shared" ca="1" si="393"/>
        <v>0</v>
      </c>
      <c r="BC698" s="286">
        <f t="shared" ca="1" si="394"/>
        <v>0</v>
      </c>
      <c r="BD698" s="180">
        <f t="shared" ca="1" si="395"/>
        <v>0.05</v>
      </c>
      <c r="BE698" s="180">
        <f t="shared" ca="1" si="396"/>
        <v>0.05</v>
      </c>
      <c r="BF698" s="286">
        <f t="shared" ca="1" si="397"/>
        <v>0</v>
      </c>
      <c r="BG698" s="286">
        <f t="shared" ca="1" si="398"/>
        <v>0</v>
      </c>
    </row>
    <row r="699" spans="1:59">
      <c r="A699" s="1">
        <f t="shared" ca="1" si="378"/>
        <v>58</v>
      </c>
      <c r="B699" s="1">
        <f t="shared" ca="1" si="371"/>
        <v>164</v>
      </c>
      <c r="C699" s="1">
        <f t="shared" ca="1" si="372"/>
        <v>5</v>
      </c>
      <c r="D699" s="1">
        <f ca="1">MIN($D$3,VLOOKUP(C699,OP!$S$30:$T$41,2))</f>
        <v>2</v>
      </c>
      <c r="E699" s="1" t="str">
        <f t="shared" ca="1" si="373"/>
        <v/>
      </c>
      <c r="F699" s="11" t="str">
        <f t="shared" ca="1" si="379"/>
        <v/>
      </c>
      <c r="G699" s="8">
        <f t="shared" ca="1" si="405"/>
        <v>365</v>
      </c>
      <c r="H699" s="8">
        <f t="shared" ca="1" si="380"/>
        <v>31</v>
      </c>
      <c r="I699" s="8" t="str">
        <f t="shared" ca="1" si="377"/>
        <v>585</v>
      </c>
      <c r="J699" s="13">
        <f>IF(繳費報酬率資料!$A$1=1,VALUE(OP!$C$121),VLOOKUP(A699,MP,2,0))</f>
        <v>0.05</v>
      </c>
      <c r="K699" s="14">
        <f ca="1">IF(SUM($K$4:K698,IF(繳費報酬率資料!$A$1=1,$AU699+$AV699,$BB699+$BC699))&gt;OP!$L$58,0,IF(繳費報酬率資料!$A$1=1,$AU699+$AV699,$BB699+$BC699))</f>
        <v>0</v>
      </c>
      <c r="L699" s="2">
        <f ca="1">ROUND(IF(OP!$C$78&lt;(IF(OR($T699="F",$E699&gt;=111),0,Z698+$K699-$O699+IF($C$1=1,OP!$C$78,IF($C700=$C$3,SUM(AC688:AC699,0)))))*5%,0,(OP!$C$78-((IF(OR($T699="F",$E699&gt;=111),0,Z698+$K699-$O699+IF($C$1=1,AC699,IF($C700=$C$3,SUM(AC688:AC699,0)))))*5%))*$Q699),0)</f>
        <v>0</v>
      </c>
      <c r="M699" s="2">
        <f ca="1">ROUND(IF(OP!$C$78&lt;(IF(OR($T699="F",$E699&gt;=111),0,AA698+$K699-$O699+IF($C$1=1,AD699,IF($C700=$C$3,SUM(AD688:AD699,0)))))*5%,0,(OP!$C$78-((IF(OR($T699="F",$E699&gt;=111),0,AA698+$K699-$O699+IF($C$1=1,AD699,IF($C700=$C$3,SUM(AD688:AD699,0)))))*5%))*$Q699),0)</f>
        <v>0</v>
      </c>
      <c r="N699" s="2">
        <f ca="1">ROUND(IF(OP!$C$78&lt;(IF(OR($T699="F",$E699&gt;=111),0,AB698+$K699-$O699+IF($C$1=1,AE699,IF($C700=$C$3,SUM(AE688:AE699,0)))))*5%,0,(OP!$C$78-((IF(OR($T699="F",$E699&gt;=111),0,AB698+$K699-$O699+IF($C$1=1,AE699,IF($C700=$C$3,SUM(AE688:AE699,0)))))*5%))*$Q699),0)</f>
        <v>0</v>
      </c>
      <c r="O699" s="261">
        <f t="shared" ca="1" si="381"/>
        <v>0</v>
      </c>
      <c r="P699" s="261">
        <f t="shared" ca="1" si="399"/>
        <v>0</v>
      </c>
      <c r="Q699" s="3">
        <f ca="1">IF(A699&gt;MAX(OP!$R$17:$R$26),0,VLOOKUP(A699,fees,3,FALSE))</f>
        <v>0</v>
      </c>
      <c r="R699" s="200" t="str">
        <f t="shared" ca="1" si="382"/>
        <v/>
      </c>
      <c r="S699" s="9" t="str">
        <f ca="1">IF(COUNTIF(($T$4:T698),"F")&gt;=1,"",IF(OR(C700&lt;&gt;$C$3,E699=""),"",A699))</f>
        <v/>
      </c>
      <c r="T699" s="20" t="str">
        <f t="shared" ca="1" si="374"/>
        <v/>
      </c>
      <c r="U699" s="2">
        <f ca="1">IF(IF(OP!$C$83=1,$Z698,IF(OP!$C$83=2,$AA698,IF(OP!$C$83=3,$AB698,)))+$K699-$O699-$P699-$AS699&lt;OP!$C$142,0,$AS699)</f>
        <v>0</v>
      </c>
      <c r="V699" s="19">
        <f ca="1">SUM(K688:K699)</f>
        <v>0</v>
      </c>
      <c r="W699" s="19">
        <f ca="1">MAX(SUM($K$4:K699),0)</f>
        <v>2000000</v>
      </c>
      <c r="X699" s="19">
        <f ca="1">SUM(O688:P699)</f>
        <v>0</v>
      </c>
      <c r="Y699" s="19">
        <f t="shared" ca="1" si="400"/>
        <v>1920000</v>
      </c>
      <c r="Z699" s="2">
        <f ca="1">IF(MIN($Z$4:Z698)=0,0,MAX(0,($Z698+$K699-$O699-$P699)*IF(AND(F699="F",$D$3&lt;&gt;$G$3),((1+(-J699))^(H699/MIN(G699,365))),((1+(-J699))^(1/12)))-$U699))</f>
        <v>98009.987872520302</v>
      </c>
      <c r="AA699" s="2">
        <f ca="1">IF(MIN($AA$4:AA698)=0,0,MAX(0,($AA698+$K699-$O699-$P699)*IF(AND(F699="F",$D$3&lt;&gt;$G$3),((1+$AA$1)^(H699/MIN(G699,365))),((1+$AA$1)^(1/12)))-$U699))</f>
        <v>1920000</v>
      </c>
      <c r="AB699" s="2">
        <f ca="1">IF(MIN($AB$4:AB698)=0,0,MAX(0,($AB698+$K699-$O699-$P699)*IF(AND(F699="F",$D$3&lt;&gt;$G$3),((1+(J699))^(H699/MIN(G699,365))),((1+(J699))^(1/12)))-$U699))</f>
        <v>32529738.699970324</v>
      </c>
      <c r="AC699" s="5"/>
      <c r="AD699" s="5"/>
      <c r="AE699" s="5"/>
      <c r="AF699" s="282">
        <f t="shared" ca="1" si="383"/>
        <v>98010</v>
      </c>
      <c r="AG699" s="282">
        <f t="shared" ca="1" si="384"/>
        <v>1920000</v>
      </c>
      <c r="AH699" s="282">
        <f t="shared" ca="1" si="385"/>
        <v>32529739</v>
      </c>
      <c r="AI699" s="23" t="str">
        <f t="shared" ca="1" si="401"/>
        <v>59-1</v>
      </c>
      <c r="AJ699" s="282">
        <f ca="1">IF(E699&gt;111,,IF(AND(OP!$C$99=1,T699="F"),Z699,IF(AND(OP!$C$99=2,COUNTIF($T$4:T699,"F")=1),OP!$C$97+IF(F699="F",OP!$C$98,0),"")))</f>
        <v>0</v>
      </c>
      <c r="AK699" s="282">
        <f ca="1">IF(E699&gt;111,,IF(AND(OP!$D$99=1,T699="F"),AA699,IF(AND(OP!$D$99=2,COUNTIF($T$4:T699,"F")=1),OP!$D$97+IF(F699="F",OP!$D$98,0),"")))</f>
        <v>0</v>
      </c>
      <c r="AL699" s="282">
        <f ca="1">IF(E699&gt;111,,IF(AND(OP!$E$99=1,T699="F"),AB699,IF(AND(OP!$E$99=2,COUNTIF($T$4:T699,"F")=1),OP!$E$97+IF(F699="F",OP!$E$98,0),"")))</f>
        <v>0</v>
      </c>
      <c r="AM699" s="1">
        <f t="shared" ca="1" si="375"/>
        <v>1</v>
      </c>
      <c r="AN699" s="1" t="e">
        <f ca="1">IF(OR(VLOOKUP($A699,MP,5,0)="月繳"),1,"")</f>
        <v>#N/A</v>
      </c>
      <c r="AO699" s="1">
        <f t="shared" ca="1" si="386"/>
        <v>0</v>
      </c>
      <c r="AP699" s="1" t="str">
        <f ca="1">IF(AND(A699&lt;=OP!$C$120,COUNTIF(PAY,C699)=1),1,"")</f>
        <v/>
      </c>
      <c r="AR699" s="301">
        <f ca="1">IF(繳費報酬率資料!$A$1=1,$AY699+$AZ699,$BF699+$BG699)</f>
        <v>0</v>
      </c>
      <c r="AS699" s="1">
        <f ca="1">IF(C699&lt;&gt;IF($C$3=1,12,$C$3-1),0,IF(繳費報酬率資料!$A$1&lt;&gt;1,VLOOKUP($A699,MP,8,0),IF(AND($A699&gt;=OP!$C$79,$A699&lt;=OP!$C$80),OP!$C$78,)))</f>
        <v>0</v>
      </c>
      <c r="AT699" s="298">
        <f t="shared" ca="1" si="387"/>
        <v>0</v>
      </c>
      <c r="AU699" s="298">
        <f ca="1">IF(AND(A699&lt;=OP!$C$120,COUNTIF(PAY,C699)=1),OP!$C$123,0)</f>
        <v>0</v>
      </c>
      <c r="AV699" s="298">
        <f ca="1">IF(AND(A699&gt;=OP!$C$132,A699&lt;=OP!$C$133,$C$3=C699),OP!$C$135,0)</f>
        <v>0</v>
      </c>
      <c r="AW699" s="180">
        <f t="shared" ca="1" si="388"/>
        <v>0.05</v>
      </c>
      <c r="AX699" s="180">
        <f t="shared" ca="1" si="389"/>
        <v>0.05</v>
      </c>
      <c r="AY699" s="286">
        <f t="shared" ca="1" si="390"/>
        <v>0</v>
      </c>
      <c r="AZ699" s="286">
        <f t="shared" ca="1" si="391"/>
        <v>0</v>
      </c>
      <c r="BA699" s="286">
        <f t="shared" ca="1" si="392"/>
        <v>0</v>
      </c>
      <c r="BB699" s="286">
        <f t="shared" ca="1" si="393"/>
        <v>0</v>
      </c>
      <c r="BC699" s="286">
        <f t="shared" ca="1" si="394"/>
        <v>0</v>
      </c>
      <c r="BD699" s="180">
        <f t="shared" ca="1" si="395"/>
        <v>0.05</v>
      </c>
      <c r="BE699" s="180">
        <f t="shared" ca="1" si="396"/>
        <v>0.05</v>
      </c>
      <c r="BF699" s="286">
        <f t="shared" ca="1" si="397"/>
        <v>0</v>
      </c>
      <c r="BG699" s="286">
        <f t="shared" ca="1" si="398"/>
        <v>0</v>
      </c>
    </row>
    <row r="700" spans="1:59">
      <c r="A700" s="1">
        <f t="shared" ca="1" si="378"/>
        <v>59</v>
      </c>
      <c r="B700" s="1">
        <f t="shared" ref="B700:B763" ca="1" si="406">IF(C700=1,B699+1,B699)</f>
        <v>164</v>
      </c>
      <c r="C700" s="1">
        <f t="shared" ref="C700:C763" ca="1" si="407">IF(C699=12,1,C699+1)</f>
        <v>6</v>
      </c>
      <c r="D700" s="1">
        <f ca="1">MIN($D$3,VLOOKUP(C700,OP!$S$30:$T$41,2))</f>
        <v>2</v>
      </c>
      <c r="E700" s="1" t="str">
        <f t="shared" ref="E700:E763" ca="1" si="408">IF($K$1+A700-1&gt;$D$1,"",$K$1+A700-1)</f>
        <v/>
      </c>
      <c r="F700" s="11" t="str">
        <f t="shared" ca="1" si="379"/>
        <v/>
      </c>
      <c r="G700" s="6">
        <f ca="1">DATEDIF(DATE(B700+1911,C700,D700),DATE(B712+1911,C712,D712),"d")</f>
        <v>366</v>
      </c>
      <c r="H700" s="8">
        <f t="shared" ca="1" si="380"/>
        <v>30</v>
      </c>
      <c r="I700" s="8" t="str">
        <f t="shared" ca="1" si="377"/>
        <v>596</v>
      </c>
      <c r="J700" s="13">
        <f>IF(繳費報酬率資料!$A$1=1,VALUE(OP!$C$121),VLOOKUP(A700,MP,2,0))</f>
        <v>0.05</v>
      </c>
      <c r="K700" s="14">
        <f ca="1">IF(SUM($K$4:K699,IF(繳費報酬率資料!$A$1=1,$AU700+$AV700,$BB700+$BC700))&gt;OP!$L$58,0,IF(繳費報酬率資料!$A$1=1,$AU700+$AV700,$BB700+$BC700))</f>
        <v>0</v>
      </c>
      <c r="L700" s="2"/>
      <c r="M700" s="2"/>
      <c r="N700" s="2"/>
      <c r="O700" s="261">
        <f t="shared" ca="1" si="381"/>
        <v>0</v>
      </c>
      <c r="P700" s="261">
        <f t="shared" ca="1" si="399"/>
        <v>0</v>
      </c>
      <c r="Q700" s="3">
        <f ca="1">IF(A700&gt;MAX(OP!$R$17:$R$26),0,VLOOKUP(A700,fees,3,FALSE))</f>
        <v>0</v>
      </c>
      <c r="R700" s="200" t="str">
        <f t="shared" ca="1" si="382"/>
        <v/>
      </c>
      <c r="S700" s="9" t="str">
        <f ca="1">IF(COUNTIF(($T$4:T699),"F")&gt;=1,"",IF(OR(C701&lt;&gt;$C$3,E700=""),"",A700))</f>
        <v/>
      </c>
      <c r="T700" s="20" t="str">
        <f t="shared" ref="T700:T763" ca="1" si="409">IF(F700&lt;&gt;"","F","")</f>
        <v/>
      </c>
      <c r="U700" s="2">
        <f ca="1">IF(IF(OP!$C$83=1,$Z699,IF(OP!$C$83=2,$AA699,IF(OP!$C$83=3,$AB699,)))+$K700-$O700-$P700-$AS700&lt;OP!$C$142,0,$AS700)</f>
        <v>0</v>
      </c>
      <c r="V700" s="9"/>
      <c r="W700" s="19">
        <f ca="1">MAX(SUM($K$4:K700),0)</f>
        <v>2000000</v>
      </c>
      <c r="X700" s="19"/>
      <c r="Y700" s="19">
        <f t="shared" ca="1" si="400"/>
        <v>1920000</v>
      </c>
      <c r="Z700" s="2">
        <f ca="1">IF(MIN($Z$4:Z699)=0,0,MAX(0,($Z699+$K700-$O700-$P700)*IF(AND(F700="F",$D$3&lt;&gt;$G$3),((1+(-J700))^(H700/MIN(G700,365))),((1+(-J700))^(1/12)))-$U700))</f>
        <v>97591.944030859144</v>
      </c>
      <c r="AA700" s="2">
        <f ca="1">IF(MIN($AA$4:AA699)=0,0,MAX(0,($AA699+$K700-$O700-$P700)*IF(AND(F700="F",$D$3&lt;&gt;$G$3),((1+$AA$1)^(H700/MIN(G700,365))),((1+$AA$1)^(1/12)))-$U700))</f>
        <v>1920000</v>
      </c>
      <c r="AB700" s="2">
        <f ca="1">IF(MIN($AB$4:AB699)=0,0,MAX(0,($AB699+$K700-$O700-$P700)*IF(AND(F700="F",$D$3&lt;&gt;$G$3),((1+(J700))^(H700/MIN(G700,365))),((1+(J700))^(1/12)))-$U700))</f>
        <v>32662268.88208374</v>
      </c>
      <c r="AC700" s="21"/>
      <c r="AD700" s="21"/>
      <c r="AE700" s="21"/>
      <c r="AF700" s="282">
        <f t="shared" ca="1" si="383"/>
        <v>97592</v>
      </c>
      <c r="AG700" s="282">
        <f t="shared" ca="1" si="384"/>
        <v>1920000</v>
      </c>
      <c r="AH700" s="282">
        <f t="shared" ca="1" si="385"/>
        <v>32662269</v>
      </c>
      <c r="AI700" s="23" t="str">
        <f t="shared" ca="1" si="401"/>
        <v>59-2</v>
      </c>
      <c r="AJ700" s="281">
        <f ca="1">IF(E700&gt;111,,IF(AND(OP!$C$99=1,T700="F"),Z700,IF(AND(OP!$C$99=2,COUNTIF($T$4:T700,"F")=1),OP!$C$97+IF(F700="F",OP!$C$98,0),"")))</f>
        <v>0</v>
      </c>
      <c r="AK700" s="281">
        <f ca="1">IF(E700&gt;111,,IF(AND(OP!$D$99=1,T700="F"),AA700,IF(AND(OP!$D$99=2,COUNTIF($T$4:T700,"F")=1),OP!$D$97+IF(F700="F",OP!$D$98,0),"")))</f>
        <v>0</v>
      </c>
      <c r="AL700" s="281">
        <f ca="1">IF(E700&gt;111,,IF(AND(OP!$E$99=1,T700="F"),AB700,IF(AND(OP!$E$99=2,COUNTIF($T$4:T700,"F")=1),OP!$E$97+IF(F700="F",OP!$E$98,0),"")))</f>
        <v>0</v>
      </c>
      <c r="AM700" s="1">
        <f t="shared" ref="AM700:AM763" ca="1" si="410">IF(AND(AK700&lt;&gt;"",AM699=""),1,IF(AND(AK700&lt;&gt;"",AM699&gt;0),IF(AM699=12,1,AM699+1),""))</f>
        <v>2</v>
      </c>
      <c r="AN700" s="1" t="e">
        <f ca="1">IF(OR(VLOOKUP($A700,MP,5,0)="年繳",VLOOKUP($A700,MP,5,0)="半年繳",VLOOKUP($A700,MP,5,0)="季繳",VLOOKUP($A700,MP,5,0)="月繳"),1,"")</f>
        <v>#N/A</v>
      </c>
      <c r="AO700" s="1">
        <f t="shared" ca="1" si="386"/>
        <v>0</v>
      </c>
      <c r="AP700" s="1" t="str">
        <f ca="1">IF(AND(A700&lt;=OP!$C$120,COUNTIF(PAY,C700)=1),1,"")</f>
        <v/>
      </c>
      <c r="AR700" s="301">
        <f ca="1">IF(繳費報酬率資料!$A$1=1,$AY700+$AZ700,$BF700+$BG700)</f>
        <v>0</v>
      </c>
      <c r="AS700" s="1">
        <f ca="1">IF(C700&lt;&gt;IF($C$3=1,12,$C$3-1),0,IF(繳費報酬率資料!$A$1&lt;&gt;1,VLOOKUP($A700,MP,8,0),IF(AND($A700&gt;=OP!$C$79,$A700&lt;=OP!$C$80),OP!$C$78,)))</f>
        <v>0</v>
      </c>
      <c r="AT700" s="298">
        <f t="shared" ca="1" si="387"/>
        <v>0</v>
      </c>
      <c r="AU700" s="298">
        <f ca="1">IF(AND(A700&lt;=OP!$C$120,COUNTIF(PAY,C700)=1),OP!$C$123,0)</f>
        <v>0</v>
      </c>
      <c r="AV700" s="298">
        <f ca="1">IF(AND(A700&gt;=OP!$C$132,A700&lt;=OP!$C$133,$C$3=C700),OP!$C$135,0)</f>
        <v>0</v>
      </c>
      <c r="AW700" s="180">
        <f t="shared" ca="1" si="388"/>
        <v>0.05</v>
      </c>
      <c r="AX700" s="180">
        <f t="shared" ca="1" si="389"/>
        <v>0.05</v>
      </c>
      <c r="AY700" s="286">
        <f t="shared" ca="1" si="390"/>
        <v>0</v>
      </c>
      <c r="AZ700" s="286">
        <f t="shared" ca="1" si="391"/>
        <v>0</v>
      </c>
      <c r="BA700" s="286">
        <f t="shared" ca="1" si="392"/>
        <v>0</v>
      </c>
      <c r="BB700" s="286">
        <f t="shared" ca="1" si="393"/>
        <v>0</v>
      </c>
      <c r="BC700" s="286">
        <f t="shared" ca="1" si="394"/>
        <v>0</v>
      </c>
      <c r="BD700" s="180">
        <f t="shared" ca="1" si="395"/>
        <v>0.05</v>
      </c>
      <c r="BE700" s="180">
        <f t="shared" ca="1" si="396"/>
        <v>0.05</v>
      </c>
      <c r="BF700" s="286">
        <f t="shared" ca="1" si="397"/>
        <v>0</v>
      </c>
      <c r="BG700" s="286">
        <f t="shared" ca="1" si="398"/>
        <v>0</v>
      </c>
    </row>
    <row r="701" spans="1:59">
      <c r="A701" s="1">
        <f t="shared" ca="1" si="378"/>
        <v>59</v>
      </c>
      <c r="B701" s="1">
        <f t="shared" ca="1" si="406"/>
        <v>164</v>
      </c>
      <c r="C701" s="1">
        <f t="shared" ca="1" si="407"/>
        <v>7</v>
      </c>
      <c r="D701" s="1">
        <f ca="1">MIN($D$3,VLOOKUP(C701,OP!$S$30:$T$41,2))</f>
        <v>2</v>
      </c>
      <c r="E701" s="1" t="str">
        <f t="shared" ca="1" si="408"/>
        <v/>
      </c>
      <c r="F701" s="11" t="str">
        <f t="shared" ca="1" si="379"/>
        <v/>
      </c>
      <c r="G701" s="8">
        <f t="shared" ref="G701:G711" ca="1" si="411">G700</f>
        <v>366</v>
      </c>
      <c r="H701" s="8">
        <f t="shared" ca="1" si="380"/>
        <v>31</v>
      </c>
      <c r="I701" s="8" t="str">
        <f t="shared" ca="1" si="377"/>
        <v>597</v>
      </c>
      <c r="J701" s="13">
        <f>IF(繳費報酬率資料!$A$1=1,VALUE(OP!$C$121),VLOOKUP(A701,MP,2,0))</f>
        <v>0.05</v>
      </c>
      <c r="K701" s="14">
        <f ca="1">IF(SUM($K$4:K700,IF(繳費報酬率資料!$A$1=1,$AU701+$AV701,$BB701+$BC701))&gt;OP!$L$58,0,IF(繳費報酬率資料!$A$1=1,$AU701+$AV701,$BB701+$BC701))</f>
        <v>0</v>
      </c>
      <c r="L701" s="2"/>
      <c r="M701" s="2"/>
      <c r="N701" s="2"/>
      <c r="O701" s="261">
        <f t="shared" ca="1" si="381"/>
        <v>0</v>
      </c>
      <c r="P701" s="261">
        <f t="shared" ca="1" si="399"/>
        <v>0</v>
      </c>
      <c r="Q701" s="3">
        <f ca="1">IF(A701&gt;MAX(OP!$R$17:$R$26),0,VLOOKUP(A701,fees,3,FALSE))</f>
        <v>0</v>
      </c>
      <c r="R701" s="200" t="str">
        <f t="shared" ca="1" si="382"/>
        <v/>
      </c>
      <c r="S701" s="9" t="str">
        <f ca="1">IF(COUNTIF(($T$4:T700),"F")&gt;=1,"",IF(OR(C702&lt;&gt;$C$3,E701=""),"",A701))</f>
        <v/>
      </c>
      <c r="T701" s="20" t="str">
        <f t="shared" ca="1" si="409"/>
        <v/>
      </c>
      <c r="U701" s="2">
        <f ca="1">IF(IF(OP!$C$83=1,$Z700,IF(OP!$C$83=2,$AA700,IF(OP!$C$83=3,$AB700,)))+$K701-$O701-$P701-$AS701&lt;OP!$C$142,0,$AS701)</f>
        <v>0</v>
      </c>
      <c r="V701" s="9"/>
      <c r="W701" s="19">
        <f ca="1">MAX(SUM($K$4:K701),0)</f>
        <v>2000000</v>
      </c>
      <c r="X701" s="19"/>
      <c r="Y701" s="19">
        <f t="shared" ca="1" si="400"/>
        <v>1920000</v>
      </c>
      <c r="Z701" s="2">
        <f ca="1">IF(MIN($Z$4:Z700)=0,0,MAX(0,($Z700+$K701-$O701-$P701)*IF(AND(F701="F",$D$3&lt;&gt;$G$3),((1+(-J701))^(H701/MIN(G701,365))),((1+(-J701))^(1/12)))-$U701))</f>
        <v>97175.683279445671</v>
      </c>
      <c r="AA701" s="2">
        <f ca="1">IF(MIN($AA$4:AA700)=0,0,MAX(0,($AA700+$K701-$O701-$P701)*IF(AND(F701="F",$D$3&lt;&gt;$G$3),((1+$AA$1)^(H701/MIN(G701,365))),((1+$AA$1)^(1/12)))-$U701))</f>
        <v>1920000</v>
      </c>
      <c r="AB701" s="2">
        <f ca="1">IF(MIN($AB$4:AB700)=0,0,MAX(0,($AB700+$K701-$O701-$P701)*IF(AND(F701="F",$D$3&lt;&gt;$G$3),((1+(J701))^(H701/MIN(G701,365))),((1+(J701))^(1/12)))-$U701))</f>
        <v>32795339.008564156</v>
      </c>
      <c r="AC701" s="5"/>
      <c r="AD701" s="5"/>
      <c r="AE701" s="5"/>
      <c r="AF701" s="282">
        <f t="shared" ca="1" si="383"/>
        <v>97176</v>
      </c>
      <c r="AG701" s="282">
        <f t="shared" ca="1" si="384"/>
        <v>1920000</v>
      </c>
      <c r="AH701" s="282">
        <f t="shared" ca="1" si="385"/>
        <v>32795339</v>
      </c>
      <c r="AI701" s="23" t="str">
        <f t="shared" ca="1" si="401"/>
        <v>59-3</v>
      </c>
      <c r="AJ701" s="282">
        <f ca="1">IF(E701&gt;111,,IF(AND(OP!$C$99=1,T701="F"),Z701,IF(AND(OP!$C$99=2,COUNTIF($T$4:T701,"F")=1),OP!$C$97+IF(F701="F",OP!$C$98,0),"")))</f>
        <v>0</v>
      </c>
      <c r="AK701" s="282">
        <f ca="1">IF(E701&gt;111,,IF(AND(OP!$D$99=1,T701="F"),AA701,IF(AND(OP!$D$99=2,COUNTIF($T$4:T701,"F")=1),OP!$D$97+IF(F701="F",OP!$D$98,0),"")))</f>
        <v>0</v>
      </c>
      <c r="AL701" s="282">
        <f ca="1">IF(E701&gt;111,,IF(AND(OP!$E$99=1,T701="F"),AB701,IF(AND(OP!$E$99=2,COUNTIF($T$4:T701,"F")=1),OP!$E$97+IF(F701="F",OP!$E$98,0),"")))</f>
        <v>0</v>
      </c>
      <c r="AM701" s="1">
        <f t="shared" ca="1" si="410"/>
        <v>3</v>
      </c>
      <c r="AN701" s="1" t="e">
        <f ca="1">IF(OR(VLOOKUP($A701,MP,5,0)="月繳"),1,"")</f>
        <v>#N/A</v>
      </c>
      <c r="AO701" s="1">
        <f t="shared" ca="1" si="386"/>
        <v>0</v>
      </c>
      <c r="AP701" s="1" t="str">
        <f ca="1">IF(AND(A701&lt;=OP!$C$120,COUNTIF(PAY,C701)=1),1,"")</f>
        <v/>
      </c>
      <c r="AR701" s="301">
        <f ca="1">IF(繳費報酬率資料!$A$1=1,$AY701+$AZ701,$BF701+$BG701)</f>
        <v>0</v>
      </c>
      <c r="AS701" s="1">
        <f ca="1">IF(C701&lt;&gt;IF($C$3=1,12,$C$3-1),0,IF(繳費報酬率資料!$A$1&lt;&gt;1,VLOOKUP($A701,MP,8,0),IF(AND($A701&gt;=OP!$C$79,$A701&lt;=OP!$C$80),OP!$C$78,)))</f>
        <v>0</v>
      </c>
      <c r="AT701" s="298">
        <f t="shared" ca="1" si="387"/>
        <v>0</v>
      </c>
      <c r="AU701" s="298">
        <f ca="1">IF(AND(A701&lt;=OP!$C$120,COUNTIF(PAY,C701)=1),OP!$C$123,0)</f>
        <v>0</v>
      </c>
      <c r="AV701" s="298">
        <f ca="1">IF(AND(A701&gt;=OP!$C$132,A701&lt;=OP!$C$133,$C$3=C701),OP!$C$135,0)</f>
        <v>0</v>
      </c>
      <c r="AW701" s="180">
        <f t="shared" ca="1" si="388"/>
        <v>0.05</v>
      </c>
      <c r="AX701" s="180">
        <f t="shared" ca="1" si="389"/>
        <v>0.05</v>
      </c>
      <c r="AY701" s="286">
        <f t="shared" ca="1" si="390"/>
        <v>0</v>
      </c>
      <c r="AZ701" s="286">
        <f t="shared" ca="1" si="391"/>
        <v>0</v>
      </c>
      <c r="BA701" s="286">
        <f t="shared" ca="1" si="392"/>
        <v>0</v>
      </c>
      <c r="BB701" s="286">
        <f t="shared" ca="1" si="393"/>
        <v>0</v>
      </c>
      <c r="BC701" s="286">
        <f t="shared" ca="1" si="394"/>
        <v>0</v>
      </c>
      <c r="BD701" s="180">
        <f t="shared" ca="1" si="395"/>
        <v>0.05</v>
      </c>
      <c r="BE701" s="180">
        <f t="shared" ca="1" si="396"/>
        <v>0.05</v>
      </c>
      <c r="BF701" s="286">
        <f t="shared" ca="1" si="397"/>
        <v>0</v>
      </c>
      <c r="BG701" s="286">
        <f t="shared" ca="1" si="398"/>
        <v>0</v>
      </c>
    </row>
    <row r="702" spans="1:59">
      <c r="A702" s="1">
        <f t="shared" ca="1" si="378"/>
        <v>59</v>
      </c>
      <c r="B702" s="1">
        <f t="shared" ca="1" si="406"/>
        <v>164</v>
      </c>
      <c r="C702" s="1">
        <f t="shared" ca="1" si="407"/>
        <v>8</v>
      </c>
      <c r="D702" s="1">
        <f ca="1">MIN($D$3,VLOOKUP(C702,OP!$S$30:$T$41,2))</f>
        <v>2</v>
      </c>
      <c r="E702" s="1" t="str">
        <f t="shared" ca="1" si="408"/>
        <v/>
      </c>
      <c r="F702" s="11" t="str">
        <f t="shared" ca="1" si="379"/>
        <v/>
      </c>
      <c r="G702" s="8">
        <f t="shared" ca="1" si="411"/>
        <v>366</v>
      </c>
      <c r="H702" s="8">
        <f t="shared" ca="1" si="380"/>
        <v>31</v>
      </c>
      <c r="I702" s="8" t="str">
        <f t="shared" ca="1" si="377"/>
        <v>598</v>
      </c>
      <c r="J702" s="13">
        <f>IF(繳費報酬率資料!$A$1=1,VALUE(OP!$C$121),VLOOKUP(A702,MP,2,0))</f>
        <v>0.05</v>
      </c>
      <c r="K702" s="14">
        <f ca="1">IF(SUM($K$4:K701,IF(繳費報酬率資料!$A$1=1,$AU702+$AV702,$BB702+$BC702))&gt;OP!$L$58,0,IF(繳費報酬率資料!$A$1=1,$AU702+$AV702,$BB702+$BC702))</f>
        <v>0</v>
      </c>
      <c r="L702" s="2"/>
      <c r="M702" s="2"/>
      <c r="N702" s="2"/>
      <c r="O702" s="261">
        <f t="shared" ca="1" si="381"/>
        <v>0</v>
      </c>
      <c r="P702" s="261">
        <f t="shared" ca="1" si="399"/>
        <v>0</v>
      </c>
      <c r="Q702" s="3">
        <f ca="1">IF(A702&gt;MAX(OP!$R$17:$R$26),0,VLOOKUP(A702,fees,3,FALSE))</f>
        <v>0</v>
      </c>
      <c r="R702" s="200" t="str">
        <f t="shared" ca="1" si="382"/>
        <v/>
      </c>
      <c r="S702" s="9" t="str">
        <f ca="1">IF(COUNTIF(($T$4:T701),"F")&gt;=1,"",IF(OR(C703&lt;&gt;$C$3,E702=""),"",A702))</f>
        <v/>
      </c>
      <c r="T702" s="20" t="str">
        <f t="shared" ca="1" si="409"/>
        <v/>
      </c>
      <c r="U702" s="2">
        <f ca="1">IF(IF(OP!$C$83=1,$Z701,IF(OP!$C$83=2,$AA701,IF(OP!$C$83=3,$AB701,)))+$K702-$O702-$P702-$AS702&lt;OP!$C$142,0,$AS702)</f>
        <v>0</v>
      </c>
      <c r="V702" s="9"/>
      <c r="W702" s="19">
        <f ca="1">MAX(SUM($K$4:K702),0)</f>
        <v>2000000</v>
      </c>
      <c r="X702" s="19"/>
      <c r="Y702" s="19">
        <f t="shared" ca="1" si="400"/>
        <v>1920000</v>
      </c>
      <c r="Z702" s="2">
        <f ca="1">IF(MIN($Z$4:Z701)=0,0,MAX(0,($Z701+$K702-$O702-$P702)*IF(AND(F702="F",$D$3&lt;&gt;$G$3),((1+(-J702))^(H702/MIN(G702,365))),((1+(-J702))^(1/12)))-$U702))</f>
        <v>96761.198012831563</v>
      </c>
      <c r="AA702" s="2">
        <f ca="1">IF(MIN($AA$4:AA701)=0,0,MAX(0,($AA701+$K702-$O702-$P702)*IF(AND(F702="F",$D$3&lt;&gt;$G$3),((1+$AA$1)^(H702/MIN(G702,365))),((1+$AA$1)^(1/12)))-$U702))</f>
        <v>1920000</v>
      </c>
      <c r="AB702" s="2">
        <f ca="1">IF(MIN($AB$4:AB701)=0,0,MAX(0,($AB701+$K702-$O702-$P702)*IF(AND(F702="F",$D$3&lt;&gt;$G$3),((1+(J702))^(H702/MIN(G702,365))),((1+(J702))^(1/12)))-$U702))</f>
        <v>32928951.279211756</v>
      </c>
      <c r="AC702" s="5"/>
      <c r="AD702" s="5"/>
      <c r="AE702" s="5"/>
      <c r="AF702" s="282">
        <f t="shared" ca="1" si="383"/>
        <v>96761</v>
      </c>
      <c r="AG702" s="282">
        <f t="shared" ca="1" si="384"/>
        <v>1920000</v>
      </c>
      <c r="AH702" s="282">
        <f t="shared" ca="1" si="385"/>
        <v>32928951</v>
      </c>
      <c r="AI702" s="23" t="str">
        <f t="shared" ca="1" si="401"/>
        <v>59-4</v>
      </c>
      <c r="AJ702" s="282">
        <f ca="1">IF(E702&gt;111,,IF(AND(OP!$C$99=1,T702="F"),Z702,IF(AND(OP!$C$99=2,COUNTIF($T$4:T702,"F")=1),OP!$C$97+IF(F702="F",OP!$C$98,0),"")))</f>
        <v>0</v>
      </c>
      <c r="AK702" s="282">
        <f ca="1">IF(E702&gt;111,,IF(AND(OP!$D$99=1,T702="F"),AA702,IF(AND(OP!$D$99=2,COUNTIF($T$4:T702,"F")=1),OP!$D$97+IF(F702="F",OP!$D$98,0),"")))</f>
        <v>0</v>
      </c>
      <c r="AL702" s="282">
        <f ca="1">IF(E702&gt;111,,IF(AND(OP!$E$99=1,T702="F"),AB702,IF(AND(OP!$E$99=2,COUNTIF($T$4:T702,"F")=1),OP!$E$97+IF(F702="F",OP!$E$98,0),"")))</f>
        <v>0</v>
      </c>
      <c r="AM702" s="1">
        <f t="shared" ca="1" si="410"/>
        <v>4</v>
      </c>
      <c r="AN702" s="1" t="e">
        <f ca="1">IF(OR(VLOOKUP($A702,MP,5,0)="月繳"),1,"")</f>
        <v>#N/A</v>
      </c>
      <c r="AO702" s="1">
        <f t="shared" ca="1" si="386"/>
        <v>0</v>
      </c>
      <c r="AP702" s="1" t="str">
        <f ca="1">IF(AND(A702&lt;=OP!$C$120,COUNTIF(PAY,C702)=1),1,"")</f>
        <v/>
      </c>
      <c r="AR702" s="301">
        <f ca="1">IF(繳費報酬率資料!$A$1=1,$AY702+$AZ702,$BF702+$BG702)</f>
        <v>0</v>
      </c>
      <c r="AS702" s="1">
        <f ca="1">IF(C702&lt;&gt;IF($C$3=1,12,$C$3-1),0,IF(繳費報酬率資料!$A$1&lt;&gt;1,VLOOKUP($A702,MP,8,0),IF(AND($A702&gt;=OP!$C$79,$A702&lt;=OP!$C$80),OP!$C$78,)))</f>
        <v>0</v>
      </c>
      <c r="AT702" s="298">
        <f t="shared" ca="1" si="387"/>
        <v>0</v>
      </c>
      <c r="AU702" s="298">
        <f ca="1">IF(AND(A702&lt;=OP!$C$120,COUNTIF(PAY,C702)=1),OP!$C$123,0)</f>
        <v>0</v>
      </c>
      <c r="AV702" s="298">
        <f ca="1">IF(AND(A702&gt;=OP!$C$132,A702&lt;=OP!$C$133,$C$3=C702),OP!$C$135,0)</f>
        <v>0</v>
      </c>
      <c r="AW702" s="180">
        <f t="shared" ca="1" si="388"/>
        <v>0.05</v>
      </c>
      <c r="AX702" s="180">
        <f t="shared" ca="1" si="389"/>
        <v>0.05</v>
      </c>
      <c r="AY702" s="286">
        <f t="shared" ca="1" si="390"/>
        <v>0</v>
      </c>
      <c r="AZ702" s="286">
        <f t="shared" ca="1" si="391"/>
        <v>0</v>
      </c>
      <c r="BA702" s="286">
        <f t="shared" ca="1" si="392"/>
        <v>0</v>
      </c>
      <c r="BB702" s="286">
        <f t="shared" ca="1" si="393"/>
        <v>0</v>
      </c>
      <c r="BC702" s="286">
        <f t="shared" ca="1" si="394"/>
        <v>0</v>
      </c>
      <c r="BD702" s="180">
        <f t="shared" ca="1" si="395"/>
        <v>0.05</v>
      </c>
      <c r="BE702" s="180">
        <f t="shared" ca="1" si="396"/>
        <v>0.05</v>
      </c>
      <c r="BF702" s="286">
        <f t="shared" ca="1" si="397"/>
        <v>0</v>
      </c>
      <c r="BG702" s="286">
        <f t="shared" ca="1" si="398"/>
        <v>0</v>
      </c>
    </row>
    <row r="703" spans="1:59">
      <c r="A703" s="1">
        <f t="shared" ca="1" si="378"/>
        <v>59</v>
      </c>
      <c r="B703" s="1">
        <f t="shared" ca="1" si="406"/>
        <v>164</v>
      </c>
      <c r="C703" s="1">
        <f t="shared" ca="1" si="407"/>
        <v>9</v>
      </c>
      <c r="D703" s="1">
        <f ca="1">MIN($D$3,VLOOKUP(C703,OP!$S$30:$T$41,2))</f>
        <v>2</v>
      </c>
      <c r="E703" s="1" t="str">
        <f t="shared" ca="1" si="408"/>
        <v/>
      </c>
      <c r="F703" s="11" t="str">
        <f t="shared" ca="1" si="379"/>
        <v/>
      </c>
      <c r="G703" s="8">
        <f t="shared" ca="1" si="411"/>
        <v>366</v>
      </c>
      <c r="H703" s="8">
        <f t="shared" ca="1" si="380"/>
        <v>30</v>
      </c>
      <c r="I703" s="8" t="str">
        <f t="shared" ca="1" si="377"/>
        <v>599</v>
      </c>
      <c r="J703" s="13">
        <f>IF(繳費報酬率資料!$A$1=1,VALUE(OP!$C$121),VLOOKUP(A703,MP,2,0))</f>
        <v>0.05</v>
      </c>
      <c r="K703" s="14">
        <f ca="1">IF(SUM($K$4:K702,IF(繳費報酬率資料!$A$1=1,$AU703+$AV703,$BB703+$BC703))&gt;OP!$L$58,0,IF(繳費報酬率資料!$A$1=1,$AU703+$AV703,$BB703+$BC703))</f>
        <v>0</v>
      </c>
      <c r="L703" s="2"/>
      <c r="M703" s="2"/>
      <c r="N703" s="2"/>
      <c r="O703" s="261">
        <f t="shared" ca="1" si="381"/>
        <v>0</v>
      </c>
      <c r="P703" s="261">
        <f t="shared" ca="1" si="399"/>
        <v>0</v>
      </c>
      <c r="Q703" s="3">
        <f ca="1">IF(A703&gt;MAX(OP!$R$17:$R$26),0,VLOOKUP(A703,fees,3,FALSE))</f>
        <v>0</v>
      </c>
      <c r="R703" s="200" t="str">
        <f t="shared" ca="1" si="382"/>
        <v/>
      </c>
      <c r="S703" s="9" t="str">
        <f ca="1">IF(COUNTIF(($T$4:T702),"F")&gt;=1,"",IF(OR(C704&lt;&gt;$C$3,E703=""),"",A703))</f>
        <v/>
      </c>
      <c r="T703" s="20" t="str">
        <f t="shared" ca="1" si="409"/>
        <v/>
      </c>
      <c r="U703" s="2">
        <f ca="1">IF(IF(OP!$C$83=1,$Z702,IF(OP!$C$83=2,$AA702,IF(OP!$C$83=3,$AB702,)))+$K703-$O703-$P703-$AS703&lt;OP!$C$142,0,$AS703)</f>
        <v>0</v>
      </c>
      <c r="V703" s="9"/>
      <c r="W703" s="19">
        <f ca="1">MAX(SUM($K$4:K703),0)</f>
        <v>2000000</v>
      </c>
      <c r="X703" s="19"/>
      <c r="Y703" s="19">
        <f t="shared" ca="1" si="400"/>
        <v>1920000</v>
      </c>
      <c r="Z703" s="2">
        <f ca="1">IF(MIN($Z$4:Z702)=0,0,MAX(0,($Z702+$K703-$O703-$P703)*IF(AND(F703="F",$D$3&lt;&gt;$G$3),((1+(-J703))^(H703/MIN(G703,365))),((1+(-J703))^(1/12)))-$U703))</f>
        <v>96348.480658008164</v>
      </c>
      <c r="AA703" s="2">
        <f ca="1">IF(MIN($AA$4:AA702)=0,0,MAX(0,($AA702+$K703-$O703-$P703)*IF(AND(F703="F",$D$3&lt;&gt;$G$3),((1+$AA$1)^(H703/MIN(G703,365))),((1+$AA$1)^(1/12)))-$U703))</f>
        <v>1920000</v>
      </c>
      <c r="AB703" s="2">
        <f ca="1">IF(MIN($AB$4:AB702)=0,0,MAX(0,($AB702+$K703-$O703-$P703)*IF(AND(F703="F",$D$3&lt;&gt;$G$3),((1+(J703))^(H703/MIN(G703,365))),((1+(J703))^(1/12)))-$U703))</f>
        <v>33063107.902788989</v>
      </c>
      <c r="AC703" s="5"/>
      <c r="AD703" s="5"/>
      <c r="AE703" s="5"/>
      <c r="AF703" s="282">
        <f t="shared" ca="1" si="383"/>
        <v>96348</v>
      </c>
      <c r="AG703" s="282">
        <f t="shared" ca="1" si="384"/>
        <v>1920000</v>
      </c>
      <c r="AH703" s="282">
        <f t="shared" ca="1" si="385"/>
        <v>33063108</v>
      </c>
      <c r="AI703" s="23" t="str">
        <f t="shared" ca="1" si="401"/>
        <v>59-5</v>
      </c>
      <c r="AJ703" s="282">
        <f ca="1">IF(E703&gt;111,,IF(AND(OP!$C$99=1,T703="F"),Z703,IF(AND(OP!$C$99=2,COUNTIF($T$4:T703,"F")=1),OP!$C$97+IF(F703="F",OP!$C$98,0),"")))</f>
        <v>0</v>
      </c>
      <c r="AK703" s="282">
        <f ca="1">IF(E703&gt;111,,IF(AND(OP!$D$99=1,T703="F"),AA703,IF(AND(OP!$D$99=2,COUNTIF($T$4:T703,"F")=1),OP!$D$97+IF(F703="F",OP!$D$98,0),"")))</f>
        <v>0</v>
      </c>
      <c r="AL703" s="282">
        <f ca="1">IF(E703&gt;111,,IF(AND(OP!$E$99=1,T703="F"),AB703,IF(AND(OP!$E$99=2,COUNTIF($T$4:T703,"F")=1),OP!$E$97+IF(F703="F",OP!$E$98,0),"")))</f>
        <v>0</v>
      </c>
      <c r="AM703" s="1">
        <f t="shared" ca="1" si="410"/>
        <v>5</v>
      </c>
      <c r="AN703" s="1" t="e">
        <f ca="1">IF(OR(VLOOKUP($A703,MP,5,0)="季繳",VLOOKUP($A703,MP,5,0)="月繳"),1,"")</f>
        <v>#N/A</v>
      </c>
      <c r="AO703" s="1">
        <f t="shared" ca="1" si="386"/>
        <v>0</v>
      </c>
      <c r="AP703" s="1" t="str">
        <f ca="1">IF(AND(A703&lt;=OP!$C$120,COUNTIF(PAY,C703)=1),1,"")</f>
        <v/>
      </c>
      <c r="AR703" s="301">
        <f ca="1">IF(繳費報酬率資料!$A$1=1,$AY703+$AZ703,$BF703+$BG703)</f>
        <v>0</v>
      </c>
      <c r="AS703" s="1">
        <f ca="1">IF(C703&lt;&gt;IF($C$3=1,12,$C$3-1),0,IF(繳費報酬率資料!$A$1&lt;&gt;1,VLOOKUP($A703,MP,8,0),IF(AND($A703&gt;=OP!$C$79,$A703&lt;=OP!$C$80),OP!$C$78,)))</f>
        <v>0</v>
      </c>
      <c r="AT703" s="298">
        <f t="shared" ca="1" si="387"/>
        <v>0</v>
      </c>
      <c r="AU703" s="298">
        <f ca="1">IF(AND(A703&lt;=OP!$C$120,COUNTIF(PAY,C703)=1),OP!$C$123,0)</f>
        <v>0</v>
      </c>
      <c r="AV703" s="298">
        <f ca="1">IF(AND(A703&gt;=OP!$C$132,A703&lt;=OP!$C$133,$C$3=C703),OP!$C$135,0)</f>
        <v>0</v>
      </c>
      <c r="AW703" s="180">
        <f t="shared" ca="1" si="388"/>
        <v>0.05</v>
      </c>
      <c r="AX703" s="180">
        <f t="shared" ca="1" si="389"/>
        <v>0.05</v>
      </c>
      <c r="AY703" s="286">
        <f t="shared" ca="1" si="390"/>
        <v>0</v>
      </c>
      <c r="AZ703" s="286">
        <f t="shared" ca="1" si="391"/>
        <v>0</v>
      </c>
      <c r="BA703" s="286">
        <f t="shared" ca="1" si="392"/>
        <v>0</v>
      </c>
      <c r="BB703" s="286">
        <f t="shared" ca="1" si="393"/>
        <v>0</v>
      </c>
      <c r="BC703" s="286">
        <f t="shared" ca="1" si="394"/>
        <v>0</v>
      </c>
      <c r="BD703" s="180">
        <f t="shared" ca="1" si="395"/>
        <v>0.05</v>
      </c>
      <c r="BE703" s="180">
        <f t="shared" ca="1" si="396"/>
        <v>0.05</v>
      </c>
      <c r="BF703" s="286">
        <f t="shared" ca="1" si="397"/>
        <v>0</v>
      </c>
      <c r="BG703" s="286">
        <f t="shared" ca="1" si="398"/>
        <v>0</v>
      </c>
    </row>
    <row r="704" spans="1:59">
      <c r="A704" s="1">
        <f t="shared" ca="1" si="378"/>
        <v>59</v>
      </c>
      <c r="B704" s="1">
        <f t="shared" ca="1" si="406"/>
        <v>164</v>
      </c>
      <c r="C704" s="1">
        <f t="shared" ca="1" si="407"/>
        <v>10</v>
      </c>
      <c r="D704" s="1">
        <f ca="1">MIN($D$3,VLOOKUP(C704,OP!$S$30:$T$41,2))</f>
        <v>2</v>
      </c>
      <c r="E704" s="1" t="str">
        <f t="shared" ca="1" si="408"/>
        <v/>
      </c>
      <c r="F704" s="11" t="str">
        <f t="shared" ca="1" si="379"/>
        <v/>
      </c>
      <c r="G704" s="8">
        <f t="shared" ca="1" si="411"/>
        <v>366</v>
      </c>
      <c r="H704" s="8">
        <f t="shared" ca="1" si="380"/>
        <v>31</v>
      </c>
      <c r="I704" s="8" t="str">
        <f t="shared" ca="1" si="377"/>
        <v>5910</v>
      </c>
      <c r="J704" s="13">
        <f>IF(繳費報酬率資料!$A$1=1,VALUE(OP!$C$121),VLOOKUP(A704,MP,2,0))</f>
        <v>0.05</v>
      </c>
      <c r="K704" s="14">
        <f ca="1">IF(SUM($K$4:K703,IF(繳費報酬率資料!$A$1=1,$AU704+$AV704,$BB704+$BC704))&gt;OP!$L$58,0,IF(繳費報酬率資料!$A$1=1,$AU704+$AV704,$BB704+$BC704))</f>
        <v>0</v>
      </c>
      <c r="L704" s="2"/>
      <c r="M704" s="2"/>
      <c r="N704" s="2"/>
      <c r="O704" s="261">
        <f t="shared" ca="1" si="381"/>
        <v>0</v>
      </c>
      <c r="P704" s="261">
        <f t="shared" ca="1" si="399"/>
        <v>0</v>
      </c>
      <c r="Q704" s="3">
        <f ca="1">IF(A704&gt;MAX(OP!$R$17:$R$26),0,VLOOKUP(A704,fees,3,FALSE))</f>
        <v>0</v>
      </c>
      <c r="R704" s="200" t="str">
        <f t="shared" ca="1" si="382"/>
        <v/>
      </c>
      <c r="S704" s="9" t="str">
        <f ca="1">IF(COUNTIF(($T$4:T703),"F")&gt;=1,"",IF(OR(C705&lt;&gt;$C$3,E704=""),"",A704))</f>
        <v/>
      </c>
      <c r="T704" s="20" t="str">
        <f t="shared" ca="1" si="409"/>
        <v/>
      </c>
      <c r="U704" s="2">
        <f ca="1">IF(IF(OP!$C$83=1,$Z703,IF(OP!$C$83=2,$AA703,IF(OP!$C$83=3,$AB703,)))+$K704-$O704-$P704-$AS704&lt;OP!$C$142,0,$AS704)</f>
        <v>0</v>
      </c>
      <c r="V704" s="9"/>
      <c r="W704" s="19">
        <f ca="1">MAX(SUM($K$4:K704),0)</f>
        <v>2000000</v>
      </c>
      <c r="X704" s="19"/>
      <c r="Y704" s="19">
        <f t="shared" ca="1" si="400"/>
        <v>1920000</v>
      </c>
      <c r="Z704" s="2">
        <f ca="1">IF(MIN($Z$4:Z703)=0,0,MAX(0,($Z703+$K704-$O704-$P704)*IF(AND(F704="F",$D$3&lt;&gt;$G$3),((1+(-J704))^(H704/MIN(G704,365))),((1+(-J704))^(1/12)))-$U704))</f>
        <v>95937.52367426813</v>
      </c>
      <c r="AA704" s="2">
        <f ca="1">IF(MIN($AA$4:AA703)=0,0,MAX(0,($AA703+$K704-$O704-$P704)*IF(AND(F704="F",$D$3&lt;&gt;$G$3),((1+$AA$1)^(H704/MIN(G704,365))),((1+$AA$1)^(1/12)))-$U704))</f>
        <v>1920000</v>
      </c>
      <c r="AB704" s="2">
        <f ca="1">IF(MIN($AB$4:AB703)=0,0,MAX(0,($AB703+$K704-$O704-$P704)*IF(AND(F704="F",$D$3&lt;&gt;$G$3),((1+(J704))^(H704/MIN(G704,365))),((1+(J704))^(1/12)))-$U704))</f>
        <v>33197811.097057074</v>
      </c>
      <c r="AC704" s="5"/>
      <c r="AD704" s="5"/>
      <c r="AE704" s="5"/>
      <c r="AF704" s="282">
        <f t="shared" ca="1" si="383"/>
        <v>95938</v>
      </c>
      <c r="AG704" s="282">
        <f t="shared" ca="1" si="384"/>
        <v>1920000</v>
      </c>
      <c r="AH704" s="282">
        <f t="shared" ca="1" si="385"/>
        <v>33197811</v>
      </c>
      <c r="AI704" s="23" t="str">
        <f t="shared" ca="1" si="401"/>
        <v>59-6</v>
      </c>
      <c r="AJ704" s="282">
        <f ca="1">IF(E704&gt;111,,IF(AND(OP!$C$99=1,T704="F"),Z704,IF(AND(OP!$C$99=2,COUNTIF($T$4:T704,"F")=1),OP!$C$97+IF(F704="F",OP!$C$98,0),"")))</f>
        <v>0</v>
      </c>
      <c r="AK704" s="282">
        <f ca="1">IF(E704&gt;111,,IF(AND(OP!$D$99=1,T704="F"),AA704,IF(AND(OP!$D$99=2,COUNTIF($T$4:T704,"F")=1),OP!$D$97+IF(F704="F",OP!$D$98,0),"")))</f>
        <v>0</v>
      </c>
      <c r="AL704" s="282">
        <f ca="1">IF(E704&gt;111,,IF(AND(OP!$E$99=1,T704="F"),AB704,IF(AND(OP!$E$99=2,COUNTIF($T$4:T704,"F")=1),OP!$E$97+IF(F704="F",OP!$E$98,0),"")))</f>
        <v>0</v>
      </c>
      <c r="AM704" s="1">
        <f t="shared" ca="1" si="410"/>
        <v>6</v>
      </c>
      <c r="AN704" s="1" t="e">
        <f ca="1">IF(OR(VLOOKUP($A704,MP,5,0)="月繳"),1,"")</f>
        <v>#N/A</v>
      </c>
      <c r="AO704" s="1">
        <f t="shared" ca="1" si="386"/>
        <v>0</v>
      </c>
      <c r="AP704" s="1" t="str">
        <f ca="1">IF(AND(A704&lt;=OP!$C$120,COUNTIF(PAY,C704)=1),1,"")</f>
        <v/>
      </c>
      <c r="AR704" s="301">
        <f ca="1">IF(繳費報酬率資料!$A$1=1,$AY704+$AZ704,$BF704+$BG704)</f>
        <v>0</v>
      </c>
      <c r="AS704" s="1">
        <f ca="1">IF(C704&lt;&gt;IF($C$3=1,12,$C$3-1),0,IF(繳費報酬率資料!$A$1&lt;&gt;1,VLOOKUP($A704,MP,8,0),IF(AND($A704&gt;=OP!$C$79,$A704&lt;=OP!$C$80),OP!$C$78,)))</f>
        <v>0</v>
      </c>
      <c r="AT704" s="298">
        <f t="shared" ca="1" si="387"/>
        <v>0</v>
      </c>
      <c r="AU704" s="298">
        <f ca="1">IF(AND(A704&lt;=OP!$C$120,COUNTIF(PAY,C704)=1),OP!$C$123,0)</f>
        <v>0</v>
      </c>
      <c r="AV704" s="298">
        <f ca="1">IF(AND(A704&gt;=OP!$C$132,A704&lt;=OP!$C$133,$C$3=C704),OP!$C$135,0)</f>
        <v>0</v>
      </c>
      <c r="AW704" s="180">
        <f t="shared" ca="1" si="388"/>
        <v>0.05</v>
      </c>
      <c r="AX704" s="180">
        <f t="shared" ca="1" si="389"/>
        <v>0.05</v>
      </c>
      <c r="AY704" s="286">
        <f t="shared" ca="1" si="390"/>
        <v>0</v>
      </c>
      <c r="AZ704" s="286">
        <f t="shared" ca="1" si="391"/>
        <v>0</v>
      </c>
      <c r="BA704" s="286">
        <f t="shared" ca="1" si="392"/>
        <v>0</v>
      </c>
      <c r="BB704" s="286">
        <f t="shared" ca="1" si="393"/>
        <v>0</v>
      </c>
      <c r="BC704" s="286">
        <f t="shared" ca="1" si="394"/>
        <v>0</v>
      </c>
      <c r="BD704" s="180">
        <f t="shared" ca="1" si="395"/>
        <v>0.05</v>
      </c>
      <c r="BE704" s="180">
        <f t="shared" ca="1" si="396"/>
        <v>0.05</v>
      </c>
      <c r="BF704" s="286">
        <f t="shared" ca="1" si="397"/>
        <v>0</v>
      </c>
      <c r="BG704" s="286">
        <f t="shared" ca="1" si="398"/>
        <v>0</v>
      </c>
    </row>
    <row r="705" spans="1:59">
      <c r="A705" s="1">
        <f t="shared" ca="1" si="378"/>
        <v>59</v>
      </c>
      <c r="B705" s="1">
        <f t="shared" ca="1" si="406"/>
        <v>164</v>
      </c>
      <c r="C705" s="1">
        <f t="shared" ca="1" si="407"/>
        <v>11</v>
      </c>
      <c r="D705" s="1">
        <f ca="1">MIN($D$3,VLOOKUP(C705,OP!$S$30:$T$41,2))</f>
        <v>2</v>
      </c>
      <c r="E705" s="1" t="str">
        <f t="shared" ca="1" si="408"/>
        <v/>
      </c>
      <c r="F705" s="11" t="str">
        <f t="shared" ca="1" si="379"/>
        <v/>
      </c>
      <c r="G705" s="8">
        <f t="shared" ca="1" si="411"/>
        <v>366</v>
      </c>
      <c r="H705" s="8">
        <f t="shared" ca="1" si="380"/>
        <v>30</v>
      </c>
      <c r="I705" s="8" t="str">
        <f t="shared" ca="1" si="377"/>
        <v>5911</v>
      </c>
      <c r="J705" s="13">
        <f>IF(繳費報酬率資料!$A$1=1,VALUE(OP!$C$121),VLOOKUP(A705,MP,2,0))</f>
        <v>0.05</v>
      </c>
      <c r="K705" s="14">
        <f ca="1">IF(SUM($K$4:K704,IF(繳費報酬率資料!$A$1=1,$AU705+$AV705,$BB705+$BC705))&gt;OP!$L$58,0,IF(繳費報酬率資料!$A$1=1,$AU705+$AV705,$BB705+$BC705))</f>
        <v>0</v>
      </c>
      <c r="L705" s="2"/>
      <c r="M705" s="2"/>
      <c r="N705" s="2"/>
      <c r="O705" s="261">
        <f t="shared" ca="1" si="381"/>
        <v>0</v>
      </c>
      <c r="P705" s="261">
        <f t="shared" ca="1" si="399"/>
        <v>0</v>
      </c>
      <c r="Q705" s="3">
        <f ca="1">IF(A705&gt;MAX(OP!$R$17:$R$26),0,VLOOKUP(A705,fees,3,FALSE))</f>
        <v>0</v>
      </c>
      <c r="R705" s="200" t="str">
        <f t="shared" ca="1" si="382"/>
        <v/>
      </c>
      <c r="S705" s="9" t="str">
        <f ca="1">IF(COUNTIF(($T$4:T704),"F")&gt;=1,"",IF(OR(C706&lt;&gt;$C$3,E705=""),"",A705))</f>
        <v/>
      </c>
      <c r="T705" s="20" t="str">
        <f t="shared" ca="1" si="409"/>
        <v/>
      </c>
      <c r="U705" s="2">
        <f ca="1">IF(IF(OP!$C$83=1,$Z704,IF(OP!$C$83=2,$AA704,IF(OP!$C$83=3,$AB704,)))+$K705-$O705-$P705-$AS705&lt;OP!$C$142,0,$AS705)</f>
        <v>0</v>
      </c>
      <c r="V705" s="9"/>
      <c r="W705" s="19">
        <f ca="1">MAX(SUM($K$4:K705),0)</f>
        <v>2000000</v>
      </c>
      <c r="X705" s="19"/>
      <c r="Y705" s="19">
        <f t="shared" ca="1" si="400"/>
        <v>1920000</v>
      </c>
      <c r="Z705" s="2">
        <f ca="1">IF(MIN($Z$4:Z704)=0,0,MAX(0,($Z704+$K705-$O705-$P705)*IF(AND(F705="F",$D$3&lt;&gt;$G$3),((1+(-J705))^(H705/MIN(G705,365))),((1+(-J705))^(1/12)))-$U705))</f>
        <v>95528.319553067602</v>
      </c>
      <c r="AA705" s="2">
        <f ca="1">IF(MIN($AA$4:AA704)=0,0,MAX(0,($AA704+$K705-$O705-$P705)*IF(AND(F705="F",$D$3&lt;&gt;$G$3),((1+$AA$1)^(H705/MIN(G705,365))),((1+$AA$1)^(1/12)))-$U705))</f>
        <v>1920000</v>
      </c>
      <c r="AB705" s="2">
        <f ca="1">IF(MIN($AB$4:AB704)=0,0,MAX(0,($AB704+$K705-$O705-$P705)*IF(AND(F705="F",$D$3&lt;&gt;$G$3),((1+(J705))^(H705/MIN(G705,365))),((1+(J705))^(1/12)))-$U705))</f>
        <v>33333063.08881266</v>
      </c>
      <c r="AC705" s="5"/>
      <c r="AD705" s="5"/>
      <c r="AE705" s="5"/>
      <c r="AF705" s="282">
        <f t="shared" ca="1" si="383"/>
        <v>95528</v>
      </c>
      <c r="AG705" s="282">
        <f t="shared" ca="1" si="384"/>
        <v>1920000</v>
      </c>
      <c r="AH705" s="282">
        <f t="shared" ca="1" si="385"/>
        <v>33333063</v>
      </c>
      <c r="AI705" s="23" t="str">
        <f t="shared" ca="1" si="401"/>
        <v>59-7</v>
      </c>
      <c r="AJ705" s="282">
        <f ca="1">IF(E705&gt;111,,IF(AND(OP!$C$99=1,T705="F"),Z705,IF(AND(OP!$C$99=2,COUNTIF($T$4:T705,"F")=1),OP!$C$97+IF(F705="F",OP!$C$98,0),"")))</f>
        <v>0</v>
      </c>
      <c r="AK705" s="282">
        <f ca="1">IF(E705&gt;111,,IF(AND(OP!$D$99=1,T705="F"),AA705,IF(AND(OP!$D$99=2,COUNTIF($T$4:T705,"F")=1),OP!$D$97+IF(F705="F",OP!$D$98,0),"")))</f>
        <v>0</v>
      </c>
      <c r="AL705" s="282">
        <f ca="1">IF(E705&gt;111,,IF(AND(OP!$E$99=1,T705="F"),AB705,IF(AND(OP!$E$99=2,COUNTIF($T$4:T705,"F")=1),OP!$E$97+IF(F705="F",OP!$E$98,0),"")))</f>
        <v>0</v>
      </c>
      <c r="AM705" s="1">
        <f t="shared" ca="1" si="410"/>
        <v>7</v>
      </c>
      <c r="AN705" s="1" t="e">
        <f ca="1">IF(OR(VLOOKUP($A705,MP,5,0)="月繳"),1,"")</f>
        <v>#N/A</v>
      </c>
      <c r="AO705" s="1">
        <f t="shared" ca="1" si="386"/>
        <v>0</v>
      </c>
      <c r="AP705" s="1" t="str">
        <f ca="1">IF(AND(A705&lt;=OP!$C$120,COUNTIF(PAY,C705)=1),1,"")</f>
        <v/>
      </c>
      <c r="AR705" s="301">
        <f ca="1">IF(繳費報酬率資料!$A$1=1,$AY705+$AZ705,$BF705+$BG705)</f>
        <v>0</v>
      </c>
      <c r="AS705" s="1">
        <f ca="1">IF(C705&lt;&gt;IF($C$3=1,12,$C$3-1),0,IF(繳費報酬率資料!$A$1&lt;&gt;1,VLOOKUP($A705,MP,8,0),IF(AND($A705&gt;=OP!$C$79,$A705&lt;=OP!$C$80),OP!$C$78,)))</f>
        <v>0</v>
      </c>
      <c r="AT705" s="298">
        <f t="shared" ca="1" si="387"/>
        <v>0</v>
      </c>
      <c r="AU705" s="298">
        <f ca="1">IF(AND(A705&lt;=OP!$C$120,COUNTIF(PAY,C705)=1),OP!$C$123,0)</f>
        <v>0</v>
      </c>
      <c r="AV705" s="298">
        <f ca="1">IF(AND(A705&gt;=OP!$C$132,A705&lt;=OP!$C$133,$C$3=C705),OP!$C$135,0)</f>
        <v>0</v>
      </c>
      <c r="AW705" s="180">
        <f t="shared" ca="1" si="388"/>
        <v>0.05</v>
      </c>
      <c r="AX705" s="180">
        <f t="shared" ca="1" si="389"/>
        <v>0.05</v>
      </c>
      <c r="AY705" s="286">
        <f t="shared" ca="1" si="390"/>
        <v>0</v>
      </c>
      <c r="AZ705" s="286">
        <f t="shared" ca="1" si="391"/>
        <v>0</v>
      </c>
      <c r="BA705" s="286">
        <f t="shared" ca="1" si="392"/>
        <v>0</v>
      </c>
      <c r="BB705" s="286">
        <f t="shared" ca="1" si="393"/>
        <v>0</v>
      </c>
      <c r="BC705" s="286">
        <f t="shared" ca="1" si="394"/>
        <v>0</v>
      </c>
      <c r="BD705" s="180">
        <f t="shared" ca="1" si="395"/>
        <v>0.05</v>
      </c>
      <c r="BE705" s="180">
        <f t="shared" ca="1" si="396"/>
        <v>0.05</v>
      </c>
      <c r="BF705" s="286">
        <f t="shared" ca="1" si="397"/>
        <v>0</v>
      </c>
      <c r="BG705" s="286">
        <f t="shared" ca="1" si="398"/>
        <v>0</v>
      </c>
    </row>
    <row r="706" spans="1:59">
      <c r="A706" s="1">
        <f t="shared" ca="1" si="378"/>
        <v>59</v>
      </c>
      <c r="B706" s="1">
        <f t="shared" ca="1" si="406"/>
        <v>164</v>
      </c>
      <c r="C706" s="1">
        <f t="shared" ca="1" si="407"/>
        <v>12</v>
      </c>
      <c r="D706" s="1">
        <f ca="1">MIN($D$3,VLOOKUP(C706,OP!$S$30:$T$41,2))</f>
        <v>2</v>
      </c>
      <c r="E706" s="1" t="str">
        <f t="shared" ca="1" si="408"/>
        <v/>
      </c>
      <c r="F706" s="11" t="str">
        <f t="shared" ca="1" si="379"/>
        <v/>
      </c>
      <c r="G706" s="8">
        <f t="shared" ca="1" si="411"/>
        <v>366</v>
      </c>
      <c r="H706" s="8">
        <f t="shared" ca="1" si="380"/>
        <v>31</v>
      </c>
      <c r="I706" s="8" t="str">
        <f t="shared" ca="1" si="377"/>
        <v>5912</v>
      </c>
      <c r="J706" s="13">
        <f>IF(繳費報酬率資料!$A$1=1,VALUE(OP!$C$121),VLOOKUP(A706,MP,2,0))</f>
        <v>0.05</v>
      </c>
      <c r="K706" s="14">
        <f ca="1">IF(SUM($K$4:K705,IF(繳費報酬率資料!$A$1=1,$AU706+$AV706,$BB706+$BC706))&gt;OP!$L$58,0,IF(繳費報酬率資料!$A$1=1,$AU706+$AV706,$BB706+$BC706))</f>
        <v>0</v>
      </c>
      <c r="L706" s="2"/>
      <c r="M706" s="2"/>
      <c r="N706" s="2"/>
      <c r="O706" s="261">
        <f t="shared" ca="1" si="381"/>
        <v>0</v>
      </c>
      <c r="P706" s="261">
        <f t="shared" ca="1" si="399"/>
        <v>0</v>
      </c>
      <c r="Q706" s="3">
        <f ca="1">IF(A706&gt;MAX(OP!$R$17:$R$26),0,VLOOKUP(A706,fees,3,FALSE))</f>
        <v>0</v>
      </c>
      <c r="R706" s="200" t="str">
        <f t="shared" ca="1" si="382"/>
        <v/>
      </c>
      <c r="S706" s="9" t="str">
        <f ca="1">IF(COUNTIF(($T$4:T705),"F")&gt;=1,"",IF(OR(C707&lt;&gt;$C$3,E706=""),"",A706))</f>
        <v/>
      </c>
      <c r="T706" s="20" t="str">
        <f t="shared" ca="1" si="409"/>
        <v/>
      </c>
      <c r="U706" s="2">
        <f ca="1">IF(IF(OP!$C$83=1,$Z705,IF(OP!$C$83=2,$AA705,IF(OP!$C$83=3,$AB705,)))+$K706-$O706-$P706-$AS706&lt;OP!$C$142,0,$AS706)</f>
        <v>0</v>
      </c>
      <c r="V706" s="9"/>
      <c r="W706" s="19">
        <f ca="1">MAX(SUM($K$4:K706),0)</f>
        <v>2000000</v>
      </c>
      <c r="X706" s="19"/>
      <c r="Y706" s="19">
        <f t="shared" ca="1" si="400"/>
        <v>1920000</v>
      </c>
      <c r="Z706" s="2">
        <f ca="1">IF(MIN($Z$4:Z705)=0,0,MAX(0,($Z705+$K706-$O706-$P706)*IF(AND(F706="F",$D$3&lt;&gt;$G$3),((1+(-J706))^(H706/MIN(G706,365))),((1+(-J706))^(1/12)))-$U706))</f>
        <v>95120.860817889086</v>
      </c>
      <c r="AA706" s="2">
        <f ca="1">IF(MIN($AA$4:AA705)=0,0,MAX(0,($AA705+$K706-$O706-$P706)*IF(AND(F706="F",$D$3&lt;&gt;$G$3),((1+$AA$1)^(H706/MIN(G706,365))),((1+$AA$1)^(1/12)))-$U706))</f>
        <v>1920000</v>
      </c>
      <c r="AB706" s="2">
        <f ca="1">IF(MIN($AB$4:AB705)=0,0,MAX(0,($AB705+$K706-$O706-$P706)*IF(AND(F706="F",$D$3&lt;&gt;$G$3),((1+(J706))^(H706/MIN(G706,365))),((1+(J706))^(1/12)))-$U706))</f>
        <v>33468866.113924645</v>
      </c>
      <c r="AC706" s="5"/>
      <c r="AD706" s="5"/>
      <c r="AE706" s="5"/>
      <c r="AF706" s="282">
        <f t="shared" ca="1" si="383"/>
        <v>95121</v>
      </c>
      <c r="AG706" s="282">
        <f t="shared" ca="1" si="384"/>
        <v>1920000</v>
      </c>
      <c r="AH706" s="282">
        <f t="shared" ca="1" si="385"/>
        <v>33468866</v>
      </c>
      <c r="AI706" s="23" t="str">
        <f t="shared" ca="1" si="401"/>
        <v>59-8</v>
      </c>
      <c r="AJ706" s="282">
        <f ca="1">IF(E706&gt;111,,IF(AND(OP!$C$99=1,T706="F"),Z706,IF(AND(OP!$C$99=2,COUNTIF($T$4:T706,"F")=1),OP!$C$97+IF(F706="F",OP!$C$98,0),"")))</f>
        <v>0</v>
      </c>
      <c r="AK706" s="282">
        <f ca="1">IF(E706&gt;111,,IF(AND(OP!$D$99=1,T706="F"),AA706,IF(AND(OP!$D$99=2,COUNTIF($T$4:T706,"F")=1),OP!$D$97+IF(F706="F",OP!$D$98,0),"")))</f>
        <v>0</v>
      </c>
      <c r="AL706" s="282">
        <f ca="1">IF(E706&gt;111,,IF(AND(OP!$E$99=1,T706="F"),AB706,IF(AND(OP!$E$99=2,COUNTIF($T$4:T706,"F")=1),OP!$E$97+IF(F706="F",OP!$E$98,0),"")))</f>
        <v>0</v>
      </c>
      <c r="AM706" s="1">
        <f t="shared" ca="1" si="410"/>
        <v>8</v>
      </c>
      <c r="AN706" s="1" t="e">
        <f ca="1">IF(OR(VLOOKUP($A706,MP,5,0)="半年繳",VLOOKUP($A706,MP,5,0)="季繳",VLOOKUP($A706,MP,5,0)="月繳"),1,"")</f>
        <v>#N/A</v>
      </c>
      <c r="AO706" s="1">
        <f t="shared" ca="1" si="386"/>
        <v>0</v>
      </c>
      <c r="AP706" s="1" t="str">
        <f ca="1">IF(AND(A706&lt;=OP!$C$120,COUNTIF(PAY,C706)=1),1,"")</f>
        <v/>
      </c>
      <c r="AR706" s="301">
        <f ca="1">IF(繳費報酬率資料!$A$1=1,$AY706+$AZ706,$BF706+$BG706)</f>
        <v>0</v>
      </c>
      <c r="AS706" s="1">
        <f ca="1">IF(C706&lt;&gt;IF($C$3=1,12,$C$3-1),0,IF(繳費報酬率資料!$A$1&lt;&gt;1,VLOOKUP($A706,MP,8,0),IF(AND($A706&gt;=OP!$C$79,$A706&lt;=OP!$C$80),OP!$C$78,)))</f>
        <v>0</v>
      </c>
      <c r="AT706" s="298">
        <f t="shared" ca="1" si="387"/>
        <v>0</v>
      </c>
      <c r="AU706" s="298">
        <f ca="1">IF(AND(A706&lt;=OP!$C$120,COUNTIF(PAY,C706)=1),OP!$C$123,0)</f>
        <v>0</v>
      </c>
      <c r="AV706" s="298">
        <f ca="1">IF(AND(A706&gt;=OP!$C$132,A706&lt;=OP!$C$133,$C$3=C706),OP!$C$135,0)</f>
        <v>0</v>
      </c>
      <c r="AW706" s="180">
        <f t="shared" ca="1" si="388"/>
        <v>0.05</v>
      </c>
      <c r="AX706" s="180">
        <f t="shared" ca="1" si="389"/>
        <v>0.05</v>
      </c>
      <c r="AY706" s="286">
        <f t="shared" ca="1" si="390"/>
        <v>0</v>
      </c>
      <c r="AZ706" s="286">
        <f t="shared" ca="1" si="391"/>
        <v>0</v>
      </c>
      <c r="BA706" s="286">
        <f t="shared" ca="1" si="392"/>
        <v>0</v>
      </c>
      <c r="BB706" s="286">
        <f t="shared" ca="1" si="393"/>
        <v>0</v>
      </c>
      <c r="BC706" s="286">
        <f t="shared" ca="1" si="394"/>
        <v>0</v>
      </c>
      <c r="BD706" s="180">
        <f t="shared" ca="1" si="395"/>
        <v>0.05</v>
      </c>
      <c r="BE706" s="180">
        <f t="shared" ca="1" si="396"/>
        <v>0.05</v>
      </c>
      <c r="BF706" s="286">
        <f t="shared" ca="1" si="397"/>
        <v>0</v>
      </c>
      <c r="BG706" s="286">
        <f t="shared" ca="1" si="398"/>
        <v>0</v>
      </c>
    </row>
    <row r="707" spans="1:59">
      <c r="A707" s="1">
        <f t="shared" ca="1" si="378"/>
        <v>59</v>
      </c>
      <c r="B707" s="1">
        <f t="shared" ca="1" si="406"/>
        <v>165</v>
      </c>
      <c r="C707" s="1">
        <f t="shared" ca="1" si="407"/>
        <v>1</v>
      </c>
      <c r="D707" s="1">
        <f ca="1">MIN($D$3,VLOOKUP(C707,OP!$S$30:$T$41,2))</f>
        <v>2</v>
      </c>
      <c r="E707" s="1" t="str">
        <f t="shared" ca="1" si="408"/>
        <v/>
      </c>
      <c r="F707" s="11" t="str">
        <f t="shared" ca="1" si="379"/>
        <v/>
      </c>
      <c r="G707" s="8">
        <f t="shared" ca="1" si="411"/>
        <v>366</v>
      </c>
      <c r="H707" s="8">
        <f t="shared" ca="1" si="380"/>
        <v>31</v>
      </c>
      <c r="I707" s="8" t="str">
        <f t="shared" ca="1" si="377"/>
        <v>591</v>
      </c>
      <c r="J707" s="13">
        <f>IF(繳費報酬率資料!$A$1=1,VALUE(OP!$C$121),VLOOKUP(A707,MP,2,0))</f>
        <v>0.05</v>
      </c>
      <c r="K707" s="14">
        <f ca="1">IF(SUM($K$4:K706,IF(繳費報酬率資料!$A$1=1,$AU707+$AV707,$BB707+$BC707))&gt;OP!$L$58,0,IF(繳費報酬率資料!$A$1=1,$AU707+$AV707,$BB707+$BC707))</f>
        <v>0</v>
      </c>
      <c r="L707" s="2"/>
      <c r="M707" s="2"/>
      <c r="N707" s="2"/>
      <c r="O707" s="261">
        <f t="shared" ca="1" si="381"/>
        <v>0</v>
      </c>
      <c r="P707" s="261">
        <f t="shared" ca="1" si="399"/>
        <v>0</v>
      </c>
      <c r="Q707" s="3">
        <f ca="1">IF(A707&gt;MAX(OP!$R$17:$R$26),0,VLOOKUP(A707,fees,3,FALSE))</f>
        <v>0</v>
      </c>
      <c r="R707" s="200" t="str">
        <f t="shared" ca="1" si="382"/>
        <v/>
      </c>
      <c r="S707" s="9" t="str">
        <f ca="1">IF(COUNTIF(($T$4:T706),"F")&gt;=1,"",IF(OR(C708&lt;&gt;$C$3,E707=""),"",A707))</f>
        <v/>
      </c>
      <c r="T707" s="20" t="str">
        <f t="shared" ca="1" si="409"/>
        <v/>
      </c>
      <c r="U707" s="2">
        <f ca="1">IF(IF(OP!$C$83=1,$Z706,IF(OP!$C$83=2,$AA706,IF(OP!$C$83=3,$AB706,)))+$K707-$O707-$P707-$AS707&lt;OP!$C$142,0,$AS707)</f>
        <v>0</v>
      </c>
      <c r="V707" s="9"/>
      <c r="W707" s="19">
        <f ca="1">MAX(SUM($K$4:K707),0)</f>
        <v>2000000</v>
      </c>
      <c r="X707" s="19"/>
      <c r="Y707" s="19">
        <f t="shared" ca="1" si="400"/>
        <v>1920000</v>
      </c>
      <c r="Z707" s="2">
        <f ca="1">IF(MIN($Z$4:Z706)=0,0,MAX(0,($Z706+$K707-$O707-$P707)*IF(AND(F707="F",$D$3&lt;&gt;$G$3),((1+(-J707))^(H707/MIN(G707,365))),((1+(-J707))^(1/12)))-$U707))</f>
        <v>94715.14002410481</v>
      </c>
      <c r="AA707" s="2">
        <f ca="1">IF(MIN($AA$4:AA706)=0,0,MAX(0,($AA706+$K707-$O707-$P707)*IF(AND(F707="F",$D$3&lt;&gt;$G$3),((1+$AA$1)^(H707/MIN(G707,365))),((1+$AA$1)^(1/12)))-$U707))</f>
        <v>1920000</v>
      </c>
      <c r="AB707" s="2">
        <f ca="1">IF(MIN($AB$4:AB706)=0,0,MAX(0,($AB706+$K707-$O707-$P707)*IF(AND(F707="F",$D$3&lt;&gt;$G$3),((1+(J707))^(H707/MIN(G707,365))),((1+(J707))^(1/12)))-$U707))</f>
        <v>33605222.417371124</v>
      </c>
      <c r="AC707" s="5"/>
      <c r="AD707" s="5"/>
      <c r="AE707" s="5"/>
      <c r="AF707" s="282">
        <f t="shared" ca="1" si="383"/>
        <v>94715</v>
      </c>
      <c r="AG707" s="282">
        <f t="shared" ca="1" si="384"/>
        <v>1920000</v>
      </c>
      <c r="AH707" s="282">
        <f t="shared" ca="1" si="385"/>
        <v>33605222</v>
      </c>
      <c r="AI707" s="23" t="str">
        <f t="shared" ca="1" si="401"/>
        <v>59-9</v>
      </c>
      <c r="AJ707" s="282">
        <f ca="1">IF(E707&gt;111,,IF(AND(OP!$C$99=1,T707="F"),Z707,IF(AND(OP!$C$99=2,COUNTIF($T$4:T707,"F")=1),OP!$C$97+IF(F707="F",OP!$C$98,0),"")))</f>
        <v>0</v>
      </c>
      <c r="AK707" s="282">
        <f ca="1">IF(E707&gt;111,,IF(AND(OP!$D$99=1,T707="F"),AA707,IF(AND(OP!$D$99=2,COUNTIF($T$4:T707,"F")=1),OP!$D$97+IF(F707="F",OP!$D$98,0),"")))</f>
        <v>0</v>
      </c>
      <c r="AL707" s="282">
        <f ca="1">IF(E707&gt;111,,IF(AND(OP!$E$99=1,T707="F"),AB707,IF(AND(OP!$E$99=2,COUNTIF($T$4:T707,"F")=1),OP!$E$97+IF(F707="F",OP!$E$98,0),"")))</f>
        <v>0</v>
      </c>
      <c r="AM707" s="1">
        <f t="shared" ca="1" si="410"/>
        <v>9</v>
      </c>
      <c r="AN707" s="1" t="e">
        <f ca="1">IF(OR(VLOOKUP($A707,MP,5,0)="月繳"),1,"")</f>
        <v>#N/A</v>
      </c>
      <c r="AO707" s="1">
        <f t="shared" ca="1" si="386"/>
        <v>0</v>
      </c>
      <c r="AP707" s="1" t="str">
        <f ca="1">IF(AND(A707&lt;=OP!$C$120,COUNTIF(PAY,C707)=1),1,"")</f>
        <v/>
      </c>
      <c r="AR707" s="301">
        <f ca="1">IF(繳費報酬率資料!$A$1=1,$AY707+$AZ707,$BF707+$BG707)</f>
        <v>0</v>
      </c>
      <c r="AS707" s="1">
        <f ca="1">IF(C707&lt;&gt;IF($C$3=1,12,$C$3-1),0,IF(繳費報酬率資料!$A$1&lt;&gt;1,VLOOKUP($A707,MP,8,0),IF(AND($A707&gt;=OP!$C$79,$A707&lt;=OP!$C$80),OP!$C$78,)))</f>
        <v>0</v>
      </c>
      <c r="AT707" s="298">
        <f t="shared" ca="1" si="387"/>
        <v>0</v>
      </c>
      <c r="AU707" s="298">
        <f ca="1">IF(AND(A707&lt;=OP!$C$120,COUNTIF(PAY,C707)=1),OP!$C$123,0)</f>
        <v>0</v>
      </c>
      <c r="AV707" s="298">
        <f ca="1">IF(AND(A707&gt;=OP!$C$132,A707&lt;=OP!$C$133,$C$3=C707),OP!$C$135,0)</f>
        <v>0</v>
      </c>
      <c r="AW707" s="180">
        <f t="shared" ca="1" si="388"/>
        <v>0.05</v>
      </c>
      <c r="AX707" s="180">
        <f t="shared" ca="1" si="389"/>
        <v>0.05</v>
      </c>
      <c r="AY707" s="286">
        <f t="shared" ca="1" si="390"/>
        <v>0</v>
      </c>
      <c r="AZ707" s="286">
        <f t="shared" ca="1" si="391"/>
        <v>0</v>
      </c>
      <c r="BA707" s="286">
        <f t="shared" ca="1" si="392"/>
        <v>0</v>
      </c>
      <c r="BB707" s="286">
        <f t="shared" ca="1" si="393"/>
        <v>0</v>
      </c>
      <c r="BC707" s="286">
        <f t="shared" ca="1" si="394"/>
        <v>0</v>
      </c>
      <c r="BD707" s="180">
        <f t="shared" ca="1" si="395"/>
        <v>0.05</v>
      </c>
      <c r="BE707" s="180">
        <f t="shared" ca="1" si="396"/>
        <v>0.05</v>
      </c>
      <c r="BF707" s="286">
        <f t="shared" ca="1" si="397"/>
        <v>0</v>
      </c>
      <c r="BG707" s="286">
        <f t="shared" ca="1" si="398"/>
        <v>0</v>
      </c>
    </row>
    <row r="708" spans="1:59">
      <c r="A708" s="1">
        <f t="shared" ca="1" si="378"/>
        <v>59</v>
      </c>
      <c r="B708" s="1">
        <f t="shared" ca="1" si="406"/>
        <v>165</v>
      </c>
      <c r="C708" s="1">
        <f t="shared" ca="1" si="407"/>
        <v>2</v>
      </c>
      <c r="D708" s="1">
        <f ca="1">MIN($D$3,VLOOKUP(C708,OP!$S$30:$T$41,2))</f>
        <v>2</v>
      </c>
      <c r="E708" s="1" t="str">
        <f t="shared" ca="1" si="408"/>
        <v/>
      </c>
      <c r="F708" s="11" t="str">
        <f t="shared" ca="1" si="379"/>
        <v/>
      </c>
      <c r="G708" s="8">
        <f t="shared" ca="1" si="411"/>
        <v>366</v>
      </c>
      <c r="H708" s="8">
        <f t="shared" ca="1" si="380"/>
        <v>29</v>
      </c>
      <c r="I708" s="8" t="str">
        <f t="shared" ref="I708:I771" ca="1" si="412">A708&amp;C708</f>
        <v>592</v>
      </c>
      <c r="J708" s="13">
        <f>IF(繳費報酬率資料!$A$1=1,VALUE(OP!$C$121),VLOOKUP(A708,MP,2,0))</f>
        <v>0.05</v>
      </c>
      <c r="K708" s="14">
        <f ca="1">IF(SUM($K$4:K707,IF(繳費報酬率資料!$A$1=1,$AU708+$AV708,$BB708+$BC708))&gt;OP!$L$58,0,IF(繳費報酬率資料!$A$1=1,$AU708+$AV708,$BB708+$BC708))</f>
        <v>0</v>
      </c>
      <c r="L708" s="2"/>
      <c r="M708" s="2"/>
      <c r="N708" s="2"/>
      <c r="O708" s="261">
        <f t="shared" ca="1" si="381"/>
        <v>0</v>
      </c>
      <c r="P708" s="261">
        <f t="shared" ca="1" si="399"/>
        <v>0</v>
      </c>
      <c r="Q708" s="3">
        <f ca="1">IF(A708&gt;MAX(OP!$R$17:$R$26),0,VLOOKUP(A708,fees,3,FALSE))</f>
        <v>0</v>
      </c>
      <c r="R708" s="200" t="str">
        <f t="shared" ca="1" si="382"/>
        <v/>
      </c>
      <c r="S708" s="9" t="str">
        <f ca="1">IF(COUNTIF(($T$4:T707),"F")&gt;=1,"",IF(OR(C709&lt;&gt;$C$3,E708=""),"",A708))</f>
        <v/>
      </c>
      <c r="T708" s="20" t="str">
        <f t="shared" ca="1" si="409"/>
        <v/>
      </c>
      <c r="U708" s="2">
        <f ca="1">IF(IF(OP!$C$83=1,$Z707,IF(OP!$C$83=2,$AA707,IF(OP!$C$83=3,$AB707,)))+$K708-$O708-$P708-$AS708&lt;OP!$C$142,0,$AS708)</f>
        <v>0</v>
      </c>
      <c r="V708" s="9"/>
      <c r="W708" s="19">
        <f ca="1">MAX(SUM($K$4:K708),0)</f>
        <v>2000000</v>
      </c>
      <c r="X708" s="19"/>
      <c r="Y708" s="19">
        <f t="shared" ca="1" si="400"/>
        <v>1920000</v>
      </c>
      <c r="Z708" s="2">
        <f ca="1">IF(MIN($Z$4:Z707)=0,0,MAX(0,($Z707+$K708-$O708-$P708)*IF(AND(F708="F",$D$3&lt;&gt;$G$3),((1+(-J708))^(H708/MIN(G708,365))),((1+(-J708))^(1/12)))-$U708))</f>
        <v>94311.149758840707</v>
      </c>
      <c r="AA708" s="2">
        <f ca="1">IF(MIN($AA$4:AA707)=0,0,MAX(0,($AA707+$K708-$O708-$P708)*IF(AND(F708="F",$D$3&lt;&gt;$G$3),((1+$AA$1)^(H708/MIN(G708,365))),((1+$AA$1)^(1/12)))-$U708))</f>
        <v>1920000</v>
      </c>
      <c r="AB708" s="2">
        <f ca="1">IF(MIN($AB$4:AB707)=0,0,MAX(0,($AB707+$K708-$O708-$P708)*IF(AND(F708="F",$D$3&lt;&gt;$G$3),((1+(J708))^(H708/MIN(G708,365))),((1+(J708))^(1/12)))-$U708))</f>
        <v>33742134.253276527</v>
      </c>
      <c r="AC708" s="5"/>
      <c r="AD708" s="5"/>
      <c r="AE708" s="5"/>
      <c r="AF708" s="282">
        <f t="shared" ca="1" si="383"/>
        <v>94311</v>
      </c>
      <c r="AG708" s="282">
        <f t="shared" ca="1" si="384"/>
        <v>1920000</v>
      </c>
      <c r="AH708" s="282">
        <f t="shared" ca="1" si="385"/>
        <v>33742134</v>
      </c>
      <c r="AI708" s="23" t="str">
        <f t="shared" ca="1" si="401"/>
        <v>59-10</v>
      </c>
      <c r="AJ708" s="282">
        <f ca="1">IF(E708&gt;111,,IF(AND(OP!$C$99=1,T708="F"),Z708,IF(AND(OP!$C$99=2,COUNTIF($T$4:T708,"F")=1),OP!$C$97+IF(F708="F",OP!$C$98,0),"")))</f>
        <v>0</v>
      </c>
      <c r="AK708" s="282">
        <f ca="1">IF(E708&gt;111,,IF(AND(OP!$D$99=1,T708="F"),AA708,IF(AND(OP!$D$99=2,COUNTIF($T$4:T708,"F")=1),OP!$D$97+IF(F708="F",OP!$D$98,0),"")))</f>
        <v>0</v>
      </c>
      <c r="AL708" s="282">
        <f ca="1">IF(E708&gt;111,,IF(AND(OP!$E$99=1,T708="F"),AB708,IF(AND(OP!$E$99=2,COUNTIF($T$4:T708,"F")=1),OP!$E$97+IF(F708="F",OP!$E$98,0),"")))</f>
        <v>0</v>
      </c>
      <c r="AM708" s="1">
        <f t="shared" ca="1" si="410"/>
        <v>10</v>
      </c>
      <c r="AN708" s="1" t="e">
        <f ca="1">IF(OR(VLOOKUP($A708,MP,5,0)="月繳"),1,"")</f>
        <v>#N/A</v>
      </c>
      <c r="AO708" s="1">
        <f t="shared" ca="1" si="386"/>
        <v>0</v>
      </c>
      <c r="AP708" s="1" t="str">
        <f ca="1">IF(AND(A708&lt;=OP!$C$120,COUNTIF(PAY,C708)=1),1,"")</f>
        <v/>
      </c>
      <c r="AR708" s="301">
        <f ca="1">IF(繳費報酬率資料!$A$1=1,$AY708+$AZ708,$BF708+$BG708)</f>
        <v>0</v>
      </c>
      <c r="AS708" s="1">
        <f ca="1">IF(C708&lt;&gt;IF($C$3=1,12,$C$3-1),0,IF(繳費報酬率資料!$A$1&lt;&gt;1,VLOOKUP($A708,MP,8,0),IF(AND($A708&gt;=OP!$C$79,$A708&lt;=OP!$C$80),OP!$C$78,)))</f>
        <v>0</v>
      </c>
      <c r="AT708" s="298">
        <f t="shared" ca="1" si="387"/>
        <v>0</v>
      </c>
      <c r="AU708" s="298">
        <f ca="1">IF(AND(A708&lt;=OP!$C$120,COUNTIF(PAY,C708)=1),OP!$C$123,0)</f>
        <v>0</v>
      </c>
      <c r="AV708" s="298">
        <f ca="1">IF(AND(A708&gt;=OP!$C$132,A708&lt;=OP!$C$133,$C$3=C708),OP!$C$135,0)</f>
        <v>0</v>
      </c>
      <c r="AW708" s="180">
        <f t="shared" ca="1" si="388"/>
        <v>0.05</v>
      </c>
      <c r="AX708" s="180">
        <f t="shared" ca="1" si="389"/>
        <v>0.05</v>
      </c>
      <c r="AY708" s="286">
        <f t="shared" ca="1" si="390"/>
        <v>0</v>
      </c>
      <c r="AZ708" s="286">
        <f t="shared" ca="1" si="391"/>
        <v>0</v>
      </c>
      <c r="BA708" s="286">
        <f t="shared" ca="1" si="392"/>
        <v>0</v>
      </c>
      <c r="BB708" s="286">
        <f t="shared" ca="1" si="393"/>
        <v>0</v>
      </c>
      <c r="BC708" s="286">
        <f t="shared" ca="1" si="394"/>
        <v>0</v>
      </c>
      <c r="BD708" s="180">
        <f t="shared" ca="1" si="395"/>
        <v>0.05</v>
      </c>
      <c r="BE708" s="180">
        <f t="shared" ca="1" si="396"/>
        <v>0.05</v>
      </c>
      <c r="BF708" s="286">
        <f t="shared" ca="1" si="397"/>
        <v>0</v>
      </c>
      <c r="BG708" s="286">
        <f t="shared" ca="1" si="398"/>
        <v>0</v>
      </c>
    </row>
    <row r="709" spans="1:59">
      <c r="A709" s="1">
        <f t="shared" ref="A709:A772" ca="1" si="413">IF(C709=$C$4,A708+1,A708)</f>
        <v>59</v>
      </c>
      <c r="B709" s="1">
        <f t="shared" ca="1" si="406"/>
        <v>165</v>
      </c>
      <c r="C709" s="1">
        <f t="shared" ca="1" si="407"/>
        <v>3</v>
      </c>
      <c r="D709" s="1">
        <f ca="1">MIN($D$3,VLOOKUP(C709,OP!$S$30:$T$41,2))</f>
        <v>2</v>
      </c>
      <c r="E709" s="1" t="str">
        <f t="shared" ca="1" si="408"/>
        <v/>
      </c>
      <c r="F709" s="11" t="str">
        <f t="shared" ref="F709:F772" ca="1" si="414">IF(AND(DATE($E$3+1911,$F$3,$G$3)&gt;DATE(B709+1911,C709,D709),DATE($E$3+1911,$F$3,$G$3)&lt;=DATE(B710+1911,C710,D710)),"F","")</f>
        <v/>
      </c>
      <c r="G709" s="8">
        <f t="shared" ca="1" si="411"/>
        <v>366</v>
      </c>
      <c r="H709" s="8">
        <f t="shared" ref="H709:H772" ca="1" si="415">DATEDIF(DATE(B709+1911,C709,D709),IF(F709="F",DATE($E$3+1911,$F$3,$G$3),DATE(B710+1911,C710,D710)),"d")</f>
        <v>31</v>
      </c>
      <c r="I709" s="8" t="str">
        <f t="shared" ca="1" si="412"/>
        <v>593</v>
      </c>
      <c r="J709" s="13">
        <f>IF(繳費報酬率資料!$A$1=1,VALUE(OP!$C$121),VLOOKUP(A709,MP,2,0))</f>
        <v>0.05</v>
      </c>
      <c r="K709" s="14">
        <f ca="1">IF(SUM($K$4:K708,IF(繳費報酬率資料!$A$1=1,$AU709+$AV709,$BB709+$BC709))&gt;OP!$L$58,0,IF(繳費報酬率資料!$A$1=1,$AU709+$AV709,$BB709+$BC709))</f>
        <v>0</v>
      </c>
      <c r="L709" s="2"/>
      <c r="M709" s="2"/>
      <c r="N709" s="2"/>
      <c r="O709" s="261">
        <f t="shared" ref="O709:O772" ca="1" si="416">IF(K709=0,0,$AR709)</f>
        <v>0</v>
      </c>
      <c r="P709" s="261">
        <f t="shared" ca="1" si="399"/>
        <v>0</v>
      </c>
      <c r="Q709" s="3">
        <f ca="1">IF(A709&gt;MAX(OP!$R$17:$R$26),0,VLOOKUP(A709,fees,3,FALSE))</f>
        <v>0</v>
      </c>
      <c r="R709" s="200" t="str">
        <f t="shared" ref="R709:R772" ca="1" si="417">IF(OR(C710&lt;&gt;$C$3,E709=""),"",A709)</f>
        <v/>
      </c>
      <c r="S709" s="9" t="str">
        <f ca="1">IF(COUNTIF(($T$4:T708),"F")&gt;=1,"",IF(OR(C710&lt;&gt;$C$3,E709=""),"",A709))</f>
        <v/>
      </c>
      <c r="T709" s="20" t="str">
        <f t="shared" ca="1" si="409"/>
        <v/>
      </c>
      <c r="U709" s="2">
        <f ca="1">IF(IF(OP!$C$83=1,$Z708,IF(OP!$C$83=2,$AA708,IF(OP!$C$83=3,$AB708,)))+$K709-$O709-$P709-$AS709&lt;OP!$C$142,0,$AS709)</f>
        <v>0</v>
      </c>
      <c r="V709" s="9"/>
      <c r="W709" s="19">
        <f ca="1">MAX(SUM($K$4:K709),0)</f>
        <v>2000000</v>
      </c>
      <c r="X709" s="19"/>
      <c r="Y709" s="19">
        <f t="shared" ca="1" si="400"/>
        <v>1920000</v>
      </c>
      <c r="Z709" s="2">
        <f ca="1">IF(MIN($Z$4:Z708)=0,0,MAX(0,($Z708+$K709-$O709-$P709)*IF(AND(F709="F",$D$3&lt;&gt;$G$3),((1+(-J709))^(H709/MIN(G709,365))),((1+(-J709))^(1/12)))-$U709))</f>
        <v>93908.882640840995</v>
      </c>
      <c r="AA709" s="2">
        <f ca="1">IF(MIN($AA$4:AA708)=0,0,MAX(0,($AA708+$K709-$O709-$P709)*IF(AND(F709="F",$D$3&lt;&gt;$G$3),((1+$AA$1)^(H709/MIN(G709,365))),((1+$AA$1)^(1/12)))-$U709))</f>
        <v>1920000</v>
      </c>
      <c r="AB709" s="2">
        <f ca="1">IF(MIN($AB$4:AB708)=0,0,MAX(0,($AB708+$K709-$O709-$P709)*IF(AND(F709="F",$D$3&lt;&gt;$G$3),((1+(J709))^(H709/MIN(G709,365))),((1+(J709))^(1/12)))-$U709))</f>
        <v>33879603.884948857</v>
      </c>
      <c r="AC709" s="5"/>
      <c r="AD709" s="5"/>
      <c r="AE709" s="5"/>
      <c r="AF709" s="282">
        <f t="shared" ref="AF709:AF772" ca="1" si="418">ROUND(Z709*(1-$Q709),$AF$1)</f>
        <v>93909</v>
      </c>
      <c r="AG709" s="282">
        <f t="shared" ref="AG709:AG772" ca="1" si="419">ROUND(AA709*(1-$Q709),$AF$1)</f>
        <v>1920000</v>
      </c>
      <c r="AH709" s="282">
        <f t="shared" ref="AH709:AH772" ca="1" si="420">ROUND(AB709*(1-$Q709),$AF$1)</f>
        <v>33879604</v>
      </c>
      <c r="AI709" s="23" t="str">
        <f t="shared" ca="1" si="401"/>
        <v>59-11</v>
      </c>
      <c r="AJ709" s="282">
        <f ca="1">IF(E709&gt;111,,IF(AND(OP!$C$99=1,T709="F"),Z709,IF(AND(OP!$C$99=2,COUNTIF($T$4:T709,"F")=1),OP!$C$97+IF(F709="F",OP!$C$98,0),"")))</f>
        <v>0</v>
      </c>
      <c r="AK709" s="282">
        <f ca="1">IF(E709&gt;111,,IF(AND(OP!$D$99=1,T709="F"),AA709,IF(AND(OP!$D$99=2,COUNTIF($T$4:T709,"F")=1),OP!$D$97+IF(F709="F",OP!$D$98,0),"")))</f>
        <v>0</v>
      </c>
      <c r="AL709" s="282">
        <f ca="1">IF(E709&gt;111,,IF(AND(OP!$E$99=1,T709="F"),AB709,IF(AND(OP!$E$99=2,COUNTIF($T$4:T709,"F")=1),OP!$E$97+IF(F709="F",OP!$E$98,0),"")))</f>
        <v>0</v>
      </c>
      <c r="AM709" s="1">
        <f t="shared" ca="1" si="410"/>
        <v>11</v>
      </c>
      <c r="AN709" s="1" t="e">
        <f ca="1">IF(OR(VLOOKUP($A709,MP,5,0)="季繳",VLOOKUP($A709,MP,5,0)="月繳"),1,"")</f>
        <v>#N/A</v>
      </c>
      <c r="AO709" s="1">
        <f t="shared" ref="AO709:AO772" ca="1" si="421">IF(ISNA(VLOOKUP(A709,MP,2,0)),,IF(C709=$C$3,ROUND(VLOOKUP(A709,MP,4,0),0),0)+IF(AN709=1,ROUND(VLOOKUP(A709,MP,6,0),0),0))</f>
        <v>0</v>
      </c>
      <c r="AP709" s="1" t="str">
        <f ca="1">IF(AND(A709&lt;=OP!$C$120,COUNTIF(PAY,C709)=1),1,"")</f>
        <v/>
      </c>
      <c r="AR709" s="301">
        <f ca="1">IF(繳費報酬率資料!$A$1=1,$AY709+$AZ709,$BF709+$BG709)</f>
        <v>0</v>
      </c>
      <c r="AS709" s="1">
        <f ca="1">IF(C709&lt;&gt;IF($C$3=1,12,$C$3-1),0,IF(繳費報酬率資料!$A$1&lt;&gt;1,VLOOKUP($A709,MP,8,0),IF(AND($A709&gt;=OP!$C$79,$A709&lt;=OP!$C$80),OP!$C$78,)))</f>
        <v>0</v>
      </c>
      <c r="AT709" s="298">
        <f t="shared" ref="AT709:AT772" ca="1" si="422">AU709+AV709</f>
        <v>0</v>
      </c>
      <c r="AU709" s="298">
        <f ca="1">IF(AND(A709&lt;=OP!$C$120,COUNTIF(PAY,C709)=1),OP!$C$123,0)</f>
        <v>0</v>
      </c>
      <c r="AV709" s="298">
        <f ca="1">IF(AND(A709&gt;=OP!$C$132,A709&lt;=OP!$C$133,$C$3=C709),OP!$C$135,0)</f>
        <v>0</v>
      </c>
      <c r="AW709" s="180">
        <f t="shared" ref="AW709:AW772" ca="1" si="423">HLOOKUP(IF($AU709&lt;$AY$1,1,IF(AND($AU709&gt;=$AY$1,$AU709&lt;$AZ$1),2,IF(AND($AU709&gt;=$AZ$1,$AU709&lt;$BA$1),3,IF(AND($AU709&gt;=$BA$1),4,1)))),PR,2,0)</f>
        <v>0.05</v>
      </c>
      <c r="AX709" s="180">
        <f t="shared" ref="AX709:AX772" ca="1" si="424">HLOOKUP(IF($AV709&lt;$AY$1,1,IF(AND($AV709&gt;=$AY$1,$AV709&lt;$AZ$1),2,IF(AND($AV709&gt;=$AZ$1,$AV709&lt;$BA$1),3,IF(AND($AV709&gt;=$BA$1),4,1)))),PR,2,0)</f>
        <v>0.05</v>
      </c>
      <c r="AY709" s="286">
        <f t="shared" ref="AY709:AY772" ca="1" si="425">ROUND(AU709*AW709,0)</f>
        <v>0</v>
      </c>
      <c r="AZ709" s="286">
        <f t="shared" ref="AZ709:AZ772" ca="1" si="426">ROUND(AV709*AX709,0)</f>
        <v>0</v>
      </c>
      <c r="BA709" s="286">
        <f t="shared" ref="BA709:BA772" ca="1" si="427">BB709+BC709</f>
        <v>0</v>
      </c>
      <c r="BB709" s="286">
        <f t="shared" ref="BB709:BB772" ca="1" si="428">IF(ISNA(VLOOKUP(A709,MP,2,0)),,IF(C709=$C$3,ROUND(VLOOKUP(A709,MP,6,0),0),0))</f>
        <v>0</v>
      </c>
      <c r="BC709" s="286">
        <f t="shared" ref="BC709:BC772" ca="1" si="429">IF(ISNA(VLOOKUP(A709,MP,4,0)),,IF(AND(C709=$C$3,AN709=1),ROUND(VLOOKUP(A709,MP,4,0),0),0))</f>
        <v>0</v>
      </c>
      <c r="BD709" s="180">
        <f t="shared" ref="BD709:BD772" ca="1" si="430">HLOOKUP(IF($BB709&lt;$AY$1,1,IF(AND($BB709&gt;=$AY$1,$BB709&lt;$AZ$1),2,IF(AND($BB709&gt;=$AZ$1,$BB709&lt;$BA$1),3,IF(AND($BB709&gt;=$BA$1),4,1)))),PR,2,0)</f>
        <v>0.05</v>
      </c>
      <c r="BE709" s="180">
        <f t="shared" ref="BE709:BE772" ca="1" si="431">HLOOKUP(IF($BC709&lt;$AY$1,1,IF(AND($BC709&gt;=$AY$1,$BC709&lt;$AZ$1),2,IF(AND($BC709&gt;=$AZ$1,$BC709&lt;$BA$1),3,IF(AND($BC709&gt;=$BA$1),4,1)))),PR,2,0)</f>
        <v>0.05</v>
      </c>
      <c r="BF709" s="286">
        <f t="shared" ref="BF709:BF772" ca="1" si="432">ROUND(BB709*BD709,0)</f>
        <v>0</v>
      </c>
      <c r="BG709" s="286">
        <f t="shared" ref="BG709:BG772" ca="1" si="433">ROUND(BC709*BE709,0)</f>
        <v>0</v>
      </c>
    </row>
    <row r="710" spans="1:59">
      <c r="A710" s="1">
        <f t="shared" ca="1" si="413"/>
        <v>59</v>
      </c>
      <c r="B710" s="1">
        <f t="shared" ca="1" si="406"/>
        <v>165</v>
      </c>
      <c r="C710" s="1">
        <f t="shared" ca="1" si="407"/>
        <v>4</v>
      </c>
      <c r="D710" s="1">
        <f ca="1">MIN($D$3,VLOOKUP(C710,OP!$S$30:$T$41,2))</f>
        <v>2</v>
      </c>
      <c r="E710" s="1" t="str">
        <f t="shared" ca="1" si="408"/>
        <v/>
      </c>
      <c r="F710" s="11" t="str">
        <f t="shared" ca="1" si="414"/>
        <v/>
      </c>
      <c r="G710" s="8">
        <f t="shared" ca="1" si="411"/>
        <v>366</v>
      </c>
      <c r="H710" s="8">
        <f t="shared" ca="1" si="415"/>
        <v>30</v>
      </c>
      <c r="I710" s="8" t="str">
        <f t="shared" ca="1" si="412"/>
        <v>594</v>
      </c>
      <c r="J710" s="13">
        <f>IF(繳費報酬率資料!$A$1=1,VALUE(OP!$C$121),VLOOKUP(A710,MP,2,0))</f>
        <v>0.05</v>
      </c>
      <c r="K710" s="14">
        <f ca="1">IF(SUM($K$4:K709,IF(繳費報酬率資料!$A$1=1,$AU710+$AV710,$BB710+$BC710))&gt;OP!$L$58,0,IF(繳費報酬率資料!$A$1=1,$AU710+$AV710,$BB710+$BC710))</f>
        <v>0</v>
      </c>
      <c r="L710" s="2"/>
      <c r="M710" s="2"/>
      <c r="N710" s="2"/>
      <c r="O710" s="261">
        <f t="shared" ca="1" si="416"/>
        <v>0</v>
      </c>
      <c r="P710" s="261">
        <f t="shared" ref="P710:P773" ca="1" si="434">IF(MAX(Z709:AB709)=0,0,P709)</f>
        <v>0</v>
      </c>
      <c r="Q710" s="3">
        <f ca="1">IF(A710&gt;MAX(OP!$R$17:$R$26),0,VLOOKUP(A710,fees,3,FALSE))</f>
        <v>0</v>
      </c>
      <c r="R710" s="200" t="str">
        <f t="shared" ca="1" si="417"/>
        <v/>
      </c>
      <c r="S710" s="9" t="str">
        <f ca="1">IF(COUNTIF(($T$4:T709),"F")&gt;=1,"",IF(OR(C711&lt;&gt;$C$3,E710=""),"",A710))</f>
        <v/>
      </c>
      <c r="T710" s="20" t="str">
        <f t="shared" ca="1" si="409"/>
        <v/>
      </c>
      <c r="U710" s="2">
        <f ca="1">IF(IF(OP!$C$83=1,$Z709,IF(OP!$C$83=2,$AA709,IF(OP!$C$83=3,$AB709,)))+$K710-$O710-$P710-$AS710&lt;OP!$C$142,0,$AS710)</f>
        <v>0</v>
      </c>
      <c r="V710" s="9"/>
      <c r="W710" s="19">
        <f ca="1">MAX(SUM($K$4:K710),0)</f>
        <v>2000000</v>
      </c>
      <c r="X710" s="19"/>
      <c r="Y710" s="19">
        <f t="shared" ref="Y710:Y773" ca="1" si="435">Y709+K710-O710</f>
        <v>1920000</v>
      </c>
      <c r="Z710" s="2">
        <f ca="1">IF(MIN($Z$4:Z709)=0,0,MAX(0,($Z709+$K710-$O710-$P710)*IF(AND(F710="F",$D$3&lt;&gt;$G$3),((1+(-J710))^(H710/MIN(G710,365))),((1+(-J710))^(1/12)))-$U710))</f>
        <v>93508.33132033328</v>
      </c>
      <c r="AA710" s="2">
        <f ca="1">IF(MIN($AA$4:AA709)=0,0,MAX(0,($AA709+$K710-$O710-$P710)*IF(AND(F710="F",$D$3&lt;&gt;$G$3),((1+$AA$1)^(H710/MIN(G710,365))),((1+$AA$1)^(1/12)))-$U710))</f>
        <v>1920000</v>
      </c>
      <c r="AB710" s="2">
        <f ca="1">IF(MIN($AB$4:AB709)=0,0,MAX(0,($AB709+$K710-$O710-$P710)*IF(AND(F710="F",$D$3&lt;&gt;$G$3),((1+(J710))^(H710/MIN(G710,365))),((1+(J710))^(1/12)))-$U710))</f>
        <v>34017633.584917113</v>
      </c>
      <c r="AC710" s="5"/>
      <c r="AD710" s="5"/>
      <c r="AE710" s="5"/>
      <c r="AF710" s="282">
        <f t="shared" ca="1" si="418"/>
        <v>93508</v>
      </c>
      <c r="AG710" s="282">
        <f t="shared" ca="1" si="419"/>
        <v>1920000</v>
      </c>
      <c r="AH710" s="282">
        <f t="shared" ca="1" si="420"/>
        <v>34017634</v>
      </c>
      <c r="AI710" s="23" t="str">
        <f t="shared" ca="1" si="401"/>
        <v>59-12</v>
      </c>
      <c r="AJ710" s="282">
        <f ca="1">IF(E710&gt;111,,IF(AND(OP!$C$99=1,T710="F"),Z710,IF(AND(OP!$C$99=2,COUNTIF($T$4:T710,"F")=1),OP!$C$97+IF(F710="F",OP!$C$98,0),"")))</f>
        <v>0</v>
      </c>
      <c r="AK710" s="282">
        <f ca="1">IF(E710&gt;111,,IF(AND(OP!$D$99=1,T710="F"),AA710,IF(AND(OP!$D$99=2,COUNTIF($T$4:T710,"F")=1),OP!$D$97+IF(F710="F",OP!$D$98,0),"")))</f>
        <v>0</v>
      </c>
      <c r="AL710" s="282">
        <f ca="1">IF(E710&gt;111,,IF(AND(OP!$E$99=1,T710="F"),AB710,IF(AND(OP!$E$99=2,COUNTIF($T$4:T710,"F")=1),OP!$E$97+IF(F710="F",OP!$E$98,0),"")))</f>
        <v>0</v>
      </c>
      <c r="AM710" s="1">
        <f t="shared" ca="1" si="410"/>
        <v>12</v>
      </c>
      <c r="AN710" s="1" t="e">
        <f ca="1">IF(OR(VLOOKUP($A710,MP,5,0)="月繳"),1,"")</f>
        <v>#N/A</v>
      </c>
      <c r="AO710" s="1">
        <f t="shared" ca="1" si="421"/>
        <v>0</v>
      </c>
      <c r="AP710" s="1" t="str">
        <f ca="1">IF(AND(A710&lt;=OP!$C$120,COUNTIF(PAY,C710)=1),1,"")</f>
        <v/>
      </c>
      <c r="AR710" s="301">
        <f ca="1">IF(繳費報酬率資料!$A$1=1,$AY710+$AZ710,$BF710+$BG710)</f>
        <v>0</v>
      </c>
      <c r="AS710" s="1">
        <f ca="1">IF(C710&lt;&gt;IF($C$3=1,12,$C$3-1),0,IF(繳費報酬率資料!$A$1&lt;&gt;1,VLOOKUP($A710,MP,8,0),IF(AND($A710&gt;=OP!$C$79,$A710&lt;=OP!$C$80),OP!$C$78,)))</f>
        <v>0</v>
      </c>
      <c r="AT710" s="298">
        <f t="shared" ca="1" si="422"/>
        <v>0</v>
      </c>
      <c r="AU710" s="298">
        <f ca="1">IF(AND(A710&lt;=OP!$C$120,COUNTIF(PAY,C710)=1),OP!$C$123,0)</f>
        <v>0</v>
      </c>
      <c r="AV710" s="298">
        <f ca="1">IF(AND(A710&gt;=OP!$C$132,A710&lt;=OP!$C$133,$C$3=C710),OP!$C$135,0)</f>
        <v>0</v>
      </c>
      <c r="AW710" s="180">
        <f t="shared" ca="1" si="423"/>
        <v>0.05</v>
      </c>
      <c r="AX710" s="180">
        <f t="shared" ca="1" si="424"/>
        <v>0.05</v>
      </c>
      <c r="AY710" s="286">
        <f t="shared" ca="1" si="425"/>
        <v>0</v>
      </c>
      <c r="AZ710" s="286">
        <f t="shared" ca="1" si="426"/>
        <v>0</v>
      </c>
      <c r="BA710" s="286">
        <f t="shared" ca="1" si="427"/>
        <v>0</v>
      </c>
      <c r="BB710" s="286">
        <f t="shared" ca="1" si="428"/>
        <v>0</v>
      </c>
      <c r="BC710" s="286">
        <f t="shared" ca="1" si="429"/>
        <v>0</v>
      </c>
      <c r="BD710" s="180">
        <f t="shared" ca="1" si="430"/>
        <v>0.05</v>
      </c>
      <c r="BE710" s="180">
        <f t="shared" ca="1" si="431"/>
        <v>0.05</v>
      </c>
      <c r="BF710" s="286">
        <f t="shared" ca="1" si="432"/>
        <v>0</v>
      </c>
      <c r="BG710" s="286">
        <f t="shared" ca="1" si="433"/>
        <v>0</v>
      </c>
    </row>
    <row r="711" spans="1:59">
      <c r="A711" s="1">
        <f t="shared" ca="1" si="413"/>
        <v>59</v>
      </c>
      <c r="B711" s="1">
        <f t="shared" ca="1" si="406"/>
        <v>165</v>
      </c>
      <c r="C711" s="1">
        <f t="shared" ca="1" si="407"/>
        <v>5</v>
      </c>
      <c r="D711" s="1">
        <f ca="1">MIN($D$3,VLOOKUP(C711,OP!$S$30:$T$41,2))</f>
        <v>2</v>
      </c>
      <c r="E711" s="1" t="str">
        <f t="shared" ca="1" si="408"/>
        <v/>
      </c>
      <c r="F711" s="11" t="str">
        <f t="shared" ca="1" si="414"/>
        <v/>
      </c>
      <c r="G711" s="8">
        <f t="shared" ca="1" si="411"/>
        <v>366</v>
      </c>
      <c r="H711" s="8">
        <f t="shared" ca="1" si="415"/>
        <v>31</v>
      </c>
      <c r="I711" s="8" t="str">
        <f t="shared" ca="1" si="412"/>
        <v>595</v>
      </c>
      <c r="J711" s="13">
        <f>IF(繳費報酬率資料!$A$1=1,VALUE(OP!$C$121),VLOOKUP(A711,MP,2,0))</f>
        <v>0.05</v>
      </c>
      <c r="K711" s="14">
        <f ca="1">IF(SUM($K$4:K710,IF(繳費報酬率資料!$A$1=1,$AU711+$AV711,$BB711+$BC711))&gt;OP!$L$58,0,IF(繳費報酬率資料!$A$1=1,$AU711+$AV711,$BB711+$BC711))</f>
        <v>0</v>
      </c>
      <c r="L711" s="2">
        <f ca="1">ROUND(IF(OP!$C$78&lt;(IF(OR($T711="F",$E711&gt;=111),0,Z710+$K711-$O711+IF($C$1=1,OP!$C$78,IF($C712=$C$3,SUM(AC700:AC711,0)))))*5%,0,(OP!$C$78-((IF(OR($T711="F",$E711&gt;=111),0,Z710+$K711-$O711+IF($C$1=1,AC711,IF($C712=$C$3,SUM(AC700:AC711,0)))))*5%))*$Q711),0)</f>
        <v>0</v>
      </c>
      <c r="M711" s="2">
        <f ca="1">ROUND(IF(OP!$C$78&lt;(IF(OR($T711="F",$E711&gt;=111),0,AA710+$K711-$O711+IF($C$1=1,AD711,IF($C712=$C$3,SUM(AD700:AD711,0)))))*5%,0,(OP!$C$78-((IF(OR($T711="F",$E711&gt;=111),0,AA710+$K711-$O711+IF($C$1=1,AD711,IF($C712=$C$3,SUM(AD700:AD711,0)))))*5%))*$Q711),0)</f>
        <v>0</v>
      </c>
      <c r="N711" s="2">
        <f ca="1">ROUND(IF(OP!$C$78&lt;(IF(OR($T711="F",$E711&gt;=111),0,AB710+$K711-$O711+IF($C$1=1,AE711,IF($C712=$C$3,SUM(AE700:AE711,0)))))*5%,0,(OP!$C$78-((IF(OR($T711="F",$E711&gt;=111),0,AB710+$K711-$O711+IF($C$1=1,AE711,IF($C712=$C$3,SUM(AE700:AE711,0)))))*5%))*$Q711),0)</f>
        <v>0</v>
      </c>
      <c r="O711" s="261">
        <f t="shared" ca="1" si="416"/>
        <v>0</v>
      </c>
      <c r="P711" s="261">
        <f t="shared" ca="1" si="434"/>
        <v>0</v>
      </c>
      <c r="Q711" s="3">
        <f ca="1">IF(A711&gt;MAX(OP!$R$17:$R$26),0,VLOOKUP(A711,fees,3,FALSE))</f>
        <v>0</v>
      </c>
      <c r="R711" s="200" t="str">
        <f t="shared" ca="1" si="417"/>
        <v/>
      </c>
      <c r="S711" s="9" t="str">
        <f ca="1">IF(COUNTIF(($T$4:T710),"F")&gt;=1,"",IF(OR(C712&lt;&gt;$C$3,E711=""),"",A711))</f>
        <v/>
      </c>
      <c r="T711" s="20" t="str">
        <f t="shared" ca="1" si="409"/>
        <v/>
      </c>
      <c r="U711" s="2">
        <f ca="1">IF(IF(OP!$C$83=1,$Z710,IF(OP!$C$83=2,$AA710,IF(OP!$C$83=3,$AB710,)))+$K711-$O711-$P711-$AS711&lt;OP!$C$142,0,$AS711)</f>
        <v>0</v>
      </c>
      <c r="V711" s="19">
        <f ca="1">SUM(K700:K711)</f>
        <v>0</v>
      </c>
      <c r="W711" s="19">
        <f ca="1">MAX(SUM($K$4:K711),0)</f>
        <v>2000000</v>
      </c>
      <c r="X711" s="19">
        <f ca="1">SUM(O700:P711)</f>
        <v>0</v>
      </c>
      <c r="Y711" s="19">
        <f t="shared" ca="1" si="435"/>
        <v>1920000</v>
      </c>
      <c r="Z711" s="2">
        <f ca="1">IF(MIN($Z$4:Z710)=0,0,MAX(0,($Z710+$K711-$O711-$P711)*IF(AND(F711="F",$D$3&lt;&gt;$G$3),((1+(-J711))^(H711/MIN(G711,365))),((1+(-J711))^(1/12)))-$U711))</f>
        <v>93109.488478894302</v>
      </c>
      <c r="AA711" s="2">
        <f ca="1">IF(MIN($AA$4:AA710)=0,0,MAX(0,($AA710+$K711-$O711-$P711)*IF(AND(F711="F",$D$3&lt;&gt;$G$3),((1+$AA$1)^(H711/MIN(G711,365))),((1+$AA$1)^(1/12)))-$U711))</f>
        <v>1920000</v>
      </c>
      <c r="AB711" s="2">
        <f ca="1">IF(MIN($AB$4:AB710)=0,0,MAX(0,($AB710+$K711-$O711-$P711)*IF(AND(F711="F",$D$3&lt;&gt;$G$3),((1+(J711))^(H711/MIN(G711,365))),((1+(J711))^(1/12)))-$U711))</f>
        <v>34156225.634968862</v>
      </c>
      <c r="AC711" s="5"/>
      <c r="AD711" s="5"/>
      <c r="AE711" s="5"/>
      <c r="AF711" s="282">
        <f t="shared" ca="1" si="418"/>
        <v>93109</v>
      </c>
      <c r="AG711" s="282">
        <f t="shared" ca="1" si="419"/>
        <v>1920000</v>
      </c>
      <c r="AH711" s="282">
        <f t="shared" ca="1" si="420"/>
        <v>34156226</v>
      </c>
      <c r="AI711" s="23" t="str">
        <f t="shared" ca="1" si="401"/>
        <v>60-1</v>
      </c>
      <c r="AJ711" s="282">
        <f ca="1">IF(E711&gt;111,,IF(AND(OP!$C$99=1,T711="F"),Z711,IF(AND(OP!$C$99=2,COUNTIF($T$4:T711,"F")=1),OP!$C$97+IF(F711="F",OP!$C$98,0),"")))</f>
        <v>0</v>
      </c>
      <c r="AK711" s="282">
        <f ca="1">IF(E711&gt;111,,IF(AND(OP!$D$99=1,T711="F"),AA711,IF(AND(OP!$D$99=2,COUNTIF($T$4:T711,"F")=1),OP!$D$97+IF(F711="F",OP!$D$98,0),"")))</f>
        <v>0</v>
      </c>
      <c r="AL711" s="282">
        <f ca="1">IF(E711&gt;111,,IF(AND(OP!$E$99=1,T711="F"),AB711,IF(AND(OP!$E$99=2,COUNTIF($T$4:T711,"F")=1),OP!$E$97+IF(F711="F",OP!$E$98,0),"")))</f>
        <v>0</v>
      </c>
      <c r="AM711" s="1">
        <f t="shared" ca="1" si="410"/>
        <v>1</v>
      </c>
      <c r="AN711" s="1" t="e">
        <f ca="1">IF(OR(VLOOKUP($A711,MP,5,0)="月繳"),1,"")</f>
        <v>#N/A</v>
      </c>
      <c r="AO711" s="1">
        <f t="shared" ca="1" si="421"/>
        <v>0</v>
      </c>
      <c r="AP711" s="1" t="str">
        <f ca="1">IF(AND(A711&lt;=OP!$C$120,COUNTIF(PAY,C711)=1),1,"")</f>
        <v/>
      </c>
      <c r="AR711" s="301">
        <f ca="1">IF(繳費報酬率資料!$A$1=1,$AY711+$AZ711,$BF711+$BG711)</f>
        <v>0</v>
      </c>
      <c r="AS711" s="1">
        <f ca="1">IF(C711&lt;&gt;IF($C$3=1,12,$C$3-1),0,IF(繳費報酬率資料!$A$1&lt;&gt;1,VLOOKUP($A711,MP,8,0),IF(AND($A711&gt;=OP!$C$79,$A711&lt;=OP!$C$80),OP!$C$78,)))</f>
        <v>0</v>
      </c>
      <c r="AT711" s="298">
        <f t="shared" ca="1" si="422"/>
        <v>0</v>
      </c>
      <c r="AU711" s="298">
        <f ca="1">IF(AND(A711&lt;=OP!$C$120,COUNTIF(PAY,C711)=1),OP!$C$123,0)</f>
        <v>0</v>
      </c>
      <c r="AV711" s="298">
        <f ca="1">IF(AND(A711&gt;=OP!$C$132,A711&lt;=OP!$C$133,$C$3=C711),OP!$C$135,0)</f>
        <v>0</v>
      </c>
      <c r="AW711" s="180">
        <f t="shared" ca="1" si="423"/>
        <v>0.05</v>
      </c>
      <c r="AX711" s="180">
        <f t="shared" ca="1" si="424"/>
        <v>0.05</v>
      </c>
      <c r="AY711" s="286">
        <f t="shared" ca="1" si="425"/>
        <v>0</v>
      </c>
      <c r="AZ711" s="286">
        <f t="shared" ca="1" si="426"/>
        <v>0</v>
      </c>
      <c r="BA711" s="286">
        <f t="shared" ca="1" si="427"/>
        <v>0</v>
      </c>
      <c r="BB711" s="286">
        <f t="shared" ca="1" si="428"/>
        <v>0</v>
      </c>
      <c r="BC711" s="286">
        <f t="shared" ca="1" si="429"/>
        <v>0</v>
      </c>
      <c r="BD711" s="180">
        <f t="shared" ca="1" si="430"/>
        <v>0.05</v>
      </c>
      <c r="BE711" s="180">
        <f t="shared" ca="1" si="431"/>
        <v>0.05</v>
      </c>
      <c r="BF711" s="286">
        <f t="shared" ca="1" si="432"/>
        <v>0</v>
      </c>
      <c r="BG711" s="286">
        <f t="shared" ca="1" si="433"/>
        <v>0</v>
      </c>
    </row>
    <row r="712" spans="1:59">
      <c r="A712" s="1">
        <f t="shared" ca="1" si="413"/>
        <v>60</v>
      </c>
      <c r="B712" s="1">
        <f t="shared" ca="1" si="406"/>
        <v>165</v>
      </c>
      <c r="C712" s="1">
        <f t="shared" ca="1" si="407"/>
        <v>6</v>
      </c>
      <c r="D712" s="1">
        <f ca="1">MIN($D$3,VLOOKUP(C712,OP!$S$30:$T$41,2))</f>
        <v>2</v>
      </c>
      <c r="E712" s="1" t="str">
        <f t="shared" ca="1" si="408"/>
        <v/>
      </c>
      <c r="F712" s="11" t="str">
        <f t="shared" ca="1" si="414"/>
        <v/>
      </c>
      <c r="G712" s="6">
        <f ca="1">DATEDIF(DATE(B712+1911,C712,D712),DATE(B724+1911,C724,D724),"d")</f>
        <v>365</v>
      </c>
      <c r="H712" s="8">
        <f t="shared" ca="1" si="415"/>
        <v>30</v>
      </c>
      <c r="I712" s="8" t="str">
        <f t="shared" ca="1" si="412"/>
        <v>606</v>
      </c>
      <c r="J712" s="13">
        <f>IF(繳費報酬率資料!$A$1=1,VALUE(OP!$C$121),VLOOKUP(A712,MP,2,0))</f>
        <v>0.05</v>
      </c>
      <c r="K712" s="14">
        <f ca="1">IF(SUM($K$4:K711,IF(繳費報酬率資料!$A$1=1,$AU712+$AV712,$BB712+$BC712))&gt;OP!$L$58,0,IF(繳費報酬率資料!$A$1=1,$AU712+$AV712,$BB712+$BC712))</f>
        <v>0</v>
      </c>
      <c r="L712" s="2"/>
      <c r="M712" s="2"/>
      <c r="N712" s="2"/>
      <c r="O712" s="261">
        <f t="shared" ca="1" si="416"/>
        <v>0</v>
      </c>
      <c r="P712" s="261">
        <f t="shared" ca="1" si="434"/>
        <v>0</v>
      </c>
      <c r="Q712" s="3">
        <f ca="1">IF(A712&gt;MAX(OP!$R$17:$R$26),0,VLOOKUP(A712,fees,3,FALSE))</f>
        <v>0</v>
      </c>
      <c r="R712" s="200" t="str">
        <f t="shared" ca="1" si="417"/>
        <v/>
      </c>
      <c r="S712" s="9" t="str">
        <f ca="1">IF(COUNTIF(($T$4:T711),"F")&gt;=1,"",IF(OR(C713&lt;&gt;$C$3,E712=""),"",A712))</f>
        <v/>
      </c>
      <c r="T712" s="20" t="str">
        <f t="shared" ca="1" si="409"/>
        <v/>
      </c>
      <c r="U712" s="2">
        <f ca="1">IF(IF(OP!$C$83=1,$Z711,IF(OP!$C$83=2,$AA711,IF(OP!$C$83=3,$AB711,)))+$K712-$O712-$P712-$AS712&lt;OP!$C$142,0,$AS712)</f>
        <v>0</v>
      </c>
      <c r="V712" s="9"/>
      <c r="W712" s="19">
        <f ca="1">MAX(SUM($K$4:K712),0)</f>
        <v>2000000</v>
      </c>
      <c r="X712" s="19"/>
      <c r="Y712" s="19">
        <f t="shared" ca="1" si="435"/>
        <v>1920000</v>
      </c>
      <c r="Z712" s="2">
        <f ca="1">IF(MIN($Z$4:Z711)=0,0,MAX(0,($Z711+$K712-$O712-$P712)*IF(AND(F712="F",$D$3&lt;&gt;$G$3),((1+(-J712))^(H712/MIN(G712,365))),((1+(-J712))^(1/12)))-$U712))</f>
        <v>92712.3468293162</v>
      </c>
      <c r="AA712" s="2">
        <f ca="1">IF(MIN($AA$4:AA711)=0,0,MAX(0,($AA711+$K712-$O712-$P712)*IF(AND(F712="F",$D$3&lt;&gt;$G$3),((1+$AA$1)^(H712/MIN(G712,365))),((1+$AA$1)^(1/12)))-$U712))</f>
        <v>1920000</v>
      </c>
      <c r="AB712" s="2">
        <f ca="1">IF(MIN($AB$4:AB711)=0,0,MAX(0,($AB711+$K712-$O712-$P712)*IF(AND(F712="F",$D$3&lt;&gt;$G$3),((1+(J712))^(H712/MIN(G712,365))),((1+(J712))^(1/12)))-$U712))</f>
        <v>34295382.326187946</v>
      </c>
      <c r="AC712" s="21"/>
      <c r="AD712" s="21"/>
      <c r="AE712" s="21"/>
      <c r="AF712" s="282">
        <f t="shared" ca="1" si="418"/>
        <v>92712</v>
      </c>
      <c r="AG712" s="282">
        <f t="shared" ca="1" si="419"/>
        <v>1920000</v>
      </c>
      <c r="AH712" s="282">
        <f t="shared" ca="1" si="420"/>
        <v>34295382</v>
      </c>
      <c r="AI712" s="23" t="str">
        <f t="shared" ca="1" si="401"/>
        <v>60-2</v>
      </c>
      <c r="AJ712" s="281">
        <f ca="1">IF(E712&gt;111,,IF(AND(OP!$C$99=1,T712="F"),Z712,IF(AND(OP!$C$99=2,COUNTIF($T$4:T712,"F")=1),OP!$C$97+IF(F712="F",OP!$C$98,0),"")))</f>
        <v>0</v>
      </c>
      <c r="AK712" s="281">
        <f ca="1">IF(E712&gt;111,,IF(AND(OP!$D$99=1,T712="F"),AA712,IF(AND(OP!$D$99=2,COUNTIF($T$4:T712,"F")=1),OP!$D$97+IF(F712="F",OP!$D$98,0),"")))</f>
        <v>0</v>
      </c>
      <c r="AL712" s="281">
        <f ca="1">IF(E712&gt;111,,IF(AND(OP!$E$99=1,T712="F"),AB712,IF(AND(OP!$E$99=2,COUNTIF($T$4:T712,"F")=1),OP!$E$97+IF(F712="F",OP!$E$98,0),"")))</f>
        <v>0</v>
      </c>
      <c r="AM712" s="1">
        <f t="shared" ca="1" si="410"/>
        <v>2</v>
      </c>
      <c r="AN712" s="1" t="e">
        <f ca="1">IF(OR(VLOOKUP($A712,MP,5,0)="年繳",VLOOKUP($A712,MP,5,0)="半年繳",VLOOKUP($A712,MP,5,0)="季繳",VLOOKUP($A712,MP,5,0)="月繳"),1,"")</f>
        <v>#N/A</v>
      </c>
      <c r="AO712" s="1">
        <f t="shared" ca="1" si="421"/>
        <v>0</v>
      </c>
      <c r="AP712" s="1" t="str">
        <f ca="1">IF(AND(A712&lt;=OP!$C$120,COUNTIF(PAY,C712)=1),1,"")</f>
        <v/>
      </c>
      <c r="AR712" s="301">
        <f ca="1">IF(繳費報酬率資料!$A$1=1,$AY712+$AZ712,$BF712+$BG712)</f>
        <v>0</v>
      </c>
      <c r="AS712" s="1">
        <f ca="1">IF(C712&lt;&gt;IF($C$3=1,12,$C$3-1),0,IF(繳費報酬率資料!$A$1&lt;&gt;1,VLOOKUP($A712,MP,8,0),IF(AND($A712&gt;=OP!$C$79,$A712&lt;=OP!$C$80),OP!$C$78,)))</f>
        <v>0</v>
      </c>
      <c r="AT712" s="298">
        <f t="shared" ca="1" si="422"/>
        <v>0</v>
      </c>
      <c r="AU712" s="298">
        <f ca="1">IF(AND(A712&lt;=OP!$C$120,COUNTIF(PAY,C712)=1),OP!$C$123,0)</f>
        <v>0</v>
      </c>
      <c r="AV712" s="298">
        <f ca="1">IF(AND(A712&gt;=OP!$C$132,A712&lt;=OP!$C$133,$C$3=C712),OP!$C$135,0)</f>
        <v>0</v>
      </c>
      <c r="AW712" s="180">
        <f t="shared" ca="1" si="423"/>
        <v>0.05</v>
      </c>
      <c r="AX712" s="180">
        <f t="shared" ca="1" si="424"/>
        <v>0.05</v>
      </c>
      <c r="AY712" s="286">
        <f t="shared" ca="1" si="425"/>
        <v>0</v>
      </c>
      <c r="AZ712" s="286">
        <f t="shared" ca="1" si="426"/>
        <v>0</v>
      </c>
      <c r="BA712" s="286">
        <f t="shared" ca="1" si="427"/>
        <v>0</v>
      </c>
      <c r="BB712" s="286">
        <f t="shared" ca="1" si="428"/>
        <v>0</v>
      </c>
      <c r="BC712" s="286">
        <f t="shared" ca="1" si="429"/>
        <v>0</v>
      </c>
      <c r="BD712" s="180">
        <f t="shared" ca="1" si="430"/>
        <v>0.05</v>
      </c>
      <c r="BE712" s="180">
        <f t="shared" ca="1" si="431"/>
        <v>0.05</v>
      </c>
      <c r="BF712" s="286">
        <f t="shared" ca="1" si="432"/>
        <v>0</v>
      </c>
      <c r="BG712" s="286">
        <f t="shared" ca="1" si="433"/>
        <v>0</v>
      </c>
    </row>
    <row r="713" spans="1:59">
      <c r="A713" s="1">
        <f t="shared" ca="1" si="413"/>
        <v>60</v>
      </c>
      <c r="B713" s="1">
        <f t="shared" ca="1" si="406"/>
        <v>165</v>
      </c>
      <c r="C713" s="1">
        <f t="shared" ca="1" si="407"/>
        <v>7</v>
      </c>
      <c r="D713" s="1">
        <f ca="1">MIN($D$3,VLOOKUP(C713,OP!$S$30:$T$41,2))</f>
        <v>2</v>
      </c>
      <c r="E713" s="1" t="str">
        <f t="shared" ca="1" si="408"/>
        <v/>
      </c>
      <c r="F713" s="11" t="str">
        <f t="shared" ca="1" si="414"/>
        <v/>
      </c>
      <c r="G713" s="8">
        <f t="shared" ref="G713:G723" ca="1" si="436">G712</f>
        <v>365</v>
      </c>
      <c r="H713" s="8">
        <f t="shared" ca="1" si="415"/>
        <v>31</v>
      </c>
      <c r="I713" s="8" t="str">
        <f t="shared" ca="1" si="412"/>
        <v>607</v>
      </c>
      <c r="J713" s="13">
        <f>IF(繳費報酬率資料!$A$1=1,VALUE(OP!$C$121),VLOOKUP(A713,MP,2,0))</f>
        <v>0.05</v>
      </c>
      <c r="K713" s="14">
        <f ca="1">IF(SUM($K$4:K712,IF(繳費報酬率資料!$A$1=1,$AU713+$AV713,$BB713+$BC713))&gt;OP!$L$58,0,IF(繳費報酬率資料!$A$1=1,$AU713+$AV713,$BB713+$BC713))</f>
        <v>0</v>
      </c>
      <c r="L713" s="2"/>
      <c r="M713" s="2"/>
      <c r="N713" s="2"/>
      <c r="O713" s="261">
        <f t="shared" ca="1" si="416"/>
        <v>0</v>
      </c>
      <c r="P713" s="261">
        <f t="shared" ca="1" si="434"/>
        <v>0</v>
      </c>
      <c r="Q713" s="3">
        <f ca="1">IF(A713&gt;MAX(OP!$R$17:$R$26),0,VLOOKUP(A713,fees,3,FALSE))</f>
        <v>0</v>
      </c>
      <c r="R713" s="200" t="str">
        <f t="shared" ca="1" si="417"/>
        <v/>
      </c>
      <c r="S713" s="9" t="str">
        <f ca="1">IF(COUNTIF(($T$4:T712),"F")&gt;=1,"",IF(OR(C714&lt;&gt;$C$3,E713=""),"",A713))</f>
        <v/>
      </c>
      <c r="T713" s="20" t="str">
        <f t="shared" ca="1" si="409"/>
        <v/>
      </c>
      <c r="U713" s="2">
        <f ca="1">IF(IF(OP!$C$83=1,$Z712,IF(OP!$C$83=2,$AA712,IF(OP!$C$83=3,$AB712,)))+$K713-$O713-$P713-$AS713&lt;OP!$C$142,0,$AS713)</f>
        <v>0</v>
      </c>
      <c r="V713" s="9"/>
      <c r="W713" s="19">
        <f ca="1">MAX(SUM($K$4:K713),0)</f>
        <v>2000000</v>
      </c>
      <c r="X713" s="19"/>
      <c r="Y713" s="19">
        <f t="shared" ca="1" si="435"/>
        <v>1920000</v>
      </c>
      <c r="Z713" s="2">
        <f ca="1">IF(MIN($Z$4:Z712)=0,0,MAX(0,($Z712+$K713-$O713-$P713)*IF(AND(F713="F",$D$3&lt;&gt;$G$3),((1+(-J713))^(H713/MIN(G713,365))),((1+(-J713))^(1/12)))-$U713))</f>
        <v>92316.899115473396</v>
      </c>
      <c r="AA713" s="2">
        <f ca="1">IF(MIN($AA$4:AA712)=0,0,MAX(0,($AA712+$K713-$O713-$P713)*IF(AND(F713="F",$D$3&lt;&gt;$G$3),((1+$AA$1)^(H713/MIN(G713,365))),((1+$AA$1)^(1/12)))-$U713))</f>
        <v>1920000</v>
      </c>
      <c r="AB713" s="2">
        <f ca="1">IF(MIN($AB$4:AB712)=0,0,MAX(0,($AB712+$K713-$O713-$P713)*IF(AND(F713="F",$D$3&lt;&gt;$G$3),((1+(J713))^(H713/MIN(G713,365))),((1+(J713))^(1/12)))-$U713))</f>
        <v>34435105.958992384</v>
      </c>
      <c r="AC713" s="5"/>
      <c r="AD713" s="5"/>
      <c r="AE713" s="5"/>
      <c r="AF713" s="282">
        <f t="shared" ca="1" si="418"/>
        <v>92317</v>
      </c>
      <c r="AG713" s="282">
        <f t="shared" ca="1" si="419"/>
        <v>1920000</v>
      </c>
      <c r="AH713" s="282">
        <f t="shared" ca="1" si="420"/>
        <v>34435106</v>
      </c>
      <c r="AI713" s="23" t="str">
        <f t="shared" ca="1" si="401"/>
        <v>60-3</v>
      </c>
      <c r="AJ713" s="282">
        <f ca="1">IF(E713&gt;111,,IF(AND(OP!$C$99=1,T713="F"),Z713,IF(AND(OP!$C$99=2,COUNTIF($T$4:T713,"F")=1),OP!$C$97+IF(F713="F",OP!$C$98,0),"")))</f>
        <v>0</v>
      </c>
      <c r="AK713" s="282">
        <f ca="1">IF(E713&gt;111,,IF(AND(OP!$D$99=1,T713="F"),AA713,IF(AND(OP!$D$99=2,COUNTIF($T$4:T713,"F")=1),OP!$D$97+IF(F713="F",OP!$D$98,0),"")))</f>
        <v>0</v>
      </c>
      <c r="AL713" s="282">
        <f ca="1">IF(E713&gt;111,,IF(AND(OP!$E$99=1,T713="F"),AB713,IF(AND(OP!$E$99=2,COUNTIF($T$4:T713,"F")=1),OP!$E$97+IF(F713="F",OP!$E$98,0),"")))</f>
        <v>0</v>
      </c>
      <c r="AM713" s="1">
        <f t="shared" ca="1" si="410"/>
        <v>3</v>
      </c>
      <c r="AN713" s="1" t="e">
        <f ca="1">IF(OR(VLOOKUP($A713,MP,5,0)="月繳"),1,"")</f>
        <v>#N/A</v>
      </c>
      <c r="AO713" s="1">
        <f t="shared" ca="1" si="421"/>
        <v>0</v>
      </c>
      <c r="AP713" s="1" t="str">
        <f ca="1">IF(AND(A713&lt;=OP!$C$120,COUNTIF(PAY,C713)=1),1,"")</f>
        <v/>
      </c>
      <c r="AR713" s="301">
        <f ca="1">IF(繳費報酬率資料!$A$1=1,$AY713+$AZ713,$BF713+$BG713)</f>
        <v>0</v>
      </c>
      <c r="AS713" s="1">
        <f ca="1">IF(C713&lt;&gt;IF($C$3=1,12,$C$3-1),0,IF(繳費報酬率資料!$A$1&lt;&gt;1,VLOOKUP($A713,MP,8,0),IF(AND($A713&gt;=OP!$C$79,$A713&lt;=OP!$C$80),OP!$C$78,)))</f>
        <v>0</v>
      </c>
      <c r="AT713" s="298">
        <f t="shared" ca="1" si="422"/>
        <v>0</v>
      </c>
      <c r="AU713" s="298">
        <f ca="1">IF(AND(A713&lt;=OP!$C$120,COUNTIF(PAY,C713)=1),OP!$C$123,0)</f>
        <v>0</v>
      </c>
      <c r="AV713" s="298">
        <f ca="1">IF(AND(A713&gt;=OP!$C$132,A713&lt;=OP!$C$133,$C$3=C713),OP!$C$135,0)</f>
        <v>0</v>
      </c>
      <c r="AW713" s="180">
        <f t="shared" ca="1" si="423"/>
        <v>0.05</v>
      </c>
      <c r="AX713" s="180">
        <f t="shared" ca="1" si="424"/>
        <v>0.05</v>
      </c>
      <c r="AY713" s="286">
        <f t="shared" ca="1" si="425"/>
        <v>0</v>
      </c>
      <c r="AZ713" s="286">
        <f t="shared" ca="1" si="426"/>
        <v>0</v>
      </c>
      <c r="BA713" s="286">
        <f t="shared" ca="1" si="427"/>
        <v>0</v>
      </c>
      <c r="BB713" s="286">
        <f t="shared" ca="1" si="428"/>
        <v>0</v>
      </c>
      <c r="BC713" s="286">
        <f t="shared" ca="1" si="429"/>
        <v>0</v>
      </c>
      <c r="BD713" s="180">
        <f t="shared" ca="1" si="430"/>
        <v>0.05</v>
      </c>
      <c r="BE713" s="180">
        <f t="shared" ca="1" si="431"/>
        <v>0.05</v>
      </c>
      <c r="BF713" s="286">
        <f t="shared" ca="1" si="432"/>
        <v>0</v>
      </c>
      <c r="BG713" s="286">
        <f t="shared" ca="1" si="433"/>
        <v>0</v>
      </c>
    </row>
    <row r="714" spans="1:59">
      <c r="A714" s="1">
        <f t="shared" ca="1" si="413"/>
        <v>60</v>
      </c>
      <c r="B714" s="1">
        <f t="shared" ca="1" si="406"/>
        <v>165</v>
      </c>
      <c r="C714" s="1">
        <f t="shared" ca="1" si="407"/>
        <v>8</v>
      </c>
      <c r="D714" s="1">
        <f ca="1">MIN($D$3,VLOOKUP(C714,OP!$S$30:$T$41,2))</f>
        <v>2</v>
      </c>
      <c r="E714" s="1" t="str">
        <f t="shared" ca="1" si="408"/>
        <v/>
      </c>
      <c r="F714" s="11" t="str">
        <f t="shared" ca="1" si="414"/>
        <v/>
      </c>
      <c r="G714" s="8">
        <f t="shared" ca="1" si="436"/>
        <v>365</v>
      </c>
      <c r="H714" s="8">
        <f t="shared" ca="1" si="415"/>
        <v>31</v>
      </c>
      <c r="I714" s="8" t="str">
        <f t="shared" ca="1" si="412"/>
        <v>608</v>
      </c>
      <c r="J714" s="13">
        <f>IF(繳費報酬率資料!$A$1=1,VALUE(OP!$C$121),VLOOKUP(A714,MP,2,0))</f>
        <v>0.05</v>
      </c>
      <c r="K714" s="14">
        <f ca="1">IF(SUM($K$4:K713,IF(繳費報酬率資料!$A$1=1,$AU714+$AV714,$BB714+$BC714))&gt;OP!$L$58,0,IF(繳費報酬率資料!$A$1=1,$AU714+$AV714,$BB714+$BC714))</f>
        <v>0</v>
      </c>
      <c r="L714" s="2"/>
      <c r="M714" s="2"/>
      <c r="N714" s="2"/>
      <c r="O714" s="261">
        <f t="shared" ca="1" si="416"/>
        <v>0</v>
      </c>
      <c r="P714" s="261">
        <f t="shared" ca="1" si="434"/>
        <v>0</v>
      </c>
      <c r="Q714" s="3">
        <f ca="1">IF(A714&gt;MAX(OP!$R$17:$R$26),0,VLOOKUP(A714,fees,3,FALSE))</f>
        <v>0</v>
      </c>
      <c r="R714" s="200" t="str">
        <f t="shared" ca="1" si="417"/>
        <v/>
      </c>
      <c r="S714" s="9" t="str">
        <f ca="1">IF(COUNTIF(($T$4:T713),"F")&gt;=1,"",IF(OR(C715&lt;&gt;$C$3,E714=""),"",A714))</f>
        <v/>
      </c>
      <c r="T714" s="20" t="str">
        <f t="shared" ca="1" si="409"/>
        <v/>
      </c>
      <c r="U714" s="2">
        <f ca="1">IF(IF(OP!$C$83=1,$Z713,IF(OP!$C$83=2,$AA713,IF(OP!$C$83=3,$AB713,)))+$K714-$O714-$P714-$AS714&lt;OP!$C$142,0,$AS714)</f>
        <v>0</v>
      </c>
      <c r="V714" s="9"/>
      <c r="W714" s="19">
        <f ca="1">MAX(SUM($K$4:K714),0)</f>
        <v>2000000</v>
      </c>
      <c r="X714" s="19"/>
      <c r="Y714" s="19">
        <f t="shared" ca="1" si="435"/>
        <v>1920000</v>
      </c>
      <c r="Z714" s="2">
        <f ca="1">IF(MIN($Z$4:Z713)=0,0,MAX(0,($Z713+$K714-$O714-$P714)*IF(AND(F714="F",$D$3&lt;&gt;$G$3),((1+(-J714))^(H714/MIN(G714,365))),((1+(-J714))^(1/12)))-$U714))</f>
        <v>91923.13811218999</v>
      </c>
      <c r="AA714" s="2">
        <f ca="1">IF(MIN($AA$4:AA713)=0,0,MAX(0,($AA713+$K714-$O714-$P714)*IF(AND(F714="F",$D$3&lt;&gt;$G$3),((1+$AA$1)^(H714/MIN(G714,365))),((1+$AA$1)^(1/12)))-$U714))</f>
        <v>1920000</v>
      </c>
      <c r="AB714" s="2">
        <f ca="1">IF(MIN($AB$4:AB713)=0,0,MAX(0,($AB713+$K714-$O714-$P714)*IF(AND(F714="F",$D$3&lt;&gt;$G$3),((1+(J714))^(H714/MIN(G714,365))),((1+(J714))^(1/12)))-$U714))</f>
        <v>34575398.843172364</v>
      </c>
      <c r="AC714" s="5"/>
      <c r="AD714" s="5"/>
      <c r="AE714" s="5"/>
      <c r="AF714" s="282">
        <f t="shared" ca="1" si="418"/>
        <v>91923</v>
      </c>
      <c r="AG714" s="282">
        <f t="shared" ca="1" si="419"/>
        <v>1920000</v>
      </c>
      <c r="AH714" s="282">
        <f t="shared" ca="1" si="420"/>
        <v>34575399</v>
      </c>
      <c r="AI714" s="23" t="str">
        <f t="shared" ca="1" si="401"/>
        <v>60-4</v>
      </c>
      <c r="AJ714" s="282">
        <f ca="1">IF(E714&gt;111,,IF(AND(OP!$C$99=1,T714="F"),Z714,IF(AND(OP!$C$99=2,COUNTIF($T$4:T714,"F")=1),OP!$C$97+IF(F714="F",OP!$C$98,0),"")))</f>
        <v>0</v>
      </c>
      <c r="AK714" s="282">
        <f ca="1">IF(E714&gt;111,,IF(AND(OP!$D$99=1,T714="F"),AA714,IF(AND(OP!$D$99=2,COUNTIF($T$4:T714,"F")=1),OP!$D$97+IF(F714="F",OP!$D$98,0),"")))</f>
        <v>0</v>
      </c>
      <c r="AL714" s="282">
        <f ca="1">IF(E714&gt;111,,IF(AND(OP!$E$99=1,T714="F"),AB714,IF(AND(OP!$E$99=2,COUNTIF($T$4:T714,"F")=1),OP!$E$97+IF(F714="F",OP!$E$98,0),"")))</f>
        <v>0</v>
      </c>
      <c r="AM714" s="1">
        <f t="shared" ca="1" si="410"/>
        <v>4</v>
      </c>
      <c r="AN714" s="1" t="e">
        <f ca="1">IF(OR(VLOOKUP($A714,MP,5,0)="月繳"),1,"")</f>
        <v>#N/A</v>
      </c>
      <c r="AO714" s="1">
        <f t="shared" ca="1" si="421"/>
        <v>0</v>
      </c>
      <c r="AP714" s="1" t="str">
        <f ca="1">IF(AND(A714&lt;=OP!$C$120,COUNTIF(PAY,C714)=1),1,"")</f>
        <v/>
      </c>
      <c r="AR714" s="301">
        <f ca="1">IF(繳費報酬率資料!$A$1=1,$AY714+$AZ714,$BF714+$BG714)</f>
        <v>0</v>
      </c>
      <c r="AS714" s="1">
        <f ca="1">IF(C714&lt;&gt;IF($C$3=1,12,$C$3-1),0,IF(繳費報酬率資料!$A$1&lt;&gt;1,VLOOKUP($A714,MP,8,0),IF(AND($A714&gt;=OP!$C$79,$A714&lt;=OP!$C$80),OP!$C$78,)))</f>
        <v>0</v>
      </c>
      <c r="AT714" s="298">
        <f t="shared" ca="1" si="422"/>
        <v>0</v>
      </c>
      <c r="AU714" s="298">
        <f ca="1">IF(AND(A714&lt;=OP!$C$120,COUNTIF(PAY,C714)=1),OP!$C$123,0)</f>
        <v>0</v>
      </c>
      <c r="AV714" s="298">
        <f ca="1">IF(AND(A714&gt;=OP!$C$132,A714&lt;=OP!$C$133,$C$3=C714),OP!$C$135,0)</f>
        <v>0</v>
      </c>
      <c r="AW714" s="180">
        <f t="shared" ca="1" si="423"/>
        <v>0.05</v>
      </c>
      <c r="AX714" s="180">
        <f t="shared" ca="1" si="424"/>
        <v>0.05</v>
      </c>
      <c r="AY714" s="286">
        <f t="shared" ca="1" si="425"/>
        <v>0</v>
      </c>
      <c r="AZ714" s="286">
        <f t="shared" ca="1" si="426"/>
        <v>0</v>
      </c>
      <c r="BA714" s="286">
        <f t="shared" ca="1" si="427"/>
        <v>0</v>
      </c>
      <c r="BB714" s="286">
        <f t="shared" ca="1" si="428"/>
        <v>0</v>
      </c>
      <c r="BC714" s="286">
        <f t="shared" ca="1" si="429"/>
        <v>0</v>
      </c>
      <c r="BD714" s="180">
        <f t="shared" ca="1" si="430"/>
        <v>0.05</v>
      </c>
      <c r="BE714" s="180">
        <f t="shared" ca="1" si="431"/>
        <v>0.05</v>
      </c>
      <c r="BF714" s="286">
        <f t="shared" ca="1" si="432"/>
        <v>0</v>
      </c>
      <c r="BG714" s="286">
        <f t="shared" ca="1" si="433"/>
        <v>0</v>
      </c>
    </row>
    <row r="715" spans="1:59">
      <c r="A715" s="1">
        <f t="shared" ca="1" si="413"/>
        <v>60</v>
      </c>
      <c r="B715" s="1">
        <f t="shared" ca="1" si="406"/>
        <v>165</v>
      </c>
      <c r="C715" s="1">
        <f t="shared" ca="1" si="407"/>
        <v>9</v>
      </c>
      <c r="D715" s="1">
        <f ca="1">MIN($D$3,VLOOKUP(C715,OP!$S$30:$T$41,2))</f>
        <v>2</v>
      </c>
      <c r="E715" s="1" t="str">
        <f t="shared" ca="1" si="408"/>
        <v/>
      </c>
      <c r="F715" s="11" t="str">
        <f t="shared" ca="1" si="414"/>
        <v/>
      </c>
      <c r="G715" s="8">
        <f t="shared" ca="1" si="436"/>
        <v>365</v>
      </c>
      <c r="H715" s="8">
        <f t="shared" ca="1" si="415"/>
        <v>30</v>
      </c>
      <c r="I715" s="8" t="str">
        <f t="shared" ca="1" si="412"/>
        <v>609</v>
      </c>
      <c r="J715" s="13">
        <f>IF(繳費報酬率資料!$A$1=1,VALUE(OP!$C$121),VLOOKUP(A715,MP,2,0))</f>
        <v>0.05</v>
      </c>
      <c r="K715" s="14">
        <f ca="1">IF(SUM($K$4:K714,IF(繳費報酬率資料!$A$1=1,$AU715+$AV715,$BB715+$BC715))&gt;OP!$L$58,0,IF(繳費報酬率資料!$A$1=1,$AU715+$AV715,$BB715+$BC715))</f>
        <v>0</v>
      </c>
      <c r="L715" s="2"/>
      <c r="M715" s="2"/>
      <c r="N715" s="2"/>
      <c r="O715" s="261">
        <f t="shared" ca="1" si="416"/>
        <v>0</v>
      </c>
      <c r="P715" s="261">
        <f t="shared" ca="1" si="434"/>
        <v>0</v>
      </c>
      <c r="Q715" s="3">
        <f ca="1">IF(A715&gt;MAX(OP!$R$17:$R$26),0,VLOOKUP(A715,fees,3,FALSE))</f>
        <v>0</v>
      </c>
      <c r="R715" s="200" t="str">
        <f t="shared" ca="1" si="417"/>
        <v/>
      </c>
      <c r="S715" s="9" t="str">
        <f ca="1">IF(COUNTIF(($T$4:T714),"F")&gt;=1,"",IF(OR(C716&lt;&gt;$C$3,E715=""),"",A715))</f>
        <v/>
      </c>
      <c r="T715" s="20" t="str">
        <f t="shared" ca="1" si="409"/>
        <v/>
      </c>
      <c r="U715" s="2">
        <f ca="1">IF(IF(OP!$C$83=1,$Z714,IF(OP!$C$83=2,$AA714,IF(OP!$C$83=3,$AB714,)))+$K715-$O715-$P715-$AS715&lt;OP!$C$142,0,$AS715)</f>
        <v>0</v>
      </c>
      <c r="V715" s="9"/>
      <c r="W715" s="19">
        <f ca="1">MAX(SUM($K$4:K715),0)</f>
        <v>2000000</v>
      </c>
      <c r="X715" s="19"/>
      <c r="Y715" s="19">
        <f t="shared" ca="1" si="435"/>
        <v>1920000</v>
      </c>
      <c r="Z715" s="2">
        <f ca="1">IF(MIN($Z$4:Z714)=0,0,MAX(0,($Z714+$K715-$O715-$P715)*IF(AND(F715="F",$D$3&lt;&gt;$G$3),((1+(-J715))^(H715/MIN(G715,365))),((1+(-J715))^(1/12)))-$U715))</f>
        <v>91531.056625107769</v>
      </c>
      <c r="AA715" s="2">
        <f ca="1">IF(MIN($AA$4:AA714)=0,0,MAX(0,($AA714+$K715-$O715-$P715)*IF(AND(F715="F",$D$3&lt;&gt;$G$3),((1+$AA$1)^(H715/MIN(G715,365))),((1+$AA$1)^(1/12)))-$U715))</f>
        <v>1920000</v>
      </c>
      <c r="AB715" s="2">
        <f ca="1">IF(MIN($AB$4:AB714)=0,0,MAX(0,($AB714+$K715-$O715-$P715)*IF(AND(F715="F",$D$3&lt;&gt;$G$3),((1+(J715))^(H715/MIN(G715,365))),((1+(J715))^(1/12)))-$U715))</f>
        <v>34716263.29792846</v>
      </c>
      <c r="AC715" s="5"/>
      <c r="AD715" s="5"/>
      <c r="AE715" s="5"/>
      <c r="AF715" s="282">
        <f t="shared" ca="1" si="418"/>
        <v>91531</v>
      </c>
      <c r="AG715" s="282">
        <f t="shared" ca="1" si="419"/>
        <v>1920000</v>
      </c>
      <c r="AH715" s="282">
        <f t="shared" ca="1" si="420"/>
        <v>34716263</v>
      </c>
      <c r="AI715" s="23" t="str">
        <f t="shared" ca="1" si="401"/>
        <v>60-5</v>
      </c>
      <c r="AJ715" s="282">
        <f ca="1">IF(E715&gt;111,,IF(AND(OP!$C$99=1,T715="F"),Z715,IF(AND(OP!$C$99=2,COUNTIF($T$4:T715,"F")=1),OP!$C$97+IF(F715="F",OP!$C$98,0),"")))</f>
        <v>0</v>
      </c>
      <c r="AK715" s="282">
        <f ca="1">IF(E715&gt;111,,IF(AND(OP!$D$99=1,T715="F"),AA715,IF(AND(OP!$D$99=2,COUNTIF($T$4:T715,"F")=1),OP!$D$97+IF(F715="F",OP!$D$98,0),"")))</f>
        <v>0</v>
      </c>
      <c r="AL715" s="282">
        <f ca="1">IF(E715&gt;111,,IF(AND(OP!$E$99=1,T715="F"),AB715,IF(AND(OP!$E$99=2,COUNTIF($T$4:T715,"F")=1),OP!$E$97+IF(F715="F",OP!$E$98,0),"")))</f>
        <v>0</v>
      </c>
      <c r="AM715" s="1">
        <f t="shared" ca="1" si="410"/>
        <v>5</v>
      </c>
      <c r="AN715" s="1" t="e">
        <f ca="1">IF(OR(VLOOKUP($A715,MP,5,0)="季繳",VLOOKUP($A715,MP,5,0)="月繳"),1,"")</f>
        <v>#N/A</v>
      </c>
      <c r="AO715" s="1">
        <f t="shared" ca="1" si="421"/>
        <v>0</v>
      </c>
      <c r="AP715" s="1" t="str">
        <f ca="1">IF(AND(A715&lt;=OP!$C$120,COUNTIF(PAY,C715)=1),1,"")</f>
        <v/>
      </c>
      <c r="AR715" s="301">
        <f ca="1">IF(繳費報酬率資料!$A$1=1,$AY715+$AZ715,$BF715+$BG715)</f>
        <v>0</v>
      </c>
      <c r="AS715" s="1">
        <f ca="1">IF(C715&lt;&gt;IF($C$3=1,12,$C$3-1),0,IF(繳費報酬率資料!$A$1&lt;&gt;1,VLOOKUP($A715,MP,8,0),IF(AND($A715&gt;=OP!$C$79,$A715&lt;=OP!$C$80),OP!$C$78,)))</f>
        <v>0</v>
      </c>
      <c r="AT715" s="298">
        <f t="shared" ca="1" si="422"/>
        <v>0</v>
      </c>
      <c r="AU715" s="298">
        <f ca="1">IF(AND(A715&lt;=OP!$C$120,COUNTIF(PAY,C715)=1),OP!$C$123,0)</f>
        <v>0</v>
      </c>
      <c r="AV715" s="298">
        <f ca="1">IF(AND(A715&gt;=OP!$C$132,A715&lt;=OP!$C$133,$C$3=C715),OP!$C$135,0)</f>
        <v>0</v>
      </c>
      <c r="AW715" s="180">
        <f t="shared" ca="1" si="423"/>
        <v>0.05</v>
      </c>
      <c r="AX715" s="180">
        <f t="shared" ca="1" si="424"/>
        <v>0.05</v>
      </c>
      <c r="AY715" s="286">
        <f t="shared" ca="1" si="425"/>
        <v>0</v>
      </c>
      <c r="AZ715" s="286">
        <f t="shared" ca="1" si="426"/>
        <v>0</v>
      </c>
      <c r="BA715" s="286">
        <f t="shared" ca="1" si="427"/>
        <v>0</v>
      </c>
      <c r="BB715" s="286">
        <f t="shared" ca="1" si="428"/>
        <v>0</v>
      </c>
      <c r="BC715" s="286">
        <f t="shared" ca="1" si="429"/>
        <v>0</v>
      </c>
      <c r="BD715" s="180">
        <f t="shared" ca="1" si="430"/>
        <v>0.05</v>
      </c>
      <c r="BE715" s="180">
        <f t="shared" ca="1" si="431"/>
        <v>0.05</v>
      </c>
      <c r="BF715" s="286">
        <f t="shared" ca="1" si="432"/>
        <v>0</v>
      </c>
      <c r="BG715" s="286">
        <f t="shared" ca="1" si="433"/>
        <v>0</v>
      </c>
    </row>
    <row r="716" spans="1:59">
      <c r="A716" s="1">
        <f t="shared" ca="1" si="413"/>
        <v>60</v>
      </c>
      <c r="B716" s="1">
        <f t="shared" ca="1" si="406"/>
        <v>165</v>
      </c>
      <c r="C716" s="1">
        <f t="shared" ca="1" si="407"/>
        <v>10</v>
      </c>
      <c r="D716" s="1">
        <f ca="1">MIN($D$3,VLOOKUP(C716,OP!$S$30:$T$41,2))</f>
        <v>2</v>
      </c>
      <c r="E716" s="1" t="str">
        <f t="shared" ca="1" si="408"/>
        <v/>
      </c>
      <c r="F716" s="11" t="str">
        <f t="shared" ca="1" si="414"/>
        <v/>
      </c>
      <c r="G716" s="8">
        <f t="shared" ca="1" si="436"/>
        <v>365</v>
      </c>
      <c r="H716" s="8">
        <f t="shared" ca="1" si="415"/>
        <v>31</v>
      </c>
      <c r="I716" s="8" t="str">
        <f t="shared" ca="1" si="412"/>
        <v>6010</v>
      </c>
      <c r="J716" s="13">
        <f>IF(繳費報酬率資料!$A$1=1,VALUE(OP!$C$121),VLOOKUP(A716,MP,2,0))</f>
        <v>0.05</v>
      </c>
      <c r="K716" s="14">
        <f ca="1">IF(SUM($K$4:K715,IF(繳費報酬率資料!$A$1=1,$AU716+$AV716,$BB716+$BC716))&gt;OP!$L$58,0,IF(繳費報酬率資料!$A$1=1,$AU716+$AV716,$BB716+$BC716))</f>
        <v>0</v>
      </c>
      <c r="L716" s="2"/>
      <c r="M716" s="2"/>
      <c r="N716" s="2"/>
      <c r="O716" s="261">
        <f t="shared" ca="1" si="416"/>
        <v>0</v>
      </c>
      <c r="P716" s="261">
        <f t="shared" ca="1" si="434"/>
        <v>0</v>
      </c>
      <c r="Q716" s="3">
        <f ca="1">IF(A716&gt;MAX(OP!$R$17:$R$26),0,VLOOKUP(A716,fees,3,FALSE))</f>
        <v>0</v>
      </c>
      <c r="R716" s="200" t="str">
        <f t="shared" ca="1" si="417"/>
        <v/>
      </c>
      <c r="S716" s="9" t="str">
        <f ca="1">IF(COUNTIF(($T$4:T715),"F")&gt;=1,"",IF(OR(C717&lt;&gt;$C$3,E716=""),"",A716))</f>
        <v/>
      </c>
      <c r="T716" s="20" t="str">
        <f t="shared" ca="1" si="409"/>
        <v/>
      </c>
      <c r="U716" s="2">
        <f ca="1">IF(IF(OP!$C$83=1,$Z715,IF(OP!$C$83=2,$AA715,IF(OP!$C$83=3,$AB715,)))+$K716-$O716-$P716-$AS716&lt;OP!$C$142,0,$AS716)</f>
        <v>0</v>
      </c>
      <c r="V716" s="9"/>
      <c r="W716" s="19">
        <f ca="1">MAX(SUM($K$4:K716),0)</f>
        <v>2000000</v>
      </c>
      <c r="X716" s="19"/>
      <c r="Y716" s="19">
        <f t="shared" ca="1" si="435"/>
        <v>1920000</v>
      </c>
      <c r="Z716" s="2">
        <f ca="1">IF(MIN($Z$4:Z715)=0,0,MAX(0,($Z715+$K716-$O716-$P716)*IF(AND(F716="F",$D$3&lt;&gt;$G$3),((1+(-J716))^(H716/MIN(G716,365))),((1+(-J716))^(1/12)))-$U716))</f>
        <v>91140.647490554737</v>
      </c>
      <c r="AA716" s="2">
        <f ca="1">IF(MIN($AA$4:AA715)=0,0,MAX(0,($AA715+$K716-$O716-$P716)*IF(AND(F716="F",$D$3&lt;&gt;$G$3),((1+$AA$1)^(H716/MIN(G716,365))),((1+$AA$1)^(1/12)))-$U716))</f>
        <v>1920000</v>
      </c>
      <c r="AB716" s="2">
        <f ca="1">IF(MIN($AB$4:AB715)=0,0,MAX(0,($AB715+$K716-$O716-$P716)*IF(AND(F716="F",$D$3&lt;&gt;$G$3),((1+(J716))^(H716/MIN(G716,365))),((1+(J716))^(1/12)))-$U716))</f>
        <v>34857701.651909947</v>
      </c>
      <c r="AC716" s="5"/>
      <c r="AD716" s="5"/>
      <c r="AE716" s="5"/>
      <c r="AF716" s="282">
        <f t="shared" ca="1" si="418"/>
        <v>91141</v>
      </c>
      <c r="AG716" s="282">
        <f t="shared" ca="1" si="419"/>
        <v>1920000</v>
      </c>
      <c r="AH716" s="282">
        <f t="shared" ca="1" si="420"/>
        <v>34857702</v>
      </c>
      <c r="AI716" s="23" t="str">
        <f t="shared" ref="AI716:AI779" ca="1" si="437">IF($G$3=D717,A717,A716)&amp;"-"&amp;AM716</f>
        <v>60-6</v>
      </c>
      <c r="AJ716" s="282">
        <f ca="1">IF(E716&gt;111,,IF(AND(OP!$C$99=1,T716="F"),Z716,IF(AND(OP!$C$99=2,COUNTIF($T$4:T716,"F")=1),OP!$C$97+IF(F716="F",OP!$C$98,0),"")))</f>
        <v>0</v>
      </c>
      <c r="AK716" s="282">
        <f ca="1">IF(E716&gt;111,,IF(AND(OP!$D$99=1,T716="F"),AA716,IF(AND(OP!$D$99=2,COUNTIF($T$4:T716,"F")=1),OP!$D$97+IF(F716="F",OP!$D$98,0),"")))</f>
        <v>0</v>
      </c>
      <c r="AL716" s="282">
        <f ca="1">IF(E716&gt;111,,IF(AND(OP!$E$99=1,T716="F"),AB716,IF(AND(OP!$E$99=2,COUNTIF($T$4:T716,"F")=1),OP!$E$97+IF(F716="F",OP!$E$98,0),"")))</f>
        <v>0</v>
      </c>
      <c r="AM716" s="1">
        <f t="shared" ca="1" si="410"/>
        <v>6</v>
      </c>
      <c r="AN716" s="1" t="e">
        <f ca="1">IF(OR(VLOOKUP($A716,MP,5,0)="月繳"),1,"")</f>
        <v>#N/A</v>
      </c>
      <c r="AO716" s="1">
        <f t="shared" ca="1" si="421"/>
        <v>0</v>
      </c>
      <c r="AP716" s="1" t="str">
        <f ca="1">IF(AND(A716&lt;=OP!$C$120,COUNTIF(PAY,C716)=1),1,"")</f>
        <v/>
      </c>
      <c r="AR716" s="301">
        <f ca="1">IF(繳費報酬率資料!$A$1=1,$AY716+$AZ716,$BF716+$BG716)</f>
        <v>0</v>
      </c>
      <c r="AS716" s="1">
        <f ca="1">IF(C716&lt;&gt;IF($C$3=1,12,$C$3-1),0,IF(繳費報酬率資料!$A$1&lt;&gt;1,VLOOKUP($A716,MP,8,0),IF(AND($A716&gt;=OP!$C$79,$A716&lt;=OP!$C$80),OP!$C$78,)))</f>
        <v>0</v>
      </c>
      <c r="AT716" s="298">
        <f t="shared" ca="1" si="422"/>
        <v>0</v>
      </c>
      <c r="AU716" s="298">
        <f ca="1">IF(AND(A716&lt;=OP!$C$120,COUNTIF(PAY,C716)=1),OP!$C$123,0)</f>
        <v>0</v>
      </c>
      <c r="AV716" s="298">
        <f ca="1">IF(AND(A716&gt;=OP!$C$132,A716&lt;=OP!$C$133,$C$3=C716),OP!$C$135,0)</f>
        <v>0</v>
      </c>
      <c r="AW716" s="180">
        <f t="shared" ca="1" si="423"/>
        <v>0.05</v>
      </c>
      <c r="AX716" s="180">
        <f t="shared" ca="1" si="424"/>
        <v>0.05</v>
      </c>
      <c r="AY716" s="286">
        <f t="shared" ca="1" si="425"/>
        <v>0</v>
      </c>
      <c r="AZ716" s="286">
        <f t="shared" ca="1" si="426"/>
        <v>0</v>
      </c>
      <c r="BA716" s="286">
        <f t="shared" ca="1" si="427"/>
        <v>0</v>
      </c>
      <c r="BB716" s="286">
        <f t="shared" ca="1" si="428"/>
        <v>0</v>
      </c>
      <c r="BC716" s="286">
        <f t="shared" ca="1" si="429"/>
        <v>0</v>
      </c>
      <c r="BD716" s="180">
        <f t="shared" ca="1" si="430"/>
        <v>0.05</v>
      </c>
      <c r="BE716" s="180">
        <f t="shared" ca="1" si="431"/>
        <v>0.05</v>
      </c>
      <c r="BF716" s="286">
        <f t="shared" ca="1" si="432"/>
        <v>0</v>
      </c>
      <c r="BG716" s="286">
        <f t="shared" ca="1" si="433"/>
        <v>0</v>
      </c>
    </row>
    <row r="717" spans="1:59">
      <c r="A717" s="1">
        <f t="shared" ca="1" si="413"/>
        <v>60</v>
      </c>
      <c r="B717" s="1">
        <f t="shared" ca="1" si="406"/>
        <v>165</v>
      </c>
      <c r="C717" s="1">
        <f t="shared" ca="1" si="407"/>
        <v>11</v>
      </c>
      <c r="D717" s="1">
        <f ca="1">MIN($D$3,VLOOKUP(C717,OP!$S$30:$T$41,2))</f>
        <v>2</v>
      </c>
      <c r="E717" s="1" t="str">
        <f t="shared" ca="1" si="408"/>
        <v/>
      </c>
      <c r="F717" s="11" t="str">
        <f t="shared" ca="1" si="414"/>
        <v/>
      </c>
      <c r="G717" s="8">
        <f t="shared" ca="1" si="436"/>
        <v>365</v>
      </c>
      <c r="H717" s="8">
        <f t="shared" ca="1" si="415"/>
        <v>30</v>
      </c>
      <c r="I717" s="8" t="str">
        <f t="shared" ca="1" si="412"/>
        <v>6011</v>
      </c>
      <c r="J717" s="13">
        <f>IF(繳費報酬率資料!$A$1=1,VALUE(OP!$C$121),VLOOKUP(A717,MP,2,0))</f>
        <v>0.05</v>
      </c>
      <c r="K717" s="14">
        <f ca="1">IF(SUM($K$4:K716,IF(繳費報酬率資料!$A$1=1,$AU717+$AV717,$BB717+$BC717))&gt;OP!$L$58,0,IF(繳費報酬率資料!$A$1=1,$AU717+$AV717,$BB717+$BC717))</f>
        <v>0</v>
      </c>
      <c r="L717" s="2"/>
      <c r="M717" s="2"/>
      <c r="N717" s="2"/>
      <c r="O717" s="261">
        <f t="shared" ca="1" si="416"/>
        <v>0</v>
      </c>
      <c r="P717" s="261">
        <f t="shared" ca="1" si="434"/>
        <v>0</v>
      </c>
      <c r="Q717" s="3">
        <f ca="1">IF(A717&gt;MAX(OP!$R$17:$R$26),0,VLOOKUP(A717,fees,3,FALSE))</f>
        <v>0</v>
      </c>
      <c r="R717" s="200" t="str">
        <f t="shared" ca="1" si="417"/>
        <v/>
      </c>
      <c r="S717" s="9" t="str">
        <f ca="1">IF(COUNTIF(($T$4:T716),"F")&gt;=1,"",IF(OR(C718&lt;&gt;$C$3,E717=""),"",A717))</f>
        <v/>
      </c>
      <c r="T717" s="20" t="str">
        <f t="shared" ca="1" si="409"/>
        <v/>
      </c>
      <c r="U717" s="2">
        <f ca="1">IF(IF(OP!$C$83=1,$Z716,IF(OP!$C$83=2,$AA716,IF(OP!$C$83=3,$AB716,)))+$K717-$O717-$P717-$AS717&lt;OP!$C$142,0,$AS717)</f>
        <v>0</v>
      </c>
      <c r="V717" s="9"/>
      <c r="W717" s="19">
        <f ca="1">MAX(SUM($K$4:K717),0)</f>
        <v>2000000</v>
      </c>
      <c r="X717" s="19"/>
      <c r="Y717" s="19">
        <f t="shared" ca="1" si="435"/>
        <v>1920000</v>
      </c>
      <c r="Z717" s="2">
        <f ca="1">IF(MIN($Z$4:Z716)=0,0,MAX(0,($Z716+$K717-$O717-$P717)*IF(AND(F717="F",$D$3&lt;&gt;$G$3),((1+(-J717))^(H717/MIN(G717,365))),((1+(-J717))^(1/12)))-$U717))</f>
        <v>90751.903575414239</v>
      </c>
      <c r="AA717" s="2">
        <f ca="1">IF(MIN($AA$4:AA716)=0,0,MAX(0,($AA716+$K717-$O717-$P717)*IF(AND(F717="F",$D$3&lt;&gt;$G$3),((1+$AA$1)^(H717/MIN(G717,365))),((1+$AA$1)^(1/12)))-$U717))</f>
        <v>1920000</v>
      </c>
      <c r="AB717" s="2">
        <f ca="1">IF(MIN($AB$4:AB716)=0,0,MAX(0,($AB716+$K717-$O717-$P717)*IF(AND(F717="F",$D$3&lt;&gt;$G$3),((1+(J717))^(H717/MIN(G717,365))),((1+(J717))^(1/12)))-$U717))</f>
        <v>34999716.243253313</v>
      </c>
      <c r="AC717" s="5"/>
      <c r="AD717" s="5"/>
      <c r="AE717" s="5"/>
      <c r="AF717" s="282">
        <f t="shared" ca="1" si="418"/>
        <v>90752</v>
      </c>
      <c r="AG717" s="282">
        <f t="shared" ca="1" si="419"/>
        <v>1920000</v>
      </c>
      <c r="AH717" s="282">
        <f t="shared" ca="1" si="420"/>
        <v>34999716</v>
      </c>
      <c r="AI717" s="23" t="str">
        <f t="shared" ca="1" si="437"/>
        <v>60-7</v>
      </c>
      <c r="AJ717" s="282">
        <f ca="1">IF(E717&gt;111,,IF(AND(OP!$C$99=1,T717="F"),Z717,IF(AND(OP!$C$99=2,COUNTIF($T$4:T717,"F")=1),OP!$C$97+IF(F717="F",OP!$C$98,0),"")))</f>
        <v>0</v>
      </c>
      <c r="AK717" s="282">
        <f ca="1">IF(E717&gt;111,,IF(AND(OP!$D$99=1,T717="F"),AA717,IF(AND(OP!$D$99=2,COUNTIF($T$4:T717,"F")=1),OP!$D$97+IF(F717="F",OP!$D$98,0),"")))</f>
        <v>0</v>
      </c>
      <c r="AL717" s="282">
        <f ca="1">IF(E717&gt;111,,IF(AND(OP!$E$99=1,T717="F"),AB717,IF(AND(OP!$E$99=2,COUNTIF($T$4:T717,"F")=1),OP!$E$97+IF(F717="F",OP!$E$98,0),"")))</f>
        <v>0</v>
      </c>
      <c r="AM717" s="1">
        <f t="shared" ca="1" si="410"/>
        <v>7</v>
      </c>
      <c r="AN717" s="1" t="e">
        <f ca="1">IF(OR(VLOOKUP($A717,MP,5,0)="月繳"),1,"")</f>
        <v>#N/A</v>
      </c>
      <c r="AO717" s="1">
        <f t="shared" ca="1" si="421"/>
        <v>0</v>
      </c>
      <c r="AP717" s="1" t="str">
        <f ca="1">IF(AND(A717&lt;=OP!$C$120,COUNTIF(PAY,C717)=1),1,"")</f>
        <v/>
      </c>
      <c r="AR717" s="301">
        <f ca="1">IF(繳費報酬率資料!$A$1=1,$AY717+$AZ717,$BF717+$BG717)</f>
        <v>0</v>
      </c>
      <c r="AS717" s="1">
        <f ca="1">IF(C717&lt;&gt;IF($C$3=1,12,$C$3-1),0,IF(繳費報酬率資料!$A$1&lt;&gt;1,VLOOKUP($A717,MP,8,0),IF(AND($A717&gt;=OP!$C$79,$A717&lt;=OP!$C$80),OP!$C$78,)))</f>
        <v>0</v>
      </c>
      <c r="AT717" s="298">
        <f t="shared" ca="1" si="422"/>
        <v>0</v>
      </c>
      <c r="AU717" s="298">
        <f ca="1">IF(AND(A717&lt;=OP!$C$120,COUNTIF(PAY,C717)=1),OP!$C$123,0)</f>
        <v>0</v>
      </c>
      <c r="AV717" s="298">
        <f ca="1">IF(AND(A717&gt;=OP!$C$132,A717&lt;=OP!$C$133,$C$3=C717),OP!$C$135,0)</f>
        <v>0</v>
      </c>
      <c r="AW717" s="180">
        <f t="shared" ca="1" si="423"/>
        <v>0.05</v>
      </c>
      <c r="AX717" s="180">
        <f t="shared" ca="1" si="424"/>
        <v>0.05</v>
      </c>
      <c r="AY717" s="286">
        <f t="shared" ca="1" si="425"/>
        <v>0</v>
      </c>
      <c r="AZ717" s="286">
        <f t="shared" ca="1" si="426"/>
        <v>0</v>
      </c>
      <c r="BA717" s="286">
        <f t="shared" ca="1" si="427"/>
        <v>0</v>
      </c>
      <c r="BB717" s="286">
        <f t="shared" ca="1" si="428"/>
        <v>0</v>
      </c>
      <c r="BC717" s="286">
        <f t="shared" ca="1" si="429"/>
        <v>0</v>
      </c>
      <c r="BD717" s="180">
        <f t="shared" ca="1" si="430"/>
        <v>0.05</v>
      </c>
      <c r="BE717" s="180">
        <f t="shared" ca="1" si="431"/>
        <v>0.05</v>
      </c>
      <c r="BF717" s="286">
        <f t="shared" ca="1" si="432"/>
        <v>0</v>
      </c>
      <c r="BG717" s="286">
        <f t="shared" ca="1" si="433"/>
        <v>0</v>
      </c>
    </row>
    <row r="718" spans="1:59">
      <c r="A718" s="1">
        <f t="shared" ca="1" si="413"/>
        <v>60</v>
      </c>
      <c r="B718" s="1">
        <f t="shared" ca="1" si="406"/>
        <v>165</v>
      </c>
      <c r="C718" s="1">
        <f t="shared" ca="1" si="407"/>
        <v>12</v>
      </c>
      <c r="D718" s="1">
        <f ca="1">MIN($D$3,VLOOKUP(C718,OP!$S$30:$T$41,2))</f>
        <v>2</v>
      </c>
      <c r="E718" s="1" t="str">
        <f t="shared" ca="1" si="408"/>
        <v/>
      </c>
      <c r="F718" s="11" t="str">
        <f t="shared" ca="1" si="414"/>
        <v/>
      </c>
      <c r="G718" s="8">
        <f t="shared" ca="1" si="436"/>
        <v>365</v>
      </c>
      <c r="H718" s="8">
        <f t="shared" ca="1" si="415"/>
        <v>31</v>
      </c>
      <c r="I718" s="8" t="str">
        <f t="shared" ca="1" si="412"/>
        <v>6012</v>
      </c>
      <c r="J718" s="13">
        <f>IF(繳費報酬率資料!$A$1=1,VALUE(OP!$C$121),VLOOKUP(A718,MP,2,0))</f>
        <v>0.05</v>
      </c>
      <c r="K718" s="14">
        <f ca="1">IF(SUM($K$4:K717,IF(繳費報酬率資料!$A$1=1,$AU718+$AV718,$BB718+$BC718))&gt;OP!$L$58,0,IF(繳費報酬率資料!$A$1=1,$AU718+$AV718,$BB718+$BC718))</f>
        <v>0</v>
      </c>
      <c r="L718" s="2"/>
      <c r="M718" s="2"/>
      <c r="N718" s="2"/>
      <c r="O718" s="261">
        <f t="shared" ca="1" si="416"/>
        <v>0</v>
      </c>
      <c r="P718" s="261">
        <f t="shared" ca="1" si="434"/>
        <v>0</v>
      </c>
      <c r="Q718" s="3">
        <f ca="1">IF(A718&gt;MAX(OP!$R$17:$R$26),0,VLOOKUP(A718,fees,3,FALSE))</f>
        <v>0</v>
      </c>
      <c r="R718" s="200" t="str">
        <f t="shared" ca="1" si="417"/>
        <v/>
      </c>
      <c r="S718" s="9" t="str">
        <f ca="1">IF(COUNTIF(($T$4:T717),"F")&gt;=1,"",IF(OR(C719&lt;&gt;$C$3,E718=""),"",A718))</f>
        <v/>
      </c>
      <c r="T718" s="20" t="str">
        <f t="shared" ca="1" si="409"/>
        <v/>
      </c>
      <c r="U718" s="2">
        <f ca="1">IF(IF(OP!$C$83=1,$Z717,IF(OP!$C$83=2,$AA717,IF(OP!$C$83=3,$AB717,)))+$K718-$O718-$P718-$AS718&lt;OP!$C$142,0,$AS718)</f>
        <v>0</v>
      </c>
      <c r="V718" s="9"/>
      <c r="W718" s="19">
        <f ca="1">MAX(SUM($K$4:K718),0)</f>
        <v>2000000</v>
      </c>
      <c r="X718" s="19"/>
      <c r="Y718" s="19">
        <f t="shared" ca="1" si="435"/>
        <v>1920000</v>
      </c>
      <c r="Z718" s="2">
        <f ca="1">IF(MIN($Z$4:Z717)=0,0,MAX(0,($Z717+$K718-$O718-$P718)*IF(AND(F718="F",$D$3&lt;&gt;$G$3),((1+(-J718))^(H718/MIN(G718,365))),((1+(-J718))^(1/12)))-$U718))</f>
        <v>90364.817776994649</v>
      </c>
      <c r="AA718" s="2">
        <f ca="1">IF(MIN($AA$4:AA717)=0,0,MAX(0,($AA717+$K718-$O718-$P718)*IF(AND(F718="F",$D$3&lt;&gt;$G$3),((1+$AA$1)^(H718/MIN(G718,365))),((1+$AA$1)^(1/12)))-$U718))</f>
        <v>1920000</v>
      </c>
      <c r="AB718" s="2">
        <f ca="1">IF(MIN($AB$4:AB717)=0,0,MAX(0,($AB717+$K718-$O718-$P718)*IF(AND(F718="F",$D$3&lt;&gt;$G$3),((1+(J718))^(H718/MIN(G718,365))),((1+(J718))^(1/12)))-$U718))</f>
        <v>35142309.419620894</v>
      </c>
      <c r="AC718" s="5"/>
      <c r="AD718" s="5"/>
      <c r="AE718" s="5"/>
      <c r="AF718" s="282">
        <f t="shared" ca="1" si="418"/>
        <v>90365</v>
      </c>
      <c r="AG718" s="282">
        <f t="shared" ca="1" si="419"/>
        <v>1920000</v>
      </c>
      <c r="AH718" s="282">
        <f t="shared" ca="1" si="420"/>
        <v>35142309</v>
      </c>
      <c r="AI718" s="23" t="str">
        <f t="shared" ca="1" si="437"/>
        <v>60-8</v>
      </c>
      <c r="AJ718" s="282">
        <f ca="1">IF(E718&gt;111,,IF(AND(OP!$C$99=1,T718="F"),Z718,IF(AND(OP!$C$99=2,COUNTIF($T$4:T718,"F")=1),OP!$C$97+IF(F718="F",OP!$C$98,0),"")))</f>
        <v>0</v>
      </c>
      <c r="AK718" s="282">
        <f ca="1">IF(E718&gt;111,,IF(AND(OP!$D$99=1,T718="F"),AA718,IF(AND(OP!$D$99=2,COUNTIF($T$4:T718,"F")=1),OP!$D$97+IF(F718="F",OP!$D$98,0),"")))</f>
        <v>0</v>
      </c>
      <c r="AL718" s="282">
        <f ca="1">IF(E718&gt;111,,IF(AND(OP!$E$99=1,T718="F"),AB718,IF(AND(OP!$E$99=2,COUNTIF($T$4:T718,"F")=1),OP!$E$97+IF(F718="F",OP!$E$98,0),"")))</f>
        <v>0</v>
      </c>
      <c r="AM718" s="1">
        <f t="shared" ca="1" si="410"/>
        <v>8</v>
      </c>
      <c r="AN718" s="1" t="e">
        <f ca="1">IF(OR(VLOOKUP($A718,MP,5,0)="半年繳",VLOOKUP($A718,MP,5,0)="季繳",VLOOKUP($A718,MP,5,0)="月繳"),1,"")</f>
        <v>#N/A</v>
      </c>
      <c r="AO718" s="1">
        <f t="shared" ca="1" si="421"/>
        <v>0</v>
      </c>
      <c r="AP718" s="1" t="str">
        <f ca="1">IF(AND(A718&lt;=OP!$C$120,COUNTIF(PAY,C718)=1),1,"")</f>
        <v/>
      </c>
      <c r="AR718" s="301">
        <f ca="1">IF(繳費報酬率資料!$A$1=1,$AY718+$AZ718,$BF718+$BG718)</f>
        <v>0</v>
      </c>
      <c r="AS718" s="1">
        <f ca="1">IF(C718&lt;&gt;IF($C$3=1,12,$C$3-1),0,IF(繳費報酬率資料!$A$1&lt;&gt;1,VLOOKUP($A718,MP,8,0),IF(AND($A718&gt;=OP!$C$79,$A718&lt;=OP!$C$80),OP!$C$78,)))</f>
        <v>0</v>
      </c>
      <c r="AT718" s="298">
        <f t="shared" ca="1" si="422"/>
        <v>0</v>
      </c>
      <c r="AU718" s="298">
        <f ca="1">IF(AND(A718&lt;=OP!$C$120,COUNTIF(PAY,C718)=1),OP!$C$123,0)</f>
        <v>0</v>
      </c>
      <c r="AV718" s="298">
        <f ca="1">IF(AND(A718&gt;=OP!$C$132,A718&lt;=OP!$C$133,$C$3=C718),OP!$C$135,0)</f>
        <v>0</v>
      </c>
      <c r="AW718" s="180">
        <f t="shared" ca="1" si="423"/>
        <v>0.05</v>
      </c>
      <c r="AX718" s="180">
        <f t="shared" ca="1" si="424"/>
        <v>0.05</v>
      </c>
      <c r="AY718" s="286">
        <f t="shared" ca="1" si="425"/>
        <v>0</v>
      </c>
      <c r="AZ718" s="286">
        <f t="shared" ca="1" si="426"/>
        <v>0</v>
      </c>
      <c r="BA718" s="286">
        <f t="shared" ca="1" si="427"/>
        <v>0</v>
      </c>
      <c r="BB718" s="286">
        <f t="shared" ca="1" si="428"/>
        <v>0</v>
      </c>
      <c r="BC718" s="286">
        <f t="shared" ca="1" si="429"/>
        <v>0</v>
      </c>
      <c r="BD718" s="180">
        <f t="shared" ca="1" si="430"/>
        <v>0.05</v>
      </c>
      <c r="BE718" s="180">
        <f t="shared" ca="1" si="431"/>
        <v>0.05</v>
      </c>
      <c r="BF718" s="286">
        <f t="shared" ca="1" si="432"/>
        <v>0</v>
      </c>
      <c r="BG718" s="286">
        <f t="shared" ca="1" si="433"/>
        <v>0</v>
      </c>
    </row>
    <row r="719" spans="1:59">
      <c r="A719" s="1">
        <f t="shared" ca="1" si="413"/>
        <v>60</v>
      </c>
      <c r="B719" s="1">
        <f t="shared" ca="1" si="406"/>
        <v>166</v>
      </c>
      <c r="C719" s="1">
        <f t="shared" ca="1" si="407"/>
        <v>1</v>
      </c>
      <c r="D719" s="1">
        <f ca="1">MIN($D$3,VLOOKUP(C719,OP!$S$30:$T$41,2))</f>
        <v>2</v>
      </c>
      <c r="E719" s="1" t="str">
        <f t="shared" ca="1" si="408"/>
        <v/>
      </c>
      <c r="F719" s="11" t="str">
        <f t="shared" ca="1" si="414"/>
        <v/>
      </c>
      <c r="G719" s="8">
        <f t="shared" ca="1" si="436"/>
        <v>365</v>
      </c>
      <c r="H719" s="8">
        <f t="shared" ca="1" si="415"/>
        <v>31</v>
      </c>
      <c r="I719" s="8" t="str">
        <f t="shared" ca="1" si="412"/>
        <v>601</v>
      </c>
      <c r="J719" s="13">
        <f>IF(繳費報酬率資料!$A$1=1,VALUE(OP!$C$121),VLOOKUP(A719,MP,2,0))</f>
        <v>0.05</v>
      </c>
      <c r="K719" s="14">
        <f ca="1">IF(SUM($K$4:K718,IF(繳費報酬率資料!$A$1=1,$AU719+$AV719,$BB719+$BC719))&gt;OP!$L$58,0,IF(繳費報酬率資料!$A$1=1,$AU719+$AV719,$BB719+$BC719))</f>
        <v>0</v>
      </c>
      <c r="L719" s="2"/>
      <c r="M719" s="2"/>
      <c r="N719" s="2"/>
      <c r="O719" s="261">
        <f t="shared" ca="1" si="416"/>
        <v>0</v>
      </c>
      <c r="P719" s="261">
        <f t="shared" ca="1" si="434"/>
        <v>0</v>
      </c>
      <c r="Q719" s="3">
        <f ca="1">IF(A719&gt;MAX(OP!$R$17:$R$26),0,VLOOKUP(A719,fees,3,FALSE))</f>
        <v>0</v>
      </c>
      <c r="R719" s="200" t="str">
        <f t="shared" ca="1" si="417"/>
        <v/>
      </c>
      <c r="S719" s="9" t="str">
        <f ca="1">IF(COUNTIF(($T$4:T718),"F")&gt;=1,"",IF(OR(C720&lt;&gt;$C$3,E719=""),"",A719))</f>
        <v/>
      </c>
      <c r="T719" s="20" t="str">
        <f t="shared" ca="1" si="409"/>
        <v/>
      </c>
      <c r="U719" s="2">
        <f ca="1">IF(IF(OP!$C$83=1,$Z718,IF(OP!$C$83=2,$AA718,IF(OP!$C$83=3,$AB718,)))+$K719-$O719-$P719-$AS719&lt;OP!$C$142,0,$AS719)</f>
        <v>0</v>
      </c>
      <c r="V719" s="9"/>
      <c r="W719" s="19">
        <f ca="1">MAX(SUM($K$4:K719),0)</f>
        <v>2000000</v>
      </c>
      <c r="X719" s="19"/>
      <c r="Y719" s="19">
        <f t="shared" ca="1" si="435"/>
        <v>1920000</v>
      </c>
      <c r="Z719" s="2">
        <f ca="1">IF(MIN($Z$4:Z718)=0,0,MAX(0,($Z718+$K719-$O719-$P719)*IF(AND(F719="F",$D$3&lt;&gt;$G$3),((1+(-J719))^(H719/MIN(G719,365))),((1+(-J719))^(1/12)))-$U719))</f>
        <v>89979.383022899594</v>
      </c>
      <c r="AA719" s="2">
        <f ca="1">IF(MIN($AA$4:AA718)=0,0,MAX(0,($AA718+$K719-$O719-$P719)*IF(AND(F719="F",$D$3&lt;&gt;$G$3),((1+$AA$1)^(H719/MIN(G719,365))),((1+$AA$1)^(1/12)))-$U719))</f>
        <v>1920000</v>
      </c>
      <c r="AB719" s="2">
        <f ca="1">IF(MIN($AB$4:AB718)=0,0,MAX(0,($AB718+$K719-$O719-$P719)*IF(AND(F719="F",$D$3&lt;&gt;$G$3),((1+(J719))^(H719/MIN(G719,365))),((1+(J719))^(1/12)))-$U719))</f>
        <v>35285483.538239703</v>
      </c>
      <c r="AC719" s="5"/>
      <c r="AD719" s="5"/>
      <c r="AE719" s="5"/>
      <c r="AF719" s="282">
        <f t="shared" ca="1" si="418"/>
        <v>89979</v>
      </c>
      <c r="AG719" s="282">
        <f t="shared" ca="1" si="419"/>
        <v>1920000</v>
      </c>
      <c r="AH719" s="282">
        <f t="shared" ca="1" si="420"/>
        <v>35285484</v>
      </c>
      <c r="AI719" s="23" t="str">
        <f t="shared" ca="1" si="437"/>
        <v>60-9</v>
      </c>
      <c r="AJ719" s="282">
        <f ca="1">IF(E719&gt;111,,IF(AND(OP!$C$99=1,T719="F"),Z719,IF(AND(OP!$C$99=2,COUNTIF($T$4:T719,"F")=1),OP!$C$97+IF(F719="F",OP!$C$98,0),"")))</f>
        <v>0</v>
      </c>
      <c r="AK719" s="282">
        <f ca="1">IF(E719&gt;111,,IF(AND(OP!$D$99=1,T719="F"),AA719,IF(AND(OP!$D$99=2,COUNTIF($T$4:T719,"F")=1),OP!$D$97+IF(F719="F",OP!$D$98,0),"")))</f>
        <v>0</v>
      </c>
      <c r="AL719" s="282">
        <f ca="1">IF(E719&gt;111,,IF(AND(OP!$E$99=1,T719="F"),AB719,IF(AND(OP!$E$99=2,COUNTIF($T$4:T719,"F")=1),OP!$E$97+IF(F719="F",OP!$E$98,0),"")))</f>
        <v>0</v>
      </c>
      <c r="AM719" s="1">
        <f t="shared" ca="1" si="410"/>
        <v>9</v>
      </c>
      <c r="AN719" s="1" t="e">
        <f ca="1">IF(OR(VLOOKUP($A719,MP,5,0)="月繳"),1,"")</f>
        <v>#N/A</v>
      </c>
      <c r="AO719" s="1">
        <f t="shared" ca="1" si="421"/>
        <v>0</v>
      </c>
      <c r="AP719" s="1" t="str">
        <f ca="1">IF(AND(A719&lt;=OP!$C$120,COUNTIF(PAY,C719)=1),1,"")</f>
        <v/>
      </c>
      <c r="AR719" s="301">
        <f ca="1">IF(繳費報酬率資料!$A$1=1,$AY719+$AZ719,$BF719+$BG719)</f>
        <v>0</v>
      </c>
      <c r="AS719" s="1">
        <f ca="1">IF(C719&lt;&gt;IF($C$3=1,12,$C$3-1),0,IF(繳費報酬率資料!$A$1&lt;&gt;1,VLOOKUP($A719,MP,8,0),IF(AND($A719&gt;=OP!$C$79,$A719&lt;=OP!$C$80),OP!$C$78,)))</f>
        <v>0</v>
      </c>
      <c r="AT719" s="298">
        <f t="shared" ca="1" si="422"/>
        <v>0</v>
      </c>
      <c r="AU719" s="298">
        <f ca="1">IF(AND(A719&lt;=OP!$C$120,COUNTIF(PAY,C719)=1),OP!$C$123,0)</f>
        <v>0</v>
      </c>
      <c r="AV719" s="298">
        <f ca="1">IF(AND(A719&gt;=OP!$C$132,A719&lt;=OP!$C$133,$C$3=C719),OP!$C$135,0)</f>
        <v>0</v>
      </c>
      <c r="AW719" s="180">
        <f t="shared" ca="1" si="423"/>
        <v>0.05</v>
      </c>
      <c r="AX719" s="180">
        <f t="shared" ca="1" si="424"/>
        <v>0.05</v>
      </c>
      <c r="AY719" s="286">
        <f t="shared" ca="1" si="425"/>
        <v>0</v>
      </c>
      <c r="AZ719" s="286">
        <f t="shared" ca="1" si="426"/>
        <v>0</v>
      </c>
      <c r="BA719" s="286">
        <f t="shared" ca="1" si="427"/>
        <v>0</v>
      </c>
      <c r="BB719" s="286">
        <f t="shared" ca="1" si="428"/>
        <v>0</v>
      </c>
      <c r="BC719" s="286">
        <f t="shared" ca="1" si="429"/>
        <v>0</v>
      </c>
      <c r="BD719" s="180">
        <f t="shared" ca="1" si="430"/>
        <v>0.05</v>
      </c>
      <c r="BE719" s="180">
        <f t="shared" ca="1" si="431"/>
        <v>0.05</v>
      </c>
      <c r="BF719" s="286">
        <f t="shared" ca="1" si="432"/>
        <v>0</v>
      </c>
      <c r="BG719" s="286">
        <f t="shared" ca="1" si="433"/>
        <v>0</v>
      </c>
    </row>
    <row r="720" spans="1:59">
      <c r="A720" s="1">
        <f t="shared" ca="1" si="413"/>
        <v>60</v>
      </c>
      <c r="B720" s="1">
        <f t="shared" ca="1" si="406"/>
        <v>166</v>
      </c>
      <c r="C720" s="1">
        <f t="shared" ca="1" si="407"/>
        <v>2</v>
      </c>
      <c r="D720" s="1">
        <f ca="1">MIN($D$3,VLOOKUP(C720,OP!$S$30:$T$41,2))</f>
        <v>2</v>
      </c>
      <c r="E720" s="1" t="str">
        <f t="shared" ca="1" si="408"/>
        <v/>
      </c>
      <c r="F720" s="11" t="str">
        <f t="shared" ca="1" si="414"/>
        <v/>
      </c>
      <c r="G720" s="8">
        <f t="shared" ca="1" si="436"/>
        <v>365</v>
      </c>
      <c r="H720" s="8">
        <f t="shared" ca="1" si="415"/>
        <v>28</v>
      </c>
      <c r="I720" s="8" t="str">
        <f t="shared" ca="1" si="412"/>
        <v>602</v>
      </c>
      <c r="J720" s="13">
        <f>IF(繳費報酬率資料!$A$1=1,VALUE(OP!$C$121),VLOOKUP(A720,MP,2,0))</f>
        <v>0.05</v>
      </c>
      <c r="K720" s="14">
        <f ca="1">IF(SUM($K$4:K719,IF(繳費報酬率資料!$A$1=1,$AU720+$AV720,$BB720+$BC720))&gt;OP!$L$58,0,IF(繳費報酬率資料!$A$1=1,$AU720+$AV720,$BB720+$BC720))</f>
        <v>0</v>
      </c>
      <c r="L720" s="2"/>
      <c r="M720" s="2"/>
      <c r="N720" s="2"/>
      <c r="O720" s="261">
        <f t="shared" ca="1" si="416"/>
        <v>0</v>
      </c>
      <c r="P720" s="261">
        <f t="shared" ca="1" si="434"/>
        <v>0</v>
      </c>
      <c r="Q720" s="3">
        <f ca="1">IF(A720&gt;MAX(OP!$R$17:$R$26),0,VLOOKUP(A720,fees,3,FALSE))</f>
        <v>0</v>
      </c>
      <c r="R720" s="200" t="str">
        <f t="shared" ca="1" si="417"/>
        <v/>
      </c>
      <c r="S720" s="9" t="str">
        <f ca="1">IF(COUNTIF(($T$4:T719),"F")&gt;=1,"",IF(OR(C721&lt;&gt;$C$3,E720=""),"",A720))</f>
        <v/>
      </c>
      <c r="T720" s="20" t="str">
        <f t="shared" ca="1" si="409"/>
        <v/>
      </c>
      <c r="U720" s="2">
        <f ca="1">IF(IF(OP!$C$83=1,$Z719,IF(OP!$C$83=2,$AA719,IF(OP!$C$83=3,$AB719,)))+$K720-$O720-$P720-$AS720&lt;OP!$C$142,0,$AS720)</f>
        <v>0</v>
      </c>
      <c r="V720" s="9"/>
      <c r="W720" s="19">
        <f ca="1">MAX(SUM($K$4:K720),0)</f>
        <v>2000000</v>
      </c>
      <c r="X720" s="19"/>
      <c r="Y720" s="19">
        <f t="shared" ca="1" si="435"/>
        <v>1920000</v>
      </c>
      <c r="Z720" s="2">
        <f ca="1">IF(MIN($Z$4:Z719)=0,0,MAX(0,($Z719+$K720-$O720-$P720)*IF(AND(F720="F",$D$3&lt;&gt;$G$3),((1+(-J720))^(H720/MIN(G720,365))),((1+(-J720))^(1/12)))-$U720))</f>
        <v>89595.592270898705</v>
      </c>
      <c r="AA720" s="2">
        <f ca="1">IF(MIN($AA$4:AA719)=0,0,MAX(0,($AA719+$K720-$O720-$P720)*IF(AND(F720="F",$D$3&lt;&gt;$G$3),((1+$AA$1)^(H720/MIN(G720,365))),((1+$AA$1)^(1/12)))-$U720))</f>
        <v>1920000</v>
      </c>
      <c r="AB720" s="2">
        <f ca="1">IF(MIN($AB$4:AB719)=0,0,MAX(0,($AB719+$K720-$O720-$P720)*IF(AND(F720="F",$D$3&lt;&gt;$G$3),((1+(J720))^(H720/MIN(G720,365))),((1+(J720))^(1/12)))-$U720))</f>
        <v>35429240.965940379</v>
      </c>
      <c r="AC720" s="5"/>
      <c r="AD720" s="5"/>
      <c r="AE720" s="5"/>
      <c r="AF720" s="282">
        <f t="shared" ca="1" si="418"/>
        <v>89596</v>
      </c>
      <c r="AG720" s="282">
        <f t="shared" ca="1" si="419"/>
        <v>1920000</v>
      </c>
      <c r="AH720" s="282">
        <f t="shared" ca="1" si="420"/>
        <v>35429241</v>
      </c>
      <c r="AI720" s="23" t="str">
        <f t="shared" ca="1" si="437"/>
        <v>60-10</v>
      </c>
      <c r="AJ720" s="282">
        <f ca="1">IF(E720&gt;111,,IF(AND(OP!$C$99=1,T720="F"),Z720,IF(AND(OP!$C$99=2,COUNTIF($T$4:T720,"F")=1),OP!$C$97+IF(F720="F",OP!$C$98,0),"")))</f>
        <v>0</v>
      </c>
      <c r="AK720" s="282">
        <f ca="1">IF(E720&gt;111,,IF(AND(OP!$D$99=1,T720="F"),AA720,IF(AND(OP!$D$99=2,COUNTIF($T$4:T720,"F")=1),OP!$D$97+IF(F720="F",OP!$D$98,0),"")))</f>
        <v>0</v>
      </c>
      <c r="AL720" s="282">
        <f ca="1">IF(E720&gt;111,,IF(AND(OP!$E$99=1,T720="F"),AB720,IF(AND(OP!$E$99=2,COUNTIF($T$4:T720,"F")=1),OP!$E$97+IF(F720="F",OP!$E$98,0),"")))</f>
        <v>0</v>
      </c>
      <c r="AM720" s="1">
        <f t="shared" ca="1" si="410"/>
        <v>10</v>
      </c>
      <c r="AN720" s="1" t="e">
        <f ca="1">IF(OR(VLOOKUP($A720,MP,5,0)="月繳"),1,"")</f>
        <v>#N/A</v>
      </c>
      <c r="AO720" s="1">
        <f t="shared" ca="1" si="421"/>
        <v>0</v>
      </c>
      <c r="AP720" s="1" t="str">
        <f ca="1">IF(AND(A720&lt;=OP!$C$120,COUNTIF(PAY,C720)=1),1,"")</f>
        <v/>
      </c>
      <c r="AR720" s="301">
        <f ca="1">IF(繳費報酬率資料!$A$1=1,$AY720+$AZ720,$BF720+$BG720)</f>
        <v>0</v>
      </c>
      <c r="AS720" s="1">
        <f ca="1">IF(C720&lt;&gt;IF($C$3=1,12,$C$3-1),0,IF(繳費報酬率資料!$A$1&lt;&gt;1,VLOOKUP($A720,MP,8,0),IF(AND($A720&gt;=OP!$C$79,$A720&lt;=OP!$C$80),OP!$C$78,)))</f>
        <v>0</v>
      </c>
      <c r="AT720" s="298">
        <f t="shared" ca="1" si="422"/>
        <v>0</v>
      </c>
      <c r="AU720" s="298">
        <f ca="1">IF(AND(A720&lt;=OP!$C$120,COUNTIF(PAY,C720)=1),OP!$C$123,0)</f>
        <v>0</v>
      </c>
      <c r="AV720" s="298">
        <f ca="1">IF(AND(A720&gt;=OP!$C$132,A720&lt;=OP!$C$133,$C$3=C720),OP!$C$135,0)</f>
        <v>0</v>
      </c>
      <c r="AW720" s="180">
        <f t="shared" ca="1" si="423"/>
        <v>0.05</v>
      </c>
      <c r="AX720" s="180">
        <f t="shared" ca="1" si="424"/>
        <v>0.05</v>
      </c>
      <c r="AY720" s="286">
        <f t="shared" ca="1" si="425"/>
        <v>0</v>
      </c>
      <c r="AZ720" s="286">
        <f t="shared" ca="1" si="426"/>
        <v>0</v>
      </c>
      <c r="BA720" s="286">
        <f t="shared" ca="1" si="427"/>
        <v>0</v>
      </c>
      <c r="BB720" s="286">
        <f t="shared" ca="1" si="428"/>
        <v>0</v>
      </c>
      <c r="BC720" s="286">
        <f t="shared" ca="1" si="429"/>
        <v>0</v>
      </c>
      <c r="BD720" s="180">
        <f t="shared" ca="1" si="430"/>
        <v>0.05</v>
      </c>
      <c r="BE720" s="180">
        <f t="shared" ca="1" si="431"/>
        <v>0.05</v>
      </c>
      <c r="BF720" s="286">
        <f t="shared" ca="1" si="432"/>
        <v>0</v>
      </c>
      <c r="BG720" s="286">
        <f t="shared" ca="1" si="433"/>
        <v>0</v>
      </c>
    </row>
    <row r="721" spans="1:59">
      <c r="A721" s="1">
        <f t="shared" ca="1" si="413"/>
        <v>60</v>
      </c>
      <c r="B721" s="1">
        <f t="shared" ca="1" si="406"/>
        <v>166</v>
      </c>
      <c r="C721" s="1">
        <f t="shared" ca="1" si="407"/>
        <v>3</v>
      </c>
      <c r="D721" s="1">
        <f ca="1">MIN($D$3,VLOOKUP(C721,OP!$S$30:$T$41,2))</f>
        <v>2</v>
      </c>
      <c r="E721" s="1" t="str">
        <f t="shared" ca="1" si="408"/>
        <v/>
      </c>
      <c r="F721" s="11" t="str">
        <f t="shared" ca="1" si="414"/>
        <v/>
      </c>
      <c r="G721" s="8">
        <f t="shared" ca="1" si="436"/>
        <v>365</v>
      </c>
      <c r="H721" s="8">
        <f t="shared" ca="1" si="415"/>
        <v>31</v>
      </c>
      <c r="I721" s="8" t="str">
        <f t="shared" ca="1" si="412"/>
        <v>603</v>
      </c>
      <c r="J721" s="13">
        <f>IF(繳費報酬率資料!$A$1=1,VALUE(OP!$C$121),VLOOKUP(A721,MP,2,0))</f>
        <v>0.05</v>
      </c>
      <c r="K721" s="14">
        <f ca="1">IF(SUM($K$4:K720,IF(繳費報酬率資料!$A$1=1,$AU721+$AV721,$BB721+$BC721))&gt;OP!$L$58,0,IF(繳費報酬率資料!$A$1=1,$AU721+$AV721,$BB721+$BC721))</f>
        <v>0</v>
      </c>
      <c r="L721" s="2"/>
      <c r="M721" s="2"/>
      <c r="N721" s="2"/>
      <c r="O721" s="261">
        <f t="shared" ca="1" si="416"/>
        <v>0</v>
      </c>
      <c r="P721" s="261">
        <f t="shared" ca="1" si="434"/>
        <v>0</v>
      </c>
      <c r="Q721" s="3">
        <f ca="1">IF(A721&gt;MAX(OP!$R$17:$R$26),0,VLOOKUP(A721,fees,3,FALSE))</f>
        <v>0</v>
      </c>
      <c r="R721" s="200" t="str">
        <f t="shared" ca="1" si="417"/>
        <v/>
      </c>
      <c r="S721" s="9" t="str">
        <f ca="1">IF(COUNTIF(($T$4:T720),"F")&gt;=1,"",IF(OR(C722&lt;&gt;$C$3,E721=""),"",A721))</f>
        <v/>
      </c>
      <c r="T721" s="20" t="str">
        <f t="shared" ca="1" si="409"/>
        <v/>
      </c>
      <c r="U721" s="2">
        <f ca="1">IF(IF(OP!$C$83=1,$Z720,IF(OP!$C$83=2,$AA720,IF(OP!$C$83=3,$AB720,)))+$K721-$O721-$P721-$AS721&lt;OP!$C$142,0,$AS721)</f>
        <v>0</v>
      </c>
      <c r="V721" s="9"/>
      <c r="W721" s="19">
        <f ca="1">MAX(SUM($K$4:K721),0)</f>
        <v>2000000</v>
      </c>
      <c r="X721" s="19"/>
      <c r="Y721" s="19">
        <f t="shared" ca="1" si="435"/>
        <v>1920000</v>
      </c>
      <c r="Z721" s="2">
        <f ca="1">IF(MIN($Z$4:Z720)=0,0,MAX(0,($Z720+$K721-$O721-$P721)*IF(AND(F721="F",$D$3&lt;&gt;$G$3),((1+(-J721))^(H721/MIN(G721,365))),((1+(-J721))^(1/12)))-$U721))</f>
        <v>89213.438508798979</v>
      </c>
      <c r="AA721" s="2">
        <f ca="1">IF(MIN($AA$4:AA720)=0,0,MAX(0,($AA720+$K721-$O721-$P721)*IF(AND(F721="F",$D$3&lt;&gt;$G$3),((1+$AA$1)^(H721/MIN(G721,365))),((1+$AA$1)^(1/12)))-$U721))</f>
        <v>1920000</v>
      </c>
      <c r="AB721" s="2">
        <f ca="1">IF(MIN($AB$4:AB720)=0,0,MAX(0,($AB720+$K721-$O721-$P721)*IF(AND(F721="F",$D$3&lt;&gt;$G$3),((1+(J721))^(H721/MIN(G721,365))),((1+(J721))^(1/12)))-$U721))</f>
        <v>35573584.079196326</v>
      </c>
      <c r="AC721" s="5"/>
      <c r="AD721" s="5"/>
      <c r="AE721" s="5"/>
      <c r="AF721" s="282">
        <f t="shared" ca="1" si="418"/>
        <v>89213</v>
      </c>
      <c r="AG721" s="282">
        <f t="shared" ca="1" si="419"/>
        <v>1920000</v>
      </c>
      <c r="AH721" s="282">
        <f t="shared" ca="1" si="420"/>
        <v>35573584</v>
      </c>
      <c r="AI721" s="23" t="str">
        <f t="shared" ca="1" si="437"/>
        <v>60-11</v>
      </c>
      <c r="AJ721" s="282">
        <f ca="1">IF(E721&gt;111,,IF(AND(OP!$C$99=1,T721="F"),Z721,IF(AND(OP!$C$99=2,COUNTIF($T$4:T721,"F")=1),OP!$C$97+IF(F721="F",OP!$C$98,0),"")))</f>
        <v>0</v>
      </c>
      <c r="AK721" s="282">
        <f ca="1">IF(E721&gt;111,,IF(AND(OP!$D$99=1,T721="F"),AA721,IF(AND(OP!$D$99=2,COUNTIF($T$4:T721,"F")=1),OP!$D$97+IF(F721="F",OP!$D$98,0),"")))</f>
        <v>0</v>
      </c>
      <c r="AL721" s="282">
        <f ca="1">IF(E721&gt;111,,IF(AND(OP!$E$99=1,T721="F"),AB721,IF(AND(OP!$E$99=2,COUNTIF($T$4:T721,"F")=1),OP!$E$97+IF(F721="F",OP!$E$98,0),"")))</f>
        <v>0</v>
      </c>
      <c r="AM721" s="1">
        <f t="shared" ca="1" si="410"/>
        <v>11</v>
      </c>
      <c r="AN721" s="1" t="e">
        <f ca="1">IF(OR(VLOOKUP($A721,MP,5,0)="季繳",VLOOKUP($A721,MP,5,0)="月繳"),1,"")</f>
        <v>#N/A</v>
      </c>
      <c r="AO721" s="1">
        <f t="shared" ca="1" si="421"/>
        <v>0</v>
      </c>
      <c r="AP721" s="1" t="str">
        <f ca="1">IF(AND(A721&lt;=OP!$C$120,COUNTIF(PAY,C721)=1),1,"")</f>
        <v/>
      </c>
      <c r="AR721" s="301">
        <f ca="1">IF(繳費報酬率資料!$A$1=1,$AY721+$AZ721,$BF721+$BG721)</f>
        <v>0</v>
      </c>
      <c r="AS721" s="1">
        <f ca="1">IF(C721&lt;&gt;IF($C$3=1,12,$C$3-1),0,IF(繳費報酬率資料!$A$1&lt;&gt;1,VLOOKUP($A721,MP,8,0),IF(AND($A721&gt;=OP!$C$79,$A721&lt;=OP!$C$80),OP!$C$78,)))</f>
        <v>0</v>
      </c>
      <c r="AT721" s="298">
        <f t="shared" ca="1" si="422"/>
        <v>0</v>
      </c>
      <c r="AU721" s="298">
        <f ca="1">IF(AND(A721&lt;=OP!$C$120,COUNTIF(PAY,C721)=1),OP!$C$123,0)</f>
        <v>0</v>
      </c>
      <c r="AV721" s="298">
        <f ca="1">IF(AND(A721&gt;=OP!$C$132,A721&lt;=OP!$C$133,$C$3=C721),OP!$C$135,0)</f>
        <v>0</v>
      </c>
      <c r="AW721" s="180">
        <f t="shared" ca="1" si="423"/>
        <v>0.05</v>
      </c>
      <c r="AX721" s="180">
        <f t="shared" ca="1" si="424"/>
        <v>0.05</v>
      </c>
      <c r="AY721" s="286">
        <f t="shared" ca="1" si="425"/>
        <v>0</v>
      </c>
      <c r="AZ721" s="286">
        <f t="shared" ca="1" si="426"/>
        <v>0</v>
      </c>
      <c r="BA721" s="286">
        <f t="shared" ca="1" si="427"/>
        <v>0</v>
      </c>
      <c r="BB721" s="286">
        <f t="shared" ca="1" si="428"/>
        <v>0</v>
      </c>
      <c r="BC721" s="286">
        <f t="shared" ca="1" si="429"/>
        <v>0</v>
      </c>
      <c r="BD721" s="180">
        <f t="shared" ca="1" si="430"/>
        <v>0.05</v>
      </c>
      <c r="BE721" s="180">
        <f t="shared" ca="1" si="431"/>
        <v>0.05</v>
      </c>
      <c r="BF721" s="286">
        <f t="shared" ca="1" si="432"/>
        <v>0</v>
      </c>
      <c r="BG721" s="286">
        <f t="shared" ca="1" si="433"/>
        <v>0</v>
      </c>
    </row>
    <row r="722" spans="1:59">
      <c r="A722" s="1">
        <f t="shared" ca="1" si="413"/>
        <v>60</v>
      </c>
      <c r="B722" s="1">
        <f t="shared" ca="1" si="406"/>
        <v>166</v>
      </c>
      <c r="C722" s="1">
        <f t="shared" ca="1" si="407"/>
        <v>4</v>
      </c>
      <c r="D722" s="1">
        <f ca="1">MIN($D$3,VLOOKUP(C722,OP!$S$30:$T$41,2))</f>
        <v>2</v>
      </c>
      <c r="E722" s="1" t="str">
        <f t="shared" ca="1" si="408"/>
        <v/>
      </c>
      <c r="F722" s="11" t="str">
        <f t="shared" ca="1" si="414"/>
        <v/>
      </c>
      <c r="G722" s="8">
        <f t="shared" ca="1" si="436"/>
        <v>365</v>
      </c>
      <c r="H722" s="8">
        <f t="shared" ca="1" si="415"/>
        <v>30</v>
      </c>
      <c r="I722" s="8" t="str">
        <f t="shared" ca="1" si="412"/>
        <v>604</v>
      </c>
      <c r="J722" s="13">
        <f>IF(繳費報酬率資料!$A$1=1,VALUE(OP!$C$121),VLOOKUP(A722,MP,2,0))</f>
        <v>0.05</v>
      </c>
      <c r="K722" s="14">
        <f ca="1">IF(SUM($K$4:K721,IF(繳費報酬率資料!$A$1=1,$AU722+$AV722,$BB722+$BC722))&gt;OP!$L$58,0,IF(繳費報酬率資料!$A$1=1,$AU722+$AV722,$BB722+$BC722))</f>
        <v>0</v>
      </c>
      <c r="L722" s="2"/>
      <c r="M722" s="2"/>
      <c r="N722" s="2"/>
      <c r="O722" s="261">
        <f t="shared" ca="1" si="416"/>
        <v>0</v>
      </c>
      <c r="P722" s="261">
        <f t="shared" ca="1" si="434"/>
        <v>0</v>
      </c>
      <c r="Q722" s="3">
        <f ca="1">IF(A722&gt;MAX(OP!$R$17:$R$26),0,VLOOKUP(A722,fees,3,FALSE))</f>
        <v>0</v>
      </c>
      <c r="R722" s="200" t="str">
        <f t="shared" ca="1" si="417"/>
        <v/>
      </c>
      <c r="S722" s="9" t="str">
        <f ca="1">IF(COUNTIF(($T$4:T721),"F")&gt;=1,"",IF(OR(C723&lt;&gt;$C$3,E722=""),"",A722))</f>
        <v/>
      </c>
      <c r="T722" s="20" t="str">
        <f t="shared" ca="1" si="409"/>
        <v/>
      </c>
      <c r="U722" s="2">
        <f ca="1">IF(IF(OP!$C$83=1,$Z721,IF(OP!$C$83=2,$AA721,IF(OP!$C$83=3,$AB721,)))+$K722-$O722-$P722-$AS722&lt;OP!$C$142,0,$AS722)</f>
        <v>0</v>
      </c>
      <c r="V722" s="9"/>
      <c r="W722" s="19">
        <f ca="1">MAX(SUM($K$4:K722),0)</f>
        <v>2000000</v>
      </c>
      <c r="X722" s="19"/>
      <c r="Y722" s="19">
        <f t="shared" ca="1" si="435"/>
        <v>1920000</v>
      </c>
      <c r="Z722" s="2">
        <f ca="1">IF(MIN($Z$4:Z721)=0,0,MAX(0,($Z721+$K722-$O722-$P722)*IF(AND(F722="F",$D$3&lt;&gt;$G$3),((1+(-J722))^(H722/MIN(G722,365))),((1+(-J722))^(1/12)))-$U722))</f>
        <v>88832.914754316647</v>
      </c>
      <c r="AA722" s="2">
        <f ca="1">IF(MIN($AA$4:AA721)=0,0,MAX(0,($AA721+$K722-$O722-$P722)*IF(AND(F722="F",$D$3&lt;&gt;$G$3),((1+$AA$1)^(H722/MIN(G722,365))),((1+$AA$1)^(1/12)))-$U722))</f>
        <v>1920000</v>
      </c>
      <c r="AB722" s="2">
        <f ca="1">IF(MIN($AB$4:AB721)=0,0,MAX(0,($AB721+$K722-$O722-$P722)*IF(AND(F722="F",$D$3&lt;&gt;$G$3),((1+(J722))^(H722/MIN(G722,365))),((1+(J722))^(1/12)))-$U722))</f>
        <v>35718515.264162995</v>
      </c>
      <c r="AC722" s="5"/>
      <c r="AD722" s="5"/>
      <c r="AE722" s="5"/>
      <c r="AF722" s="282">
        <f t="shared" ca="1" si="418"/>
        <v>88833</v>
      </c>
      <c r="AG722" s="282">
        <f t="shared" ca="1" si="419"/>
        <v>1920000</v>
      </c>
      <c r="AH722" s="282">
        <f t="shared" ca="1" si="420"/>
        <v>35718515</v>
      </c>
      <c r="AI722" s="23" t="str">
        <f t="shared" ca="1" si="437"/>
        <v>60-12</v>
      </c>
      <c r="AJ722" s="282">
        <f ca="1">IF(E722&gt;111,,IF(AND(OP!$C$99=1,T722="F"),Z722,IF(AND(OP!$C$99=2,COUNTIF($T$4:T722,"F")=1),OP!$C$97+IF(F722="F",OP!$C$98,0),"")))</f>
        <v>0</v>
      </c>
      <c r="AK722" s="282">
        <f ca="1">IF(E722&gt;111,,IF(AND(OP!$D$99=1,T722="F"),AA722,IF(AND(OP!$D$99=2,COUNTIF($T$4:T722,"F")=1),OP!$D$97+IF(F722="F",OP!$D$98,0),"")))</f>
        <v>0</v>
      </c>
      <c r="AL722" s="282">
        <f ca="1">IF(E722&gt;111,,IF(AND(OP!$E$99=1,T722="F"),AB722,IF(AND(OP!$E$99=2,COUNTIF($T$4:T722,"F")=1),OP!$E$97+IF(F722="F",OP!$E$98,0),"")))</f>
        <v>0</v>
      </c>
      <c r="AM722" s="1">
        <f t="shared" ca="1" si="410"/>
        <v>12</v>
      </c>
      <c r="AN722" s="1" t="e">
        <f ca="1">IF(OR(VLOOKUP($A722,MP,5,0)="月繳"),1,"")</f>
        <v>#N/A</v>
      </c>
      <c r="AO722" s="1">
        <f t="shared" ca="1" si="421"/>
        <v>0</v>
      </c>
      <c r="AP722" s="1" t="str">
        <f ca="1">IF(AND(A722&lt;=OP!$C$120,COUNTIF(PAY,C722)=1),1,"")</f>
        <v/>
      </c>
      <c r="AR722" s="301">
        <f ca="1">IF(繳費報酬率資料!$A$1=1,$AY722+$AZ722,$BF722+$BG722)</f>
        <v>0</v>
      </c>
      <c r="AS722" s="1">
        <f ca="1">IF(C722&lt;&gt;IF($C$3=1,12,$C$3-1),0,IF(繳費報酬率資料!$A$1&lt;&gt;1,VLOOKUP($A722,MP,8,0),IF(AND($A722&gt;=OP!$C$79,$A722&lt;=OP!$C$80),OP!$C$78,)))</f>
        <v>0</v>
      </c>
      <c r="AT722" s="298">
        <f t="shared" ca="1" si="422"/>
        <v>0</v>
      </c>
      <c r="AU722" s="298">
        <f ca="1">IF(AND(A722&lt;=OP!$C$120,COUNTIF(PAY,C722)=1),OP!$C$123,0)</f>
        <v>0</v>
      </c>
      <c r="AV722" s="298">
        <f ca="1">IF(AND(A722&gt;=OP!$C$132,A722&lt;=OP!$C$133,$C$3=C722),OP!$C$135,0)</f>
        <v>0</v>
      </c>
      <c r="AW722" s="180">
        <f t="shared" ca="1" si="423"/>
        <v>0.05</v>
      </c>
      <c r="AX722" s="180">
        <f t="shared" ca="1" si="424"/>
        <v>0.05</v>
      </c>
      <c r="AY722" s="286">
        <f t="shared" ca="1" si="425"/>
        <v>0</v>
      </c>
      <c r="AZ722" s="286">
        <f t="shared" ca="1" si="426"/>
        <v>0</v>
      </c>
      <c r="BA722" s="286">
        <f t="shared" ca="1" si="427"/>
        <v>0</v>
      </c>
      <c r="BB722" s="286">
        <f t="shared" ca="1" si="428"/>
        <v>0</v>
      </c>
      <c r="BC722" s="286">
        <f t="shared" ca="1" si="429"/>
        <v>0</v>
      </c>
      <c r="BD722" s="180">
        <f t="shared" ca="1" si="430"/>
        <v>0.05</v>
      </c>
      <c r="BE722" s="180">
        <f t="shared" ca="1" si="431"/>
        <v>0.05</v>
      </c>
      <c r="BF722" s="286">
        <f t="shared" ca="1" si="432"/>
        <v>0</v>
      </c>
      <c r="BG722" s="286">
        <f t="shared" ca="1" si="433"/>
        <v>0</v>
      </c>
    </row>
    <row r="723" spans="1:59">
      <c r="A723" s="1">
        <f t="shared" ca="1" si="413"/>
        <v>60</v>
      </c>
      <c r="B723" s="1">
        <f t="shared" ca="1" si="406"/>
        <v>166</v>
      </c>
      <c r="C723" s="1">
        <f t="shared" ca="1" si="407"/>
        <v>5</v>
      </c>
      <c r="D723" s="1">
        <f ca="1">MIN($D$3,VLOOKUP(C723,OP!$S$30:$T$41,2))</f>
        <v>2</v>
      </c>
      <c r="E723" s="1" t="str">
        <f t="shared" ca="1" si="408"/>
        <v/>
      </c>
      <c r="F723" s="11" t="str">
        <f t="shared" ca="1" si="414"/>
        <v/>
      </c>
      <c r="G723" s="8">
        <f t="shared" ca="1" si="436"/>
        <v>365</v>
      </c>
      <c r="H723" s="8">
        <f t="shared" ca="1" si="415"/>
        <v>31</v>
      </c>
      <c r="I723" s="8" t="str">
        <f t="shared" ca="1" si="412"/>
        <v>605</v>
      </c>
      <c r="J723" s="13">
        <f>IF(繳費報酬率資料!$A$1=1,VALUE(OP!$C$121),VLOOKUP(A723,MP,2,0))</f>
        <v>0.05</v>
      </c>
      <c r="K723" s="14">
        <f ca="1">IF(SUM($K$4:K722,IF(繳費報酬率資料!$A$1=1,$AU723+$AV723,$BB723+$BC723))&gt;OP!$L$58,0,IF(繳費報酬率資料!$A$1=1,$AU723+$AV723,$BB723+$BC723))</f>
        <v>0</v>
      </c>
      <c r="L723" s="2">
        <f ca="1">ROUND(IF(OP!$C$78&lt;(IF(OR($T723="F",$E723&gt;=111),0,Z722+$K723-$O723+IF($C$1=1,OP!$C$78,IF($C724=$C$3,SUM(AC712:AC723,0)))))*5%,0,(OP!$C$78-((IF(OR($T723="F",$E723&gt;=111),0,Z722+$K723-$O723+IF($C$1=1,AC723,IF($C724=$C$3,SUM(AC712:AC723,0)))))*5%))*$Q723),0)</f>
        <v>0</v>
      </c>
      <c r="M723" s="2">
        <f ca="1">ROUND(IF(OP!$C$78&lt;(IF(OR($T723="F",$E723&gt;=111),0,AA722+$K723-$O723+IF($C$1=1,AD723,IF($C724=$C$3,SUM(AD712:AD723,0)))))*5%,0,(OP!$C$78-((IF(OR($T723="F",$E723&gt;=111),0,AA722+$K723-$O723+IF($C$1=1,AD723,IF($C724=$C$3,SUM(AD712:AD723,0)))))*5%))*$Q723),0)</f>
        <v>0</v>
      </c>
      <c r="N723" s="2">
        <f ca="1">ROUND(IF(OP!$C$78&lt;(IF(OR($T723="F",$E723&gt;=111),0,AB722+$K723-$O723+IF($C$1=1,AE723,IF($C724=$C$3,SUM(AE712:AE723,0)))))*5%,0,(OP!$C$78-((IF(OR($T723="F",$E723&gt;=111),0,AB722+$K723-$O723+IF($C$1=1,AE723,IF($C724=$C$3,SUM(AE712:AE723,0)))))*5%))*$Q723),0)</f>
        <v>0</v>
      </c>
      <c r="O723" s="261">
        <f t="shared" ca="1" si="416"/>
        <v>0</v>
      </c>
      <c r="P723" s="261">
        <f t="shared" ca="1" si="434"/>
        <v>0</v>
      </c>
      <c r="Q723" s="3">
        <f ca="1">IF(A723&gt;MAX(OP!$R$17:$R$26),0,VLOOKUP(A723,fees,3,FALSE))</f>
        <v>0</v>
      </c>
      <c r="R723" s="200" t="str">
        <f t="shared" ca="1" si="417"/>
        <v/>
      </c>
      <c r="S723" s="9" t="str">
        <f ca="1">IF(COUNTIF(($T$4:T722),"F")&gt;=1,"",IF(OR(C724&lt;&gt;$C$3,E723=""),"",A723))</f>
        <v/>
      </c>
      <c r="T723" s="20" t="str">
        <f t="shared" ca="1" si="409"/>
        <v/>
      </c>
      <c r="U723" s="2">
        <f ca="1">IF(IF(OP!$C$83=1,$Z722,IF(OP!$C$83=2,$AA722,IF(OP!$C$83=3,$AB722,)))+$K723-$O723-$P723-$AS723&lt;OP!$C$142,0,$AS723)</f>
        <v>0</v>
      </c>
      <c r="V723" s="19">
        <f ca="1">SUM(K712:K723)</f>
        <v>0</v>
      </c>
      <c r="W723" s="19">
        <f ca="1">MAX(SUM($K$4:K723),0)</f>
        <v>2000000</v>
      </c>
      <c r="X723" s="19">
        <f ca="1">SUM(O712:P723)</f>
        <v>0</v>
      </c>
      <c r="Y723" s="19">
        <f t="shared" ca="1" si="435"/>
        <v>1920000</v>
      </c>
      <c r="Z723" s="2">
        <f ca="1">IF(MIN($Z$4:Z722)=0,0,MAX(0,($Z722+$K723-$O723-$P723)*IF(AND(F723="F",$D$3&lt;&gt;$G$3),((1+(-J723))^(H723/MIN(G723,365))),((1+(-J723))^(1/12)))-$U723))</f>
        <v>88454.014054949614</v>
      </c>
      <c r="AA723" s="2">
        <f ca="1">IF(MIN($AA$4:AA722)=0,0,MAX(0,($AA722+$K723-$O723-$P723)*IF(AND(F723="F",$D$3&lt;&gt;$G$3),((1+$AA$1)^(H723/MIN(G723,365))),((1+$AA$1)^(1/12)))-$U723))</f>
        <v>1920000</v>
      </c>
      <c r="AB723" s="2">
        <f ca="1">IF(MIN($AB$4:AB722)=0,0,MAX(0,($AB722+$K723-$O723-$P723)*IF(AND(F723="F",$D$3&lt;&gt;$G$3),((1+(J723))^(H723/MIN(G723,365))),((1+(J723))^(1/12)))-$U723))</f>
        <v>35864036.916717328</v>
      </c>
      <c r="AC723" s="5"/>
      <c r="AD723" s="5"/>
      <c r="AE723" s="5"/>
      <c r="AF723" s="282">
        <f t="shared" ca="1" si="418"/>
        <v>88454</v>
      </c>
      <c r="AG723" s="282">
        <f t="shared" ca="1" si="419"/>
        <v>1920000</v>
      </c>
      <c r="AH723" s="282">
        <f t="shared" ca="1" si="420"/>
        <v>35864037</v>
      </c>
      <c r="AI723" s="23" t="str">
        <f t="shared" ca="1" si="437"/>
        <v>61-1</v>
      </c>
      <c r="AJ723" s="282">
        <f ca="1">IF(E723&gt;111,,IF(AND(OP!$C$99=1,T723="F"),Z723,IF(AND(OP!$C$99=2,COUNTIF($T$4:T723,"F")=1),OP!$C$97+IF(F723="F",OP!$C$98,0),"")))</f>
        <v>0</v>
      </c>
      <c r="AK723" s="282">
        <f ca="1">IF(E723&gt;111,,IF(AND(OP!$D$99=1,T723="F"),AA723,IF(AND(OP!$D$99=2,COUNTIF($T$4:T723,"F")=1),OP!$D$97+IF(F723="F",OP!$D$98,0),"")))</f>
        <v>0</v>
      </c>
      <c r="AL723" s="282">
        <f ca="1">IF(E723&gt;111,,IF(AND(OP!$E$99=1,T723="F"),AB723,IF(AND(OP!$E$99=2,COUNTIF($T$4:T723,"F")=1),OP!$E$97+IF(F723="F",OP!$E$98,0),"")))</f>
        <v>0</v>
      </c>
      <c r="AM723" s="1">
        <f t="shared" ca="1" si="410"/>
        <v>1</v>
      </c>
      <c r="AN723" s="1" t="e">
        <f ca="1">IF(OR(VLOOKUP($A723,MP,5,0)="月繳"),1,"")</f>
        <v>#N/A</v>
      </c>
      <c r="AO723" s="1">
        <f t="shared" ca="1" si="421"/>
        <v>0</v>
      </c>
      <c r="AP723" s="1" t="str">
        <f ca="1">IF(AND(A723&lt;=OP!$C$120,COUNTIF(PAY,C723)=1),1,"")</f>
        <v/>
      </c>
      <c r="AR723" s="301">
        <f ca="1">IF(繳費報酬率資料!$A$1=1,$AY723+$AZ723,$BF723+$BG723)</f>
        <v>0</v>
      </c>
      <c r="AS723" s="1">
        <f ca="1">IF(C723&lt;&gt;IF($C$3=1,12,$C$3-1),0,IF(繳費報酬率資料!$A$1&lt;&gt;1,VLOOKUP($A723,MP,8,0),IF(AND($A723&gt;=OP!$C$79,$A723&lt;=OP!$C$80),OP!$C$78,)))</f>
        <v>0</v>
      </c>
      <c r="AT723" s="298">
        <f t="shared" ca="1" si="422"/>
        <v>0</v>
      </c>
      <c r="AU723" s="298">
        <f ca="1">IF(AND(A723&lt;=OP!$C$120,COUNTIF(PAY,C723)=1),OP!$C$123,0)</f>
        <v>0</v>
      </c>
      <c r="AV723" s="298">
        <f ca="1">IF(AND(A723&gt;=OP!$C$132,A723&lt;=OP!$C$133,$C$3=C723),OP!$C$135,0)</f>
        <v>0</v>
      </c>
      <c r="AW723" s="180">
        <f t="shared" ca="1" si="423"/>
        <v>0.05</v>
      </c>
      <c r="AX723" s="180">
        <f t="shared" ca="1" si="424"/>
        <v>0.05</v>
      </c>
      <c r="AY723" s="286">
        <f t="shared" ca="1" si="425"/>
        <v>0</v>
      </c>
      <c r="AZ723" s="286">
        <f t="shared" ca="1" si="426"/>
        <v>0</v>
      </c>
      <c r="BA723" s="286">
        <f t="shared" ca="1" si="427"/>
        <v>0</v>
      </c>
      <c r="BB723" s="286">
        <f t="shared" ca="1" si="428"/>
        <v>0</v>
      </c>
      <c r="BC723" s="286">
        <f t="shared" ca="1" si="429"/>
        <v>0</v>
      </c>
      <c r="BD723" s="180">
        <f t="shared" ca="1" si="430"/>
        <v>0.05</v>
      </c>
      <c r="BE723" s="180">
        <f t="shared" ca="1" si="431"/>
        <v>0.05</v>
      </c>
      <c r="BF723" s="286">
        <f t="shared" ca="1" si="432"/>
        <v>0</v>
      </c>
      <c r="BG723" s="286">
        <f t="shared" ca="1" si="433"/>
        <v>0</v>
      </c>
    </row>
    <row r="724" spans="1:59">
      <c r="A724" s="1">
        <f t="shared" ca="1" si="413"/>
        <v>61</v>
      </c>
      <c r="B724" s="1">
        <f t="shared" ca="1" si="406"/>
        <v>166</v>
      </c>
      <c r="C724" s="1">
        <f t="shared" ca="1" si="407"/>
        <v>6</v>
      </c>
      <c r="D724" s="1">
        <f ca="1">MIN($D$3,VLOOKUP(C724,OP!$S$30:$T$41,2))</f>
        <v>2</v>
      </c>
      <c r="E724" s="1" t="str">
        <f t="shared" ca="1" si="408"/>
        <v/>
      </c>
      <c r="F724" s="11" t="str">
        <f t="shared" ca="1" si="414"/>
        <v/>
      </c>
      <c r="G724" s="6">
        <f ca="1">DATEDIF(DATE(B724+1911,C724,D724),DATE(B736+1911,C736,D736),"d")</f>
        <v>365</v>
      </c>
      <c r="H724" s="8">
        <f t="shared" ca="1" si="415"/>
        <v>30</v>
      </c>
      <c r="I724" s="8" t="str">
        <f t="shared" ca="1" si="412"/>
        <v>616</v>
      </c>
      <c r="J724" s="13">
        <f>IF(繳費報酬率資料!$A$1=1,VALUE(OP!$C$121),VLOOKUP(A724,MP,2,0))</f>
        <v>0.05</v>
      </c>
      <c r="K724" s="14">
        <f ca="1">IF(SUM($K$4:K723,IF(繳費報酬率資料!$A$1=1,$AU724+$AV724,$BB724+$BC724))&gt;OP!$L$58,0,IF(繳費報酬率資料!$A$1=1,$AU724+$AV724,$BB724+$BC724))</f>
        <v>0</v>
      </c>
      <c r="L724" s="2"/>
      <c r="M724" s="2"/>
      <c r="N724" s="2"/>
      <c r="O724" s="261">
        <f t="shared" ca="1" si="416"/>
        <v>0</v>
      </c>
      <c r="P724" s="261">
        <f t="shared" ca="1" si="434"/>
        <v>0</v>
      </c>
      <c r="Q724" s="3">
        <f ca="1">IF(A724&gt;MAX(OP!$R$17:$R$26),0,VLOOKUP(A724,fees,3,FALSE))</f>
        <v>0</v>
      </c>
      <c r="R724" s="200" t="str">
        <f t="shared" ca="1" si="417"/>
        <v/>
      </c>
      <c r="S724" s="9" t="str">
        <f ca="1">IF(COUNTIF(($T$4:T723),"F")&gt;=1,"",IF(OR(C725&lt;&gt;$C$3,E724=""),"",A724))</f>
        <v/>
      </c>
      <c r="T724" s="20" t="str">
        <f t="shared" ca="1" si="409"/>
        <v/>
      </c>
      <c r="U724" s="2">
        <f ca="1">IF(IF(OP!$C$83=1,$Z723,IF(OP!$C$83=2,$AA723,IF(OP!$C$83=3,$AB723,)))+$K724-$O724-$P724-$AS724&lt;OP!$C$142,0,$AS724)</f>
        <v>0</v>
      </c>
      <c r="V724" s="9"/>
      <c r="W724" s="19">
        <f ca="1">MAX(SUM($K$4:K724),0)</f>
        <v>2000000</v>
      </c>
      <c r="X724" s="19"/>
      <c r="Y724" s="19">
        <f t="shared" ca="1" si="435"/>
        <v>1920000</v>
      </c>
      <c r="Z724" s="2">
        <f ca="1">IF(MIN($Z$4:Z723)=0,0,MAX(0,($Z723+$K724-$O724-$P724)*IF(AND(F724="F",$D$3&lt;&gt;$G$3),((1+(-J724))^(H724/MIN(G724,365))),((1+(-J724))^(1/12)))-$U724))</f>
        <v>88076.729487850418</v>
      </c>
      <c r="AA724" s="2">
        <f ca="1">IF(MIN($AA$4:AA723)=0,0,MAX(0,($AA723+$K724-$O724-$P724)*IF(AND(F724="F",$D$3&lt;&gt;$G$3),((1+$AA$1)^(H724/MIN(G724,365))),((1+$AA$1)^(1/12)))-$U724))</f>
        <v>1920000</v>
      </c>
      <c r="AB724" s="2">
        <f ca="1">IF(MIN($AB$4:AB723)=0,0,MAX(0,($AB723+$K724-$O724-$P724)*IF(AND(F724="F",$D$3&lt;&gt;$G$3),((1+(J724))^(H724/MIN(G724,365))),((1+(J724))^(1/12)))-$U724))</f>
        <v>36010151.442497365</v>
      </c>
      <c r="AC724" s="21"/>
      <c r="AD724" s="21"/>
      <c r="AE724" s="21"/>
      <c r="AF724" s="282">
        <f t="shared" ca="1" si="418"/>
        <v>88077</v>
      </c>
      <c r="AG724" s="282">
        <f t="shared" ca="1" si="419"/>
        <v>1920000</v>
      </c>
      <c r="AH724" s="282">
        <f t="shared" ca="1" si="420"/>
        <v>36010151</v>
      </c>
      <c r="AI724" s="23" t="str">
        <f t="shared" ca="1" si="437"/>
        <v>61-2</v>
      </c>
      <c r="AJ724" s="281">
        <f ca="1">IF(E724&gt;111,,IF(AND(OP!$C$99=1,T724="F"),Z724,IF(AND(OP!$C$99=2,COUNTIF($T$4:T724,"F")=1),OP!$C$97+IF(F724="F",OP!$C$98,0),"")))</f>
        <v>0</v>
      </c>
      <c r="AK724" s="281">
        <f ca="1">IF(E724&gt;111,,IF(AND(OP!$D$99=1,T724="F"),AA724,IF(AND(OP!$D$99=2,COUNTIF($T$4:T724,"F")=1),OP!$D$97+IF(F724="F",OP!$D$98,0),"")))</f>
        <v>0</v>
      </c>
      <c r="AL724" s="281">
        <f ca="1">IF(E724&gt;111,,IF(AND(OP!$E$99=1,T724="F"),AB724,IF(AND(OP!$E$99=2,COUNTIF($T$4:T724,"F")=1),OP!$E$97+IF(F724="F",OP!$E$98,0),"")))</f>
        <v>0</v>
      </c>
      <c r="AM724" s="1">
        <f t="shared" ca="1" si="410"/>
        <v>2</v>
      </c>
      <c r="AN724" s="1" t="e">
        <f ca="1">IF(OR(VLOOKUP($A724,MP,5,0)="年繳",VLOOKUP($A724,MP,5,0)="半年繳",VLOOKUP($A724,MP,5,0)="季繳",VLOOKUP($A724,MP,5,0)="月繳"),1,"")</f>
        <v>#N/A</v>
      </c>
      <c r="AO724" s="1">
        <f t="shared" ca="1" si="421"/>
        <v>0</v>
      </c>
      <c r="AP724" s="1" t="str">
        <f ca="1">IF(AND(A724&lt;=OP!$C$120,COUNTIF(PAY,C724)=1),1,"")</f>
        <v/>
      </c>
      <c r="AR724" s="301">
        <f ca="1">IF(繳費報酬率資料!$A$1=1,$AY724+$AZ724,$BF724+$BG724)</f>
        <v>0</v>
      </c>
      <c r="AS724" s="1">
        <f ca="1">IF(C724&lt;&gt;IF($C$3=1,12,$C$3-1),0,IF(繳費報酬率資料!$A$1&lt;&gt;1,VLOOKUP($A724,MP,8,0),IF(AND($A724&gt;=OP!$C$79,$A724&lt;=OP!$C$80),OP!$C$78,)))</f>
        <v>0</v>
      </c>
      <c r="AT724" s="298">
        <f t="shared" ca="1" si="422"/>
        <v>0</v>
      </c>
      <c r="AU724" s="298">
        <f ca="1">IF(AND(A724&lt;=OP!$C$120,COUNTIF(PAY,C724)=1),OP!$C$123,0)</f>
        <v>0</v>
      </c>
      <c r="AV724" s="298">
        <f ca="1">IF(AND(A724&gt;=OP!$C$132,A724&lt;=OP!$C$133,$C$3=C724),OP!$C$135,0)</f>
        <v>0</v>
      </c>
      <c r="AW724" s="180">
        <f t="shared" ca="1" si="423"/>
        <v>0.05</v>
      </c>
      <c r="AX724" s="180">
        <f t="shared" ca="1" si="424"/>
        <v>0.05</v>
      </c>
      <c r="AY724" s="286">
        <f t="shared" ca="1" si="425"/>
        <v>0</v>
      </c>
      <c r="AZ724" s="286">
        <f t="shared" ca="1" si="426"/>
        <v>0</v>
      </c>
      <c r="BA724" s="286">
        <f t="shared" ca="1" si="427"/>
        <v>0</v>
      </c>
      <c r="BB724" s="286">
        <f t="shared" ca="1" si="428"/>
        <v>0</v>
      </c>
      <c r="BC724" s="286">
        <f t="shared" ca="1" si="429"/>
        <v>0</v>
      </c>
      <c r="BD724" s="180">
        <f t="shared" ca="1" si="430"/>
        <v>0.05</v>
      </c>
      <c r="BE724" s="180">
        <f t="shared" ca="1" si="431"/>
        <v>0.05</v>
      </c>
      <c r="BF724" s="286">
        <f t="shared" ca="1" si="432"/>
        <v>0</v>
      </c>
      <c r="BG724" s="286">
        <f t="shared" ca="1" si="433"/>
        <v>0</v>
      </c>
    </row>
    <row r="725" spans="1:59">
      <c r="A725" s="1">
        <f t="shared" ca="1" si="413"/>
        <v>61</v>
      </c>
      <c r="B725" s="1">
        <f t="shared" ca="1" si="406"/>
        <v>166</v>
      </c>
      <c r="C725" s="1">
        <f t="shared" ca="1" si="407"/>
        <v>7</v>
      </c>
      <c r="D725" s="1">
        <f ca="1">MIN($D$3,VLOOKUP(C725,OP!$S$30:$T$41,2))</f>
        <v>2</v>
      </c>
      <c r="E725" s="1" t="str">
        <f t="shared" ca="1" si="408"/>
        <v/>
      </c>
      <c r="F725" s="11" t="str">
        <f t="shared" ca="1" si="414"/>
        <v/>
      </c>
      <c r="G725" s="8">
        <f t="shared" ref="G725:G735" ca="1" si="438">G724</f>
        <v>365</v>
      </c>
      <c r="H725" s="8">
        <f t="shared" ca="1" si="415"/>
        <v>31</v>
      </c>
      <c r="I725" s="8" t="str">
        <f t="shared" ca="1" si="412"/>
        <v>617</v>
      </c>
      <c r="J725" s="13">
        <f>IF(繳費報酬率資料!$A$1=1,VALUE(OP!$C$121),VLOOKUP(A725,MP,2,0))</f>
        <v>0.05</v>
      </c>
      <c r="K725" s="14">
        <f ca="1">IF(SUM($K$4:K724,IF(繳費報酬率資料!$A$1=1,$AU725+$AV725,$BB725+$BC725))&gt;OP!$L$58,0,IF(繳費報酬率資料!$A$1=1,$AU725+$AV725,$BB725+$BC725))</f>
        <v>0</v>
      </c>
      <c r="L725" s="2"/>
      <c r="M725" s="2"/>
      <c r="N725" s="2"/>
      <c r="O725" s="261">
        <f t="shared" ca="1" si="416"/>
        <v>0</v>
      </c>
      <c r="P725" s="261">
        <f t="shared" ca="1" si="434"/>
        <v>0</v>
      </c>
      <c r="Q725" s="3">
        <f ca="1">IF(A725&gt;MAX(OP!$R$17:$R$26),0,VLOOKUP(A725,fees,3,FALSE))</f>
        <v>0</v>
      </c>
      <c r="R725" s="200" t="str">
        <f t="shared" ca="1" si="417"/>
        <v/>
      </c>
      <c r="S725" s="9" t="str">
        <f ca="1">IF(COUNTIF(($T$4:T724),"F")&gt;=1,"",IF(OR(C726&lt;&gt;$C$3,E725=""),"",A725))</f>
        <v/>
      </c>
      <c r="T725" s="20" t="str">
        <f t="shared" ca="1" si="409"/>
        <v/>
      </c>
      <c r="U725" s="2">
        <f ca="1">IF(IF(OP!$C$83=1,$Z724,IF(OP!$C$83=2,$AA724,IF(OP!$C$83=3,$AB724,)))+$K725-$O725-$P725-$AS725&lt;OP!$C$142,0,$AS725)</f>
        <v>0</v>
      </c>
      <c r="V725" s="9"/>
      <c r="W725" s="19">
        <f ca="1">MAX(SUM($K$4:K725),0)</f>
        <v>2000000</v>
      </c>
      <c r="X725" s="19"/>
      <c r="Y725" s="19">
        <f t="shared" ca="1" si="435"/>
        <v>1920000</v>
      </c>
      <c r="Z725" s="2">
        <f ca="1">IF(MIN($Z$4:Z724)=0,0,MAX(0,($Z724+$K725-$O725-$P725)*IF(AND(F725="F",$D$3&lt;&gt;$G$3),((1+(-J725))^(H725/MIN(G725,365))),((1+(-J725))^(1/12)))-$U725))</f>
        <v>87701.054159699765</v>
      </c>
      <c r="AA725" s="2">
        <f ca="1">IF(MIN($AA$4:AA724)=0,0,MAX(0,($AA724+$K725-$O725-$P725)*IF(AND(F725="F",$D$3&lt;&gt;$G$3),((1+$AA$1)^(H725/MIN(G725,365))),((1+$AA$1)^(1/12)))-$U725))</f>
        <v>1920000</v>
      </c>
      <c r="AB725" s="2">
        <f ca="1">IF(MIN($AB$4:AB724)=0,0,MAX(0,($AB724+$K725-$O725-$P725)*IF(AND(F725="F",$D$3&lt;&gt;$G$3),((1+(J725))^(H725/MIN(G725,365))),((1+(J725))^(1/12)))-$U725))</f>
        <v>36156861.256942026</v>
      </c>
      <c r="AC725" s="5"/>
      <c r="AD725" s="5"/>
      <c r="AE725" s="5"/>
      <c r="AF725" s="282">
        <f t="shared" ca="1" si="418"/>
        <v>87701</v>
      </c>
      <c r="AG725" s="282">
        <f t="shared" ca="1" si="419"/>
        <v>1920000</v>
      </c>
      <c r="AH725" s="282">
        <f t="shared" ca="1" si="420"/>
        <v>36156861</v>
      </c>
      <c r="AI725" s="23" t="str">
        <f t="shared" ca="1" si="437"/>
        <v>61-3</v>
      </c>
      <c r="AJ725" s="282">
        <f ca="1">IF(E725&gt;111,,IF(AND(OP!$C$99=1,T725="F"),Z725,IF(AND(OP!$C$99=2,COUNTIF($T$4:T725,"F")=1),OP!$C$97+IF(F725="F",OP!$C$98,0),"")))</f>
        <v>0</v>
      </c>
      <c r="AK725" s="282">
        <f ca="1">IF(E725&gt;111,,IF(AND(OP!$D$99=1,T725="F"),AA725,IF(AND(OP!$D$99=2,COUNTIF($T$4:T725,"F")=1),OP!$D$97+IF(F725="F",OP!$D$98,0),"")))</f>
        <v>0</v>
      </c>
      <c r="AL725" s="282">
        <f ca="1">IF(E725&gt;111,,IF(AND(OP!$E$99=1,T725="F"),AB725,IF(AND(OP!$E$99=2,COUNTIF($T$4:T725,"F")=1),OP!$E$97+IF(F725="F",OP!$E$98,0),"")))</f>
        <v>0</v>
      </c>
      <c r="AM725" s="1">
        <f t="shared" ca="1" si="410"/>
        <v>3</v>
      </c>
      <c r="AN725" s="1" t="e">
        <f ca="1">IF(OR(VLOOKUP($A725,MP,5,0)="月繳"),1,"")</f>
        <v>#N/A</v>
      </c>
      <c r="AO725" s="1">
        <f t="shared" ca="1" si="421"/>
        <v>0</v>
      </c>
      <c r="AP725" s="1" t="str">
        <f ca="1">IF(AND(A725&lt;=OP!$C$120,COUNTIF(PAY,C725)=1),1,"")</f>
        <v/>
      </c>
      <c r="AR725" s="301">
        <f ca="1">IF(繳費報酬率資料!$A$1=1,$AY725+$AZ725,$BF725+$BG725)</f>
        <v>0</v>
      </c>
      <c r="AS725" s="1">
        <f ca="1">IF(C725&lt;&gt;IF($C$3=1,12,$C$3-1),0,IF(繳費報酬率資料!$A$1&lt;&gt;1,VLOOKUP($A725,MP,8,0),IF(AND($A725&gt;=OP!$C$79,$A725&lt;=OP!$C$80),OP!$C$78,)))</f>
        <v>0</v>
      </c>
      <c r="AT725" s="298">
        <f t="shared" ca="1" si="422"/>
        <v>0</v>
      </c>
      <c r="AU725" s="298">
        <f ca="1">IF(AND(A725&lt;=OP!$C$120,COUNTIF(PAY,C725)=1),OP!$C$123,0)</f>
        <v>0</v>
      </c>
      <c r="AV725" s="298">
        <f ca="1">IF(AND(A725&gt;=OP!$C$132,A725&lt;=OP!$C$133,$C$3=C725),OP!$C$135,0)</f>
        <v>0</v>
      </c>
      <c r="AW725" s="180">
        <f t="shared" ca="1" si="423"/>
        <v>0.05</v>
      </c>
      <c r="AX725" s="180">
        <f t="shared" ca="1" si="424"/>
        <v>0.05</v>
      </c>
      <c r="AY725" s="286">
        <f t="shared" ca="1" si="425"/>
        <v>0</v>
      </c>
      <c r="AZ725" s="286">
        <f t="shared" ca="1" si="426"/>
        <v>0</v>
      </c>
      <c r="BA725" s="286">
        <f t="shared" ca="1" si="427"/>
        <v>0</v>
      </c>
      <c r="BB725" s="286">
        <f t="shared" ca="1" si="428"/>
        <v>0</v>
      </c>
      <c r="BC725" s="286">
        <f t="shared" ca="1" si="429"/>
        <v>0</v>
      </c>
      <c r="BD725" s="180">
        <f t="shared" ca="1" si="430"/>
        <v>0.05</v>
      </c>
      <c r="BE725" s="180">
        <f t="shared" ca="1" si="431"/>
        <v>0.05</v>
      </c>
      <c r="BF725" s="286">
        <f t="shared" ca="1" si="432"/>
        <v>0</v>
      </c>
      <c r="BG725" s="286">
        <f t="shared" ca="1" si="433"/>
        <v>0</v>
      </c>
    </row>
    <row r="726" spans="1:59">
      <c r="A726" s="1">
        <f t="shared" ca="1" si="413"/>
        <v>61</v>
      </c>
      <c r="B726" s="1">
        <f t="shared" ca="1" si="406"/>
        <v>166</v>
      </c>
      <c r="C726" s="1">
        <f t="shared" ca="1" si="407"/>
        <v>8</v>
      </c>
      <c r="D726" s="1">
        <f ca="1">MIN($D$3,VLOOKUP(C726,OP!$S$30:$T$41,2))</f>
        <v>2</v>
      </c>
      <c r="E726" s="1" t="str">
        <f t="shared" ca="1" si="408"/>
        <v/>
      </c>
      <c r="F726" s="11" t="str">
        <f t="shared" ca="1" si="414"/>
        <v/>
      </c>
      <c r="G726" s="8">
        <f t="shared" ca="1" si="438"/>
        <v>365</v>
      </c>
      <c r="H726" s="8">
        <f t="shared" ca="1" si="415"/>
        <v>31</v>
      </c>
      <c r="I726" s="8" t="str">
        <f t="shared" ca="1" si="412"/>
        <v>618</v>
      </c>
      <c r="J726" s="13">
        <f>IF(繳費報酬率資料!$A$1=1,VALUE(OP!$C$121),VLOOKUP(A726,MP,2,0))</f>
        <v>0.05</v>
      </c>
      <c r="K726" s="14">
        <f ca="1">IF(SUM($K$4:K725,IF(繳費報酬率資料!$A$1=1,$AU726+$AV726,$BB726+$BC726))&gt;OP!$L$58,0,IF(繳費報酬率資料!$A$1=1,$AU726+$AV726,$BB726+$BC726))</f>
        <v>0</v>
      </c>
      <c r="L726" s="2"/>
      <c r="M726" s="2"/>
      <c r="N726" s="2"/>
      <c r="O726" s="261">
        <f t="shared" ca="1" si="416"/>
        <v>0</v>
      </c>
      <c r="P726" s="261">
        <f t="shared" ca="1" si="434"/>
        <v>0</v>
      </c>
      <c r="Q726" s="3">
        <f ca="1">IF(A726&gt;MAX(OP!$R$17:$R$26),0,VLOOKUP(A726,fees,3,FALSE))</f>
        <v>0</v>
      </c>
      <c r="R726" s="200" t="str">
        <f t="shared" ca="1" si="417"/>
        <v/>
      </c>
      <c r="S726" s="9" t="str">
        <f ca="1">IF(COUNTIF(($T$4:T725),"F")&gt;=1,"",IF(OR(C727&lt;&gt;$C$3,E726=""),"",A726))</f>
        <v/>
      </c>
      <c r="T726" s="20" t="str">
        <f t="shared" ca="1" si="409"/>
        <v/>
      </c>
      <c r="U726" s="2">
        <f ca="1">IF(IF(OP!$C$83=1,$Z725,IF(OP!$C$83=2,$AA725,IF(OP!$C$83=3,$AB725,)))+$K726-$O726-$P726-$AS726&lt;OP!$C$142,0,$AS726)</f>
        <v>0</v>
      </c>
      <c r="V726" s="9"/>
      <c r="W726" s="19">
        <f ca="1">MAX(SUM($K$4:K726),0)</f>
        <v>2000000</v>
      </c>
      <c r="X726" s="19"/>
      <c r="Y726" s="19">
        <f t="shared" ca="1" si="435"/>
        <v>1920000</v>
      </c>
      <c r="Z726" s="2">
        <f ca="1">IF(MIN($Z$4:Z725)=0,0,MAX(0,($Z725+$K726-$O726-$P726)*IF(AND(F726="F",$D$3&lt;&gt;$G$3),((1+(-J726))^(H726/MIN(G726,365))),((1+(-J726))^(1/12)))-$U726))</f>
        <v>87326.981206580531</v>
      </c>
      <c r="AA726" s="2">
        <f ca="1">IF(MIN($AA$4:AA725)=0,0,MAX(0,($AA725+$K726-$O726-$P726)*IF(AND(F726="F",$D$3&lt;&gt;$G$3),((1+$AA$1)^(H726/MIN(G726,365))),((1+$AA$1)^(1/12)))-$U726))</f>
        <v>1920000</v>
      </c>
      <c r="AB726" s="2">
        <f ca="1">IF(MIN($AB$4:AB725)=0,0,MAX(0,($AB725+$K726-$O726-$P726)*IF(AND(F726="F",$D$3&lt;&gt;$G$3),((1+(J726))^(H726/MIN(G726,365))),((1+(J726))^(1/12)))-$U726))</f>
        <v>36304168.785331011</v>
      </c>
      <c r="AC726" s="5"/>
      <c r="AD726" s="5"/>
      <c r="AE726" s="5"/>
      <c r="AF726" s="282">
        <f t="shared" ca="1" si="418"/>
        <v>87327</v>
      </c>
      <c r="AG726" s="282">
        <f t="shared" ca="1" si="419"/>
        <v>1920000</v>
      </c>
      <c r="AH726" s="282">
        <f t="shared" ca="1" si="420"/>
        <v>36304169</v>
      </c>
      <c r="AI726" s="23" t="str">
        <f t="shared" ca="1" si="437"/>
        <v>61-4</v>
      </c>
      <c r="AJ726" s="282">
        <f ca="1">IF(E726&gt;111,,IF(AND(OP!$C$99=1,T726="F"),Z726,IF(AND(OP!$C$99=2,COUNTIF($T$4:T726,"F")=1),OP!$C$97+IF(F726="F",OP!$C$98,0),"")))</f>
        <v>0</v>
      </c>
      <c r="AK726" s="282">
        <f ca="1">IF(E726&gt;111,,IF(AND(OP!$D$99=1,T726="F"),AA726,IF(AND(OP!$D$99=2,COUNTIF($T$4:T726,"F")=1),OP!$D$97+IF(F726="F",OP!$D$98,0),"")))</f>
        <v>0</v>
      </c>
      <c r="AL726" s="282">
        <f ca="1">IF(E726&gt;111,,IF(AND(OP!$E$99=1,T726="F"),AB726,IF(AND(OP!$E$99=2,COUNTIF($T$4:T726,"F")=1),OP!$E$97+IF(F726="F",OP!$E$98,0),"")))</f>
        <v>0</v>
      </c>
      <c r="AM726" s="1">
        <f t="shared" ca="1" si="410"/>
        <v>4</v>
      </c>
      <c r="AN726" s="1" t="e">
        <f ca="1">IF(OR(VLOOKUP($A726,MP,5,0)="月繳"),1,"")</f>
        <v>#N/A</v>
      </c>
      <c r="AO726" s="1">
        <f t="shared" ca="1" si="421"/>
        <v>0</v>
      </c>
      <c r="AP726" s="1" t="str">
        <f ca="1">IF(AND(A726&lt;=OP!$C$120,COUNTIF(PAY,C726)=1),1,"")</f>
        <v/>
      </c>
      <c r="AR726" s="301">
        <f ca="1">IF(繳費報酬率資料!$A$1=1,$AY726+$AZ726,$BF726+$BG726)</f>
        <v>0</v>
      </c>
      <c r="AS726" s="1">
        <f ca="1">IF(C726&lt;&gt;IF($C$3=1,12,$C$3-1),0,IF(繳費報酬率資料!$A$1&lt;&gt;1,VLOOKUP($A726,MP,8,0),IF(AND($A726&gt;=OP!$C$79,$A726&lt;=OP!$C$80),OP!$C$78,)))</f>
        <v>0</v>
      </c>
      <c r="AT726" s="298">
        <f t="shared" ca="1" si="422"/>
        <v>0</v>
      </c>
      <c r="AU726" s="298">
        <f ca="1">IF(AND(A726&lt;=OP!$C$120,COUNTIF(PAY,C726)=1),OP!$C$123,0)</f>
        <v>0</v>
      </c>
      <c r="AV726" s="298">
        <f ca="1">IF(AND(A726&gt;=OP!$C$132,A726&lt;=OP!$C$133,$C$3=C726),OP!$C$135,0)</f>
        <v>0</v>
      </c>
      <c r="AW726" s="180">
        <f t="shared" ca="1" si="423"/>
        <v>0.05</v>
      </c>
      <c r="AX726" s="180">
        <f t="shared" ca="1" si="424"/>
        <v>0.05</v>
      </c>
      <c r="AY726" s="286">
        <f t="shared" ca="1" si="425"/>
        <v>0</v>
      </c>
      <c r="AZ726" s="286">
        <f t="shared" ca="1" si="426"/>
        <v>0</v>
      </c>
      <c r="BA726" s="286">
        <f t="shared" ca="1" si="427"/>
        <v>0</v>
      </c>
      <c r="BB726" s="286">
        <f t="shared" ca="1" si="428"/>
        <v>0</v>
      </c>
      <c r="BC726" s="286">
        <f t="shared" ca="1" si="429"/>
        <v>0</v>
      </c>
      <c r="BD726" s="180">
        <f t="shared" ca="1" si="430"/>
        <v>0.05</v>
      </c>
      <c r="BE726" s="180">
        <f t="shared" ca="1" si="431"/>
        <v>0.05</v>
      </c>
      <c r="BF726" s="286">
        <f t="shared" ca="1" si="432"/>
        <v>0</v>
      </c>
      <c r="BG726" s="286">
        <f t="shared" ca="1" si="433"/>
        <v>0</v>
      </c>
    </row>
    <row r="727" spans="1:59">
      <c r="A727" s="1">
        <f t="shared" ca="1" si="413"/>
        <v>61</v>
      </c>
      <c r="B727" s="1">
        <f t="shared" ca="1" si="406"/>
        <v>166</v>
      </c>
      <c r="C727" s="1">
        <f t="shared" ca="1" si="407"/>
        <v>9</v>
      </c>
      <c r="D727" s="1">
        <f ca="1">MIN($D$3,VLOOKUP(C727,OP!$S$30:$T$41,2))</f>
        <v>2</v>
      </c>
      <c r="E727" s="1" t="str">
        <f t="shared" ca="1" si="408"/>
        <v/>
      </c>
      <c r="F727" s="11" t="str">
        <f t="shared" ca="1" si="414"/>
        <v/>
      </c>
      <c r="G727" s="8">
        <f t="shared" ca="1" si="438"/>
        <v>365</v>
      </c>
      <c r="H727" s="8">
        <f t="shared" ca="1" si="415"/>
        <v>30</v>
      </c>
      <c r="I727" s="8" t="str">
        <f t="shared" ca="1" si="412"/>
        <v>619</v>
      </c>
      <c r="J727" s="13">
        <f>IF(繳費報酬率資料!$A$1=1,VALUE(OP!$C$121),VLOOKUP(A727,MP,2,0))</f>
        <v>0.05</v>
      </c>
      <c r="K727" s="14">
        <f ca="1">IF(SUM($K$4:K726,IF(繳費報酬率資料!$A$1=1,$AU727+$AV727,$BB727+$BC727))&gt;OP!$L$58,0,IF(繳費報酬率資料!$A$1=1,$AU727+$AV727,$BB727+$BC727))</f>
        <v>0</v>
      </c>
      <c r="L727" s="2"/>
      <c r="M727" s="2"/>
      <c r="N727" s="2"/>
      <c r="O727" s="261">
        <f t="shared" ca="1" si="416"/>
        <v>0</v>
      </c>
      <c r="P727" s="261">
        <f t="shared" ca="1" si="434"/>
        <v>0</v>
      </c>
      <c r="Q727" s="3">
        <f ca="1">IF(A727&gt;MAX(OP!$R$17:$R$26),0,VLOOKUP(A727,fees,3,FALSE))</f>
        <v>0</v>
      </c>
      <c r="R727" s="200" t="str">
        <f t="shared" ca="1" si="417"/>
        <v/>
      </c>
      <c r="S727" s="9" t="str">
        <f ca="1">IF(COUNTIF(($T$4:T726),"F")&gt;=1,"",IF(OR(C728&lt;&gt;$C$3,E727=""),"",A727))</f>
        <v/>
      </c>
      <c r="T727" s="20" t="str">
        <f t="shared" ca="1" si="409"/>
        <v/>
      </c>
      <c r="U727" s="2">
        <f ca="1">IF(IF(OP!$C$83=1,$Z726,IF(OP!$C$83=2,$AA726,IF(OP!$C$83=3,$AB726,)))+$K727-$O727-$P727-$AS727&lt;OP!$C$142,0,$AS727)</f>
        <v>0</v>
      </c>
      <c r="V727" s="9"/>
      <c r="W727" s="19">
        <f ca="1">MAX(SUM($K$4:K727),0)</f>
        <v>2000000</v>
      </c>
      <c r="X727" s="19"/>
      <c r="Y727" s="19">
        <f t="shared" ca="1" si="435"/>
        <v>1920000</v>
      </c>
      <c r="Z727" s="2">
        <f ca="1">IF(MIN($Z$4:Z726)=0,0,MAX(0,($Z726+$K727-$O727-$P727)*IF(AND(F727="F",$D$3&lt;&gt;$G$3),((1+(-J727))^(H727/MIN(G727,365))),((1+(-J727))^(1/12)))-$U727))</f>
        <v>86954.503793852418</v>
      </c>
      <c r="AA727" s="2">
        <f ca="1">IF(MIN($AA$4:AA726)=0,0,MAX(0,($AA726+$K727-$O727-$P727)*IF(AND(F727="F",$D$3&lt;&gt;$G$3),((1+$AA$1)^(H727/MIN(G727,365))),((1+$AA$1)^(1/12)))-$U727))</f>
        <v>1920000</v>
      </c>
      <c r="AB727" s="2">
        <f ca="1">IF(MIN($AB$4:AB726)=0,0,MAX(0,($AB726+$K727-$O727-$P727)*IF(AND(F727="F",$D$3&lt;&gt;$G$3),((1+(J727))^(H727/MIN(G727,365))),((1+(J727))^(1/12)))-$U727))</f>
        <v>36452076.462824911</v>
      </c>
      <c r="AC727" s="5"/>
      <c r="AD727" s="5"/>
      <c r="AE727" s="5"/>
      <c r="AF727" s="282">
        <f t="shared" ca="1" si="418"/>
        <v>86955</v>
      </c>
      <c r="AG727" s="282">
        <f t="shared" ca="1" si="419"/>
        <v>1920000</v>
      </c>
      <c r="AH727" s="282">
        <f t="shared" ca="1" si="420"/>
        <v>36452076</v>
      </c>
      <c r="AI727" s="23" t="str">
        <f t="shared" ca="1" si="437"/>
        <v>61-5</v>
      </c>
      <c r="AJ727" s="282">
        <f ca="1">IF(E727&gt;111,,IF(AND(OP!$C$99=1,T727="F"),Z727,IF(AND(OP!$C$99=2,COUNTIF($T$4:T727,"F")=1),OP!$C$97+IF(F727="F",OP!$C$98,0),"")))</f>
        <v>0</v>
      </c>
      <c r="AK727" s="282">
        <f ca="1">IF(E727&gt;111,,IF(AND(OP!$D$99=1,T727="F"),AA727,IF(AND(OP!$D$99=2,COUNTIF($T$4:T727,"F")=1),OP!$D$97+IF(F727="F",OP!$D$98,0),"")))</f>
        <v>0</v>
      </c>
      <c r="AL727" s="282">
        <f ca="1">IF(E727&gt;111,,IF(AND(OP!$E$99=1,T727="F"),AB727,IF(AND(OP!$E$99=2,COUNTIF($T$4:T727,"F")=1),OP!$E$97+IF(F727="F",OP!$E$98,0),"")))</f>
        <v>0</v>
      </c>
      <c r="AM727" s="1">
        <f t="shared" ca="1" si="410"/>
        <v>5</v>
      </c>
      <c r="AN727" s="1" t="e">
        <f ca="1">IF(OR(VLOOKUP($A727,MP,5,0)="季繳",VLOOKUP($A727,MP,5,0)="月繳"),1,"")</f>
        <v>#N/A</v>
      </c>
      <c r="AO727" s="1">
        <f t="shared" ca="1" si="421"/>
        <v>0</v>
      </c>
      <c r="AP727" s="1" t="str">
        <f ca="1">IF(AND(A727&lt;=OP!$C$120,COUNTIF(PAY,C727)=1),1,"")</f>
        <v/>
      </c>
      <c r="AR727" s="301">
        <f ca="1">IF(繳費報酬率資料!$A$1=1,$AY727+$AZ727,$BF727+$BG727)</f>
        <v>0</v>
      </c>
      <c r="AS727" s="1">
        <f ca="1">IF(C727&lt;&gt;IF($C$3=1,12,$C$3-1),0,IF(繳費報酬率資料!$A$1&lt;&gt;1,VLOOKUP($A727,MP,8,0),IF(AND($A727&gt;=OP!$C$79,$A727&lt;=OP!$C$80),OP!$C$78,)))</f>
        <v>0</v>
      </c>
      <c r="AT727" s="298">
        <f t="shared" ca="1" si="422"/>
        <v>0</v>
      </c>
      <c r="AU727" s="298">
        <f ca="1">IF(AND(A727&lt;=OP!$C$120,COUNTIF(PAY,C727)=1),OP!$C$123,0)</f>
        <v>0</v>
      </c>
      <c r="AV727" s="298">
        <f ca="1">IF(AND(A727&gt;=OP!$C$132,A727&lt;=OP!$C$133,$C$3=C727),OP!$C$135,0)</f>
        <v>0</v>
      </c>
      <c r="AW727" s="180">
        <f t="shared" ca="1" si="423"/>
        <v>0.05</v>
      </c>
      <c r="AX727" s="180">
        <f t="shared" ca="1" si="424"/>
        <v>0.05</v>
      </c>
      <c r="AY727" s="286">
        <f t="shared" ca="1" si="425"/>
        <v>0</v>
      </c>
      <c r="AZ727" s="286">
        <f t="shared" ca="1" si="426"/>
        <v>0</v>
      </c>
      <c r="BA727" s="286">
        <f t="shared" ca="1" si="427"/>
        <v>0</v>
      </c>
      <c r="BB727" s="286">
        <f t="shared" ca="1" si="428"/>
        <v>0</v>
      </c>
      <c r="BC727" s="286">
        <f t="shared" ca="1" si="429"/>
        <v>0</v>
      </c>
      <c r="BD727" s="180">
        <f t="shared" ca="1" si="430"/>
        <v>0.05</v>
      </c>
      <c r="BE727" s="180">
        <f t="shared" ca="1" si="431"/>
        <v>0.05</v>
      </c>
      <c r="BF727" s="286">
        <f t="shared" ca="1" si="432"/>
        <v>0</v>
      </c>
      <c r="BG727" s="286">
        <f t="shared" ca="1" si="433"/>
        <v>0</v>
      </c>
    </row>
    <row r="728" spans="1:59">
      <c r="A728" s="1">
        <f t="shared" ca="1" si="413"/>
        <v>61</v>
      </c>
      <c r="B728" s="1">
        <f t="shared" ca="1" si="406"/>
        <v>166</v>
      </c>
      <c r="C728" s="1">
        <f t="shared" ca="1" si="407"/>
        <v>10</v>
      </c>
      <c r="D728" s="1">
        <f ca="1">MIN($D$3,VLOOKUP(C728,OP!$S$30:$T$41,2))</f>
        <v>2</v>
      </c>
      <c r="E728" s="1" t="str">
        <f t="shared" ca="1" si="408"/>
        <v/>
      </c>
      <c r="F728" s="11" t="str">
        <f t="shared" ca="1" si="414"/>
        <v/>
      </c>
      <c r="G728" s="8">
        <f t="shared" ca="1" si="438"/>
        <v>365</v>
      </c>
      <c r="H728" s="8">
        <f t="shared" ca="1" si="415"/>
        <v>31</v>
      </c>
      <c r="I728" s="8" t="str">
        <f t="shared" ca="1" si="412"/>
        <v>6110</v>
      </c>
      <c r="J728" s="13">
        <f>IF(繳費報酬率資料!$A$1=1,VALUE(OP!$C$121),VLOOKUP(A728,MP,2,0))</f>
        <v>0.05</v>
      </c>
      <c r="K728" s="14">
        <f ca="1">IF(SUM($K$4:K727,IF(繳費報酬率資料!$A$1=1,$AU728+$AV728,$BB728+$BC728))&gt;OP!$L$58,0,IF(繳費報酬率資料!$A$1=1,$AU728+$AV728,$BB728+$BC728))</f>
        <v>0</v>
      </c>
      <c r="L728" s="2"/>
      <c r="M728" s="2"/>
      <c r="N728" s="2"/>
      <c r="O728" s="261">
        <f t="shared" ca="1" si="416"/>
        <v>0</v>
      </c>
      <c r="P728" s="261">
        <f t="shared" ca="1" si="434"/>
        <v>0</v>
      </c>
      <c r="Q728" s="3">
        <f ca="1">IF(A728&gt;MAX(OP!$R$17:$R$26),0,VLOOKUP(A728,fees,3,FALSE))</f>
        <v>0</v>
      </c>
      <c r="R728" s="200" t="str">
        <f t="shared" ca="1" si="417"/>
        <v/>
      </c>
      <c r="S728" s="9" t="str">
        <f ca="1">IF(COUNTIF(($T$4:T727),"F")&gt;=1,"",IF(OR(C729&lt;&gt;$C$3,E728=""),"",A728))</f>
        <v/>
      </c>
      <c r="T728" s="20" t="str">
        <f t="shared" ca="1" si="409"/>
        <v/>
      </c>
      <c r="U728" s="2">
        <f ca="1">IF(IF(OP!$C$83=1,$Z727,IF(OP!$C$83=2,$AA727,IF(OP!$C$83=3,$AB727,)))+$K728-$O728-$P728-$AS728&lt;OP!$C$142,0,$AS728)</f>
        <v>0</v>
      </c>
      <c r="V728" s="9"/>
      <c r="W728" s="19">
        <f ca="1">MAX(SUM($K$4:K728),0)</f>
        <v>2000000</v>
      </c>
      <c r="X728" s="19"/>
      <c r="Y728" s="19">
        <f t="shared" ca="1" si="435"/>
        <v>1920000</v>
      </c>
      <c r="Z728" s="2">
        <f ca="1">IF(MIN($Z$4:Z727)=0,0,MAX(0,($Z727+$K728-$O728-$P728)*IF(AND(F728="F",$D$3&lt;&gt;$G$3),((1+(-J728))^(H728/MIN(G728,365))),((1+(-J728))^(1/12)))-$U728))</f>
        <v>86583.615116027038</v>
      </c>
      <c r="AA728" s="2">
        <f ca="1">IF(MIN($AA$4:AA727)=0,0,MAX(0,($AA727+$K728-$O728-$P728)*IF(AND(F728="F",$D$3&lt;&gt;$G$3),((1+$AA$1)^(H728/MIN(G728,365))),((1+$AA$1)^(1/12)))-$U728))</f>
        <v>1920000</v>
      </c>
      <c r="AB728" s="2">
        <f ca="1">IF(MIN($AB$4:AB727)=0,0,MAX(0,($AB727+$K728-$O728-$P728)*IF(AND(F728="F",$D$3&lt;&gt;$G$3),((1+(J728))^(H728/MIN(G728,365))),((1+(J728))^(1/12)))-$U728))</f>
        <v>36600586.734505475</v>
      </c>
      <c r="AC728" s="5"/>
      <c r="AD728" s="5"/>
      <c r="AE728" s="5"/>
      <c r="AF728" s="282">
        <f t="shared" ca="1" si="418"/>
        <v>86584</v>
      </c>
      <c r="AG728" s="282">
        <f t="shared" ca="1" si="419"/>
        <v>1920000</v>
      </c>
      <c r="AH728" s="282">
        <f t="shared" ca="1" si="420"/>
        <v>36600587</v>
      </c>
      <c r="AI728" s="23" t="str">
        <f t="shared" ca="1" si="437"/>
        <v>61-6</v>
      </c>
      <c r="AJ728" s="282">
        <f ca="1">IF(E728&gt;111,,IF(AND(OP!$C$99=1,T728="F"),Z728,IF(AND(OP!$C$99=2,COUNTIF($T$4:T728,"F")=1),OP!$C$97+IF(F728="F",OP!$C$98,0),"")))</f>
        <v>0</v>
      </c>
      <c r="AK728" s="282">
        <f ca="1">IF(E728&gt;111,,IF(AND(OP!$D$99=1,T728="F"),AA728,IF(AND(OP!$D$99=2,COUNTIF($T$4:T728,"F")=1),OP!$D$97+IF(F728="F",OP!$D$98,0),"")))</f>
        <v>0</v>
      </c>
      <c r="AL728" s="282">
        <f ca="1">IF(E728&gt;111,,IF(AND(OP!$E$99=1,T728="F"),AB728,IF(AND(OP!$E$99=2,COUNTIF($T$4:T728,"F")=1),OP!$E$97+IF(F728="F",OP!$E$98,0),"")))</f>
        <v>0</v>
      </c>
      <c r="AM728" s="1">
        <f t="shared" ca="1" si="410"/>
        <v>6</v>
      </c>
      <c r="AN728" s="1" t="e">
        <f ca="1">IF(OR(VLOOKUP($A728,MP,5,0)="月繳"),1,"")</f>
        <v>#N/A</v>
      </c>
      <c r="AO728" s="1">
        <f t="shared" ca="1" si="421"/>
        <v>0</v>
      </c>
      <c r="AP728" s="1" t="str">
        <f ca="1">IF(AND(A728&lt;=OP!$C$120,COUNTIF(PAY,C728)=1),1,"")</f>
        <v/>
      </c>
      <c r="AR728" s="301">
        <f ca="1">IF(繳費報酬率資料!$A$1=1,$AY728+$AZ728,$BF728+$BG728)</f>
        <v>0</v>
      </c>
      <c r="AS728" s="1">
        <f ca="1">IF(C728&lt;&gt;IF($C$3=1,12,$C$3-1),0,IF(繳費報酬率資料!$A$1&lt;&gt;1,VLOOKUP($A728,MP,8,0),IF(AND($A728&gt;=OP!$C$79,$A728&lt;=OP!$C$80),OP!$C$78,)))</f>
        <v>0</v>
      </c>
      <c r="AT728" s="298">
        <f t="shared" ca="1" si="422"/>
        <v>0</v>
      </c>
      <c r="AU728" s="298">
        <f ca="1">IF(AND(A728&lt;=OP!$C$120,COUNTIF(PAY,C728)=1),OP!$C$123,0)</f>
        <v>0</v>
      </c>
      <c r="AV728" s="298">
        <f ca="1">IF(AND(A728&gt;=OP!$C$132,A728&lt;=OP!$C$133,$C$3=C728),OP!$C$135,0)</f>
        <v>0</v>
      </c>
      <c r="AW728" s="180">
        <f t="shared" ca="1" si="423"/>
        <v>0.05</v>
      </c>
      <c r="AX728" s="180">
        <f t="shared" ca="1" si="424"/>
        <v>0.05</v>
      </c>
      <c r="AY728" s="286">
        <f t="shared" ca="1" si="425"/>
        <v>0</v>
      </c>
      <c r="AZ728" s="286">
        <f t="shared" ca="1" si="426"/>
        <v>0</v>
      </c>
      <c r="BA728" s="286">
        <f t="shared" ca="1" si="427"/>
        <v>0</v>
      </c>
      <c r="BB728" s="286">
        <f t="shared" ca="1" si="428"/>
        <v>0</v>
      </c>
      <c r="BC728" s="286">
        <f t="shared" ca="1" si="429"/>
        <v>0</v>
      </c>
      <c r="BD728" s="180">
        <f t="shared" ca="1" si="430"/>
        <v>0.05</v>
      </c>
      <c r="BE728" s="180">
        <f t="shared" ca="1" si="431"/>
        <v>0.05</v>
      </c>
      <c r="BF728" s="286">
        <f t="shared" ca="1" si="432"/>
        <v>0</v>
      </c>
      <c r="BG728" s="286">
        <f t="shared" ca="1" si="433"/>
        <v>0</v>
      </c>
    </row>
    <row r="729" spans="1:59">
      <c r="A729" s="1">
        <f t="shared" ca="1" si="413"/>
        <v>61</v>
      </c>
      <c r="B729" s="1">
        <f t="shared" ca="1" si="406"/>
        <v>166</v>
      </c>
      <c r="C729" s="1">
        <f t="shared" ca="1" si="407"/>
        <v>11</v>
      </c>
      <c r="D729" s="1">
        <f ca="1">MIN($D$3,VLOOKUP(C729,OP!$S$30:$T$41,2))</f>
        <v>2</v>
      </c>
      <c r="E729" s="1" t="str">
        <f t="shared" ca="1" si="408"/>
        <v/>
      </c>
      <c r="F729" s="11" t="str">
        <f t="shared" ca="1" si="414"/>
        <v/>
      </c>
      <c r="G729" s="8">
        <f t="shared" ca="1" si="438"/>
        <v>365</v>
      </c>
      <c r="H729" s="8">
        <f t="shared" ca="1" si="415"/>
        <v>30</v>
      </c>
      <c r="I729" s="8" t="str">
        <f t="shared" ca="1" si="412"/>
        <v>6111</v>
      </c>
      <c r="J729" s="13">
        <f>IF(繳費報酬率資料!$A$1=1,VALUE(OP!$C$121),VLOOKUP(A729,MP,2,0))</f>
        <v>0.05</v>
      </c>
      <c r="K729" s="14">
        <f ca="1">IF(SUM($K$4:K728,IF(繳費報酬率資料!$A$1=1,$AU729+$AV729,$BB729+$BC729))&gt;OP!$L$58,0,IF(繳費報酬率資料!$A$1=1,$AU729+$AV729,$BB729+$BC729))</f>
        <v>0</v>
      </c>
      <c r="L729" s="2"/>
      <c r="M729" s="2"/>
      <c r="N729" s="2"/>
      <c r="O729" s="261">
        <f t="shared" ca="1" si="416"/>
        <v>0</v>
      </c>
      <c r="P729" s="261">
        <f t="shared" ca="1" si="434"/>
        <v>0</v>
      </c>
      <c r="Q729" s="3">
        <f ca="1">IF(A729&gt;MAX(OP!$R$17:$R$26),0,VLOOKUP(A729,fees,3,FALSE))</f>
        <v>0</v>
      </c>
      <c r="R729" s="200" t="str">
        <f t="shared" ca="1" si="417"/>
        <v/>
      </c>
      <c r="S729" s="9" t="str">
        <f ca="1">IF(COUNTIF(($T$4:T728),"F")&gt;=1,"",IF(OR(C730&lt;&gt;$C$3,E729=""),"",A729))</f>
        <v/>
      </c>
      <c r="T729" s="20" t="str">
        <f t="shared" ca="1" si="409"/>
        <v/>
      </c>
      <c r="U729" s="2">
        <f ca="1">IF(IF(OP!$C$83=1,$Z728,IF(OP!$C$83=2,$AA728,IF(OP!$C$83=3,$AB728,)))+$K729-$O729-$P729-$AS729&lt;OP!$C$142,0,$AS729)</f>
        <v>0</v>
      </c>
      <c r="V729" s="9"/>
      <c r="W729" s="19">
        <f ca="1">MAX(SUM($K$4:K729),0)</f>
        <v>2000000</v>
      </c>
      <c r="X729" s="19"/>
      <c r="Y729" s="19">
        <f t="shared" ca="1" si="435"/>
        <v>1920000</v>
      </c>
      <c r="Z729" s="2">
        <f ca="1">IF(MIN($Z$4:Z728)=0,0,MAX(0,($Z728+$K729-$O729-$P729)*IF(AND(F729="F",$D$3&lt;&gt;$G$3),((1+(-J729))^(H729/MIN(G729,365))),((1+(-J729))^(1/12)))-$U729))</f>
        <v>86214.308396643566</v>
      </c>
      <c r="AA729" s="2">
        <f ca="1">IF(MIN($AA$4:AA728)=0,0,MAX(0,($AA728+$K729-$O729-$P729)*IF(AND(F729="F",$D$3&lt;&gt;$G$3),((1+$AA$1)^(H729/MIN(G729,365))),((1+$AA$1)^(1/12)))-$U729))</f>
        <v>1920000</v>
      </c>
      <c r="AB729" s="2">
        <f ca="1">IF(MIN($AB$4:AB728)=0,0,MAX(0,($AB728+$K729-$O729-$P729)*IF(AND(F729="F",$D$3&lt;&gt;$G$3),((1+(J729))^(H729/MIN(G729,365))),((1+(J729))^(1/12)))-$U729))</f>
        <v>36749702.05541601</v>
      </c>
      <c r="AC729" s="5"/>
      <c r="AD729" s="5"/>
      <c r="AE729" s="5"/>
      <c r="AF729" s="282">
        <f t="shared" ca="1" si="418"/>
        <v>86214</v>
      </c>
      <c r="AG729" s="282">
        <f t="shared" ca="1" si="419"/>
        <v>1920000</v>
      </c>
      <c r="AH729" s="282">
        <f t="shared" ca="1" si="420"/>
        <v>36749702</v>
      </c>
      <c r="AI729" s="23" t="str">
        <f t="shared" ca="1" si="437"/>
        <v>61-7</v>
      </c>
      <c r="AJ729" s="282">
        <f ca="1">IF(E729&gt;111,,IF(AND(OP!$C$99=1,T729="F"),Z729,IF(AND(OP!$C$99=2,COUNTIF($T$4:T729,"F")=1),OP!$C$97+IF(F729="F",OP!$C$98,0),"")))</f>
        <v>0</v>
      </c>
      <c r="AK729" s="282">
        <f ca="1">IF(E729&gt;111,,IF(AND(OP!$D$99=1,T729="F"),AA729,IF(AND(OP!$D$99=2,COUNTIF($T$4:T729,"F")=1),OP!$D$97+IF(F729="F",OP!$D$98,0),"")))</f>
        <v>0</v>
      </c>
      <c r="AL729" s="282">
        <f ca="1">IF(E729&gt;111,,IF(AND(OP!$E$99=1,T729="F"),AB729,IF(AND(OP!$E$99=2,COUNTIF($T$4:T729,"F")=1),OP!$E$97+IF(F729="F",OP!$E$98,0),"")))</f>
        <v>0</v>
      </c>
      <c r="AM729" s="1">
        <f t="shared" ca="1" si="410"/>
        <v>7</v>
      </c>
      <c r="AN729" s="1" t="e">
        <f ca="1">IF(OR(VLOOKUP($A729,MP,5,0)="月繳"),1,"")</f>
        <v>#N/A</v>
      </c>
      <c r="AO729" s="1">
        <f t="shared" ca="1" si="421"/>
        <v>0</v>
      </c>
      <c r="AP729" s="1" t="str">
        <f ca="1">IF(AND(A729&lt;=OP!$C$120,COUNTIF(PAY,C729)=1),1,"")</f>
        <v/>
      </c>
      <c r="AR729" s="301">
        <f ca="1">IF(繳費報酬率資料!$A$1=1,$AY729+$AZ729,$BF729+$BG729)</f>
        <v>0</v>
      </c>
      <c r="AS729" s="1">
        <f ca="1">IF(C729&lt;&gt;IF($C$3=1,12,$C$3-1),0,IF(繳費報酬率資料!$A$1&lt;&gt;1,VLOOKUP($A729,MP,8,0),IF(AND($A729&gt;=OP!$C$79,$A729&lt;=OP!$C$80),OP!$C$78,)))</f>
        <v>0</v>
      </c>
      <c r="AT729" s="298">
        <f t="shared" ca="1" si="422"/>
        <v>0</v>
      </c>
      <c r="AU729" s="298">
        <f ca="1">IF(AND(A729&lt;=OP!$C$120,COUNTIF(PAY,C729)=1),OP!$C$123,0)</f>
        <v>0</v>
      </c>
      <c r="AV729" s="298">
        <f ca="1">IF(AND(A729&gt;=OP!$C$132,A729&lt;=OP!$C$133,$C$3=C729),OP!$C$135,0)</f>
        <v>0</v>
      </c>
      <c r="AW729" s="180">
        <f t="shared" ca="1" si="423"/>
        <v>0.05</v>
      </c>
      <c r="AX729" s="180">
        <f t="shared" ca="1" si="424"/>
        <v>0.05</v>
      </c>
      <c r="AY729" s="286">
        <f t="shared" ca="1" si="425"/>
        <v>0</v>
      </c>
      <c r="AZ729" s="286">
        <f t="shared" ca="1" si="426"/>
        <v>0</v>
      </c>
      <c r="BA729" s="286">
        <f t="shared" ca="1" si="427"/>
        <v>0</v>
      </c>
      <c r="BB729" s="286">
        <f t="shared" ca="1" si="428"/>
        <v>0</v>
      </c>
      <c r="BC729" s="286">
        <f t="shared" ca="1" si="429"/>
        <v>0</v>
      </c>
      <c r="BD729" s="180">
        <f t="shared" ca="1" si="430"/>
        <v>0.05</v>
      </c>
      <c r="BE729" s="180">
        <f t="shared" ca="1" si="431"/>
        <v>0.05</v>
      </c>
      <c r="BF729" s="286">
        <f t="shared" ca="1" si="432"/>
        <v>0</v>
      </c>
      <c r="BG729" s="286">
        <f t="shared" ca="1" si="433"/>
        <v>0</v>
      </c>
    </row>
    <row r="730" spans="1:59">
      <c r="A730" s="1">
        <f t="shared" ca="1" si="413"/>
        <v>61</v>
      </c>
      <c r="B730" s="1">
        <f t="shared" ca="1" si="406"/>
        <v>166</v>
      </c>
      <c r="C730" s="1">
        <f t="shared" ca="1" si="407"/>
        <v>12</v>
      </c>
      <c r="D730" s="1">
        <f ca="1">MIN($D$3,VLOOKUP(C730,OP!$S$30:$T$41,2))</f>
        <v>2</v>
      </c>
      <c r="E730" s="1" t="str">
        <f t="shared" ca="1" si="408"/>
        <v/>
      </c>
      <c r="F730" s="11" t="str">
        <f t="shared" ca="1" si="414"/>
        <v/>
      </c>
      <c r="G730" s="8">
        <f t="shared" ca="1" si="438"/>
        <v>365</v>
      </c>
      <c r="H730" s="8">
        <f t="shared" ca="1" si="415"/>
        <v>31</v>
      </c>
      <c r="I730" s="8" t="str">
        <f t="shared" ca="1" si="412"/>
        <v>6112</v>
      </c>
      <c r="J730" s="13">
        <f>IF(繳費報酬率資料!$A$1=1,VALUE(OP!$C$121),VLOOKUP(A730,MP,2,0))</f>
        <v>0.05</v>
      </c>
      <c r="K730" s="14">
        <f ca="1">IF(SUM($K$4:K729,IF(繳費報酬率資料!$A$1=1,$AU730+$AV730,$BB730+$BC730))&gt;OP!$L$58,0,IF(繳費報酬率資料!$A$1=1,$AU730+$AV730,$BB730+$BC730))</f>
        <v>0</v>
      </c>
      <c r="L730" s="2"/>
      <c r="M730" s="2"/>
      <c r="N730" s="2"/>
      <c r="O730" s="261">
        <f t="shared" ca="1" si="416"/>
        <v>0</v>
      </c>
      <c r="P730" s="261">
        <f t="shared" ca="1" si="434"/>
        <v>0</v>
      </c>
      <c r="Q730" s="3">
        <f ca="1">IF(A730&gt;MAX(OP!$R$17:$R$26),0,VLOOKUP(A730,fees,3,FALSE))</f>
        <v>0</v>
      </c>
      <c r="R730" s="200" t="str">
        <f t="shared" ca="1" si="417"/>
        <v/>
      </c>
      <c r="S730" s="9" t="str">
        <f ca="1">IF(COUNTIF(($T$4:T729),"F")&gt;=1,"",IF(OR(C731&lt;&gt;$C$3,E730=""),"",A730))</f>
        <v/>
      </c>
      <c r="T730" s="20" t="str">
        <f t="shared" ca="1" si="409"/>
        <v/>
      </c>
      <c r="U730" s="2">
        <f ca="1">IF(IF(OP!$C$83=1,$Z729,IF(OP!$C$83=2,$AA729,IF(OP!$C$83=3,$AB729,)))+$K730-$O730-$P730-$AS730&lt;OP!$C$142,0,$AS730)</f>
        <v>0</v>
      </c>
      <c r="V730" s="9"/>
      <c r="W730" s="19">
        <f ca="1">MAX(SUM($K$4:K730),0)</f>
        <v>2000000</v>
      </c>
      <c r="X730" s="19"/>
      <c r="Y730" s="19">
        <f t="shared" ca="1" si="435"/>
        <v>1920000</v>
      </c>
      <c r="Z730" s="2">
        <f ca="1">IF(MIN($Z$4:Z729)=0,0,MAX(0,($Z729+$K730-$O730-$P730)*IF(AND(F730="F",$D$3&lt;&gt;$G$3),((1+(-J730))^(H730/MIN(G730,365))),((1+(-J730))^(1/12)))-$U730))</f>
        <v>85846.576888144962</v>
      </c>
      <c r="AA730" s="2">
        <f ca="1">IF(MIN($AA$4:AA729)=0,0,MAX(0,($AA729+$K730-$O730-$P730)*IF(AND(F730="F",$D$3&lt;&gt;$G$3),((1+$AA$1)^(H730/MIN(G730,365))),((1+$AA$1)^(1/12)))-$U730))</f>
        <v>1920000</v>
      </c>
      <c r="AB730" s="2">
        <f ca="1">IF(MIN($AB$4:AB729)=0,0,MAX(0,($AB729+$K730-$O730-$P730)*IF(AND(F730="F",$D$3&lt;&gt;$G$3),((1+(J730))^(H730/MIN(G730,365))),((1+(J730))^(1/12)))-$U730))</f>
        <v>36899424.89060197</v>
      </c>
      <c r="AC730" s="5"/>
      <c r="AD730" s="5"/>
      <c r="AE730" s="5"/>
      <c r="AF730" s="282">
        <f t="shared" ca="1" si="418"/>
        <v>85847</v>
      </c>
      <c r="AG730" s="282">
        <f t="shared" ca="1" si="419"/>
        <v>1920000</v>
      </c>
      <c r="AH730" s="282">
        <f t="shared" ca="1" si="420"/>
        <v>36899425</v>
      </c>
      <c r="AI730" s="23" t="str">
        <f t="shared" ca="1" si="437"/>
        <v>61-8</v>
      </c>
      <c r="AJ730" s="282">
        <f ca="1">IF(E730&gt;111,,IF(AND(OP!$C$99=1,T730="F"),Z730,IF(AND(OP!$C$99=2,COUNTIF($T$4:T730,"F")=1),OP!$C$97+IF(F730="F",OP!$C$98,0),"")))</f>
        <v>0</v>
      </c>
      <c r="AK730" s="282">
        <f ca="1">IF(E730&gt;111,,IF(AND(OP!$D$99=1,T730="F"),AA730,IF(AND(OP!$D$99=2,COUNTIF($T$4:T730,"F")=1),OP!$D$97+IF(F730="F",OP!$D$98,0),"")))</f>
        <v>0</v>
      </c>
      <c r="AL730" s="282">
        <f ca="1">IF(E730&gt;111,,IF(AND(OP!$E$99=1,T730="F"),AB730,IF(AND(OP!$E$99=2,COUNTIF($T$4:T730,"F")=1),OP!$E$97+IF(F730="F",OP!$E$98,0),"")))</f>
        <v>0</v>
      </c>
      <c r="AM730" s="1">
        <f t="shared" ca="1" si="410"/>
        <v>8</v>
      </c>
      <c r="AN730" s="1" t="e">
        <f ca="1">IF(OR(VLOOKUP($A730,MP,5,0)="半年繳",VLOOKUP($A730,MP,5,0)="季繳",VLOOKUP($A730,MP,5,0)="月繳"),1,"")</f>
        <v>#N/A</v>
      </c>
      <c r="AO730" s="1">
        <f t="shared" ca="1" si="421"/>
        <v>0</v>
      </c>
      <c r="AP730" s="1" t="str">
        <f ca="1">IF(AND(A730&lt;=OP!$C$120,COUNTIF(PAY,C730)=1),1,"")</f>
        <v/>
      </c>
      <c r="AR730" s="301">
        <f ca="1">IF(繳費報酬率資料!$A$1=1,$AY730+$AZ730,$BF730+$BG730)</f>
        <v>0</v>
      </c>
      <c r="AS730" s="1">
        <f ca="1">IF(C730&lt;&gt;IF($C$3=1,12,$C$3-1),0,IF(繳費報酬率資料!$A$1&lt;&gt;1,VLOOKUP($A730,MP,8,0),IF(AND($A730&gt;=OP!$C$79,$A730&lt;=OP!$C$80),OP!$C$78,)))</f>
        <v>0</v>
      </c>
      <c r="AT730" s="298">
        <f t="shared" ca="1" si="422"/>
        <v>0</v>
      </c>
      <c r="AU730" s="298">
        <f ca="1">IF(AND(A730&lt;=OP!$C$120,COUNTIF(PAY,C730)=1),OP!$C$123,0)</f>
        <v>0</v>
      </c>
      <c r="AV730" s="298">
        <f ca="1">IF(AND(A730&gt;=OP!$C$132,A730&lt;=OP!$C$133,$C$3=C730),OP!$C$135,0)</f>
        <v>0</v>
      </c>
      <c r="AW730" s="180">
        <f t="shared" ca="1" si="423"/>
        <v>0.05</v>
      </c>
      <c r="AX730" s="180">
        <f t="shared" ca="1" si="424"/>
        <v>0.05</v>
      </c>
      <c r="AY730" s="286">
        <f t="shared" ca="1" si="425"/>
        <v>0</v>
      </c>
      <c r="AZ730" s="286">
        <f t="shared" ca="1" si="426"/>
        <v>0</v>
      </c>
      <c r="BA730" s="286">
        <f t="shared" ca="1" si="427"/>
        <v>0</v>
      </c>
      <c r="BB730" s="286">
        <f t="shared" ca="1" si="428"/>
        <v>0</v>
      </c>
      <c r="BC730" s="286">
        <f t="shared" ca="1" si="429"/>
        <v>0</v>
      </c>
      <c r="BD730" s="180">
        <f t="shared" ca="1" si="430"/>
        <v>0.05</v>
      </c>
      <c r="BE730" s="180">
        <f t="shared" ca="1" si="431"/>
        <v>0.05</v>
      </c>
      <c r="BF730" s="286">
        <f t="shared" ca="1" si="432"/>
        <v>0</v>
      </c>
      <c r="BG730" s="286">
        <f t="shared" ca="1" si="433"/>
        <v>0</v>
      </c>
    </row>
    <row r="731" spans="1:59">
      <c r="A731" s="1">
        <f t="shared" ca="1" si="413"/>
        <v>61</v>
      </c>
      <c r="B731" s="1">
        <f t="shared" ca="1" si="406"/>
        <v>167</v>
      </c>
      <c r="C731" s="1">
        <f t="shared" ca="1" si="407"/>
        <v>1</v>
      </c>
      <c r="D731" s="1">
        <f ca="1">MIN($D$3,VLOOKUP(C731,OP!$S$30:$T$41,2))</f>
        <v>2</v>
      </c>
      <c r="E731" s="1" t="str">
        <f t="shared" ca="1" si="408"/>
        <v/>
      </c>
      <c r="F731" s="11" t="str">
        <f t="shared" ca="1" si="414"/>
        <v/>
      </c>
      <c r="G731" s="8">
        <f t="shared" ca="1" si="438"/>
        <v>365</v>
      </c>
      <c r="H731" s="8">
        <f t="shared" ca="1" si="415"/>
        <v>31</v>
      </c>
      <c r="I731" s="8" t="str">
        <f t="shared" ca="1" si="412"/>
        <v>611</v>
      </c>
      <c r="J731" s="13">
        <f>IF(繳費報酬率資料!$A$1=1,VALUE(OP!$C$121),VLOOKUP(A731,MP,2,0))</f>
        <v>0.05</v>
      </c>
      <c r="K731" s="14">
        <f ca="1">IF(SUM($K$4:K730,IF(繳費報酬率資料!$A$1=1,$AU731+$AV731,$BB731+$BC731))&gt;OP!$L$58,0,IF(繳費報酬率資料!$A$1=1,$AU731+$AV731,$BB731+$BC731))</f>
        <v>0</v>
      </c>
      <c r="L731" s="2"/>
      <c r="M731" s="2"/>
      <c r="N731" s="2"/>
      <c r="O731" s="261">
        <f t="shared" ca="1" si="416"/>
        <v>0</v>
      </c>
      <c r="P731" s="261">
        <f t="shared" ca="1" si="434"/>
        <v>0</v>
      </c>
      <c r="Q731" s="3">
        <f ca="1">IF(A731&gt;MAX(OP!$R$17:$R$26),0,VLOOKUP(A731,fees,3,FALSE))</f>
        <v>0</v>
      </c>
      <c r="R731" s="200" t="str">
        <f t="shared" ca="1" si="417"/>
        <v/>
      </c>
      <c r="S731" s="9" t="str">
        <f ca="1">IF(COUNTIF(($T$4:T730),"F")&gt;=1,"",IF(OR(C732&lt;&gt;$C$3,E731=""),"",A731))</f>
        <v/>
      </c>
      <c r="T731" s="20" t="str">
        <f t="shared" ca="1" si="409"/>
        <v/>
      </c>
      <c r="U731" s="2">
        <f ca="1">IF(IF(OP!$C$83=1,$Z730,IF(OP!$C$83=2,$AA730,IF(OP!$C$83=3,$AB730,)))+$K731-$O731-$P731-$AS731&lt;OP!$C$142,0,$AS731)</f>
        <v>0</v>
      </c>
      <c r="V731" s="9"/>
      <c r="W731" s="19">
        <f ca="1">MAX(SUM($K$4:K731),0)</f>
        <v>2000000</v>
      </c>
      <c r="X731" s="19"/>
      <c r="Y731" s="19">
        <f t="shared" ca="1" si="435"/>
        <v>1920000</v>
      </c>
      <c r="Z731" s="2">
        <f ca="1">IF(MIN($Z$4:Z730)=0,0,MAX(0,($Z730+$K731-$O731-$P731)*IF(AND(F731="F",$D$3&lt;&gt;$G$3),((1+(-J731))^(H731/MIN(G731,365))),((1+(-J731))^(1/12)))-$U731))</f>
        <v>85480.413871754659</v>
      </c>
      <c r="AA731" s="2">
        <f ca="1">IF(MIN($AA$4:AA730)=0,0,MAX(0,($AA730+$K731-$O731-$P731)*IF(AND(F731="F",$D$3&lt;&gt;$G$3),((1+$AA$1)^(H731/MIN(G731,365))),((1+$AA$1)^(1/12)))-$U731))</f>
        <v>1920000</v>
      </c>
      <c r="AB731" s="2">
        <f ca="1">IF(MIN($AB$4:AB730)=0,0,MAX(0,($AB730+$K731-$O731-$P731)*IF(AND(F731="F",$D$3&lt;&gt;$G$3),((1+(J731))^(H731/MIN(G731,365))),((1+(J731))^(1/12)))-$U731))</f>
        <v>37049757.71515172</v>
      </c>
      <c r="AC731" s="5"/>
      <c r="AD731" s="5"/>
      <c r="AE731" s="5"/>
      <c r="AF731" s="282">
        <f t="shared" ca="1" si="418"/>
        <v>85480</v>
      </c>
      <c r="AG731" s="282">
        <f t="shared" ca="1" si="419"/>
        <v>1920000</v>
      </c>
      <c r="AH731" s="282">
        <f t="shared" ca="1" si="420"/>
        <v>37049758</v>
      </c>
      <c r="AI731" s="23" t="str">
        <f t="shared" ca="1" si="437"/>
        <v>61-9</v>
      </c>
      <c r="AJ731" s="282">
        <f ca="1">IF(E731&gt;111,,IF(AND(OP!$C$99=1,T731="F"),Z731,IF(AND(OP!$C$99=2,COUNTIF($T$4:T731,"F")=1),OP!$C$97+IF(F731="F",OP!$C$98,0),"")))</f>
        <v>0</v>
      </c>
      <c r="AK731" s="282">
        <f ca="1">IF(E731&gt;111,,IF(AND(OP!$D$99=1,T731="F"),AA731,IF(AND(OP!$D$99=2,COUNTIF($T$4:T731,"F")=1),OP!$D$97+IF(F731="F",OP!$D$98,0),"")))</f>
        <v>0</v>
      </c>
      <c r="AL731" s="282">
        <f ca="1">IF(E731&gt;111,,IF(AND(OP!$E$99=1,T731="F"),AB731,IF(AND(OP!$E$99=2,COUNTIF($T$4:T731,"F")=1),OP!$E$97+IF(F731="F",OP!$E$98,0),"")))</f>
        <v>0</v>
      </c>
      <c r="AM731" s="1">
        <f t="shared" ca="1" si="410"/>
        <v>9</v>
      </c>
      <c r="AN731" s="1" t="e">
        <f ca="1">IF(OR(VLOOKUP($A731,MP,5,0)="月繳"),1,"")</f>
        <v>#N/A</v>
      </c>
      <c r="AO731" s="1">
        <f t="shared" ca="1" si="421"/>
        <v>0</v>
      </c>
      <c r="AP731" s="1" t="str">
        <f ca="1">IF(AND(A731&lt;=OP!$C$120,COUNTIF(PAY,C731)=1),1,"")</f>
        <v/>
      </c>
      <c r="AR731" s="301">
        <f ca="1">IF(繳費報酬率資料!$A$1=1,$AY731+$AZ731,$BF731+$BG731)</f>
        <v>0</v>
      </c>
      <c r="AS731" s="1">
        <f ca="1">IF(C731&lt;&gt;IF($C$3=1,12,$C$3-1),0,IF(繳費報酬率資料!$A$1&lt;&gt;1,VLOOKUP($A731,MP,8,0),IF(AND($A731&gt;=OP!$C$79,$A731&lt;=OP!$C$80),OP!$C$78,)))</f>
        <v>0</v>
      </c>
      <c r="AT731" s="298">
        <f t="shared" ca="1" si="422"/>
        <v>0</v>
      </c>
      <c r="AU731" s="298">
        <f ca="1">IF(AND(A731&lt;=OP!$C$120,COUNTIF(PAY,C731)=1),OP!$C$123,0)</f>
        <v>0</v>
      </c>
      <c r="AV731" s="298">
        <f ca="1">IF(AND(A731&gt;=OP!$C$132,A731&lt;=OP!$C$133,$C$3=C731),OP!$C$135,0)</f>
        <v>0</v>
      </c>
      <c r="AW731" s="180">
        <f t="shared" ca="1" si="423"/>
        <v>0.05</v>
      </c>
      <c r="AX731" s="180">
        <f t="shared" ca="1" si="424"/>
        <v>0.05</v>
      </c>
      <c r="AY731" s="286">
        <f t="shared" ca="1" si="425"/>
        <v>0</v>
      </c>
      <c r="AZ731" s="286">
        <f t="shared" ca="1" si="426"/>
        <v>0</v>
      </c>
      <c r="BA731" s="286">
        <f t="shared" ca="1" si="427"/>
        <v>0</v>
      </c>
      <c r="BB731" s="286">
        <f t="shared" ca="1" si="428"/>
        <v>0</v>
      </c>
      <c r="BC731" s="286">
        <f t="shared" ca="1" si="429"/>
        <v>0</v>
      </c>
      <c r="BD731" s="180">
        <f t="shared" ca="1" si="430"/>
        <v>0.05</v>
      </c>
      <c r="BE731" s="180">
        <f t="shared" ca="1" si="431"/>
        <v>0.05</v>
      </c>
      <c r="BF731" s="286">
        <f t="shared" ca="1" si="432"/>
        <v>0</v>
      </c>
      <c r="BG731" s="286">
        <f t="shared" ca="1" si="433"/>
        <v>0</v>
      </c>
    </row>
    <row r="732" spans="1:59">
      <c r="A732" s="1">
        <f t="shared" ca="1" si="413"/>
        <v>61</v>
      </c>
      <c r="B732" s="1">
        <f t="shared" ca="1" si="406"/>
        <v>167</v>
      </c>
      <c r="C732" s="1">
        <f t="shared" ca="1" si="407"/>
        <v>2</v>
      </c>
      <c r="D732" s="1">
        <f ca="1">MIN($D$3,VLOOKUP(C732,OP!$S$30:$T$41,2))</f>
        <v>2</v>
      </c>
      <c r="E732" s="1" t="str">
        <f t="shared" ca="1" si="408"/>
        <v/>
      </c>
      <c r="F732" s="11" t="str">
        <f t="shared" ca="1" si="414"/>
        <v/>
      </c>
      <c r="G732" s="8">
        <f t="shared" ca="1" si="438"/>
        <v>365</v>
      </c>
      <c r="H732" s="8">
        <f t="shared" ca="1" si="415"/>
        <v>28</v>
      </c>
      <c r="I732" s="8" t="str">
        <f t="shared" ca="1" si="412"/>
        <v>612</v>
      </c>
      <c r="J732" s="13">
        <f>IF(繳費報酬率資料!$A$1=1,VALUE(OP!$C$121),VLOOKUP(A732,MP,2,0))</f>
        <v>0.05</v>
      </c>
      <c r="K732" s="14">
        <f ca="1">IF(SUM($K$4:K731,IF(繳費報酬率資料!$A$1=1,$AU732+$AV732,$BB732+$BC732))&gt;OP!$L$58,0,IF(繳費報酬率資料!$A$1=1,$AU732+$AV732,$BB732+$BC732))</f>
        <v>0</v>
      </c>
      <c r="L732" s="2"/>
      <c r="M732" s="2"/>
      <c r="N732" s="2"/>
      <c r="O732" s="261">
        <f t="shared" ca="1" si="416"/>
        <v>0</v>
      </c>
      <c r="P732" s="261">
        <f t="shared" ca="1" si="434"/>
        <v>0</v>
      </c>
      <c r="Q732" s="3">
        <f ca="1">IF(A732&gt;MAX(OP!$R$17:$R$26),0,VLOOKUP(A732,fees,3,FALSE))</f>
        <v>0</v>
      </c>
      <c r="R732" s="200" t="str">
        <f t="shared" ca="1" si="417"/>
        <v/>
      </c>
      <c r="S732" s="9" t="str">
        <f ca="1">IF(COUNTIF(($T$4:T731),"F")&gt;=1,"",IF(OR(C733&lt;&gt;$C$3,E732=""),"",A732))</f>
        <v/>
      </c>
      <c r="T732" s="20" t="str">
        <f t="shared" ca="1" si="409"/>
        <v/>
      </c>
      <c r="U732" s="2">
        <f ca="1">IF(IF(OP!$C$83=1,$Z731,IF(OP!$C$83=2,$AA731,IF(OP!$C$83=3,$AB731,)))+$K732-$O732-$P732-$AS732&lt;OP!$C$142,0,$AS732)</f>
        <v>0</v>
      </c>
      <c r="V732" s="9"/>
      <c r="W732" s="19">
        <f ca="1">MAX(SUM($K$4:K732),0)</f>
        <v>2000000</v>
      </c>
      <c r="X732" s="19"/>
      <c r="Y732" s="19">
        <f t="shared" ca="1" si="435"/>
        <v>1920000</v>
      </c>
      <c r="Z732" s="2">
        <f ca="1">IF(MIN($Z$4:Z731)=0,0,MAX(0,($Z731+$K732-$O732-$P732)*IF(AND(F732="F",$D$3&lt;&gt;$G$3),((1+(-J732))^(H732/MIN(G732,365))),((1+(-J732))^(1/12)))-$U732))</f>
        <v>85115.812657353803</v>
      </c>
      <c r="AA732" s="2">
        <f ca="1">IF(MIN($AA$4:AA731)=0,0,MAX(0,($AA731+$K732-$O732-$P732)*IF(AND(F732="F",$D$3&lt;&gt;$G$3),((1+$AA$1)^(H732/MIN(G732,365))),((1+$AA$1)^(1/12)))-$U732))</f>
        <v>1920000</v>
      </c>
      <c r="AB732" s="2">
        <f ca="1">IF(MIN($AB$4:AB731)=0,0,MAX(0,($AB731+$K732-$O732-$P732)*IF(AND(F732="F",$D$3&lt;&gt;$G$3),((1+(J732))^(H732/MIN(G732,365))),((1+(J732))^(1/12)))-$U732))</f>
        <v>37200703.014237426</v>
      </c>
      <c r="AC732" s="5"/>
      <c r="AD732" s="5"/>
      <c r="AE732" s="5"/>
      <c r="AF732" s="282">
        <f t="shared" ca="1" si="418"/>
        <v>85116</v>
      </c>
      <c r="AG732" s="282">
        <f t="shared" ca="1" si="419"/>
        <v>1920000</v>
      </c>
      <c r="AH732" s="282">
        <f t="shared" ca="1" si="420"/>
        <v>37200703</v>
      </c>
      <c r="AI732" s="23" t="str">
        <f t="shared" ca="1" si="437"/>
        <v>61-10</v>
      </c>
      <c r="AJ732" s="282">
        <f ca="1">IF(E732&gt;111,,IF(AND(OP!$C$99=1,T732="F"),Z732,IF(AND(OP!$C$99=2,COUNTIF($T$4:T732,"F")=1),OP!$C$97+IF(F732="F",OP!$C$98,0),"")))</f>
        <v>0</v>
      </c>
      <c r="AK732" s="282">
        <f ca="1">IF(E732&gt;111,,IF(AND(OP!$D$99=1,T732="F"),AA732,IF(AND(OP!$D$99=2,COUNTIF($T$4:T732,"F")=1),OP!$D$97+IF(F732="F",OP!$D$98,0),"")))</f>
        <v>0</v>
      </c>
      <c r="AL732" s="282">
        <f ca="1">IF(E732&gt;111,,IF(AND(OP!$E$99=1,T732="F"),AB732,IF(AND(OP!$E$99=2,COUNTIF($T$4:T732,"F")=1),OP!$E$97+IF(F732="F",OP!$E$98,0),"")))</f>
        <v>0</v>
      </c>
      <c r="AM732" s="1">
        <f t="shared" ca="1" si="410"/>
        <v>10</v>
      </c>
      <c r="AN732" s="1" t="e">
        <f ca="1">IF(OR(VLOOKUP($A732,MP,5,0)="月繳"),1,"")</f>
        <v>#N/A</v>
      </c>
      <c r="AO732" s="1">
        <f t="shared" ca="1" si="421"/>
        <v>0</v>
      </c>
      <c r="AP732" s="1" t="str">
        <f ca="1">IF(AND(A732&lt;=OP!$C$120,COUNTIF(PAY,C732)=1),1,"")</f>
        <v/>
      </c>
      <c r="AR732" s="301">
        <f ca="1">IF(繳費報酬率資料!$A$1=1,$AY732+$AZ732,$BF732+$BG732)</f>
        <v>0</v>
      </c>
      <c r="AS732" s="1">
        <f ca="1">IF(C732&lt;&gt;IF($C$3=1,12,$C$3-1),0,IF(繳費報酬率資料!$A$1&lt;&gt;1,VLOOKUP($A732,MP,8,0),IF(AND($A732&gt;=OP!$C$79,$A732&lt;=OP!$C$80),OP!$C$78,)))</f>
        <v>0</v>
      </c>
      <c r="AT732" s="298">
        <f t="shared" ca="1" si="422"/>
        <v>0</v>
      </c>
      <c r="AU732" s="298">
        <f ca="1">IF(AND(A732&lt;=OP!$C$120,COUNTIF(PAY,C732)=1),OP!$C$123,0)</f>
        <v>0</v>
      </c>
      <c r="AV732" s="298">
        <f ca="1">IF(AND(A732&gt;=OP!$C$132,A732&lt;=OP!$C$133,$C$3=C732),OP!$C$135,0)</f>
        <v>0</v>
      </c>
      <c r="AW732" s="180">
        <f t="shared" ca="1" si="423"/>
        <v>0.05</v>
      </c>
      <c r="AX732" s="180">
        <f t="shared" ca="1" si="424"/>
        <v>0.05</v>
      </c>
      <c r="AY732" s="286">
        <f t="shared" ca="1" si="425"/>
        <v>0</v>
      </c>
      <c r="AZ732" s="286">
        <f t="shared" ca="1" si="426"/>
        <v>0</v>
      </c>
      <c r="BA732" s="286">
        <f t="shared" ca="1" si="427"/>
        <v>0</v>
      </c>
      <c r="BB732" s="286">
        <f t="shared" ca="1" si="428"/>
        <v>0</v>
      </c>
      <c r="BC732" s="286">
        <f t="shared" ca="1" si="429"/>
        <v>0</v>
      </c>
      <c r="BD732" s="180">
        <f t="shared" ca="1" si="430"/>
        <v>0.05</v>
      </c>
      <c r="BE732" s="180">
        <f t="shared" ca="1" si="431"/>
        <v>0.05</v>
      </c>
      <c r="BF732" s="286">
        <f t="shared" ca="1" si="432"/>
        <v>0</v>
      </c>
      <c r="BG732" s="286">
        <f t="shared" ca="1" si="433"/>
        <v>0</v>
      </c>
    </row>
    <row r="733" spans="1:59">
      <c r="A733" s="1">
        <f t="shared" ca="1" si="413"/>
        <v>61</v>
      </c>
      <c r="B733" s="1">
        <f t="shared" ca="1" si="406"/>
        <v>167</v>
      </c>
      <c r="C733" s="1">
        <f t="shared" ca="1" si="407"/>
        <v>3</v>
      </c>
      <c r="D733" s="1">
        <f ca="1">MIN($D$3,VLOOKUP(C733,OP!$S$30:$T$41,2))</f>
        <v>2</v>
      </c>
      <c r="E733" s="1" t="str">
        <f t="shared" ca="1" si="408"/>
        <v/>
      </c>
      <c r="F733" s="11" t="str">
        <f t="shared" ca="1" si="414"/>
        <v/>
      </c>
      <c r="G733" s="8">
        <f t="shared" ca="1" si="438"/>
        <v>365</v>
      </c>
      <c r="H733" s="8">
        <f t="shared" ca="1" si="415"/>
        <v>31</v>
      </c>
      <c r="I733" s="8" t="str">
        <f t="shared" ca="1" si="412"/>
        <v>613</v>
      </c>
      <c r="J733" s="13">
        <f>IF(繳費報酬率資料!$A$1=1,VALUE(OP!$C$121),VLOOKUP(A733,MP,2,0))</f>
        <v>0.05</v>
      </c>
      <c r="K733" s="14">
        <f ca="1">IF(SUM($K$4:K732,IF(繳費報酬率資料!$A$1=1,$AU733+$AV733,$BB733+$BC733))&gt;OP!$L$58,0,IF(繳費報酬率資料!$A$1=1,$AU733+$AV733,$BB733+$BC733))</f>
        <v>0</v>
      </c>
      <c r="L733" s="2"/>
      <c r="M733" s="2"/>
      <c r="N733" s="2"/>
      <c r="O733" s="261">
        <f t="shared" ca="1" si="416"/>
        <v>0</v>
      </c>
      <c r="P733" s="261">
        <f t="shared" ca="1" si="434"/>
        <v>0</v>
      </c>
      <c r="Q733" s="3">
        <f ca="1">IF(A733&gt;MAX(OP!$R$17:$R$26),0,VLOOKUP(A733,fees,3,FALSE))</f>
        <v>0</v>
      </c>
      <c r="R733" s="200" t="str">
        <f t="shared" ca="1" si="417"/>
        <v/>
      </c>
      <c r="S733" s="9" t="str">
        <f ca="1">IF(COUNTIF(($T$4:T732),"F")&gt;=1,"",IF(OR(C734&lt;&gt;$C$3,E733=""),"",A733))</f>
        <v/>
      </c>
      <c r="T733" s="20" t="str">
        <f t="shared" ca="1" si="409"/>
        <v/>
      </c>
      <c r="U733" s="2">
        <f ca="1">IF(IF(OP!$C$83=1,$Z732,IF(OP!$C$83=2,$AA732,IF(OP!$C$83=3,$AB732,)))+$K733-$O733-$P733-$AS733&lt;OP!$C$142,0,$AS733)</f>
        <v>0</v>
      </c>
      <c r="V733" s="9"/>
      <c r="W733" s="19">
        <f ca="1">MAX(SUM($K$4:K733),0)</f>
        <v>2000000</v>
      </c>
      <c r="X733" s="19"/>
      <c r="Y733" s="19">
        <f t="shared" ca="1" si="435"/>
        <v>1920000</v>
      </c>
      <c r="Z733" s="2">
        <f ca="1">IF(MIN($Z$4:Z732)=0,0,MAX(0,($Z732+$K733-$O733-$P733)*IF(AND(F733="F",$D$3&lt;&gt;$G$3),((1+(-J733))^(H733/MIN(G733,365))),((1+(-J733))^(1/12)))-$U733))</f>
        <v>84752.766583359058</v>
      </c>
      <c r="AA733" s="2">
        <f ca="1">IF(MIN($AA$4:AA732)=0,0,MAX(0,($AA732+$K733-$O733-$P733)*IF(AND(F733="F",$D$3&lt;&gt;$G$3),((1+$AA$1)^(H733/MIN(G733,365))),((1+$AA$1)^(1/12)))-$U733))</f>
        <v>1920000</v>
      </c>
      <c r="AB733" s="2">
        <f ca="1">IF(MIN($AB$4:AB732)=0,0,MAX(0,($AB732+$K733-$O733-$P733)*IF(AND(F733="F",$D$3&lt;&gt;$G$3),((1+(J733))^(H733/MIN(G733,365))),((1+(J733))^(1/12)))-$U733))</f>
        <v>37352263.283156171</v>
      </c>
      <c r="AC733" s="5"/>
      <c r="AD733" s="5"/>
      <c r="AE733" s="5"/>
      <c r="AF733" s="282">
        <f t="shared" ca="1" si="418"/>
        <v>84753</v>
      </c>
      <c r="AG733" s="282">
        <f t="shared" ca="1" si="419"/>
        <v>1920000</v>
      </c>
      <c r="AH733" s="282">
        <f t="shared" ca="1" si="420"/>
        <v>37352263</v>
      </c>
      <c r="AI733" s="23" t="str">
        <f t="shared" ca="1" si="437"/>
        <v>61-11</v>
      </c>
      <c r="AJ733" s="282">
        <f ca="1">IF(E733&gt;111,,IF(AND(OP!$C$99=1,T733="F"),Z733,IF(AND(OP!$C$99=2,COUNTIF($T$4:T733,"F")=1),OP!$C$97+IF(F733="F",OP!$C$98,0),"")))</f>
        <v>0</v>
      </c>
      <c r="AK733" s="282">
        <f ca="1">IF(E733&gt;111,,IF(AND(OP!$D$99=1,T733="F"),AA733,IF(AND(OP!$D$99=2,COUNTIF($T$4:T733,"F")=1),OP!$D$97+IF(F733="F",OP!$D$98,0),"")))</f>
        <v>0</v>
      </c>
      <c r="AL733" s="282">
        <f ca="1">IF(E733&gt;111,,IF(AND(OP!$E$99=1,T733="F"),AB733,IF(AND(OP!$E$99=2,COUNTIF($T$4:T733,"F")=1),OP!$E$97+IF(F733="F",OP!$E$98,0),"")))</f>
        <v>0</v>
      </c>
      <c r="AM733" s="1">
        <f t="shared" ca="1" si="410"/>
        <v>11</v>
      </c>
      <c r="AN733" s="1" t="e">
        <f ca="1">IF(OR(VLOOKUP($A733,MP,5,0)="季繳",VLOOKUP($A733,MP,5,0)="月繳"),1,"")</f>
        <v>#N/A</v>
      </c>
      <c r="AO733" s="1">
        <f t="shared" ca="1" si="421"/>
        <v>0</v>
      </c>
      <c r="AP733" s="1" t="str">
        <f ca="1">IF(AND(A733&lt;=OP!$C$120,COUNTIF(PAY,C733)=1),1,"")</f>
        <v/>
      </c>
      <c r="AR733" s="301">
        <f ca="1">IF(繳費報酬率資料!$A$1=1,$AY733+$AZ733,$BF733+$BG733)</f>
        <v>0</v>
      </c>
      <c r="AS733" s="1">
        <f ca="1">IF(C733&lt;&gt;IF($C$3=1,12,$C$3-1),0,IF(繳費報酬率資料!$A$1&lt;&gt;1,VLOOKUP($A733,MP,8,0),IF(AND($A733&gt;=OP!$C$79,$A733&lt;=OP!$C$80),OP!$C$78,)))</f>
        <v>0</v>
      </c>
      <c r="AT733" s="298">
        <f t="shared" ca="1" si="422"/>
        <v>0</v>
      </c>
      <c r="AU733" s="298">
        <f ca="1">IF(AND(A733&lt;=OP!$C$120,COUNTIF(PAY,C733)=1),OP!$C$123,0)</f>
        <v>0</v>
      </c>
      <c r="AV733" s="298">
        <f ca="1">IF(AND(A733&gt;=OP!$C$132,A733&lt;=OP!$C$133,$C$3=C733),OP!$C$135,0)</f>
        <v>0</v>
      </c>
      <c r="AW733" s="180">
        <f t="shared" ca="1" si="423"/>
        <v>0.05</v>
      </c>
      <c r="AX733" s="180">
        <f t="shared" ca="1" si="424"/>
        <v>0.05</v>
      </c>
      <c r="AY733" s="286">
        <f t="shared" ca="1" si="425"/>
        <v>0</v>
      </c>
      <c r="AZ733" s="286">
        <f t="shared" ca="1" si="426"/>
        <v>0</v>
      </c>
      <c r="BA733" s="286">
        <f t="shared" ca="1" si="427"/>
        <v>0</v>
      </c>
      <c r="BB733" s="286">
        <f t="shared" ca="1" si="428"/>
        <v>0</v>
      </c>
      <c r="BC733" s="286">
        <f t="shared" ca="1" si="429"/>
        <v>0</v>
      </c>
      <c r="BD733" s="180">
        <f t="shared" ca="1" si="430"/>
        <v>0.05</v>
      </c>
      <c r="BE733" s="180">
        <f t="shared" ca="1" si="431"/>
        <v>0.05</v>
      </c>
      <c r="BF733" s="286">
        <f t="shared" ca="1" si="432"/>
        <v>0</v>
      </c>
      <c r="BG733" s="286">
        <f t="shared" ca="1" si="433"/>
        <v>0</v>
      </c>
    </row>
    <row r="734" spans="1:59">
      <c r="A734" s="1">
        <f t="shared" ca="1" si="413"/>
        <v>61</v>
      </c>
      <c r="B734" s="1">
        <f t="shared" ca="1" si="406"/>
        <v>167</v>
      </c>
      <c r="C734" s="1">
        <f t="shared" ca="1" si="407"/>
        <v>4</v>
      </c>
      <c r="D734" s="1">
        <f ca="1">MIN($D$3,VLOOKUP(C734,OP!$S$30:$T$41,2))</f>
        <v>2</v>
      </c>
      <c r="E734" s="1" t="str">
        <f t="shared" ca="1" si="408"/>
        <v/>
      </c>
      <c r="F734" s="11" t="str">
        <f t="shared" ca="1" si="414"/>
        <v/>
      </c>
      <c r="G734" s="8">
        <f t="shared" ca="1" si="438"/>
        <v>365</v>
      </c>
      <c r="H734" s="8">
        <f t="shared" ca="1" si="415"/>
        <v>30</v>
      </c>
      <c r="I734" s="8" t="str">
        <f t="shared" ca="1" si="412"/>
        <v>614</v>
      </c>
      <c r="J734" s="13">
        <f>IF(繳費報酬率資料!$A$1=1,VALUE(OP!$C$121),VLOOKUP(A734,MP,2,0))</f>
        <v>0.05</v>
      </c>
      <c r="K734" s="14">
        <f ca="1">IF(SUM($K$4:K733,IF(繳費報酬率資料!$A$1=1,$AU734+$AV734,$BB734+$BC734))&gt;OP!$L$58,0,IF(繳費報酬率資料!$A$1=1,$AU734+$AV734,$BB734+$BC734))</f>
        <v>0</v>
      </c>
      <c r="L734" s="2"/>
      <c r="M734" s="2"/>
      <c r="N734" s="2"/>
      <c r="O734" s="261">
        <f t="shared" ca="1" si="416"/>
        <v>0</v>
      </c>
      <c r="P734" s="261">
        <f t="shared" ca="1" si="434"/>
        <v>0</v>
      </c>
      <c r="Q734" s="3">
        <f ca="1">IF(A734&gt;MAX(OP!$R$17:$R$26),0,VLOOKUP(A734,fees,3,FALSE))</f>
        <v>0</v>
      </c>
      <c r="R734" s="200" t="str">
        <f t="shared" ca="1" si="417"/>
        <v/>
      </c>
      <c r="S734" s="9" t="str">
        <f ca="1">IF(COUNTIF(($T$4:T733),"F")&gt;=1,"",IF(OR(C735&lt;&gt;$C$3,E734=""),"",A734))</f>
        <v/>
      </c>
      <c r="T734" s="20" t="str">
        <f t="shared" ca="1" si="409"/>
        <v/>
      </c>
      <c r="U734" s="2">
        <f ca="1">IF(IF(OP!$C$83=1,$Z733,IF(OP!$C$83=2,$AA733,IF(OP!$C$83=3,$AB733,)))+$K734-$O734-$P734-$AS734&lt;OP!$C$142,0,$AS734)</f>
        <v>0</v>
      </c>
      <c r="V734" s="9"/>
      <c r="W734" s="19">
        <f ca="1">MAX(SUM($K$4:K734),0)</f>
        <v>2000000</v>
      </c>
      <c r="X734" s="19"/>
      <c r="Y734" s="19">
        <f t="shared" ca="1" si="435"/>
        <v>1920000</v>
      </c>
      <c r="Z734" s="2">
        <f ca="1">IF(MIN($Z$4:Z733)=0,0,MAX(0,($Z733+$K734-$O734-$P734)*IF(AND(F734="F",$D$3&lt;&gt;$G$3),((1+(-J734))^(H734/MIN(G734,365))),((1+(-J734))^(1/12)))-$U734))</f>
        <v>84391.26901660084</v>
      </c>
      <c r="AA734" s="2">
        <f ca="1">IF(MIN($AA$4:AA733)=0,0,MAX(0,($AA733+$K734-$O734-$P734)*IF(AND(F734="F",$D$3&lt;&gt;$G$3),((1+$AA$1)^(H734/MIN(G734,365))),((1+$AA$1)^(1/12)))-$U734))</f>
        <v>1920000</v>
      </c>
      <c r="AB734" s="2">
        <f ca="1">IF(MIN($AB$4:AB733)=0,0,MAX(0,($AB733+$K734-$O734-$P734)*IF(AND(F734="F",$D$3&lt;&gt;$G$3),((1+(J734))^(H734/MIN(G734,365))),((1+(J734))^(1/12)))-$U734))</f>
        <v>37504441.027371176</v>
      </c>
      <c r="AC734" s="5"/>
      <c r="AD734" s="5"/>
      <c r="AE734" s="5"/>
      <c r="AF734" s="282">
        <f t="shared" ca="1" si="418"/>
        <v>84391</v>
      </c>
      <c r="AG734" s="282">
        <f t="shared" ca="1" si="419"/>
        <v>1920000</v>
      </c>
      <c r="AH734" s="282">
        <f t="shared" ca="1" si="420"/>
        <v>37504441</v>
      </c>
      <c r="AI734" s="23" t="str">
        <f t="shared" ca="1" si="437"/>
        <v>61-12</v>
      </c>
      <c r="AJ734" s="282">
        <f ca="1">IF(E734&gt;111,,IF(AND(OP!$C$99=1,T734="F"),Z734,IF(AND(OP!$C$99=2,COUNTIF($T$4:T734,"F")=1),OP!$C$97+IF(F734="F",OP!$C$98,0),"")))</f>
        <v>0</v>
      </c>
      <c r="AK734" s="282">
        <f ca="1">IF(E734&gt;111,,IF(AND(OP!$D$99=1,T734="F"),AA734,IF(AND(OP!$D$99=2,COUNTIF($T$4:T734,"F")=1),OP!$D$97+IF(F734="F",OP!$D$98,0),"")))</f>
        <v>0</v>
      </c>
      <c r="AL734" s="282">
        <f ca="1">IF(E734&gt;111,,IF(AND(OP!$E$99=1,T734="F"),AB734,IF(AND(OP!$E$99=2,COUNTIF($T$4:T734,"F")=1),OP!$E$97+IF(F734="F",OP!$E$98,0),"")))</f>
        <v>0</v>
      </c>
      <c r="AM734" s="1">
        <f t="shared" ca="1" si="410"/>
        <v>12</v>
      </c>
      <c r="AN734" s="1" t="e">
        <f ca="1">IF(OR(VLOOKUP($A734,MP,5,0)="月繳"),1,"")</f>
        <v>#N/A</v>
      </c>
      <c r="AO734" s="1">
        <f t="shared" ca="1" si="421"/>
        <v>0</v>
      </c>
      <c r="AP734" s="1" t="str">
        <f ca="1">IF(AND(A734&lt;=OP!$C$120,COUNTIF(PAY,C734)=1),1,"")</f>
        <v/>
      </c>
      <c r="AR734" s="301">
        <f ca="1">IF(繳費報酬率資料!$A$1=1,$AY734+$AZ734,$BF734+$BG734)</f>
        <v>0</v>
      </c>
      <c r="AS734" s="1">
        <f ca="1">IF(C734&lt;&gt;IF($C$3=1,12,$C$3-1),0,IF(繳費報酬率資料!$A$1&lt;&gt;1,VLOOKUP($A734,MP,8,0),IF(AND($A734&gt;=OP!$C$79,$A734&lt;=OP!$C$80),OP!$C$78,)))</f>
        <v>0</v>
      </c>
      <c r="AT734" s="298">
        <f t="shared" ca="1" si="422"/>
        <v>0</v>
      </c>
      <c r="AU734" s="298">
        <f ca="1">IF(AND(A734&lt;=OP!$C$120,COUNTIF(PAY,C734)=1),OP!$C$123,0)</f>
        <v>0</v>
      </c>
      <c r="AV734" s="298">
        <f ca="1">IF(AND(A734&gt;=OP!$C$132,A734&lt;=OP!$C$133,$C$3=C734),OP!$C$135,0)</f>
        <v>0</v>
      </c>
      <c r="AW734" s="180">
        <f t="shared" ca="1" si="423"/>
        <v>0.05</v>
      </c>
      <c r="AX734" s="180">
        <f t="shared" ca="1" si="424"/>
        <v>0.05</v>
      </c>
      <c r="AY734" s="286">
        <f t="shared" ca="1" si="425"/>
        <v>0</v>
      </c>
      <c r="AZ734" s="286">
        <f t="shared" ca="1" si="426"/>
        <v>0</v>
      </c>
      <c r="BA734" s="286">
        <f t="shared" ca="1" si="427"/>
        <v>0</v>
      </c>
      <c r="BB734" s="286">
        <f t="shared" ca="1" si="428"/>
        <v>0</v>
      </c>
      <c r="BC734" s="286">
        <f t="shared" ca="1" si="429"/>
        <v>0</v>
      </c>
      <c r="BD734" s="180">
        <f t="shared" ca="1" si="430"/>
        <v>0.05</v>
      </c>
      <c r="BE734" s="180">
        <f t="shared" ca="1" si="431"/>
        <v>0.05</v>
      </c>
      <c r="BF734" s="286">
        <f t="shared" ca="1" si="432"/>
        <v>0</v>
      </c>
      <c r="BG734" s="286">
        <f t="shared" ca="1" si="433"/>
        <v>0</v>
      </c>
    </row>
    <row r="735" spans="1:59">
      <c r="A735" s="1">
        <f t="shared" ca="1" si="413"/>
        <v>61</v>
      </c>
      <c r="B735" s="1">
        <f t="shared" ca="1" si="406"/>
        <v>167</v>
      </c>
      <c r="C735" s="1">
        <f t="shared" ca="1" si="407"/>
        <v>5</v>
      </c>
      <c r="D735" s="1">
        <f ca="1">MIN($D$3,VLOOKUP(C735,OP!$S$30:$T$41,2))</f>
        <v>2</v>
      </c>
      <c r="E735" s="1" t="str">
        <f t="shared" ca="1" si="408"/>
        <v/>
      </c>
      <c r="F735" s="11" t="str">
        <f t="shared" ca="1" si="414"/>
        <v/>
      </c>
      <c r="G735" s="8">
        <f t="shared" ca="1" si="438"/>
        <v>365</v>
      </c>
      <c r="H735" s="8">
        <f t="shared" ca="1" si="415"/>
        <v>31</v>
      </c>
      <c r="I735" s="8" t="str">
        <f t="shared" ca="1" si="412"/>
        <v>615</v>
      </c>
      <c r="J735" s="13">
        <f>IF(繳費報酬率資料!$A$1=1,VALUE(OP!$C$121),VLOOKUP(A735,MP,2,0))</f>
        <v>0.05</v>
      </c>
      <c r="K735" s="14">
        <f ca="1">IF(SUM($K$4:K734,IF(繳費報酬率資料!$A$1=1,$AU735+$AV735,$BB735+$BC735))&gt;OP!$L$58,0,IF(繳費報酬率資料!$A$1=1,$AU735+$AV735,$BB735+$BC735))</f>
        <v>0</v>
      </c>
      <c r="L735" s="2">
        <f ca="1">ROUND(IF(OP!$C$78&lt;(IF(OR($T735="F",$E735&gt;=111),0,Z734+$K735-$O735+IF($C$1=1,OP!$C$78,IF($C736=$C$3,SUM(AC724:AC735,0)))))*5%,0,(OP!$C$78-((IF(OR($T735="F",$E735&gt;=111),0,Z734+$K735-$O735+IF($C$1=1,AC735,IF($C736=$C$3,SUM(AC724:AC735,0)))))*5%))*$Q735),0)</f>
        <v>0</v>
      </c>
      <c r="M735" s="2">
        <f ca="1">ROUND(IF(OP!$C$78&lt;(IF(OR($T735="F",$E735&gt;=111),0,AA734+$K735-$O735+IF($C$1=1,AD735,IF($C736=$C$3,SUM(AD724:AD735,0)))))*5%,0,(OP!$C$78-((IF(OR($T735="F",$E735&gt;=111),0,AA734+$K735-$O735+IF($C$1=1,AD735,IF($C736=$C$3,SUM(AD724:AD735,0)))))*5%))*$Q735),0)</f>
        <v>0</v>
      </c>
      <c r="N735" s="2">
        <f ca="1">ROUND(IF(OP!$C$78&lt;(IF(OR($T735="F",$E735&gt;=111),0,AB734+$K735-$O735+IF($C$1=1,AE735,IF($C736=$C$3,SUM(AE724:AE735,0)))))*5%,0,(OP!$C$78-((IF(OR($T735="F",$E735&gt;=111),0,AB734+$K735-$O735+IF($C$1=1,AE735,IF($C736=$C$3,SUM(AE724:AE735,0)))))*5%))*$Q735),0)</f>
        <v>0</v>
      </c>
      <c r="O735" s="261">
        <f t="shared" ca="1" si="416"/>
        <v>0</v>
      </c>
      <c r="P735" s="261">
        <f t="shared" ca="1" si="434"/>
        <v>0</v>
      </c>
      <c r="Q735" s="3">
        <f ca="1">IF(A735&gt;MAX(OP!$R$17:$R$26),0,VLOOKUP(A735,fees,3,FALSE))</f>
        <v>0</v>
      </c>
      <c r="R735" s="200" t="str">
        <f t="shared" ca="1" si="417"/>
        <v/>
      </c>
      <c r="S735" s="9" t="str">
        <f ca="1">IF(COUNTIF(($T$4:T734),"F")&gt;=1,"",IF(OR(C736&lt;&gt;$C$3,E735=""),"",A735))</f>
        <v/>
      </c>
      <c r="T735" s="20" t="str">
        <f t="shared" ca="1" si="409"/>
        <v/>
      </c>
      <c r="U735" s="2">
        <f ca="1">IF(IF(OP!$C$83=1,$Z734,IF(OP!$C$83=2,$AA734,IF(OP!$C$83=3,$AB734,)))+$K735-$O735-$P735-$AS735&lt;OP!$C$142,0,$AS735)</f>
        <v>0</v>
      </c>
      <c r="V735" s="19">
        <f ca="1">SUM(K724:K735)</f>
        <v>0</v>
      </c>
      <c r="W735" s="19">
        <f ca="1">MAX(SUM($K$4:K735),0)</f>
        <v>2000000</v>
      </c>
      <c r="X735" s="19">
        <f ca="1">SUM(O724:P735)</f>
        <v>0</v>
      </c>
      <c r="Y735" s="19">
        <f t="shared" ca="1" si="435"/>
        <v>1920000</v>
      </c>
      <c r="Z735" s="2">
        <f ca="1">IF(MIN($Z$4:Z734)=0,0,MAX(0,($Z734+$K735-$O735-$P735)*IF(AND(F735="F",$D$3&lt;&gt;$G$3),((1+(-J735))^(H735/MIN(G735,365))),((1+(-J735))^(1/12)))-$U735))</f>
        <v>84031.313352202167</v>
      </c>
      <c r="AA735" s="2">
        <f ca="1">IF(MIN($AA$4:AA734)=0,0,MAX(0,($AA734+$K735-$O735-$P735)*IF(AND(F735="F",$D$3&lt;&gt;$G$3),((1+$AA$1)^(H735/MIN(G735,365))),((1+$AA$1)^(1/12)))-$U735))</f>
        <v>1920000</v>
      </c>
      <c r="AB735" s="2">
        <f ca="1">IF(MIN($AB$4:AB734)=0,0,MAX(0,($AB734+$K735-$O735-$P735)*IF(AND(F735="F",$D$3&lt;&gt;$G$3),((1+(J735))^(H735/MIN(G735,365))),((1+(J735))^(1/12)))-$U735))</f>
        <v>37657238.762553222</v>
      </c>
      <c r="AC735" s="5"/>
      <c r="AD735" s="5"/>
      <c r="AE735" s="5"/>
      <c r="AF735" s="282">
        <f t="shared" ca="1" si="418"/>
        <v>84031</v>
      </c>
      <c r="AG735" s="282">
        <f t="shared" ca="1" si="419"/>
        <v>1920000</v>
      </c>
      <c r="AH735" s="282">
        <f t="shared" ca="1" si="420"/>
        <v>37657239</v>
      </c>
      <c r="AI735" s="23" t="str">
        <f t="shared" ca="1" si="437"/>
        <v>62-1</v>
      </c>
      <c r="AJ735" s="282">
        <f ca="1">IF(E735&gt;111,,IF(AND(OP!$C$99=1,T735="F"),Z735,IF(AND(OP!$C$99=2,COUNTIF($T$4:T735,"F")=1),OP!$C$97+IF(F735="F",OP!$C$98,0),"")))</f>
        <v>0</v>
      </c>
      <c r="AK735" s="282">
        <f ca="1">IF(E735&gt;111,,IF(AND(OP!$D$99=1,T735="F"),AA735,IF(AND(OP!$D$99=2,COUNTIF($T$4:T735,"F")=1),OP!$D$97+IF(F735="F",OP!$D$98,0),"")))</f>
        <v>0</v>
      </c>
      <c r="AL735" s="282">
        <f ca="1">IF(E735&gt;111,,IF(AND(OP!$E$99=1,T735="F"),AB735,IF(AND(OP!$E$99=2,COUNTIF($T$4:T735,"F")=1),OP!$E$97+IF(F735="F",OP!$E$98,0),"")))</f>
        <v>0</v>
      </c>
      <c r="AM735" s="1">
        <f t="shared" ca="1" si="410"/>
        <v>1</v>
      </c>
      <c r="AN735" s="1" t="e">
        <f ca="1">IF(OR(VLOOKUP($A735,MP,5,0)="月繳"),1,"")</f>
        <v>#N/A</v>
      </c>
      <c r="AO735" s="1">
        <f t="shared" ca="1" si="421"/>
        <v>0</v>
      </c>
      <c r="AP735" s="1" t="str">
        <f ca="1">IF(AND(A735&lt;=OP!$C$120,COUNTIF(PAY,C735)=1),1,"")</f>
        <v/>
      </c>
      <c r="AR735" s="301">
        <f ca="1">IF(繳費報酬率資料!$A$1=1,$AY735+$AZ735,$BF735+$BG735)</f>
        <v>0</v>
      </c>
      <c r="AS735" s="1">
        <f ca="1">IF(C735&lt;&gt;IF($C$3=1,12,$C$3-1),0,IF(繳費報酬率資料!$A$1&lt;&gt;1,VLOOKUP($A735,MP,8,0),IF(AND($A735&gt;=OP!$C$79,$A735&lt;=OP!$C$80),OP!$C$78,)))</f>
        <v>0</v>
      </c>
      <c r="AT735" s="298">
        <f t="shared" ca="1" si="422"/>
        <v>0</v>
      </c>
      <c r="AU735" s="298">
        <f ca="1">IF(AND(A735&lt;=OP!$C$120,COUNTIF(PAY,C735)=1),OP!$C$123,0)</f>
        <v>0</v>
      </c>
      <c r="AV735" s="298">
        <f ca="1">IF(AND(A735&gt;=OP!$C$132,A735&lt;=OP!$C$133,$C$3=C735),OP!$C$135,0)</f>
        <v>0</v>
      </c>
      <c r="AW735" s="180">
        <f t="shared" ca="1" si="423"/>
        <v>0.05</v>
      </c>
      <c r="AX735" s="180">
        <f t="shared" ca="1" si="424"/>
        <v>0.05</v>
      </c>
      <c r="AY735" s="286">
        <f t="shared" ca="1" si="425"/>
        <v>0</v>
      </c>
      <c r="AZ735" s="286">
        <f t="shared" ca="1" si="426"/>
        <v>0</v>
      </c>
      <c r="BA735" s="286">
        <f t="shared" ca="1" si="427"/>
        <v>0</v>
      </c>
      <c r="BB735" s="286">
        <f t="shared" ca="1" si="428"/>
        <v>0</v>
      </c>
      <c r="BC735" s="286">
        <f t="shared" ca="1" si="429"/>
        <v>0</v>
      </c>
      <c r="BD735" s="180">
        <f t="shared" ca="1" si="430"/>
        <v>0.05</v>
      </c>
      <c r="BE735" s="180">
        <f t="shared" ca="1" si="431"/>
        <v>0.05</v>
      </c>
      <c r="BF735" s="286">
        <f t="shared" ca="1" si="432"/>
        <v>0</v>
      </c>
      <c r="BG735" s="286">
        <f t="shared" ca="1" si="433"/>
        <v>0</v>
      </c>
    </row>
    <row r="736" spans="1:59">
      <c r="A736" s="1">
        <f t="shared" ca="1" si="413"/>
        <v>62</v>
      </c>
      <c r="B736" s="1">
        <f t="shared" ca="1" si="406"/>
        <v>167</v>
      </c>
      <c r="C736" s="1">
        <f t="shared" ca="1" si="407"/>
        <v>6</v>
      </c>
      <c r="D736" s="1">
        <f ca="1">MIN($D$3,VLOOKUP(C736,OP!$S$30:$T$41,2))</f>
        <v>2</v>
      </c>
      <c r="E736" s="1" t="str">
        <f t="shared" ca="1" si="408"/>
        <v/>
      </c>
      <c r="F736" s="11" t="str">
        <f t="shared" ca="1" si="414"/>
        <v/>
      </c>
      <c r="G736" s="6">
        <f ca="1">DATEDIF(DATE(B736+1911,C736,D736),DATE(B748+1911,C748,D748),"d")</f>
        <v>365</v>
      </c>
      <c r="H736" s="8">
        <f t="shared" ca="1" si="415"/>
        <v>30</v>
      </c>
      <c r="I736" s="8" t="str">
        <f t="shared" ca="1" si="412"/>
        <v>626</v>
      </c>
      <c r="J736" s="13">
        <f>IF(繳費報酬率資料!$A$1=1,VALUE(OP!$C$121),VLOOKUP(A736,MP,2,0))</f>
        <v>0.05</v>
      </c>
      <c r="K736" s="14">
        <f ca="1">IF(SUM($K$4:K735,IF(繳費報酬率資料!$A$1=1,$AU736+$AV736,$BB736+$BC736))&gt;OP!$L$58,0,IF(繳費報酬率資料!$A$1=1,$AU736+$AV736,$BB736+$BC736))</f>
        <v>0</v>
      </c>
      <c r="L736" s="2"/>
      <c r="M736" s="2"/>
      <c r="N736" s="2"/>
      <c r="O736" s="261">
        <f t="shared" ca="1" si="416"/>
        <v>0</v>
      </c>
      <c r="P736" s="261">
        <f t="shared" ca="1" si="434"/>
        <v>0</v>
      </c>
      <c r="Q736" s="3">
        <f ca="1">IF(A736&gt;MAX(OP!$R$17:$R$26),0,VLOOKUP(A736,fees,3,FALSE))</f>
        <v>0</v>
      </c>
      <c r="R736" s="200" t="str">
        <f t="shared" ca="1" si="417"/>
        <v/>
      </c>
      <c r="S736" s="9" t="str">
        <f ca="1">IF(COUNTIF(($T$4:T735),"F")&gt;=1,"",IF(OR(C737&lt;&gt;$C$3,E736=""),"",A736))</f>
        <v/>
      </c>
      <c r="T736" s="20" t="str">
        <f t="shared" ca="1" si="409"/>
        <v/>
      </c>
      <c r="U736" s="2">
        <f ca="1">IF(IF(OP!$C$83=1,$Z735,IF(OP!$C$83=2,$AA735,IF(OP!$C$83=3,$AB735,)))+$K736-$O736-$P736-$AS736&lt;OP!$C$142,0,$AS736)</f>
        <v>0</v>
      </c>
      <c r="V736" s="9"/>
      <c r="W736" s="19">
        <f ca="1">MAX(SUM($K$4:K736),0)</f>
        <v>2000000</v>
      </c>
      <c r="X736" s="19"/>
      <c r="Y736" s="19">
        <f t="shared" ca="1" si="435"/>
        <v>1920000</v>
      </c>
      <c r="Z736" s="2">
        <f ca="1">IF(MIN($Z$4:Z735)=0,0,MAX(0,($Z735+$K736-$O736-$P736)*IF(AND(F736="F",$D$3&lt;&gt;$G$3),((1+(-J736))^(H736/MIN(G736,365))),((1+(-J736))^(1/12)))-$U736))</f>
        <v>83672.893013457942</v>
      </c>
      <c r="AA736" s="2">
        <f ca="1">IF(MIN($AA$4:AA735)=0,0,MAX(0,($AA735+$K736-$O736-$P736)*IF(AND(F736="F",$D$3&lt;&gt;$G$3),((1+$AA$1)^(H736/MIN(G736,365))),((1+$AA$1)^(1/12)))-$U736))</f>
        <v>1920000</v>
      </c>
      <c r="AB736" s="2">
        <f ca="1">IF(MIN($AB$4:AB735)=0,0,MAX(0,($AB735+$K736-$O736-$P736)*IF(AND(F736="F",$D$3&lt;&gt;$G$3),((1+(J736))^(H736/MIN(G736,365))),((1+(J736))^(1/12)))-$U736))</f>
        <v>37810659.014622264</v>
      </c>
      <c r="AC736" s="21"/>
      <c r="AD736" s="21"/>
      <c r="AE736" s="21"/>
      <c r="AF736" s="282">
        <f t="shared" ca="1" si="418"/>
        <v>83673</v>
      </c>
      <c r="AG736" s="282">
        <f t="shared" ca="1" si="419"/>
        <v>1920000</v>
      </c>
      <c r="AH736" s="282">
        <f t="shared" ca="1" si="420"/>
        <v>37810659</v>
      </c>
      <c r="AI736" s="23" t="str">
        <f t="shared" ca="1" si="437"/>
        <v>62-2</v>
      </c>
      <c r="AJ736" s="281">
        <f ca="1">IF(E736&gt;111,,IF(AND(OP!$C$99=1,T736="F"),Z736,IF(AND(OP!$C$99=2,COUNTIF($T$4:T736,"F")=1),OP!$C$97+IF(F736="F",OP!$C$98,0),"")))</f>
        <v>0</v>
      </c>
      <c r="AK736" s="281">
        <f ca="1">IF(E736&gt;111,,IF(AND(OP!$D$99=1,T736="F"),AA736,IF(AND(OP!$D$99=2,COUNTIF($T$4:T736,"F")=1),OP!$D$97+IF(F736="F",OP!$D$98,0),"")))</f>
        <v>0</v>
      </c>
      <c r="AL736" s="281">
        <f ca="1">IF(E736&gt;111,,IF(AND(OP!$E$99=1,T736="F"),AB736,IF(AND(OP!$E$99=2,COUNTIF($T$4:T736,"F")=1),OP!$E$97+IF(F736="F",OP!$E$98,0),"")))</f>
        <v>0</v>
      </c>
      <c r="AM736" s="1">
        <f t="shared" ca="1" si="410"/>
        <v>2</v>
      </c>
      <c r="AN736" s="1" t="e">
        <f ca="1">IF(OR(VLOOKUP($A736,MP,5,0)="年繳",VLOOKUP($A736,MP,5,0)="半年繳",VLOOKUP($A736,MP,5,0)="季繳",VLOOKUP($A736,MP,5,0)="月繳"),1,"")</f>
        <v>#N/A</v>
      </c>
      <c r="AO736" s="1">
        <f t="shared" ca="1" si="421"/>
        <v>0</v>
      </c>
      <c r="AP736" s="1" t="str">
        <f ca="1">IF(AND(A736&lt;=OP!$C$120,COUNTIF(PAY,C736)=1),1,"")</f>
        <v/>
      </c>
      <c r="AR736" s="301">
        <f ca="1">IF(繳費報酬率資料!$A$1=1,$AY736+$AZ736,$BF736+$BG736)</f>
        <v>0</v>
      </c>
      <c r="AS736" s="1">
        <f ca="1">IF(C736&lt;&gt;IF($C$3=1,12,$C$3-1),0,IF(繳費報酬率資料!$A$1&lt;&gt;1,VLOOKUP($A736,MP,8,0),IF(AND($A736&gt;=OP!$C$79,$A736&lt;=OP!$C$80),OP!$C$78,)))</f>
        <v>0</v>
      </c>
      <c r="AT736" s="298">
        <f t="shared" ca="1" si="422"/>
        <v>0</v>
      </c>
      <c r="AU736" s="298">
        <f ca="1">IF(AND(A736&lt;=OP!$C$120,COUNTIF(PAY,C736)=1),OP!$C$123,0)</f>
        <v>0</v>
      </c>
      <c r="AV736" s="298">
        <f ca="1">IF(AND(A736&gt;=OP!$C$132,A736&lt;=OP!$C$133,$C$3=C736),OP!$C$135,0)</f>
        <v>0</v>
      </c>
      <c r="AW736" s="180">
        <f t="shared" ca="1" si="423"/>
        <v>0.05</v>
      </c>
      <c r="AX736" s="180">
        <f t="shared" ca="1" si="424"/>
        <v>0.05</v>
      </c>
      <c r="AY736" s="286">
        <f t="shared" ca="1" si="425"/>
        <v>0</v>
      </c>
      <c r="AZ736" s="286">
        <f t="shared" ca="1" si="426"/>
        <v>0</v>
      </c>
      <c r="BA736" s="286">
        <f t="shared" ca="1" si="427"/>
        <v>0</v>
      </c>
      <c r="BB736" s="286">
        <f t="shared" ca="1" si="428"/>
        <v>0</v>
      </c>
      <c r="BC736" s="286">
        <f t="shared" ca="1" si="429"/>
        <v>0</v>
      </c>
      <c r="BD736" s="180">
        <f t="shared" ca="1" si="430"/>
        <v>0.05</v>
      </c>
      <c r="BE736" s="180">
        <f t="shared" ca="1" si="431"/>
        <v>0.05</v>
      </c>
      <c r="BF736" s="286">
        <f t="shared" ca="1" si="432"/>
        <v>0</v>
      </c>
      <c r="BG736" s="286">
        <f t="shared" ca="1" si="433"/>
        <v>0</v>
      </c>
    </row>
    <row r="737" spans="1:59">
      <c r="A737" s="1">
        <f t="shared" ca="1" si="413"/>
        <v>62</v>
      </c>
      <c r="B737" s="1">
        <f t="shared" ca="1" si="406"/>
        <v>167</v>
      </c>
      <c r="C737" s="1">
        <f t="shared" ca="1" si="407"/>
        <v>7</v>
      </c>
      <c r="D737" s="1">
        <f ca="1">MIN($D$3,VLOOKUP(C737,OP!$S$30:$T$41,2))</f>
        <v>2</v>
      </c>
      <c r="E737" s="1" t="str">
        <f t="shared" ca="1" si="408"/>
        <v/>
      </c>
      <c r="F737" s="11" t="str">
        <f t="shared" ca="1" si="414"/>
        <v/>
      </c>
      <c r="G737" s="8">
        <f t="shared" ref="G737:G747" ca="1" si="439">G736</f>
        <v>365</v>
      </c>
      <c r="H737" s="8">
        <f t="shared" ca="1" si="415"/>
        <v>31</v>
      </c>
      <c r="I737" s="8" t="str">
        <f t="shared" ca="1" si="412"/>
        <v>627</v>
      </c>
      <c r="J737" s="13">
        <f>IF(繳費報酬率資料!$A$1=1,VALUE(OP!$C$121),VLOOKUP(A737,MP,2,0))</f>
        <v>0.05</v>
      </c>
      <c r="K737" s="14">
        <f ca="1">IF(SUM($K$4:K736,IF(繳費報酬率資料!$A$1=1,$AU737+$AV737,$BB737+$BC737))&gt;OP!$L$58,0,IF(繳費報酬率資料!$A$1=1,$AU737+$AV737,$BB737+$BC737))</f>
        <v>0</v>
      </c>
      <c r="L737" s="2"/>
      <c r="M737" s="2"/>
      <c r="N737" s="2"/>
      <c r="O737" s="261">
        <f t="shared" ca="1" si="416"/>
        <v>0</v>
      </c>
      <c r="P737" s="261">
        <f t="shared" ca="1" si="434"/>
        <v>0</v>
      </c>
      <c r="Q737" s="3">
        <f ca="1">IF(A737&gt;MAX(OP!$R$17:$R$26),0,VLOOKUP(A737,fees,3,FALSE))</f>
        <v>0</v>
      </c>
      <c r="R737" s="200" t="str">
        <f t="shared" ca="1" si="417"/>
        <v/>
      </c>
      <c r="S737" s="9" t="str">
        <f ca="1">IF(COUNTIF(($T$4:T736),"F")&gt;=1,"",IF(OR(C738&lt;&gt;$C$3,E737=""),"",A737))</f>
        <v/>
      </c>
      <c r="T737" s="20" t="str">
        <f t="shared" ca="1" si="409"/>
        <v/>
      </c>
      <c r="U737" s="2">
        <f ca="1">IF(IF(OP!$C$83=1,$Z736,IF(OP!$C$83=2,$AA736,IF(OP!$C$83=3,$AB736,)))+$K737-$O737-$P737-$AS737&lt;OP!$C$142,0,$AS737)</f>
        <v>0</v>
      </c>
      <c r="V737" s="9"/>
      <c r="W737" s="19">
        <f ca="1">MAX(SUM($K$4:K737),0)</f>
        <v>2000000</v>
      </c>
      <c r="X737" s="19"/>
      <c r="Y737" s="19">
        <f t="shared" ca="1" si="435"/>
        <v>1920000</v>
      </c>
      <c r="Z737" s="2">
        <f ca="1">IF(MIN($Z$4:Z736)=0,0,MAX(0,($Z736+$K737-$O737-$P737)*IF(AND(F737="F",$D$3&lt;&gt;$G$3),((1+(-J737))^(H737/MIN(G737,365))),((1+(-J737))^(1/12)))-$U737))</f>
        <v>83316.001451714823</v>
      </c>
      <c r="AA737" s="2">
        <f ca="1">IF(MIN($AA$4:AA736)=0,0,MAX(0,($AA736+$K737-$O737-$P737)*IF(AND(F737="F",$D$3&lt;&gt;$G$3),((1+$AA$1)^(H737/MIN(G737,365))),((1+$AA$1)^(1/12)))-$U737))</f>
        <v>1920000</v>
      </c>
      <c r="AB737" s="2">
        <f ca="1">IF(MIN($AB$4:AB736)=0,0,MAX(0,($AB736+$K737-$O737-$P737)*IF(AND(F737="F",$D$3&lt;&gt;$G$3),((1+(J737))^(H737/MIN(G737,365))),((1+(J737))^(1/12)))-$U737))</f>
        <v>37964704.319789156</v>
      </c>
      <c r="AC737" s="5"/>
      <c r="AD737" s="5"/>
      <c r="AE737" s="5"/>
      <c r="AF737" s="282">
        <f t="shared" ca="1" si="418"/>
        <v>83316</v>
      </c>
      <c r="AG737" s="282">
        <f t="shared" ca="1" si="419"/>
        <v>1920000</v>
      </c>
      <c r="AH737" s="282">
        <f t="shared" ca="1" si="420"/>
        <v>37964704</v>
      </c>
      <c r="AI737" s="23" t="str">
        <f t="shared" ca="1" si="437"/>
        <v>62-3</v>
      </c>
      <c r="AJ737" s="282">
        <f ca="1">IF(E737&gt;111,,IF(AND(OP!$C$99=1,T737="F"),Z737,IF(AND(OP!$C$99=2,COUNTIF($T$4:T737,"F")=1),OP!$C$97+IF(F737="F",OP!$C$98,0),"")))</f>
        <v>0</v>
      </c>
      <c r="AK737" s="282">
        <f ca="1">IF(E737&gt;111,,IF(AND(OP!$D$99=1,T737="F"),AA737,IF(AND(OP!$D$99=2,COUNTIF($T$4:T737,"F")=1),OP!$D$97+IF(F737="F",OP!$D$98,0),"")))</f>
        <v>0</v>
      </c>
      <c r="AL737" s="282">
        <f ca="1">IF(E737&gt;111,,IF(AND(OP!$E$99=1,T737="F"),AB737,IF(AND(OP!$E$99=2,COUNTIF($T$4:T737,"F")=1),OP!$E$97+IF(F737="F",OP!$E$98,0),"")))</f>
        <v>0</v>
      </c>
      <c r="AM737" s="1">
        <f t="shared" ca="1" si="410"/>
        <v>3</v>
      </c>
      <c r="AN737" s="1" t="e">
        <f ca="1">IF(OR(VLOOKUP($A737,MP,5,0)="月繳"),1,"")</f>
        <v>#N/A</v>
      </c>
      <c r="AO737" s="1">
        <f t="shared" ca="1" si="421"/>
        <v>0</v>
      </c>
      <c r="AP737" s="1" t="str">
        <f ca="1">IF(AND(A737&lt;=OP!$C$120,COUNTIF(PAY,C737)=1),1,"")</f>
        <v/>
      </c>
      <c r="AR737" s="301">
        <f ca="1">IF(繳費報酬率資料!$A$1=1,$AY737+$AZ737,$BF737+$BG737)</f>
        <v>0</v>
      </c>
      <c r="AS737" s="1">
        <f ca="1">IF(C737&lt;&gt;IF($C$3=1,12,$C$3-1),0,IF(繳費報酬率資料!$A$1&lt;&gt;1,VLOOKUP($A737,MP,8,0),IF(AND($A737&gt;=OP!$C$79,$A737&lt;=OP!$C$80),OP!$C$78,)))</f>
        <v>0</v>
      </c>
      <c r="AT737" s="298">
        <f t="shared" ca="1" si="422"/>
        <v>0</v>
      </c>
      <c r="AU737" s="298">
        <f ca="1">IF(AND(A737&lt;=OP!$C$120,COUNTIF(PAY,C737)=1),OP!$C$123,0)</f>
        <v>0</v>
      </c>
      <c r="AV737" s="298">
        <f ca="1">IF(AND(A737&gt;=OP!$C$132,A737&lt;=OP!$C$133,$C$3=C737),OP!$C$135,0)</f>
        <v>0</v>
      </c>
      <c r="AW737" s="180">
        <f t="shared" ca="1" si="423"/>
        <v>0.05</v>
      </c>
      <c r="AX737" s="180">
        <f t="shared" ca="1" si="424"/>
        <v>0.05</v>
      </c>
      <c r="AY737" s="286">
        <f t="shared" ca="1" si="425"/>
        <v>0</v>
      </c>
      <c r="AZ737" s="286">
        <f t="shared" ca="1" si="426"/>
        <v>0</v>
      </c>
      <c r="BA737" s="286">
        <f t="shared" ca="1" si="427"/>
        <v>0</v>
      </c>
      <c r="BB737" s="286">
        <f t="shared" ca="1" si="428"/>
        <v>0</v>
      </c>
      <c r="BC737" s="286">
        <f t="shared" ca="1" si="429"/>
        <v>0</v>
      </c>
      <c r="BD737" s="180">
        <f t="shared" ca="1" si="430"/>
        <v>0.05</v>
      </c>
      <c r="BE737" s="180">
        <f t="shared" ca="1" si="431"/>
        <v>0.05</v>
      </c>
      <c r="BF737" s="286">
        <f t="shared" ca="1" si="432"/>
        <v>0</v>
      </c>
      <c r="BG737" s="286">
        <f t="shared" ca="1" si="433"/>
        <v>0</v>
      </c>
    </row>
    <row r="738" spans="1:59">
      <c r="A738" s="1">
        <f t="shared" ca="1" si="413"/>
        <v>62</v>
      </c>
      <c r="B738" s="1">
        <f t="shared" ca="1" si="406"/>
        <v>167</v>
      </c>
      <c r="C738" s="1">
        <f t="shared" ca="1" si="407"/>
        <v>8</v>
      </c>
      <c r="D738" s="1">
        <f ca="1">MIN($D$3,VLOOKUP(C738,OP!$S$30:$T$41,2))</f>
        <v>2</v>
      </c>
      <c r="E738" s="1" t="str">
        <f t="shared" ca="1" si="408"/>
        <v/>
      </c>
      <c r="F738" s="11" t="str">
        <f t="shared" ca="1" si="414"/>
        <v/>
      </c>
      <c r="G738" s="8">
        <f t="shared" ca="1" si="439"/>
        <v>365</v>
      </c>
      <c r="H738" s="8">
        <f t="shared" ca="1" si="415"/>
        <v>31</v>
      </c>
      <c r="I738" s="8" t="str">
        <f t="shared" ca="1" si="412"/>
        <v>628</v>
      </c>
      <c r="J738" s="13">
        <f>IF(繳費報酬率資料!$A$1=1,VALUE(OP!$C$121),VLOOKUP(A738,MP,2,0))</f>
        <v>0.05</v>
      </c>
      <c r="K738" s="14">
        <f ca="1">IF(SUM($K$4:K737,IF(繳費報酬率資料!$A$1=1,$AU738+$AV738,$BB738+$BC738))&gt;OP!$L$58,0,IF(繳費報酬率資料!$A$1=1,$AU738+$AV738,$BB738+$BC738))</f>
        <v>0</v>
      </c>
      <c r="L738" s="2"/>
      <c r="M738" s="2"/>
      <c r="N738" s="2"/>
      <c r="O738" s="261">
        <f t="shared" ca="1" si="416"/>
        <v>0</v>
      </c>
      <c r="P738" s="261">
        <f t="shared" ca="1" si="434"/>
        <v>0</v>
      </c>
      <c r="Q738" s="3">
        <f ca="1">IF(A738&gt;MAX(OP!$R$17:$R$26),0,VLOOKUP(A738,fees,3,FALSE))</f>
        <v>0</v>
      </c>
      <c r="R738" s="200" t="str">
        <f t="shared" ca="1" si="417"/>
        <v/>
      </c>
      <c r="S738" s="9" t="str">
        <f ca="1">IF(COUNTIF(($T$4:T737),"F")&gt;=1,"",IF(OR(C739&lt;&gt;$C$3,E738=""),"",A738))</f>
        <v/>
      </c>
      <c r="T738" s="20" t="str">
        <f t="shared" ca="1" si="409"/>
        <v/>
      </c>
      <c r="U738" s="2">
        <f ca="1">IF(IF(OP!$C$83=1,$Z737,IF(OP!$C$83=2,$AA737,IF(OP!$C$83=3,$AB737,)))+$K738-$O738-$P738-$AS738&lt;OP!$C$142,0,$AS738)</f>
        <v>0</v>
      </c>
      <c r="V738" s="9"/>
      <c r="W738" s="19">
        <f ca="1">MAX(SUM($K$4:K738),0)</f>
        <v>2000000</v>
      </c>
      <c r="X738" s="19"/>
      <c r="Y738" s="19">
        <f t="shared" ca="1" si="435"/>
        <v>1920000</v>
      </c>
      <c r="Z738" s="2">
        <f ca="1">IF(MIN($Z$4:Z737)=0,0,MAX(0,($Z737+$K738-$O738-$P738)*IF(AND(F738="F",$D$3&lt;&gt;$G$3),((1+(-J738))^(H738/MIN(G738,365))),((1+(-J738))^(1/12)))-$U738))</f>
        <v>82960.632146251548</v>
      </c>
      <c r="AA738" s="2">
        <f ca="1">IF(MIN($AA$4:AA737)=0,0,MAX(0,($AA737+$K738-$O738-$P738)*IF(AND(F738="F",$D$3&lt;&gt;$G$3),((1+$AA$1)^(H738/MIN(G738,365))),((1+$AA$1)^(1/12)))-$U738))</f>
        <v>1920000</v>
      </c>
      <c r="AB738" s="2">
        <f ca="1">IF(MIN($AB$4:AB737)=0,0,MAX(0,($AB737+$K738-$O738-$P738)*IF(AND(F738="F",$D$3&lt;&gt;$G$3),((1+(J738))^(H738/MIN(G738,365))),((1+(J738))^(1/12)))-$U738))</f>
        <v>38119377.224597588</v>
      </c>
      <c r="AC738" s="5"/>
      <c r="AD738" s="5"/>
      <c r="AE738" s="5"/>
      <c r="AF738" s="282">
        <f t="shared" ca="1" si="418"/>
        <v>82961</v>
      </c>
      <c r="AG738" s="282">
        <f t="shared" ca="1" si="419"/>
        <v>1920000</v>
      </c>
      <c r="AH738" s="282">
        <f t="shared" ca="1" si="420"/>
        <v>38119377</v>
      </c>
      <c r="AI738" s="23" t="str">
        <f t="shared" ca="1" si="437"/>
        <v>62-4</v>
      </c>
      <c r="AJ738" s="282">
        <f ca="1">IF(E738&gt;111,,IF(AND(OP!$C$99=1,T738="F"),Z738,IF(AND(OP!$C$99=2,COUNTIF($T$4:T738,"F")=1),OP!$C$97+IF(F738="F",OP!$C$98,0),"")))</f>
        <v>0</v>
      </c>
      <c r="AK738" s="282">
        <f ca="1">IF(E738&gt;111,,IF(AND(OP!$D$99=1,T738="F"),AA738,IF(AND(OP!$D$99=2,COUNTIF($T$4:T738,"F")=1),OP!$D$97+IF(F738="F",OP!$D$98,0),"")))</f>
        <v>0</v>
      </c>
      <c r="AL738" s="282">
        <f ca="1">IF(E738&gt;111,,IF(AND(OP!$E$99=1,T738="F"),AB738,IF(AND(OP!$E$99=2,COUNTIF($T$4:T738,"F")=1),OP!$E$97+IF(F738="F",OP!$E$98,0),"")))</f>
        <v>0</v>
      </c>
      <c r="AM738" s="1">
        <f t="shared" ca="1" si="410"/>
        <v>4</v>
      </c>
      <c r="AN738" s="1" t="e">
        <f ca="1">IF(OR(VLOOKUP($A738,MP,5,0)="月繳"),1,"")</f>
        <v>#N/A</v>
      </c>
      <c r="AO738" s="1">
        <f t="shared" ca="1" si="421"/>
        <v>0</v>
      </c>
      <c r="AP738" s="1" t="str">
        <f ca="1">IF(AND(A738&lt;=OP!$C$120,COUNTIF(PAY,C738)=1),1,"")</f>
        <v/>
      </c>
      <c r="AR738" s="301">
        <f ca="1">IF(繳費報酬率資料!$A$1=1,$AY738+$AZ738,$BF738+$BG738)</f>
        <v>0</v>
      </c>
      <c r="AS738" s="1">
        <f ca="1">IF(C738&lt;&gt;IF($C$3=1,12,$C$3-1),0,IF(繳費報酬率資料!$A$1&lt;&gt;1,VLOOKUP($A738,MP,8,0),IF(AND($A738&gt;=OP!$C$79,$A738&lt;=OP!$C$80),OP!$C$78,)))</f>
        <v>0</v>
      </c>
      <c r="AT738" s="298">
        <f t="shared" ca="1" si="422"/>
        <v>0</v>
      </c>
      <c r="AU738" s="298">
        <f ca="1">IF(AND(A738&lt;=OP!$C$120,COUNTIF(PAY,C738)=1),OP!$C$123,0)</f>
        <v>0</v>
      </c>
      <c r="AV738" s="298">
        <f ca="1">IF(AND(A738&gt;=OP!$C$132,A738&lt;=OP!$C$133,$C$3=C738),OP!$C$135,0)</f>
        <v>0</v>
      </c>
      <c r="AW738" s="180">
        <f t="shared" ca="1" si="423"/>
        <v>0.05</v>
      </c>
      <c r="AX738" s="180">
        <f t="shared" ca="1" si="424"/>
        <v>0.05</v>
      </c>
      <c r="AY738" s="286">
        <f t="shared" ca="1" si="425"/>
        <v>0</v>
      </c>
      <c r="AZ738" s="286">
        <f t="shared" ca="1" si="426"/>
        <v>0</v>
      </c>
      <c r="BA738" s="286">
        <f t="shared" ca="1" si="427"/>
        <v>0</v>
      </c>
      <c r="BB738" s="286">
        <f t="shared" ca="1" si="428"/>
        <v>0</v>
      </c>
      <c r="BC738" s="286">
        <f t="shared" ca="1" si="429"/>
        <v>0</v>
      </c>
      <c r="BD738" s="180">
        <f t="shared" ca="1" si="430"/>
        <v>0.05</v>
      </c>
      <c r="BE738" s="180">
        <f t="shared" ca="1" si="431"/>
        <v>0.05</v>
      </c>
      <c r="BF738" s="286">
        <f t="shared" ca="1" si="432"/>
        <v>0</v>
      </c>
      <c r="BG738" s="286">
        <f t="shared" ca="1" si="433"/>
        <v>0</v>
      </c>
    </row>
    <row r="739" spans="1:59">
      <c r="A739" s="1">
        <f t="shared" ca="1" si="413"/>
        <v>62</v>
      </c>
      <c r="B739" s="1">
        <f t="shared" ca="1" si="406"/>
        <v>167</v>
      </c>
      <c r="C739" s="1">
        <f t="shared" ca="1" si="407"/>
        <v>9</v>
      </c>
      <c r="D739" s="1">
        <f ca="1">MIN($D$3,VLOOKUP(C739,OP!$S$30:$T$41,2))</f>
        <v>2</v>
      </c>
      <c r="E739" s="1" t="str">
        <f t="shared" ca="1" si="408"/>
        <v/>
      </c>
      <c r="F739" s="11" t="str">
        <f t="shared" ca="1" si="414"/>
        <v/>
      </c>
      <c r="G739" s="8">
        <f t="shared" ca="1" si="439"/>
        <v>365</v>
      </c>
      <c r="H739" s="8">
        <f t="shared" ca="1" si="415"/>
        <v>30</v>
      </c>
      <c r="I739" s="8" t="str">
        <f t="shared" ca="1" si="412"/>
        <v>629</v>
      </c>
      <c r="J739" s="13">
        <f>IF(繳費報酬率資料!$A$1=1,VALUE(OP!$C$121),VLOOKUP(A739,MP,2,0))</f>
        <v>0.05</v>
      </c>
      <c r="K739" s="14">
        <f ca="1">IF(SUM($K$4:K738,IF(繳費報酬率資料!$A$1=1,$AU739+$AV739,$BB739+$BC739))&gt;OP!$L$58,0,IF(繳費報酬率資料!$A$1=1,$AU739+$AV739,$BB739+$BC739))</f>
        <v>0</v>
      </c>
      <c r="L739" s="2"/>
      <c r="M739" s="2"/>
      <c r="N739" s="2"/>
      <c r="O739" s="261">
        <f t="shared" ca="1" si="416"/>
        <v>0</v>
      </c>
      <c r="P739" s="261">
        <f t="shared" ca="1" si="434"/>
        <v>0</v>
      </c>
      <c r="Q739" s="3">
        <f ca="1">IF(A739&gt;MAX(OP!$R$17:$R$26),0,VLOOKUP(A739,fees,3,FALSE))</f>
        <v>0</v>
      </c>
      <c r="R739" s="200" t="str">
        <f t="shared" ca="1" si="417"/>
        <v/>
      </c>
      <c r="S739" s="9" t="str">
        <f ca="1">IF(COUNTIF(($T$4:T738),"F")&gt;=1,"",IF(OR(C740&lt;&gt;$C$3,E739=""),"",A739))</f>
        <v/>
      </c>
      <c r="T739" s="20" t="str">
        <f t="shared" ca="1" si="409"/>
        <v/>
      </c>
      <c r="U739" s="2">
        <f ca="1">IF(IF(OP!$C$83=1,$Z738,IF(OP!$C$83=2,$AA738,IF(OP!$C$83=3,$AB738,)))+$K739-$O739-$P739-$AS739&lt;OP!$C$142,0,$AS739)</f>
        <v>0</v>
      </c>
      <c r="V739" s="9"/>
      <c r="W739" s="19">
        <f ca="1">MAX(SUM($K$4:K739),0)</f>
        <v>2000000</v>
      </c>
      <c r="X739" s="19"/>
      <c r="Y739" s="19">
        <f t="shared" ca="1" si="435"/>
        <v>1920000</v>
      </c>
      <c r="Z739" s="2">
        <f ca="1">IF(MIN($Z$4:Z738)=0,0,MAX(0,($Z738+$K739-$O739-$P739)*IF(AND(F739="F",$D$3&lt;&gt;$G$3),((1+(-J739))^(H739/MIN(G739,365))),((1+(-J739))^(1/12)))-$U739))</f>
        <v>82606.778604159845</v>
      </c>
      <c r="AA739" s="2">
        <f ca="1">IF(MIN($AA$4:AA738)=0,0,MAX(0,($AA738+$K739-$O739-$P739)*IF(AND(F739="F",$D$3&lt;&gt;$G$3),((1+$AA$1)^(H739/MIN(G739,365))),((1+$AA$1)^(1/12)))-$U739))</f>
        <v>1920000</v>
      </c>
      <c r="AB739" s="2">
        <f ca="1">IF(MIN($AB$4:AB738)=0,0,MAX(0,($AB738+$K739-$O739-$P739)*IF(AND(F739="F",$D$3&lt;&gt;$G$3),((1+(J739))^(H739/MIN(G739,365))),((1+(J739))^(1/12)))-$U739))</f>
        <v>38274680.285966188</v>
      </c>
      <c r="AC739" s="5"/>
      <c r="AD739" s="5"/>
      <c r="AE739" s="5"/>
      <c r="AF739" s="282">
        <f t="shared" ca="1" si="418"/>
        <v>82607</v>
      </c>
      <c r="AG739" s="282">
        <f t="shared" ca="1" si="419"/>
        <v>1920000</v>
      </c>
      <c r="AH739" s="282">
        <f t="shared" ca="1" si="420"/>
        <v>38274680</v>
      </c>
      <c r="AI739" s="23" t="str">
        <f t="shared" ca="1" si="437"/>
        <v>62-5</v>
      </c>
      <c r="AJ739" s="282">
        <f ca="1">IF(E739&gt;111,,IF(AND(OP!$C$99=1,T739="F"),Z739,IF(AND(OP!$C$99=2,COUNTIF($T$4:T739,"F")=1),OP!$C$97+IF(F739="F",OP!$C$98,0),"")))</f>
        <v>0</v>
      </c>
      <c r="AK739" s="282">
        <f ca="1">IF(E739&gt;111,,IF(AND(OP!$D$99=1,T739="F"),AA739,IF(AND(OP!$D$99=2,COUNTIF($T$4:T739,"F")=1),OP!$D$97+IF(F739="F",OP!$D$98,0),"")))</f>
        <v>0</v>
      </c>
      <c r="AL739" s="282">
        <f ca="1">IF(E739&gt;111,,IF(AND(OP!$E$99=1,T739="F"),AB739,IF(AND(OP!$E$99=2,COUNTIF($T$4:T739,"F")=1),OP!$E$97+IF(F739="F",OP!$E$98,0),"")))</f>
        <v>0</v>
      </c>
      <c r="AM739" s="1">
        <f t="shared" ca="1" si="410"/>
        <v>5</v>
      </c>
      <c r="AN739" s="1" t="e">
        <f ca="1">IF(OR(VLOOKUP($A739,MP,5,0)="季繳",VLOOKUP($A739,MP,5,0)="月繳"),1,"")</f>
        <v>#N/A</v>
      </c>
      <c r="AO739" s="1">
        <f t="shared" ca="1" si="421"/>
        <v>0</v>
      </c>
      <c r="AP739" s="1" t="str">
        <f ca="1">IF(AND(A739&lt;=OP!$C$120,COUNTIF(PAY,C739)=1),1,"")</f>
        <v/>
      </c>
      <c r="AR739" s="301">
        <f ca="1">IF(繳費報酬率資料!$A$1=1,$AY739+$AZ739,$BF739+$BG739)</f>
        <v>0</v>
      </c>
      <c r="AS739" s="1">
        <f ca="1">IF(C739&lt;&gt;IF($C$3=1,12,$C$3-1),0,IF(繳費報酬率資料!$A$1&lt;&gt;1,VLOOKUP($A739,MP,8,0),IF(AND($A739&gt;=OP!$C$79,$A739&lt;=OP!$C$80),OP!$C$78,)))</f>
        <v>0</v>
      </c>
      <c r="AT739" s="298">
        <f t="shared" ca="1" si="422"/>
        <v>0</v>
      </c>
      <c r="AU739" s="298">
        <f ca="1">IF(AND(A739&lt;=OP!$C$120,COUNTIF(PAY,C739)=1),OP!$C$123,0)</f>
        <v>0</v>
      </c>
      <c r="AV739" s="298">
        <f ca="1">IF(AND(A739&gt;=OP!$C$132,A739&lt;=OP!$C$133,$C$3=C739),OP!$C$135,0)</f>
        <v>0</v>
      </c>
      <c r="AW739" s="180">
        <f t="shared" ca="1" si="423"/>
        <v>0.05</v>
      </c>
      <c r="AX739" s="180">
        <f t="shared" ca="1" si="424"/>
        <v>0.05</v>
      </c>
      <c r="AY739" s="286">
        <f t="shared" ca="1" si="425"/>
        <v>0</v>
      </c>
      <c r="AZ739" s="286">
        <f t="shared" ca="1" si="426"/>
        <v>0</v>
      </c>
      <c r="BA739" s="286">
        <f t="shared" ca="1" si="427"/>
        <v>0</v>
      </c>
      <c r="BB739" s="286">
        <f t="shared" ca="1" si="428"/>
        <v>0</v>
      </c>
      <c r="BC739" s="286">
        <f t="shared" ca="1" si="429"/>
        <v>0</v>
      </c>
      <c r="BD739" s="180">
        <f t="shared" ca="1" si="430"/>
        <v>0.05</v>
      </c>
      <c r="BE739" s="180">
        <f t="shared" ca="1" si="431"/>
        <v>0.05</v>
      </c>
      <c r="BF739" s="286">
        <f t="shared" ca="1" si="432"/>
        <v>0</v>
      </c>
      <c r="BG739" s="286">
        <f t="shared" ca="1" si="433"/>
        <v>0</v>
      </c>
    </row>
    <row r="740" spans="1:59">
      <c r="A740" s="1">
        <f t="shared" ca="1" si="413"/>
        <v>62</v>
      </c>
      <c r="B740" s="1">
        <f t="shared" ca="1" si="406"/>
        <v>167</v>
      </c>
      <c r="C740" s="1">
        <f t="shared" ca="1" si="407"/>
        <v>10</v>
      </c>
      <c r="D740" s="1">
        <f ca="1">MIN($D$3,VLOOKUP(C740,OP!$S$30:$T$41,2))</f>
        <v>2</v>
      </c>
      <c r="E740" s="1" t="str">
        <f t="shared" ca="1" si="408"/>
        <v/>
      </c>
      <c r="F740" s="11" t="str">
        <f t="shared" ca="1" si="414"/>
        <v/>
      </c>
      <c r="G740" s="8">
        <f t="shared" ca="1" si="439"/>
        <v>365</v>
      </c>
      <c r="H740" s="8">
        <f t="shared" ca="1" si="415"/>
        <v>31</v>
      </c>
      <c r="I740" s="8" t="str">
        <f t="shared" ca="1" si="412"/>
        <v>6210</v>
      </c>
      <c r="J740" s="13">
        <f>IF(繳費報酬率資料!$A$1=1,VALUE(OP!$C$121),VLOOKUP(A740,MP,2,0))</f>
        <v>0.05</v>
      </c>
      <c r="K740" s="14">
        <f ca="1">IF(SUM($K$4:K739,IF(繳費報酬率資料!$A$1=1,$AU740+$AV740,$BB740+$BC740))&gt;OP!$L$58,0,IF(繳費報酬率資料!$A$1=1,$AU740+$AV740,$BB740+$BC740))</f>
        <v>0</v>
      </c>
      <c r="L740" s="2"/>
      <c r="M740" s="2"/>
      <c r="N740" s="2"/>
      <c r="O740" s="261">
        <f t="shared" ca="1" si="416"/>
        <v>0</v>
      </c>
      <c r="P740" s="261">
        <f t="shared" ca="1" si="434"/>
        <v>0</v>
      </c>
      <c r="Q740" s="3">
        <f ca="1">IF(A740&gt;MAX(OP!$R$17:$R$26),0,VLOOKUP(A740,fees,3,FALSE))</f>
        <v>0</v>
      </c>
      <c r="R740" s="200" t="str">
        <f t="shared" ca="1" si="417"/>
        <v/>
      </c>
      <c r="S740" s="9" t="str">
        <f ca="1">IF(COUNTIF(($T$4:T739),"F")&gt;=1,"",IF(OR(C741&lt;&gt;$C$3,E740=""),"",A740))</f>
        <v/>
      </c>
      <c r="T740" s="20" t="str">
        <f t="shared" ca="1" si="409"/>
        <v/>
      </c>
      <c r="U740" s="2">
        <f ca="1">IF(IF(OP!$C$83=1,$Z739,IF(OP!$C$83=2,$AA739,IF(OP!$C$83=3,$AB739,)))+$K740-$O740-$P740-$AS740&lt;OP!$C$142,0,$AS740)</f>
        <v>0</v>
      </c>
      <c r="V740" s="9"/>
      <c r="W740" s="19">
        <f ca="1">MAX(SUM($K$4:K740),0)</f>
        <v>2000000</v>
      </c>
      <c r="X740" s="19"/>
      <c r="Y740" s="19">
        <f t="shared" ca="1" si="435"/>
        <v>1920000</v>
      </c>
      <c r="Z740" s="2">
        <f ca="1">IF(MIN($Z$4:Z739)=0,0,MAX(0,($Z739+$K740-$O740-$P740)*IF(AND(F740="F",$D$3&lt;&gt;$G$3),((1+(-J740))^(H740/MIN(G740,365))),((1+(-J740))^(1/12)))-$U740))</f>
        <v>82254.434360225729</v>
      </c>
      <c r="AA740" s="2">
        <f ca="1">IF(MIN($AA$4:AA739)=0,0,MAX(0,($AA739+$K740-$O740-$P740)*IF(AND(F740="F",$D$3&lt;&gt;$G$3),((1+$AA$1)^(H740/MIN(G740,365))),((1+$AA$1)^(1/12)))-$U740))</f>
        <v>1920000</v>
      </c>
      <c r="AB740" s="2">
        <f ca="1">IF(MIN($AB$4:AB739)=0,0,MAX(0,($AB739+$K740-$O740-$P740)*IF(AND(F740="F",$D$3&lt;&gt;$G$3),((1+(J740))^(H740/MIN(G740,365))),((1+(J740))^(1/12)))-$U740))</f>
        <v>38430616.071230777</v>
      </c>
      <c r="AC740" s="5"/>
      <c r="AD740" s="5"/>
      <c r="AE740" s="5"/>
      <c r="AF740" s="282">
        <f t="shared" ca="1" si="418"/>
        <v>82254</v>
      </c>
      <c r="AG740" s="282">
        <f t="shared" ca="1" si="419"/>
        <v>1920000</v>
      </c>
      <c r="AH740" s="282">
        <f t="shared" ca="1" si="420"/>
        <v>38430616</v>
      </c>
      <c r="AI740" s="23" t="str">
        <f t="shared" ca="1" si="437"/>
        <v>62-6</v>
      </c>
      <c r="AJ740" s="282">
        <f ca="1">IF(E740&gt;111,,IF(AND(OP!$C$99=1,T740="F"),Z740,IF(AND(OP!$C$99=2,COUNTIF($T$4:T740,"F")=1),OP!$C$97+IF(F740="F",OP!$C$98,0),"")))</f>
        <v>0</v>
      </c>
      <c r="AK740" s="282">
        <f ca="1">IF(E740&gt;111,,IF(AND(OP!$D$99=1,T740="F"),AA740,IF(AND(OP!$D$99=2,COUNTIF($T$4:T740,"F")=1),OP!$D$97+IF(F740="F",OP!$D$98,0),"")))</f>
        <v>0</v>
      </c>
      <c r="AL740" s="282">
        <f ca="1">IF(E740&gt;111,,IF(AND(OP!$E$99=1,T740="F"),AB740,IF(AND(OP!$E$99=2,COUNTIF($T$4:T740,"F")=1),OP!$E$97+IF(F740="F",OP!$E$98,0),"")))</f>
        <v>0</v>
      </c>
      <c r="AM740" s="1">
        <f t="shared" ca="1" si="410"/>
        <v>6</v>
      </c>
      <c r="AN740" s="1" t="e">
        <f ca="1">IF(OR(VLOOKUP($A740,MP,5,0)="月繳"),1,"")</f>
        <v>#N/A</v>
      </c>
      <c r="AO740" s="1">
        <f t="shared" ca="1" si="421"/>
        <v>0</v>
      </c>
      <c r="AP740" s="1" t="str">
        <f ca="1">IF(AND(A740&lt;=OP!$C$120,COUNTIF(PAY,C740)=1),1,"")</f>
        <v/>
      </c>
      <c r="AR740" s="301">
        <f ca="1">IF(繳費報酬率資料!$A$1=1,$AY740+$AZ740,$BF740+$BG740)</f>
        <v>0</v>
      </c>
      <c r="AS740" s="1">
        <f ca="1">IF(C740&lt;&gt;IF($C$3=1,12,$C$3-1),0,IF(繳費報酬率資料!$A$1&lt;&gt;1,VLOOKUP($A740,MP,8,0),IF(AND($A740&gt;=OP!$C$79,$A740&lt;=OP!$C$80),OP!$C$78,)))</f>
        <v>0</v>
      </c>
      <c r="AT740" s="298">
        <f t="shared" ca="1" si="422"/>
        <v>0</v>
      </c>
      <c r="AU740" s="298">
        <f ca="1">IF(AND(A740&lt;=OP!$C$120,COUNTIF(PAY,C740)=1),OP!$C$123,0)</f>
        <v>0</v>
      </c>
      <c r="AV740" s="298">
        <f ca="1">IF(AND(A740&gt;=OP!$C$132,A740&lt;=OP!$C$133,$C$3=C740),OP!$C$135,0)</f>
        <v>0</v>
      </c>
      <c r="AW740" s="180">
        <f t="shared" ca="1" si="423"/>
        <v>0.05</v>
      </c>
      <c r="AX740" s="180">
        <f t="shared" ca="1" si="424"/>
        <v>0.05</v>
      </c>
      <c r="AY740" s="286">
        <f t="shared" ca="1" si="425"/>
        <v>0</v>
      </c>
      <c r="AZ740" s="286">
        <f t="shared" ca="1" si="426"/>
        <v>0</v>
      </c>
      <c r="BA740" s="286">
        <f t="shared" ca="1" si="427"/>
        <v>0</v>
      </c>
      <c r="BB740" s="286">
        <f t="shared" ca="1" si="428"/>
        <v>0</v>
      </c>
      <c r="BC740" s="286">
        <f t="shared" ca="1" si="429"/>
        <v>0</v>
      </c>
      <c r="BD740" s="180">
        <f t="shared" ca="1" si="430"/>
        <v>0.05</v>
      </c>
      <c r="BE740" s="180">
        <f t="shared" ca="1" si="431"/>
        <v>0.05</v>
      </c>
      <c r="BF740" s="286">
        <f t="shared" ca="1" si="432"/>
        <v>0</v>
      </c>
      <c r="BG740" s="286">
        <f t="shared" ca="1" si="433"/>
        <v>0</v>
      </c>
    </row>
    <row r="741" spans="1:59">
      <c r="A741" s="1">
        <f t="shared" ca="1" si="413"/>
        <v>62</v>
      </c>
      <c r="B741" s="1">
        <f t="shared" ca="1" si="406"/>
        <v>167</v>
      </c>
      <c r="C741" s="1">
        <f t="shared" ca="1" si="407"/>
        <v>11</v>
      </c>
      <c r="D741" s="1">
        <f ca="1">MIN($D$3,VLOOKUP(C741,OP!$S$30:$T$41,2))</f>
        <v>2</v>
      </c>
      <c r="E741" s="1" t="str">
        <f t="shared" ca="1" si="408"/>
        <v/>
      </c>
      <c r="F741" s="11" t="str">
        <f t="shared" ca="1" si="414"/>
        <v/>
      </c>
      <c r="G741" s="8">
        <f t="shared" ca="1" si="439"/>
        <v>365</v>
      </c>
      <c r="H741" s="8">
        <f t="shared" ca="1" si="415"/>
        <v>30</v>
      </c>
      <c r="I741" s="8" t="str">
        <f t="shared" ca="1" si="412"/>
        <v>6211</v>
      </c>
      <c r="J741" s="13">
        <f>IF(繳費報酬率資料!$A$1=1,VALUE(OP!$C$121),VLOOKUP(A741,MP,2,0))</f>
        <v>0.05</v>
      </c>
      <c r="K741" s="14">
        <f ca="1">IF(SUM($K$4:K740,IF(繳費報酬率資料!$A$1=1,$AU741+$AV741,$BB741+$BC741))&gt;OP!$L$58,0,IF(繳費報酬率資料!$A$1=1,$AU741+$AV741,$BB741+$BC741))</f>
        <v>0</v>
      </c>
      <c r="L741" s="2"/>
      <c r="M741" s="2"/>
      <c r="N741" s="2"/>
      <c r="O741" s="261">
        <f t="shared" ca="1" si="416"/>
        <v>0</v>
      </c>
      <c r="P741" s="261">
        <f t="shared" ca="1" si="434"/>
        <v>0</v>
      </c>
      <c r="Q741" s="3">
        <f ca="1">IF(A741&gt;MAX(OP!$R$17:$R$26),0,VLOOKUP(A741,fees,3,FALSE))</f>
        <v>0</v>
      </c>
      <c r="R741" s="200" t="str">
        <f t="shared" ca="1" si="417"/>
        <v/>
      </c>
      <c r="S741" s="9" t="str">
        <f ca="1">IF(COUNTIF(($T$4:T740),"F")&gt;=1,"",IF(OR(C742&lt;&gt;$C$3,E741=""),"",A741))</f>
        <v/>
      </c>
      <c r="T741" s="20" t="str">
        <f t="shared" ca="1" si="409"/>
        <v/>
      </c>
      <c r="U741" s="2">
        <f ca="1">IF(IF(OP!$C$83=1,$Z740,IF(OP!$C$83=2,$AA740,IF(OP!$C$83=3,$AB740,)))+$K741-$O741-$P741-$AS741&lt;OP!$C$142,0,$AS741)</f>
        <v>0</v>
      </c>
      <c r="V741" s="9"/>
      <c r="W741" s="19">
        <f ca="1">MAX(SUM($K$4:K741),0)</f>
        <v>2000000</v>
      </c>
      <c r="X741" s="19"/>
      <c r="Y741" s="19">
        <f t="shared" ca="1" si="435"/>
        <v>1920000</v>
      </c>
      <c r="Z741" s="2">
        <f ca="1">IF(MIN($Z$4:Z740)=0,0,MAX(0,($Z740+$K741-$O741-$P741)*IF(AND(F741="F",$D$3&lt;&gt;$G$3),((1+(-J741))^(H741/MIN(G741,365))),((1+(-J741))^(1/12)))-$U741))</f>
        <v>81903.592976811429</v>
      </c>
      <c r="AA741" s="2">
        <f ca="1">IF(MIN($AA$4:AA740)=0,0,MAX(0,($AA740+$K741-$O741-$P741)*IF(AND(F741="F",$D$3&lt;&gt;$G$3),((1+$AA$1)^(H741/MIN(G741,365))),((1+$AA$1)^(1/12)))-$U741))</f>
        <v>1920000</v>
      </c>
      <c r="AB741" s="2">
        <f ca="1">IF(MIN($AB$4:AB740)=0,0,MAX(0,($AB740+$K741-$O741-$P741)*IF(AND(F741="F",$D$3&lt;&gt;$G$3),((1+(J741))^(H741/MIN(G741,365))),((1+(J741))^(1/12)))-$U741))</f>
        <v>38587187.158186838</v>
      </c>
      <c r="AC741" s="5"/>
      <c r="AD741" s="5"/>
      <c r="AE741" s="5"/>
      <c r="AF741" s="282">
        <f t="shared" ca="1" si="418"/>
        <v>81904</v>
      </c>
      <c r="AG741" s="282">
        <f t="shared" ca="1" si="419"/>
        <v>1920000</v>
      </c>
      <c r="AH741" s="282">
        <f t="shared" ca="1" si="420"/>
        <v>38587187</v>
      </c>
      <c r="AI741" s="23" t="str">
        <f t="shared" ca="1" si="437"/>
        <v>62-7</v>
      </c>
      <c r="AJ741" s="282">
        <f ca="1">IF(E741&gt;111,,IF(AND(OP!$C$99=1,T741="F"),Z741,IF(AND(OP!$C$99=2,COUNTIF($T$4:T741,"F")=1),OP!$C$97+IF(F741="F",OP!$C$98,0),"")))</f>
        <v>0</v>
      </c>
      <c r="AK741" s="282">
        <f ca="1">IF(E741&gt;111,,IF(AND(OP!$D$99=1,T741="F"),AA741,IF(AND(OP!$D$99=2,COUNTIF($T$4:T741,"F")=1),OP!$D$97+IF(F741="F",OP!$D$98,0),"")))</f>
        <v>0</v>
      </c>
      <c r="AL741" s="282">
        <f ca="1">IF(E741&gt;111,,IF(AND(OP!$E$99=1,T741="F"),AB741,IF(AND(OP!$E$99=2,COUNTIF($T$4:T741,"F")=1),OP!$E$97+IF(F741="F",OP!$E$98,0),"")))</f>
        <v>0</v>
      </c>
      <c r="AM741" s="1">
        <f t="shared" ca="1" si="410"/>
        <v>7</v>
      </c>
      <c r="AN741" s="1" t="e">
        <f ca="1">IF(OR(VLOOKUP($A741,MP,5,0)="月繳"),1,"")</f>
        <v>#N/A</v>
      </c>
      <c r="AO741" s="1">
        <f t="shared" ca="1" si="421"/>
        <v>0</v>
      </c>
      <c r="AP741" s="1" t="str">
        <f ca="1">IF(AND(A741&lt;=OP!$C$120,COUNTIF(PAY,C741)=1),1,"")</f>
        <v/>
      </c>
      <c r="AR741" s="301">
        <f ca="1">IF(繳費報酬率資料!$A$1=1,$AY741+$AZ741,$BF741+$BG741)</f>
        <v>0</v>
      </c>
      <c r="AS741" s="1">
        <f ca="1">IF(C741&lt;&gt;IF($C$3=1,12,$C$3-1),0,IF(繳費報酬率資料!$A$1&lt;&gt;1,VLOOKUP($A741,MP,8,0),IF(AND($A741&gt;=OP!$C$79,$A741&lt;=OP!$C$80),OP!$C$78,)))</f>
        <v>0</v>
      </c>
      <c r="AT741" s="298">
        <f t="shared" ca="1" si="422"/>
        <v>0</v>
      </c>
      <c r="AU741" s="298">
        <f ca="1">IF(AND(A741&lt;=OP!$C$120,COUNTIF(PAY,C741)=1),OP!$C$123,0)</f>
        <v>0</v>
      </c>
      <c r="AV741" s="298">
        <f ca="1">IF(AND(A741&gt;=OP!$C$132,A741&lt;=OP!$C$133,$C$3=C741),OP!$C$135,0)</f>
        <v>0</v>
      </c>
      <c r="AW741" s="180">
        <f t="shared" ca="1" si="423"/>
        <v>0.05</v>
      </c>
      <c r="AX741" s="180">
        <f t="shared" ca="1" si="424"/>
        <v>0.05</v>
      </c>
      <c r="AY741" s="286">
        <f t="shared" ca="1" si="425"/>
        <v>0</v>
      </c>
      <c r="AZ741" s="286">
        <f t="shared" ca="1" si="426"/>
        <v>0</v>
      </c>
      <c r="BA741" s="286">
        <f t="shared" ca="1" si="427"/>
        <v>0</v>
      </c>
      <c r="BB741" s="286">
        <f t="shared" ca="1" si="428"/>
        <v>0</v>
      </c>
      <c r="BC741" s="286">
        <f t="shared" ca="1" si="429"/>
        <v>0</v>
      </c>
      <c r="BD741" s="180">
        <f t="shared" ca="1" si="430"/>
        <v>0.05</v>
      </c>
      <c r="BE741" s="180">
        <f t="shared" ca="1" si="431"/>
        <v>0.05</v>
      </c>
      <c r="BF741" s="286">
        <f t="shared" ca="1" si="432"/>
        <v>0</v>
      </c>
      <c r="BG741" s="286">
        <f t="shared" ca="1" si="433"/>
        <v>0</v>
      </c>
    </row>
    <row r="742" spans="1:59">
      <c r="A742" s="1">
        <f t="shared" ca="1" si="413"/>
        <v>62</v>
      </c>
      <c r="B742" s="1">
        <f t="shared" ca="1" si="406"/>
        <v>167</v>
      </c>
      <c r="C742" s="1">
        <f t="shared" ca="1" si="407"/>
        <v>12</v>
      </c>
      <c r="D742" s="1">
        <f ca="1">MIN($D$3,VLOOKUP(C742,OP!$S$30:$T$41,2))</f>
        <v>2</v>
      </c>
      <c r="E742" s="1" t="str">
        <f t="shared" ca="1" si="408"/>
        <v/>
      </c>
      <c r="F742" s="11" t="str">
        <f t="shared" ca="1" si="414"/>
        <v/>
      </c>
      <c r="G742" s="8">
        <f t="shared" ca="1" si="439"/>
        <v>365</v>
      </c>
      <c r="H742" s="8">
        <f t="shared" ca="1" si="415"/>
        <v>31</v>
      </c>
      <c r="I742" s="8" t="str">
        <f t="shared" ca="1" si="412"/>
        <v>6212</v>
      </c>
      <c r="J742" s="13">
        <f>IF(繳費報酬率資料!$A$1=1,VALUE(OP!$C$121),VLOOKUP(A742,MP,2,0))</f>
        <v>0.05</v>
      </c>
      <c r="K742" s="14">
        <f ca="1">IF(SUM($K$4:K741,IF(繳費報酬率資料!$A$1=1,$AU742+$AV742,$BB742+$BC742))&gt;OP!$L$58,0,IF(繳費報酬率資料!$A$1=1,$AU742+$AV742,$BB742+$BC742))</f>
        <v>0</v>
      </c>
      <c r="L742" s="2"/>
      <c r="M742" s="2"/>
      <c r="N742" s="2"/>
      <c r="O742" s="261">
        <f t="shared" ca="1" si="416"/>
        <v>0</v>
      </c>
      <c r="P742" s="261">
        <f t="shared" ca="1" si="434"/>
        <v>0</v>
      </c>
      <c r="Q742" s="3">
        <f ca="1">IF(A742&gt;MAX(OP!$R$17:$R$26),0,VLOOKUP(A742,fees,3,FALSE))</f>
        <v>0</v>
      </c>
      <c r="R742" s="200" t="str">
        <f t="shared" ca="1" si="417"/>
        <v/>
      </c>
      <c r="S742" s="9" t="str">
        <f ca="1">IF(COUNTIF(($T$4:T741),"F")&gt;=1,"",IF(OR(C743&lt;&gt;$C$3,E742=""),"",A742))</f>
        <v/>
      </c>
      <c r="T742" s="20" t="str">
        <f t="shared" ca="1" si="409"/>
        <v/>
      </c>
      <c r="U742" s="2">
        <f ca="1">IF(IF(OP!$C$83=1,$Z741,IF(OP!$C$83=2,$AA741,IF(OP!$C$83=3,$AB741,)))+$K742-$O742-$P742-$AS742&lt;OP!$C$142,0,$AS742)</f>
        <v>0</v>
      </c>
      <c r="V742" s="9"/>
      <c r="W742" s="19">
        <f ca="1">MAX(SUM($K$4:K742),0)</f>
        <v>2000000</v>
      </c>
      <c r="X742" s="19"/>
      <c r="Y742" s="19">
        <f t="shared" ca="1" si="435"/>
        <v>1920000</v>
      </c>
      <c r="Z742" s="2">
        <f ca="1">IF(MIN($Z$4:Z741)=0,0,MAX(0,($Z741+$K742-$O742-$P742)*IF(AND(F742="F",$D$3&lt;&gt;$G$3),((1+(-J742))^(H742/MIN(G742,365))),((1+(-J742))^(1/12)))-$U742))</f>
        <v>81554.248043737753</v>
      </c>
      <c r="AA742" s="2">
        <f ca="1">IF(MIN($AA$4:AA741)=0,0,MAX(0,($AA741+$K742-$O742-$P742)*IF(AND(F742="F",$D$3&lt;&gt;$G$3),((1+$AA$1)^(H742/MIN(G742,365))),((1+$AA$1)^(1/12)))-$U742))</f>
        <v>1920000</v>
      </c>
      <c r="AB742" s="2">
        <f ca="1">IF(MIN($AB$4:AB741)=0,0,MAX(0,($AB741+$K742-$O742-$P742)*IF(AND(F742="F",$D$3&lt;&gt;$G$3),((1+(J742))^(H742/MIN(G742,365))),((1+(J742))^(1/12)))-$U742))</f>
        <v>38744396.135132097</v>
      </c>
      <c r="AC742" s="5"/>
      <c r="AD742" s="5"/>
      <c r="AE742" s="5"/>
      <c r="AF742" s="282">
        <f t="shared" ca="1" si="418"/>
        <v>81554</v>
      </c>
      <c r="AG742" s="282">
        <f t="shared" ca="1" si="419"/>
        <v>1920000</v>
      </c>
      <c r="AH742" s="282">
        <f t="shared" ca="1" si="420"/>
        <v>38744396</v>
      </c>
      <c r="AI742" s="23" t="str">
        <f t="shared" ca="1" si="437"/>
        <v>62-8</v>
      </c>
      <c r="AJ742" s="282">
        <f ca="1">IF(E742&gt;111,,IF(AND(OP!$C$99=1,T742="F"),Z742,IF(AND(OP!$C$99=2,COUNTIF($T$4:T742,"F")=1),OP!$C$97+IF(F742="F",OP!$C$98,0),"")))</f>
        <v>0</v>
      </c>
      <c r="AK742" s="282">
        <f ca="1">IF(E742&gt;111,,IF(AND(OP!$D$99=1,T742="F"),AA742,IF(AND(OP!$D$99=2,COUNTIF($T$4:T742,"F")=1),OP!$D$97+IF(F742="F",OP!$D$98,0),"")))</f>
        <v>0</v>
      </c>
      <c r="AL742" s="282">
        <f ca="1">IF(E742&gt;111,,IF(AND(OP!$E$99=1,T742="F"),AB742,IF(AND(OP!$E$99=2,COUNTIF($T$4:T742,"F")=1),OP!$E$97+IF(F742="F",OP!$E$98,0),"")))</f>
        <v>0</v>
      </c>
      <c r="AM742" s="1">
        <f t="shared" ca="1" si="410"/>
        <v>8</v>
      </c>
      <c r="AN742" s="1" t="e">
        <f ca="1">IF(OR(VLOOKUP($A742,MP,5,0)="半年繳",VLOOKUP($A742,MP,5,0)="季繳",VLOOKUP($A742,MP,5,0)="月繳"),1,"")</f>
        <v>#N/A</v>
      </c>
      <c r="AO742" s="1">
        <f t="shared" ca="1" si="421"/>
        <v>0</v>
      </c>
      <c r="AP742" s="1" t="str">
        <f ca="1">IF(AND(A742&lt;=OP!$C$120,COUNTIF(PAY,C742)=1),1,"")</f>
        <v/>
      </c>
      <c r="AR742" s="301">
        <f ca="1">IF(繳費報酬率資料!$A$1=1,$AY742+$AZ742,$BF742+$BG742)</f>
        <v>0</v>
      </c>
      <c r="AS742" s="1">
        <f ca="1">IF(C742&lt;&gt;IF($C$3=1,12,$C$3-1),0,IF(繳費報酬率資料!$A$1&lt;&gt;1,VLOOKUP($A742,MP,8,0),IF(AND($A742&gt;=OP!$C$79,$A742&lt;=OP!$C$80),OP!$C$78,)))</f>
        <v>0</v>
      </c>
      <c r="AT742" s="298">
        <f t="shared" ca="1" si="422"/>
        <v>0</v>
      </c>
      <c r="AU742" s="298">
        <f ca="1">IF(AND(A742&lt;=OP!$C$120,COUNTIF(PAY,C742)=1),OP!$C$123,0)</f>
        <v>0</v>
      </c>
      <c r="AV742" s="298">
        <f ca="1">IF(AND(A742&gt;=OP!$C$132,A742&lt;=OP!$C$133,$C$3=C742),OP!$C$135,0)</f>
        <v>0</v>
      </c>
      <c r="AW742" s="180">
        <f t="shared" ca="1" si="423"/>
        <v>0.05</v>
      </c>
      <c r="AX742" s="180">
        <f t="shared" ca="1" si="424"/>
        <v>0.05</v>
      </c>
      <c r="AY742" s="286">
        <f t="shared" ca="1" si="425"/>
        <v>0</v>
      </c>
      <c r="AZ742" s="286">
        <f t="shared" ca="1" si="426"/>
        <v>0</v>
      </c>
      <c r="BA742" s="286">
        <f t="shared" ca="1" si="427"/>
        <v>0</v>
      </c>
      <c r="BB742" s="286">
        <f t="shared" ca="1" si="428"/>
        <v>0</v>
      </c>
      <c r="BC742" s="286">
        <f t="shared" ca="1" si="429"/>
        <v>0</v>
      </c>
      <c r="BD742" s="180">
        <f t="shared" ca="1" si="430"/>
        <v>0.05</v>
      </c>
      <c r="BE742" s="180">
        <f t="shared" ca="1" si="431"/>
        <v>0.05</v>
      </c>
      <c r="BF742" s="286">
        <f t="shared" ca="1" si="432"/>
        <v>0</v>
      </c>
      <c r="BG742" s="286">
        <f t="shared" ca="1" si="433"/>
        <v>0</v>
      </c>
    </row>
    <row r="743" spans="1:59">
      <c r="A743" s="1">
        <f t="shared" ca="1" si="413"/>
        <v>62</v>
      </c>
      <c r="B743" s="1">
        <f t="shared" ca="1" si="406"/>
        <v>168</v>
      </c>
      <c r="C743" s="1">
        <f t="shared" ca="1" si="407"/>
        <v>1</v>
      </c>
      <c r="D743" s="1">
        <f ca="1">MIN($D$3,VLOOKUP(C743,OP!$S$30:$T$41,2))</f>
        <v>2</v>
      </c>
      <c r="E743" s="1" t="str">
        <f t="shared" ca="1" si="408"/>
        <v/>
      </c>
      <c r="F743" s="11" t="str">
        <f t="shared" ca="1" si="414"/>
        <v/>
      </c>
      <c r="G743" s="8">
        <f t="shared" ca="1" si="439"/>
        <v>365</v>
      </c>
      <c r="H743" s="8">
        <f t="shared" ca="1" si="415"/>
        <v>31</v>
      </c>
      <c r="I743" s="8" t="str">
        <f t="shared" ca="1" si="412"/>
        <v>621</v>
      </c>
      <c r="J743" s="13">
        <f>IF(繳費報酬率資料!$A$1=1,VALUE(OP!$C$121),VLOOKUP(A743,MP,2,0))</f>
        <v>0.05</v>
      </c>
      <c r="K743" s="14">
        <f ca="1">IF(SUM($K$4:K742,IF(繳費報酬率資料!$A$1=1,$AU743+$AV743,$BB743+$BC743))&gt;OP!$L$58,0,IF(繳費報酬率資料!$A$1=1,$AU743+$AV743,$BB743+$BC743))</f>
        <v>0</v>
      </c>
      <c r="L743" s="2"/>
      <c r="M743" s="2"/>
      <c r="N743" s="2"/>
      <c r="O743" s="261">
        <f t="shared" ca="1" si="416"/>
        <v>0</v>
      </c>
      <c r="P743" s="261">
        <f t="shared" ca="1" si="434"/>
        <v>0</v>
      </c>
      <c r="Q743" s="3">
        <f ca="1">IF(A743&gt;MAX(OP!$R$17:$R$26),0,VLOOKUP(A743,fees,3,FALSE))</f>
        <v>0</v>
      </c>
      <c r="R743" s="200" t="str">
        <f t="shared" ca="1" si="417"/>
        <v/>
      </c>
      <c r="S743" s="9" t="str">
        <f ca="1">IF(COUNTIF(($T$4:T742),"F")&gt;=1,"",IF(OR(C744&lt;&gt;$C$3,E743=""),"",A743))</f>
        <v/>
      </c>
      <c r="T743" s="20" t="str">
        <f t="shared" ca="1" si="409"/>
        <v/>
      </c>
      <c r="U743" s="2">
        <f ca="1">IF(IF(OP!$C$83=1,$Z742,IF(OP!$C$83=2,$AA742,IF(OP!$C$83=3,$AB742,)))+$K743-$O743-$P743-$AS743&lt;OP!$C$142,0,$AS743)</f>
        <v>0</v>
      </c>
      <c r="V743" s="9"/>
      <c r="W743" s="19">
        <f ca="1">MAX(SUM($K$4:K743),0)</f>
        <v>2000000</v>
      </c>
      <c r="X743" s="19"/>
      <c r="Y743" s="19">
        <f t="shared" ca="1" si="435"/>
        <v>1920000</v>
      </c>
      <c r="Z743" s="2">
        <f ca="1">IF(MIN($Z$4:Z742)=0,0,MAX(0,($Z742+$K743-$O743-$P743)*IF(AND(F743="F",$D$3&lt;&gt;$G$3),((1+(-J743))^(H743/MIN(G743,365))),((1+(-J743))^(1/12)))-$U743))</f>
        <v>81206.393178166953</v>
      </c>
      <c r="AA743" s="2">
        <f ca="1">IF(MIN($AA$4:AA742)=0,0,MAX(0,($AA742+$K743-$O743-$P743)*IF(AND(F743="F",$D$3&lt;&gt;$G$3),((1+$AA$1)^(H743/MIN(G743,365))),((1+$AA$1)^(1/12)))-$U743))</f>
        <v>1920000</v>
      </c>
      <c r="AB743" s="2">
        <f ca="1">IF(MIN($AB$4:AB742)=0,0,MAX(0,($AB742+$K743-$O743-$P743)*IF(AND(F743="F",$D$3&lt;&gt;$G$3),((1+(J743))^(H743/MIN(G743,365))),((1+(J743))^(1/12)))-$U743))</f>
        <v>38902245.60090933</v>
      </c>
      <c r="AC743" s="5"/>
      <c r="AD743" s="5"/>
      <c r="AE743" s="5"/>
      <c r="AF743" s="282">
        <f t="shared" ca="1" si="418"/>
        <v>81206</v>
      </c>
      <c r="AG743" s="282">
        <f t="shared" ca="1" si="419"/>
        <v>1920000</v>
      </c>
      <c r="AH743" s="282">
        <f t="shared" ca="1" si="420"/>
        <v>38902246</v>
      </c>
      <c r="AI743" s="23" t="str">
        <f t="shared" ca="1" si="437"/>
        <v>62-9</v>
      </c>
      <c r="AJ743" s="282">
        <f ca="1">IF(E743&gt;111,,IF(AND(OP!$C$99=1,T743="F"),Z743,IF(AND(OP!$C$99=2,COUNTIF($T$4:T743,"F")=1),OP!$C$97+IF(F743="F",OP!$C$98,0),"")))</f>
        <v>0</v>
      </c>
      <c r="AK743" s="282">
        <f ca="1">IF(E743&gt;111,,IF(AND(OP!$D$99=1,T743="F"),AA743,IF(AND(OP!$D$99=2,COUNTIF($T$4:T743,"F")=1),OP!$D$97+IF(F743="F",OP!$D$98,0),"")))</f>
        <v>0</v>
      </c>
      <c r="AL743" s="282">
        <f ca="1">IF(E743&gt;111,,IF(AND(OP!$E$99=1,T743="F"),AB743,IF(AND(OP!$E$99=2,COUNTIF($T$4:T743,"F")=1),OP!$E$97+IF(F743="F",OP!$E$98,0),"")))</f>
        <v>0</v>
      </c>
      <c r="AM743" s="1">
        <f t="shared" ca="1" si="410"/>
        <v>9</v>
      </c>
      <c r="AN743" s="1" t="e">
        <f ca="1">IF(OR(VLOOKUP($A743,MP,5,0)="月繳"),1,"")</f>
        <v>#N/A</v>
      </c>
      <c r="AO743" s="1">
        <f t="shared" ca="1" si="421"/>
        <v>0</v>
      </c>
      <c r="AP743" s="1" t="str">
        <f ca="1">IF(AND(A743&lt;=OP!$C$120,COUNTIF(PAY,C743)=1),1,"")</f>
        <v/>
      </c>
      <c r="AR743" s="301">
        <f ca="1">IF(繳費報酬率資料!$A$1=1,$AY743+$AZ743,$BF743+$BG743)</f>
        <v>0</v>
      </c>
      <c r="AS743" s="1">
        <f ca="1">IF(C743&lt;&gt;IF($C$3=1,12,$C$3-1),0,IF(繳費報酬率資料!$A$1&lt;&gt;1,VLOOKUP($A743,MP,8,0),IF(AND($A743&gt;=OP!$C$79,$A743&lt;=OP!$C$80),OP!$C$78,)))</f>
        <v>0</v>
      </c>
      <c r="AT743" s="298">
        <f t="shared" ca="1" si="422"/>
        <v>0</v>
      </c>
      <c r="AU743" s="298">
        <f ca="1">IF(AND(A743&lt;=OP!$C$120,COUNTIF(PAY,C743)=1),OP!$C$123,0)</f>
        <v>0</v>
      </c>
      <c r="AV743" s="298">
        <f ca="1">IF(AND(A743&gt;=OP!$C$132,A743&lt;=OP!$C$133,$C$3=C743),OP!$C$135,0)</f>
        <v>0</v>
      </c>
      <c r="AW743" s="180">
        <f t="shared" ca="1" si="423"/>
        <v>0.05</v>
      </c>
      <c r="AX743" s="180">
        <f t="shared" ca="1" si="424"/>
        <v>0.05</v>
      </c>
      <c r="AY743" s="286">
        <f t="shared" ca="1" si="425"/>
        <v>0</v>
      </c>
      <c r="AZ743" s="286">
        <f t="shared" ca="1" si="426"/>
        <v>0</v>
      </c>
      <c r="BA743" s="286">
        <f t="shared" ca="1" si="427"/>
        <v>0</v>
      </c>
      <c r="BB743" s="286">
        <f t="shared" ca="1" si="428"/>
        <v>0</v>
      </c>
      <c r="BC743" s="286">
        <f t="shared" ca="1" si="429"/>
        <v>0</v>
      </c>
      <c r="BD743" s="180">
        <f t="shared" ca="1" si="430"/>
        <v>0.05</v>
      </c>
      <c r="BE743" s="180">
        <f t="shared" ca="1" si="431"/>
        <v>0.05</v>
      </c>
      <c r="BF743" s="286">
        <f t="shared" ca="1" si="432"/>
        <v>0</v>
      </c>
      <c r="BG743" s="286">
        <f t="shared" ca="1" si="433"/>
        <v>0</v>
      </c>
    </row>
    <row r="744" spans="1:59">
      <c r="A744" s="1">
        <f t="shared" ca="1" si="413"/>
        <v>62</v>
      </c>
      <c r="B744" s="1">
        <f t="shared" ca="1" si="406"/>
        <v>168</v>
      </c>
      <c r="C744" s="1">
        <f t="shared" ca="1" si="407"/>
        <v>2</v>
      </c>
      <c r="D744" s="1">
        <f ca="1">MIN($D$3,VLOOKUP(C744,OP!$S$30:$T$41,2))</f>
        <v>2</v>
      </c>
      <c r="E744" s="1" t="str">
        <f t="shared" ca="1" si="408"/>
        <v/>
      </c>
      <c r="F744" s="11" t="str">
        <f t="shared" ca="1" si="414"/>
        <v/>
      </c>
      <c r="G744" s="8">
        <f t="shared" ca="1" si="439"/>
        <v>365</v>
      </c>
      <c r="H744" s="8">
        <f t="shared" ca="1" si="415"/>
        <v>28</v>
      </c>
      <c r="I744" s="8" t="str">
        <f t="shared" ca="1" si="412"/>
        <v>622</v>
      </c>
      <c r="J744" s="13">
        <f>IF(繳費報酬率資料!$A$1=1,VALUE(OP!$C$121),VLOOKUP(A744,MP,2,0))</f>
        <v>0.05</v>
      </c>
      <c r="K744" s="14">
        <f ca="1">IF(SUM($K$4:K743,IF(繳費報酬率資料!$A$1=1,$AU744+$AV744,$BB744+$BC744))&gt;OP!$L$58,0,IF(繳費報酬率資料!$A$1=1,$AU744+$AV744,$BB744+$BC744))</f>
        <v>0</v>
      </c>
      <c r="L744" s="2"/>
      <c r="M744" s="2"/>
      <c r="N744" s="2"/>
      <c r="O744" s="261">
        <f t="shared" ca="1" si="416"/>
        <v>0</v>
      </c>
      <c r="P744" s="261">
        <f t="shared" ca="1" si="434"/>
        <v>0</v>
      </c>
      <c r="Q744" s="3">
        <f ca="1">IF(A744&gt;MAX(OP!$R$17:$R$26),0,VLOOKUP(A744,fees,3,FALSE))</f>
        <v>0</v>
      </c>
      <c r="R744" s="200" t="str">
        <f t="shared" ca="1" si="417"/>
        <v/>
      </c>
      <c r="S744" s="9" t="str">
        <f ca="1">IF(COUNTIF(($T$4:T743),"F")&gt;=1,"",IF(OR(C745&lt;&gt;$C$3,E744=""),"",A744))</f>
        <v/>
      </c>
      <c r="T744" s="20" t="str">
        <f t="shared" ca="1" si="409"/>
        <v/>
      </c>
      <c r="U744" s="2">
        <f ca="1">IF(IF(OP!$C$83=1,$Z743,IF(OP!$C$83=2,$AA743,IF(OP!$C$83=3,$AB743,)))+$K744-$O744-$P744-$AS744&lt;OP!$C$142,0,$AS744)</f>
        <v>0</v>
      </c>
      <c r="V744" s="9"/>
      <c r="W744" s="19">
        <f ca="1">MAX(SUM($K$4:K744),0)</f>
        <v>2000000</v>
      </c>
      <c r="X744" s="19"/>
      <c r="Y744" s="19">
        <f t="shared" ca="1" si="435"/>
        <v>1920000</v>
      </c>
      <c r="Z744" s="2">
        <f ca="1">IF(MIN($Z$4:Z743)=0,0,MAX(0,($Z743+$K744-$O744-$P744)*IF(AND(F744="F",$D$3&lt;&gt;$G$3),((1+(-J744))^(H744/MIN(G744,365))),((1+(-J744))^(1/12)))-$U744))</f>
        <v>80860.022024486141</v>
      </c>
      <c r="AA744" s="2">
        <f ca="1">IF(MIN($AA$4:AA743)=0,0,MAX(0,($AA743+$K744-$O744-$P744)*IF(AND(F744="F",$D$3&lt;&gt;$G$3),((1+$AA$1)^(H744/MIN(G744,365))),((1+$AA$1)^(1/12)))-$U744))</f>
        <v>1920000</v>
      </c>
      <c r="AB744" s="2">
        <f ca="1">IF(MIN($AB$4:AB743)=0,0,MAX(0,($AB743+$K744-$O744-$P744)*IF(AND(F744="F",$D$3&lt;&gt;$G$3),((1+(J744))^(H744/MIN(G744,365))),((1+(J744))^(1/12)))-$U744))</f>
        <v>39060738.164949328</v>
      </c>
      <c r="AC744" s="5"/>
      <c r="AD744" s="5"/>
      <c r="AE744" s="5"/>
      <c r="AF744" s="282">
        <f t="shared" ca="1" si="418"/>
        <v>80860</v>
      </c>
      <c r="AG744" s="282">
        <f t="shared" ca="1" si="419"/>
        <v>1920000</v>
      </c>
      <c r="AH744" s="282">
        <f t="shared" ca="1" si="420"/>
        <v>39060738</v>
      </c>
      <c r="AI744" s="23" t="str">
        <f t="shared" ca="1" si="437"/>
        <v>62-10</v>
      </c>
      <c r="AJ744" s="282">
        <f ca="1">IF(E744&gt;111,,IF(AND(OP!$C$99=1,T744="F"),Z744,IF(AND(OP!$C$99=2,COUNTIF($T$4:T744,"F")=1),OP!$C$97+IF(F744="F",OP!$C$98,0),"")))</f>
        <v>0</v>
      </c>
      <c r="AK744" s="282">
        <f ca="1">IF(E744&gt;111,,IF(AND(OP!$D$99=1,T744="F"),AA744,IF(AND(OP!$D$99=2,COUNTIF($T$4:T744,"F")=1),OP!$D$97+IF(F744="F",OP!$D$98,0),"")))</f>
        <v>0</v>
      </c>
      <c r="AL744" s="282">
        <f ca="1">IF(E744&gt;111,,IF(AND(OP!$E$99=1,T744="F"),AB744,IF(AND(OP!$E$99=2,COUNTIF($T$4:T744,"F")=1),OP!$E$97+IF(F744="F",OP!$E$98,0),"")))</f>
        <v>0</v>
      </c>
      <c r="AM744" s="1">
        <f t="shared" ca="1" si="410"/>
        <v>10</v>
      </c>
      <c r="AN744" s="1" t="e">
        <f ca="1">IF(OR(VLOOKUP($A744,MP,5,0)="月繳"),1,"")</f>
        <v>#N/A</v>
      </c>
      <c r="AO744" s="1">
        <f t="shared" ca="1" si="421"/>
        <v>0</v>
      </c>
      <c r="AP744" s="1" t="str">
        <f ca="1">IF(AND(A744&lt;=OP!$C$120,COUNTIF(PAY,C744)=1),1,"")</f>
        <v/>
      </c>
      <c r="AR744" s="301">
        <f ca="1">IF(繳費報酬率資料!$A$1=1,$AY744+$AZ744,$BF744+$BG744)</f>
        <v>0</v>
      </c>
      <c r="AS744" s="1">
        <f ca="1">IF(C744&lt;&gt;IF($C$3=1,12,$C$3-1),0,IF(繳費報酬率資料!$A$1&lt;&gt;1,VLOOKUP($A744,MP,8,0),IF(AND($A744&gt;=OP!$C$79,$A744&lt;=OP!$C$80),OP!$C$78,)))</f>
        <v>0</v>
      </c>
      <c r="AT744" s="298">
        <f t="shared" ca="1" si="422"/>
        <v>0</v>
      </c>
      <c r="AU744" s="298">
        <f ca="1">IF(AND(A744&lt;=OP!$C$120,COUNTIF(PAY,C744)=1),OP!$C$123,0)</f>
        <v>0</v>
      </c>
      <c r="AV744" s="298">
        <f ca="1">IF(AND(A744&gt;=OP!$C$132,A744&lt;=OP!$C$133,$C$3=C744),OP!$C$135,0)</f>
        <v>0</v>
      </c>
      <c r="AW744" s="180">
        <f t="shared" ca="1" si="423"/>
        <v>0.05</v>
      </c>
      <c r="AX744" s="180">
        <f t="shared" ca="1" si="424"/>
        <v>0.05</v>
      </c>
      <c r="AY744" s="286">
        <f t="shared" ca="1" si="425"/>
        <v>0</v>
      </c>
      <c r="AZ744" s="286">
        <f t="shared" ca="1" si="426"/>
        <v>0</v>
      </c>
      <c r="BA744" s="286">
        <f t="shared" ca="1" si="427"/>
        <v>0</v>
      </c>
      <c r="BB744" s="286">
        <f t="shared" ca="1" si="428"/>
        <v>0</v>
      </c>
      <c r="BC744" s="286">
        <f t="shared" ca="1" si="429"/>
        <v>0</v>
      </c>
      <c r="BD744" s="180">
        <f t="shared" ca="1" si="430"/>
        <v>0.05</v>
      </c>
      <c r="BE744" s="180">
        <f t="shared" ca="1" si="431"/>
        <v>0.05</v>
      </c>
      <c r="BF744" s="286">
        <f t="shared" ca="1" si="432"/>
        <v>0</v>
      </c>
      <c r="BG744" s="286">
        <f t="shared" ca="1" si="433"/>
        <v>0</v>
      </c>
    </row>
    <row r="745" spans="1:59">
      <c r="A745" s="1">
        <f t="shared" ca="1" si="413"/>
        <v>62</v>
      </c>
      <c r="B745" s="1">
        <f t="shared" ca="1" si="406"/>
        <v>168</v>
      </c>
      <c r="C745" s="1">
        <f t="shared" ca="1" si="407"/>
        <v>3</v>
      </c>
      <c r="D745" s="1">
        <f ca="1">MIN($D$3,VLOOKUP(C745,OP!$S$30:$T$41,2))</f>
        <v>2</v>
      </c>
      <c r="E745" s="1" t="str">
        <f t="shared" ca="1" si="408"/>
        <v/>
      </c>
      <c r="F745" s="11" t="str">
        <f t="shared" ca="1" si="414"/>
        <v/>
      </c>
      <c r="G745" s="8">
        <f t="shared" ca="1" si="439"/>
        <v>365</v>
      </c>
      <c r="H745" s="8">
        <f t="shared" ca="1" si="415"/>
        <v>31</v>
      </c>
      <c r="I745" s="8" t="str">
        <f t="shared" ca="1" si="412"/>
        <v>623</v>
      </c>
      <c r="J745" s="13">
        <f>IF(繳費報酬率資料!$A$1=1,VALUE(OP!$C$121),VLOOKUP(A745,MP,2,0))</f>
        <v>0.05</v>
      </c>
      <c r="K745" s="14">
        <f ca="1">IF(SUM($K$4:K744,IF(繳費報酬率資料!$A$1=1,$AU745+$AV745,$BB745+$BC745))&gt;OP!$L$58,0,IF(繳費報酬率資料!$A$1=1,$AU745+$AV745,$BB745+$BC745))</f>
        <v>0</v>
      </c>
      <c r="L745" s="2"/>
      <c r="M745" s="2"/>
      <c r="N745" s="2"/>
      <c r="O745" s="261">
        <f t="shared" ca="1" si="416"/>
        <v>0</v>
      </c>
      <c r="P745" s="261">
        <f t="shared" ca="1" si="434"/>
        <v>0</v>
      </c>
      <c r="Q745" s="3">
        <f ca="1">IF(A745&gt;MAX(OP!$R$17:$R$26),0,VLOOKUP(A745,fees,3,FALSE))</f>
        <v>0</v>
      </c>
      <c r="R745" s="200" t="str">
        <f t="shared" ca="1" si="417"/>
        <v/>
      </c>
      <c r="S745" s="9" t="str">
        <f ca="1">IF(COUNTIF(($T$4:T744),"F")&gt;=1,"",IF(OR(C746&lt;&gt;$C$3,E745=""),"",A745))</f>
        <v/>
      </c>
      <c r="T745" s="20" t="str">
        <f t="shared" ca="1" si="409"/>
        <v/>
      </c>
      <c r="U745" s="2">
        <f ca="1">IF(IF(OP!$C$83=1,$Z744,IF(OP!$C$83=2,$AA744,IF(OP!$C$83=3,$AB744,)))+$K745-$O745-$P745-$AS745&lt;OP!$C$142,0,$AS745)</f>
        <v>0</v>
      </c>
      <c r="V745" s="9"/>
      <c r="W745" s="19">
        <f ca="1">MAX(SUM($K$4:K745),0)</f>
        <v>2000000</v>
      </c>
      <c r="X745" s="19"/>
      <c r="Y745" s="19">
        <f t="shared" ca="1" si="435"/>
        <v>1920000</v>
      </c>
      <c r="Z745" s="2">
        <f ca="1">IF(MIN($Z$4:Z744)=0,0,MAX(0,($Z744+$K745-$O745-$P745)*IF(AND(F745="F",$D$3&lt;&gt;$G$3),((1+(-J745))^(H745/MIN(G745,365))),((1+(-J745))^(1/12)))-$U745))</f>
        <v>80515.128254191135</v>
      </c>
      <c r="AA745" s="2">
        <f ca="1">IF(MIN($AA$4:AA744)=0,0,MAX(0,($AA744+$K745-$O745-$P745)*IF(AND(F745="F",$D$3&lt;&gt;$G$3),((1+$AA$1)^(H745/MIN(G745,365))),((1+$AA$1)^(1/12)))-$U745))</f>
        <v>1920000</v>
      </c>
      <c r="AB745" s="2">
        <f ca="1">IF(MIN($AB$4:AB744)=0,0,MAX(0,($AB744+$K745-$O745-$P745)*IF(AND(F745="F",$D$3&lt;&gt;$G$3),((1+(J745))^(H745/MIN(G745,365))),((1+(J745))^(1/12)))-$U745))</f>
        <v>39219876.447314009</v>
      </c>
      <c r="AC745" s="5"/>
      <c r="AD745" s="5"/>
      <c r="AE745" s="5"/>
      <c r="AF745" s="282">
        <f t="shared" ca="1" si="418"/>
        <v>80515</v>
      </c>
      <c r="AG745" s="282">
        <f t="shared" ca="1" si="419"/>
        <v>1920000</v>
      </c>
      <c r="AH745" s="282">
        <f t="shared" ca="1" si="420"/>
        <v>39219876</v>
      </c>
      <c r="AI745" s="23" t="str">
        <f t="shared" ca="1" si="437"/>
        <v>62-11</v>
      </c>
      <c r="AJ745" s="282">
        <f ca="1">IF(E745&gt;111,,IF(AND(OP!$C$99=1,T745="F"),Z745,IF(AND(OP!$C$99=2,COUNTIF($T$4:T745,"F")=1),OP!$C$97+IF(F745="F",OP!$C$98,0),"")))</f>
        <v>0</v>
      </c>
      <c r="AK745" s="282">
        <f ca="1">IF(E745&gt;111,,IF(AND(OP!$D$99=1,T745="F"),AA745,IF(AND(OP!$D$99=2,COUNTIF($T$4:T745,"F")=1),OP!$D$97+IF(F745="F",OP!$D$98,0),"")))</f>
        <v>0</v>
      </c>
      <c r="AL745" s="282">
        <f ca="1">IF(E745&gt;111,,IF(AND(OP!$E$99=1,T745="F"),AB745,IF(AND(OP!$E$99=2,COUNTIF($T$4:T745,"F")=1),OP!$E$97+IF(F745="F",OP!$E$98,0),"")))</f>
        <v>0</v>
      </c>
      <c r="AM745" s="1">
        <f t="shared" ca="1" si="410"/>
        <v>11</v>
      </c>
      <c r="AN745" s="1" t="e">
        <f ca="1">IF(OR(VLOOKUP($A745,MP,5,0)="季繳",VLOOKUP($A745,MP,5,0)="月繳"),1,"")</f>
        <v>#N/A</v>
      </c>
      <c r="AO745" s="1">
        <f t="shared" ca="1" si="421"/>
        <v>0</v>
      </c>
      <c r="AP745" s="1" t="str">
        <f ca="1">IF(AND(A745&lt;=OP!$C$120,COUNTIF(PAY,C745)=1),1,"")</f>
        <v/>
      </c>
      <c r="AR745" s="301">
        <f ca="1">IF(繳費報酬率資料!$A$1=1,$AY745+$AZ745,$BF745+$BG745)</f>
        <v>0</v>
      </c>
      <c r="AS745" s="1">
        <f ca="1">IF(C745&lt;&gt;IF($C$3=1,12,$C$3-1),0,IF(繳費報酬率資料!$A$1&lt;&gt;1,VLOOKUP($A745,MP,8,0),IF(AND($A745&gt;=OP!$C$79,$A745&lt;=OP!$C$80),OP!$C$78,)))</f>
        <v>0</v>
      </c>
      <c r="AT745" s="298">
        <f t="shared" ca="1" si="422"/>
        <v>0</v>
      </c>
      <c r="AU745" s="298">
        <f ca="1">IF(AND(A745&lt;=OP!$C$120,COUNTIF(PAY,C745)=1),OP!$C$123,0)</f>
        <v>0</v>
      </c>
      <c r="AV745" s="298">
        <f ca="1">IF(AND(A745&gt;=OP!$C$132,A745&lt;=OP!$C$133,$C$3=C745),OP!$C$135,0)</f>
        <v>0</v>
      </c>
      <c r="AW745" s="180">
        <f t="shared" ca="1" si="423"/>
        <v>0.05</v>
      </c>
      <c r="AX745" s="180">
        <f t="shared" ca="1" si="424"/>
        <v>0.05</v>
      </c>
      <c r="AY745" s="286">
        <f t="shared" ca="1" si="425"/>
        <v>0</v>
      </c>
      <c r="AZ745" s="286">
        <f t="shared" ca="1" si="426"/>
        <v>0</v>
      </c>
      <c r="BA745" s="286">
        <f t="shared" ca="1" si="427"/>
        <v>0</v>
      </c>
      <c r="BB745" s="286">
        <f t="shared" ca="1" si="428"/>
        <v>0</v>
      </c>
      <c r="BC745" s="286">
        <f t="shared" ca="1" si="429"/>
        <v>0</v>
      </c>
      <c r="BD745" s="180">
        <f t="shared" ca="1" si="430"/>
        <v>0.05</v>
      </c>
      <c r="BE745" s="180">
        <f t="shared" ca="1" si="431"/>
        <v>0.05</v>
      </c>
      <c r="BF745" s="286">
        <f t="shared" ca="1" si="432"/>
        <v>0</v>
      </c>
      <c r="BG745" s="286">
        <f t="shared" ca="1" si="433"/>
        <v>0</v>
      </c>
    </row>
    <row r="746" spans="1:59">
      <c r="A746" s="1">
        <f t="shared" ca="1" si="413"/>
        <v>62</v>
      </c>
      <c r="B746" s="1">
        <f t="shared" ca="1" si="406"/>
        <v>168</v>
      </c>
      <c r="C746" s="1">
        <f t="shared" ca="1" si="407"/>
        <v>4</v>
      </c>
      <c r="D746" s="1">
        <f ca="1">MIN($D$3,VLOOKUP(C746,OP!$S$30:$T$41,2))</f>
        <v>2</v>
      </c>
      <c r="E746" s="1" t="str">
        <f t="shared" ca="1" si="408"/>
        <v/>
      </c>
      <c r="F746" s="11" t="str">
        <f t="shared" ca="1" si="414"/>
        <v/>
      </c>
      <c r="G746" s="8">
        <f t="shared" ca="1" si="439"/>
        <v>365</v>
      </c>
      <c r="H746" s="8">
        <f t="shared" ca="1" si="415"/>
        <v>30</v>
      </c>
      <c r="I746" s="8" t="str">
        <f t="shared" ca="1" si="412"/>
        <v>624</v>
      </c>
      <c r="J746" s="13">
        <f>IF(繳費報酬率資料!$A$1=1,VALUE(OP!$C$121),VLOOKUP(A746,MP,2,0))</f>
        <v>0.05</v>
      </c>
      <c r="K746" s="14">
        <f ca="1">IF(SUM($K$4:K745,IF(繳費報酬率資料!$A$1=1,$AU746+$AV746,$BB746+$BC746))&gt;OP!$L$58,0,IF(繳費報酬率資料!$A$1=1,$AU746+$AV746,$BB746+$BC746))</f>
        <v>0</v>
      </c>
      <c r="L746" s="2"/>
      <c r="M746" s="2"/>
      <c r="N746" s="2"/>
      <c r="O746" s="261">
        <f t="shared" ca="1" si="416"/>
        <v>0</v>
      </c>
      <c r="P746" s="261">
        <f t="shared" ca="1" si="434"/>
        <v>0</v>
      </c>
      <c r="Q746" s="3">
        <f ca="1">IF(A746&gt;MAX(OP!$R$17:$R$26),0,VLOOKUP(A746,fees,3,FALSE))</f>
        <v>0</v>
      </c>
      <c r="R746" s="200" t="str">
        <f t="shared" ca="1" si="417"/>
        <v/>
      </c>
      <c r="S746" s="9" t="str">
        <f ca="1">IF(COUNTIF(($T$4:T745),"F")&gt;=1,"",IF(OR(C747&lt;&gt;$C$3,E746=""),"",A746))</f>
        <v/>
      </c>
      <c r="T746" s="20" t="str">
        <f t="shared" ca="1" si="409"/>
        <v/>
      </c>
      <c r="U746" s="2">
        <f ca="1">IF(IF(OP!$C$83=1,$Z745,IF(OP!$C$83=2,$AA745,IF(OP!$C$83=3,$AB745,)))+$K746-$O746-$P746-$AS746&lt;OP!$C$142,0,$AS746)</f>
        <v>0</v>
      </c>
      <c r="V746" s="9"/>
      <c r="W746" s="19">
        <f ca="1">MAX(SUM($K$4:K746),0)</f>
        <v>2000000</v>
      </c>
      <c r="X746" s="19"/>
      <c r="Y746" s="19">
        <f t="shared" ca="1" si="435"/>
        <v>1920000</v>
      </c>
      <c r="Z746" s="2">
        <f ca="1">IF(MIN($Z$4:Z745)=0,0,MAX(0,($Z745+$K746-$O746-$P746)*IF(AND(F746="F",$D$3&lt;&gt;$G$3),((1+(-J746))^(H746/MIN(G746,365))),((1+(-J746))^(1/12)))-$U746))</f>
        <v>80171.705565770826</v>
      </c>
      <c r="AA746" s="2">
        <f ca="1">IF(MIN($AA$4:AA745)=0,0,MAX(0,($AA745+$K746-$O746-$P746)*IF(AND(F746="F",$D$3&lt;&gt;$G$3),((1+$AA$1)^(H746/MIN(G746,365))),((1+$AA$1)^(1/12)))-$U746))</f>
        <v>1920000</v>
      </c>
      <c r="AB746" s="2">
        <f ca="1">IF(MIN($AB$4:AB745)=0,0,MAX(0,($AB745+$K746-$O746-$P746)*IF(AND(F746="F",$D$3&lt;&gt;$G$3),((1+(J746))^(H746/MIN(G746,365))),((1+(J746))^(1/12)))-$U746))</f>
        <v>39379663.078739762</v>
      </c>
      <c r="AC746" s="5"/>
      <c r="AD746" s="5"/>
      <c r="AE746" s="5"/>
      <c r="AF746" s="282">
        <f t="shared" ca="1" si="418"/>
        <v>80172</v>
      </c>
      <c r="AG746" s="282">
        <f t="shared" ca="1" si="419"/>
        <v>1920000</v>
      </c>
      <c r="AH746" s="282">
        <f t="shared" ca="1" si="420"/>
        <v>39379663</v>
      </c>
      <c r="AI746" s="23" t="str">
        <f t="shared" ca="1" si="437"/>
        <v>62-12</v>
      </c>
      <c r="AJ746" s="282">
        <f ca="1">IF(E746&gt;111,,IF(AND(OP!$C$99=1,T746="F"),Z746,IF(AND(OP!$C$99=2,COUNTIF($T$4:T746,"F")=1),OP!$C$97+IF(F746="F",OP!$C$98,0),"")))</f>
        <v>0</v>
      </c>
      <c r="AK746" s="282">
        <f ca="1">IF(E746&gt;111,,IF(AND(OP!$D$99=1,T746="F"),AA746,IF(AND(OP!$D$99=2,COUNTIF($T$4:T746,"F")=1),OP!$D$97+IF(F746="F",OP!$D$98,0),"")))</f>
        <v>0</v>
      </c>
      <c r="AL746" s="282">
        <f ca="1">IF(E746&gt;111,,IF(AND(OP!$E$99=1,T746="F"),AB746,IF(AND(OP!$E$99=2,COUNTIF($T$4:T746,"F")=1),OP!$E$97+IF(F746="F",OP!$E$98,0),"")))</f>
        <v>0</v>
      </c>
      <c r="AM746" s="1">
        <f t="shared" ca="1" si="410"/>
        <v>12</v>
      </c>
      <c r="AN746" s="1" t="e">
        <f ca="1">IF(OR(VLOOKUP($A746,MP,5,0)="月繳"),1,"")</f>
        <v>#N/A</v>
      </c>
      <c r="AO746" s="1">
        <f t="shared" ca="1" si="421"/>
        <v>0</v>
      </c>
      <c r="AP746" s="1" t="str">
        <f ca="1">IF(AND(A746&lt;=OP!$C$120,COUNTIF(PAY,C746)=1),1,"")</f>
        <v/>
      </c>
      <c r="AR746" s="301">
        <f ca="1">IF(繳費報酬率資料!$A$1=1,$AY746+$AZ746,$BF746+$BG746)</f>
        <v>0</v>
      </c>
      <c r="AS746" s="1">
        <f ca="1">IF(C746&lt;&gt;IF($C$3=1,12,$C$3-1),0,IF(繳費報酬率資料!$A$1&lt;&gt;1,VLOOKUP($A746,MP,8,0),IF(AND($A746&gt;=OP!$C$79,$A746&lt;=OP!$C$80),OP!$C$78,)))</f>
        <v>0</v>
      </c>
      <c r="AT746" s="298">
        <f t="shared" ca="1" si="422"/>
        <v>0</v>
      </c>
      <c r="AU746" s="298">
        <f ca="1">IF(AND(A746&lt;=OP!$C$120,COUNTIF(PAY,C746)=1),OP!$C$123,0)</f>
        <v>0</v>
      </c>
      <c r="AV746" s="298">
        <f ca="1">IF(AND(A746&gt;=OP!$C$132,A746&lt;=OP!$C$133,$C$3=C746),OP!$C$135,0)</f>
        <v>0</v>
      </c>
      <c r="AW746" s="180">
        <f t="shared" ca="1" si="423"/>
        <v>0.05</v>
      </c>
      <c r="AX746" s="180">
        <f t="shared" ca="1" si="424"/>
        <v>0.05</v>
      </c>
      <c r="AY746" s="286">
        <f t="shared" ca="1" si="425"/>
        <v>0</v>
      </c>
      <c r="AZ746" s="286">
        <f t="shared" ca="1" si="426"/>
        <v>0</v>
      </c>
      <c r="BA746" s="286">
        <f t="shared" ca="1" si="427"/>
        <v>0</v>
      </c>
      <c r="BB746" s="286">
        <f t="shared" ca="1" si="428"/>
        <v>0</v>
      </c>
      <c r="BC746" s="286">
        <f t="shared" ca="1" si="429"/>
        <v>0</v>
      </c>
      <c r="BD746" s="180">
        <f t="shared" ca="1" si="430"/>
        <v>0.05</v>
      </c>
      <c r="BE746" s="180">
        <f t="shared" ca="1" si="431"/>
        <v>0.05</v>
      </c>
      <c r="BF746" s="286">
        <f t="shared" ca="1" si="432"/>
        <v>0</v>
      </c>
      <c r="BG746" s="286">
        <f t="shared" ca="1" si="433"/>
        <v>0</v>
      </c>
    </row>
    <row r="747" spans="1:59">
      <c r="A747" s="1">
        <f t="shared" ca="1" si="413"/>
        <v>62</v>
      </c>
      <c r="B747" s="1">
        <f t="shared" ca="1" si="406"/>
        <v>168</v>
      </c>
      <c r="C747" s="1">
        <f t="shared" ca="1" si="407"/>
        <v>5</v>
      </c>
      <c r="D747" s="1">
        <f ca="1">MIN($D$3,VLOOKUP(C747,OP!$S$30:$T$41,2))</f>
        <v>2</v>
      </c>
      <c r="E747" s="1" t="str">
        <f t="shared" ca="1" si="408"/>
        <v/>
      </c>
      <c r="F747" s="11" t="str">
        <f t="shared" ca="1" si="414"/>
        <v/>
      </c>
      <c r="G747" s="8">
        <f t="shared" ca="1" si="439"/>
        <v>365</v>
      </c>
      <c r="H747" s="8">
        <f t="shared" ca="1" si="415"/>
        <v>31</v>
      </c>
      <c r="I747" s="8" t="str">
        <f t="shared" ca="1" si="412"/>
        <v>625</v>
      </c>
      <c r="J747" s="13">
        <f>IF(繳費報酬率資料!$A$1=1,VALUE(OP!$C$121),VLOOKUP(A747,MP,2,0))</f>
        <v>0.05</v>
      </c>
      <c r="K747" s="14">
        <f ca="1">IF(SUM($K$4:K746,IF(繳費報酬率資料!$A$1=1,$AU747+$AV747,$BB747+$BC747))&gt;OP!$L$58,0,IF(繳費報酬率資料!$A$1=1,$AU747+$AV747,$BB747+$BC747))</f>
        <v>0</v>
      </c>
      <c r="L747" s="2">
        <f ca="1">ROUND(IF(OP!$C$78&lt;(IF(OR($T747="F",$E747&gt;=111),0,Z746+$K747-$O747+IF($C$1=1,OP!$C$78,IF($C748=$C$3,SUM(AC736:AC747,0)))))*5%,0,(OP!$C$78-((IF(OR($T747="F",$E747&gt;=111),0,Z746+$K747-$O747+IF($C$1=1,AC747,IF($C748=$C$3,SUM(AC736:AC747,0)))))*5%))*$Q747),0)</f>
        <v>0</v>
      </c>
      <c r="M747" s="2">
        <f ca="1">ROUND(IF(OP!$C$78&lt;(IF(OR($T747="F",$E747&gt;=111),0,AA746+$K747-$O747+IF($C$1=1,AD747,IF($C748=$C$3,SUM(AD736:AD747,0)))))*5%,0,(OP!$C$78-((IF(OR($T747="F",$E747&gt;=111),0,AA746+$K747-$O747+IF($C$1=1,AD747,IF($C748=$C$3,SUM(AD736:AD747,0)))))*5%))*$Q747),0)</f>
        <v>0</v>
      </c>
      <c r="N747" s="2">
        <f ca="1">ROUND(IF(OP!$C$78&lt;(IF(OR($T747="F",$E747&gt;=111),0,AB746+$K747-$O747+IF($C$1=1,AE747,IF($C748=$C$3,SUM(AE736:AE747,0)))))*5%,0,(OP!$C$78-((IF(OR($T747="F",$E747&gt;=111),0,AB746+$K747-$O747+IF($C$1=1,AE747,IF($C748=$C$3,SUM(AE736:AE747,0)))))*5%))*$Q747),0)</f>
        <v>0</v>
      </c>
      <c r="O747" s="261">
        <f t="shared" ca="1" si="416"/>
        <v>0</v>
      </c>
      <c r="P747" s="261">
        <f t="shared" ca="1" si="434"/>
        <v>0</v>
      </c>
      <c r="Q747" s="3">
        <f ca="1">IF(A747&gt;MAX(OP!$R$17:$R$26),0,VLOOKUP(A747,fees,3,FALSE))</f>
        <v>0</v>
      </c>
      <c r="R747" s="200" t="str">
        <f t="shared" ca="1" si="417"/>
        <v/>
      </c>
      <c r="S747" s="9" t="str">
        <f ca="1">IF(COUNTIF(($T$4:T746),"F")&gt;=1,"",IF(OR(C748&lt;&gt;$C$3,E747=""),"",A747))</f>
        <v/>
      </c>
      <c r="T747" s="20" t="str">
        <f t="shared" ca="1" si="409"/>
        <v/>
      </c>
      <c r="U747" s="2">
        <f ca="1">IF(IF(OP!$C$83=1,$Z746,IF(OP!$C$83=2,$AA746,IF(OP!$C$83=3,$AB746,)))+$K747-$O747-$P747-$AS747&lt;OP!$C$142,0,$AS747)</f>
        <v>0</v>
      </c>
      <c r="V747" s="19">
        <f ca="1">SUM(K736:K747)</f>
        <v>0</v>
      </c>
      <c r="W747" s="19">
        <f ca="1">MAX(SUM($K$4:K747),0)</f>
        <v>2000000</v>
      </c>
      <c r="X747" s="19">
        <f ca="1">SUM(O736:P747)</f>
        <v>0</v>
      </c>
      <c r="Y747" s="19">
        <f t="shared" ca="1" si="435"/>
        <v>1920000</v>
      </c>
      <c r="Z747" s="2">
        <f ca="1">IF(MIN($Z$4:Z746)=0,0,MAX(0,($Z746+$K747-$O747-$P747)*IF(AND(F747="F",$D$3&lt;&gt;$G$3),((1+(-J747))^(H747/MIN(G747,365))),((1+(-J747))^(1/12)))-$U747))</f>
        <v>79829.747684592076</v>
      </c>
      <c r="AA747" s="2">
        <f ca="1">IF(MIN($AA$4:AA746)=0,0,MAX(0,($AA746+$K747-$O747-$P747)*IF(AND(F747="F",$D$3&lt;&gt;$G$3),((1+$AA$1)^(H747/MIN(G747,365))),((1+$AA$1)^(1/12)))-$U747))</f>
        <v>1920000</v>
      </c>
      <c r="AB747" s="2">
        <f ca="1">IF(MIN($AB$4:AB746)=0,0,MAX(0,($AB746+$K747-$O747-$P747)*IF(AND(F747="F",$D$3&lt;&gt;$G$3),((1+(J747))^(H747/MIN(G747,365))),((1+(J747))^(1/12)))-$U747))</f>
        <v>39540100.700680912</v>
      </c>
      <c r="AC747" s="5"/>
      <c r="AD747" s="5"/>
      <c r="AE747" s="5"/>
      <c r="AF747" s="282">
        <f t="shared" ca="1" si="418"/>
        <v>79830</v>
      </c>
      <c r="AG747" s="282">
        <f t="shared" ca="1" si="419"/>
        <v>1920000</v>
      </c>
      <c r="AH747" s="282">
        <f t="shared" ca="1" si="420"/>
        <v>39540101</v>
      </c>
      <c r="AI747" s="23" t="str">
        <f t="shared" ca="1" si="437"/>
        <v>63-1</v>
      </c>
      <c r="AJ747" s="282">
        <f ca="1">IF(E747&gt;111,,IF(AND(OP!$C$99=1,T747="F"),Z747,IF(AND(OP!$C$99=2,COUNTIF($T$4:T747,"F")=1),OP!$C$97+IF(F747="F",OP!$C$98,0),"")))</f>
        <v>0</v>
      </c>
      <c r="AK747" s="282">
        <f ca="1">IF(E747&gt;111,,IF(AND(OP!$D$99=1,T747="F"),AA747,IF(AND(OP!$D$99=2,COUNTIF($T$4:T747,"F")=1),OP!$D$97+IF(F747="F",OP!$D$98,0),"")))</f>
        <v>0</v>
      </c>
      <c r="AL747" s="282">
        <f ca="1">IF(E747&gt;111,,IF(AND(OP!$E$99=1,T747="F"),AB747,IF(AND(OP!$E$99=2,COUNTIF($T$4:T747,"F")=1),OP!$E$97+IF(F747="F",OP!$E$98,0),"")))</f>
        <v>0</v>
      </c>
      <c r="AM747" s="1">
        <f t="shared" ca="1" si="410"/>
        <v>1</v>
      </c>
      <c r="AN747" s="1" t="e">
        <f ca="1">IF(OR(VLOOKUP($A747,MP,5,0)="月繳"),1,"")</f>
        <v>#N/A</v>
      </c>
      <c r="AO747" s="1">
        <f t="shared" ca="1" si="421"/>
        <v>0</v>
      </c>
      <c r="AP747" s="1" t="str">
        <f ca="1">IF(AND(A747&lt;=OP!$C$120,COUNTIF(PAY,C747)=1),1,"")</f>
        <v/>
      </c>
      <c r="AR747" s="301">
        <f ca="1">IF(繳費報酬率資料!$A$1=1,$AY747+$AZ747,$BF747+$BG747)</f>
        <v>0</v>
      </c>
      <c r="AS747" s="1">
        <f ca="1">IF(C747&lt;&gt;IF($C$3=1,12,$C$3-1),0,IF(繳費報酬率資料!$A$1&lt;&gt;1,VLOOKUP($A747,MP,8,0),IF(AND($A747&gt;=OP!$C$79,$A747&lt;=OP!$C$80),OP!$C$78,)))</f>
        <v>0</v>
      </c>
      <c r="AT747" s="298">
        <f t="shared" ca="1" si="422"/>
        <v>0</v>
      </c>
      <c r="AU747" s="298">
        <f ca="1">IF(AND(A747&lt;=OP!$C$120,COUNTIF(PAY,C747)=1),OP!$C$123,0)</f>
        <v>0</v>
      </c>
      <c r="AV747" s="298">
        <f ca="1">IF(AND(A747&gt;=OP!$C$132,A747&lt;=OP!$C$133,$C$3=C747),OP!$C$135,0)</f>
        <v>0</v>
      </c>
      <c r="AW747" s="180">
        <f t="shared" ca="1" si="423"/>
        <v>0.05</v>
      </c>
      <c r="AX747" s="180">
        <f t="shared" ca="1" si="424"/>
        <v>0.05</v>
      </c>
      <c r="AY747" s="286">
        <f t="shared" ca="1" si="425"/>
        <v>0</v>
      </c>
      <c r="AZ747" s="286">
        <f t="shared" ca="1" si="426"/>
        <v>0</v>
      </c>
      <c r="BA747" s="286">
        <f t="shared" ca="1" si="427"/>
        <v>0</v>
      </c>
      <c r="BB747" s="286">
        <f t="shared" ca="1" si="428"/>
        <v>0</v>
      </c>
      <c r="BC747" s="286">
        <f t="shared" ca="1" si="429"/>
        <v>0</v>
      </c>
      <c r="BD747" s="180">
        <f t="shared" ca="1" si="430"/>
        <v>0.05</v>
      </c>
      <c r="BE747" s="180">
        <f t="shared" ca="1" si="431"/>
        <v>0.05</v>
      </c>
      <c r="BF747" s="286">
        <f t="shared" ca="1" si="432"/>
        <v>0</v>
      </c>
      <c r="BG747" s="286">
        <f t="shared" ca="1" si="433"/>
        <v>0</v>
      </c>
    </row>
    <row r="748" spans="1:59">
      <c r="A748" s="1">
        <f t="shared" ca="1" si="413"/>
        <v>63</v>
      </c>
      <c r="B748" s="1">
        <f t="shared" ca="1" si="406"/>
        <v>168</v>
      </c>
      <c r="C748" s="1">
        <f t="shared" ca="1" si="407"/>
        <v>6</v>
      </c>
      <c r="D748" s="1">
        <f ca="1">MIN($D$3,VLOOKUP(C748,OP!$S$30:$T$41,2))</f>
        <v>2</v>
      </c>
      <c r="E748" s="1" t="str">
        <f t="shared" ca="1" si="408"/>
        <v/>
      </c>
      <c r="F748" s="11" t="str">
        <f t="shared" ca="1" si="414"/>
        <v/>
      </c>
      <c r="G748" s="6">
        <f ca="1">DATEDIF(DATE(B748+1911,C748,D748),DATE(B760+1911,C760,D760),"d")</f>
        <v>366</v>
      </c>
      <c r="H748" s="8">
        <f t="shared" ca="1" si="415"/>
        <v>30</v>
      </c>
      <c r="I748" s="8" t="str">
        <f t="shared" ca="1" si="412"/>
        <v>636</v>
      </c>
      <c r="J748" s="13">
        <f>IF(繳費報酬率資料!$A$1=1,VALUE(OP!$C$121),VLOOKUP(A748,MP,2,0))</f>
        <v>0.05</v>
      </c>
      <c r="K748" s="14">
        <f ca="1">IF(SUM($K$4:K747,IF(繳費報酬率資料!$A$1=1,$AU748+$AV748,$BB748+$BC748))&gt;OP!$L$58,0,IF(繳費報酬率資料!$A$1=1,$AU748+$AV748,$BB748+$BC748))</f>
        <v>0</v>
      </c>
      <c r="L748" s="2"/>
      <c r="M748" s="2"/>
      <c r="N748" s="2"/>
      <c r="O748" s="261">
        <f t="shared" ca="1" si="416"/>
        <v>0</v>
      </c>
      <c r="P748" s="261">
        <f t="shared" ca="1" si="434"/>
        <v>0</v>
      </c>
      <c r="Q748" s="3">
        <f ca="1">IF(A748&gt;MAX(OP!$R$17:$R$26),0,VLOOKUP(A748,fees,3,FALSE))</f>
        <v>0</v>
      </c>
      <c r="R748" s="200" t="str">
        <f t="shared" ca="1" si="417"/>
        <v/>
      </c>
      <c r="S748" s="9" t="str">
        <f ca="1">IF(COUNTIF(($T$4:T747),"F")&gt;=1,"",IF(OR(C749&lt;&gt;$C$3,E748=""),"",A748))</f>
        <v/>
      </c>
      <c r="T748" s="20" t="str">
        <f t="shared" ca="1" si="409"/>
        <v/>
      </c>
      <c r="U748" s="2">
        <f ca="1">IF(IF(OP!$C$83=1,$Z747,IF(OP!$C$83=2,$AA747,IF(OP!$C$83=3,$AB747,)))+$K748-$O748-$P748-$AS748&lt;OP!$C$142,0,$AS748)</f>
        <v>0</v>
      </c>
      <c r="V748" s="9"/>
      <c r="W748" s="19">
        <f ca="1">MAX(SUM($K$4:K748),0)</f>
        <v>2000000</v>
      </c>
      <c r="X748" s="19"/>
      <c r="Y748" s="19">
        <f t="shared" ca="1" si="435"/>
        <v>1920000</v>
      </c>
      <c r="Z748" s="2">
        <f ca="1">IF(MIN($Z$4:Z747)=0,0,MAX(0,($Z747+$K748-$O748-$P748)*IF(AND(F748="F",$D$3&lt;&gt;$G$3),((1+(-J748))^(H748/MIN(G748,365))),((1+(-J748))^(1/12)))-$U748))</f>
        <v>79489.24836278506</v>
      </c>
      <c r="AA748" s="2">
        <f ca="1">IF(MIN($AA$4:AA747)=0,0,MAX(0,($AA747+$K748-$O748-$P748)*IF(AND(F748="F",$D$3&lt;&gt;$G$3),((1+$AA$1)^(H748/MIN(G748,365))),((1+$AA$1)^(1/12)))-$U748))</f>
        <v>1920000</v>
      </c>
      <c r="AB748" s="2">
        <f ca="1">IF(MIN($AB$4:AB747)=0,0,MAX(0,($AB747+$K748-$O748-$P748)*IF(AND(F748="F",$D$3&lt;&gt;$G$3),((1+(J748))^(H748/MIN(G748,365))),((1+(J748))^(1/12)))-$U748))</f>
        <v>39701191.965353407</v>
      </c>
      <c r="AC748" s="21"/>
      <c r="AD748" s="21"/>
      <c r="AE748" s="21"/>
      <c r="AF748" s="282">
        <f t="shared" ca="1" si="418"/>
        <v>79489</v>
      </c>
      <c r="AG748" s="282">
        <f t="shared" ca="1" si="419"/>
        <v>1920000</v>
      </c>
      <c r="AH748" s="282">
        <f t="shared" ca="1" si="420"/>
        <v>39701192</v>
      </c>
      <c r="AI748" s="23" t="str">
        <f t="shared" ca="1" si="437"/>
        <v>63-2</v>
      </c>
      <c r="AJ748" s="281">
        <f ca="1">IF(E748&gt;111,,IF(AND(OP!$C$99=1,T748="F"),Z748,IF(AND(OP!$C$99=2,COUNTIF($T$4:T748,"F")=1),OP!$C$97+IF(F748="F",OP!$C$98,0),"")))</f>
        <v>0</v>
      </c>
      <c r="AK748" s="281">
        <f ca="1">IF(E748&gt;111,,IF(AND(OP!$D$99=1,T748="F"),AA748,IF(AND(OP!$D$99=2,COUNTIF($T$4:T748,"F")=1),OP!$D$97+IF(F748="F",OP!$D$98,0),"")))</f>
        <v>0</v>
      </c>
      <c r="AL748" s="281">
        <f ca="1">IF(E748&gt;111,,IF(AND(OP!$E$99=1,T748="F"),AB748,IF(AND(OP!$E$99=2,COUNTIF($T$4:T748,"F")=1),OP!$E$97+IF(F748="F",OP!$E$98,0),"")))</f>
        <v>0</v>
      </c>
      <c r="AM748" s="1">
        <f t="shared" ca="1" si="410"/>
        <v>2</v>
      </c>
      <c r="AN748" s="1" t="e">
        <f ca="1">IF(OR(VLOOKUP($A748,MP,5,0)="年繳",VLOOKUP($A748,MP,5,0)="半年繳",VLOOKUP($A748,MP,5,0)="季繳",VLOOKUP($A748,MP,5,0)="月繳"),1,"")</f>
        <v>#N/A</v>
      </c>
      <c r="AO748" s="1">
        <f t="shared" ca="1" si="421"/>
        <v>0</v>
      </c>
      <c r="AP748" s="1" t="str">
        <f ca="1">IF(AND(A748&lt;=OP!$C$120,COUNTIF(PAY,C748)=1),1,"")</f>
        <v/>
      </c>
      <c r="AR748" s="301">
        <f ca="1">IF(繳費報酬率資料!$A$1=1,$AY748+$AZ748,$BF748+$BG748)</f>
        <v>0</v>
      </c>
      <c r="AS748" s="1">
        <f ca="1">IF(C748&lt;&gt;IF($C$3=1,12,$C$3-1),0,IF(繳費報酬率資料!$A$1&lt;&gt;1,VLOOKUP($A748,MP,8,0),IF(AND($A748&gt;=OP!$C$79,$A748&lt;=OP!$C$80),OP!$C$78,)))</f>
        <v>0</v>
      </c>
      <c r="AT748" s="298">
        <f t="shared" ca="1" si="422"/>
        <v>0</v>
      </c>
      <c r="AU748" s="298">
        <f ca="1">IF(AND(A748&lt;=OP!$C$120,COUNTIF(PAY,C748)=1),OP!$C$123,0)</f>
        <v>0</v>
      </c>
      <c r="AV748" s="298">
        <f ca="1">IF(AND(A748&gt;=OP!$C$132,A748&lt;=OP!$C$133,$C$3=C748),OP!$C$135,0)</f>
        <v>0</v>
      </c>
      <c r="AW748" s="180">
        <f t="shared" ca="1" si="423"/>
        <v>0.05</v>
      </c>
      <c r="AX748" s="180">
        <f t="shared" ca="1" si="424"/>
        <v>0.05</v>
      </c>
      <c r="AY748" s="286">
        <f t="shared" ca="1" si="425"/>
        <v>0</v>
      </c>
      <c r="AZ748" s="286">
        <f t="shared" ca="1" si="426"/>
        <v>0</v>
      </c>
      <c r="BA748" s="286">
        <f t="shared" ca="1" si="427"/>
        <v>0</v>
      </c>
      <c r="BB748" s="286">
        <f t="shared" ca="1" si="428"/>
        <v>0</v>
      </c>
      <c r="BC748" s="286">
        <f t="shared" ca="1" si="429"/>
        <v>0</v>
      </c>
      <c r="BD748" s="180">
        <f t="shared" ca="1" si="430"/>
        <v>0.05</v>
      </c>
      <c r="BE748" s="180">
        <f t="shared" ca="1" si="431"/>
        <v>0.05</v>
      </c>
      <c r="BF748" s="286">
        <f t="shared" ca="1" si="432"/>
        <v>0</v>
      </c>
      <c r="BG748" s="286">
        <f t="shared" ca="1" si="433"/>
        <v>0</v>
      </c>
    </row>
    <row r="749" spans="1:59">
      <c r="A749" s="1">
        <f t="shared" ca="1" si="413"/>
        <v>63</v>
      </c>
      <c r="B749" s="1">
        <f t="shared" ca="1" si="406"/>
        <v>168</v>
      </c>
      <c r="C749" s="1">
        <f t="shared" ca="1" si="407"/>
        <v>7</v>
      </c>
      <c r="D749" s="1">
        <f ca="1">MIN($D$3,VLOOKUP(C749,OP!$S$30:$T$41,2))</f>
        <v>2</v>
      </c>
      <c r="E749" s="1" t="str">
        <f t="shared" ca="1" si="408"/>
        <v/>
      </c>
      <c r="F749" s="11" t="str">
        <f t="shared" ca="1" si="414"/>
        <v/>
      </c>
      <c r="G749" s="8">
        <f t="shared" ref="G749:G759" ca="1" si="440">G748</f>
        <v>366</v>
      </c>
      <c r="H749" s="8">
        <f t="shared" ca="1" si="415"/>
        <v>31</v>
      </c>
      <c r="I749" s="8" t="str">
        <f t="shared" ca="1" si="412"/>
        <v>637</v>
      </c>
      <c r="J749" s="13">
        <f>IF(繳費報酬率資料!$A$1=1,VALUE(OP!$C$121),VLOOKUP(A749,MP,2,0))</f>
        <v>0.05</v>
      </c>
      <c r="K749" s="14">
        <f ca="1">IF(SUM($K$4:K748,IF(繳費報酬率資料!$A$1=1,$AU749+$AV749,$BB749+$BC749))&gt;OP!$L$58,0,IF(繳費報酬率資料!$A$1=1,$AU749+$AV749,$BB749+$BC749))</f>
        <v>0</v>
      </c>
      <c r="L749" s="2"/>
      <c r="M749" s="2"/>
      <c r="N749" s="2"/>
      <c r="O749" s="261">
        <f t="shared" ca="1" si="416"/>
        <v>0</v>
      </c>
      <c r="P749" s="261">
        <f t="shared" ca="1" si="434"/>
        <v>0</v>
      </c>
      <c r="Q749" s="3">
        <f ca="1">IF(A749&gt;MAX(OP!$R$17:$R$26),0,VLOOKUP(A749,fees,3,FALSE))</f>
        <v>0</v>
      </c>
      <c r="R749" s="200" t="str">
        <f t="shared" ca="1" si="417"/>
        <v/>
      </c>
      <c r="S749" s="9" t="str">
        <f ca="1">IF(COUNTIF(($T$4:T748),"F")&gt;=1,"",IF(OR(C750&lt;&gt;$C$3,E749=""),"",A749))</f>
        <v/>
      </c>
      <c r="T749" s="20" t="str">
        <f t="shared" ca="1" si="409"/>
        <v/>
      </c>
      <c r="U749" s="2">
        <f ca="1">IF(IF(OP!$C$83=1,$Z748,IF(OP!$C$83=2,$AA748,IF(OP!$C$83=3,$AB748,)))+$K749-$O749-$P749-$AS749&lt;OP!$C$142,0,$AS749)</f>
        <v>0</v>
      </c>
      <c r="V749" s="9"/>
      <c r="W749" s="19">
        <f ca="1">MAX(SUM($K$4:K749),0)</f>
        <v>2000000</v>
      </c>
      <c r="X749" s="19"/>
      <c r="Y749" s="19">
        <f t="shared" ca="1" si="435"/>
        <v>1920000</v>
      </c>
      <c r="Z749" s="2">
        <f ca="1">IF(MIN($Z$4:Z748)=0,0,MAX(0,($Z748+$K749-$O749-$P749)*IF(AND(F749="F",$D$3&lt;&gt;$G$3),((1+(-J749))^(H749/MIN(G749,365))),((1+(-J749))^(1/12)))-$U749))</f>
        <v>79150.201379129096</v>
      </c>
      <c r="AA749" s="2">
        <f ca="1">IF(MIN($AA$4:AA748)=0,0,MAX(0,($AA748+$K749-$O749-$P749)*IF(AND(F749="F",$D$3&lt;&gt;$G$3),((1+$AA$1)^(H749/MIN(G749,365))),((1+$AA$1)^(1/12)))-$U749))</f>
        <v>1920000</v>
      </c>
      <c r="AB749" s="2">
        <f ca="1">IF(MIN($AB$4:AB748)=0,0,MAX(0,($AB748+$K749-$O749-$P749)*IF(AND(F749="F",$D$3&lt;&gt;$G$3),((1+(J749))^(H749/MIN(G749,365))),((1+(J749))^(1/12)))-$U749))</f>
        <v>39862939.535778642</v>
      </c>
      <c r="AC749" s="5"/>
      <c r="AD749" s="5"/>
      <c r="AE749" s="5"/>
      <c r="AF749" s="282">
        <f t="shared" ca="1" si="418"/>
        <v>79150</v>
      </c>
      <c r="AG749" s="282">
        <f t="shared" ca="1" si="419"/>
        <v>1920000</v>
      </c>
      <c r="AH749" s="282">
        <f t="shared" ca="1" si="420"/>
        <v>39862940</v>
      </c>
      <c r="AI749" s="23" t="str">
        <f t="shared" ca="1" si="437"/>
        <v>63-3</v>
      </c>
      <c r="AJ749" s="282">
        <f ca="1">IF(E749&gt;111,,IF(AND(OP!$C$99=1,T749="F"),Z749,IF(AND(OP!$C$99=2,COUNTIF($T$4:T749,"F")=1),OP!$C$97+IF(F749="F",OP!$C$98,0),"")))</f>
        <v>0</v>
      </c>
      <c r="AK749" s="282">
        <f ca="1">IF(E749&gt;111,,IF(AND(OP!$D$99=1,T749="F"),AA749,IF(AND(OP!$D$99=2,COUNTIF($T$4:T749,"F")=1),OP!$D$97+IF(F749="F",OP!$D$98,0),"")))</f>
        <v>0</v>
      </c>
      <c r="AL749" s="282">
        <f ca="1">IF(E749&gt;111,,IF(AND(OP!$E$99=1,T749="F"),AB749,IF(AND(OP!$E$99=2,COUNTIF($T$4:T749,"F")=1),OP!$E$97+IF(F749="F",OP!$E$98,0),"")))</f>
        <v>0</v>
      </c>
      <c r="AM749" s="1">
        <f t="shared" ca="1" si="410"/>
        <v>3</v>
      </c>
      <c r="AN749" s="1" t="e">
        <f ca="1">IF(OR(VLOOKUP($A749,MP,5,0)="月繳"),1,"")</f>
        <v>#N/A</v>
      </c>
      <c r="AO749" s="1">
        <f t="shared" ca="1" si="421"/>
        <v>0</v>
      </c>
      <c r="AP749" s="1" t="str">
        <f ca="1">IF(AND(A749&lt;=OP!$C$120,COUNTIF(PAY,C749)=1),1,"")</f>
        <v/>
      </c>
      <c r="AR749" s="301">
        <f ca="1">IF(繳費報酬率資料!$A$1=1,$AY749+$AZ749,$BF749+$BG749)</f>
        <v>0</v>
      </c>
      <c r="AS749" s="1">
        <f ca="1">IF(C749&lt;&gt;IF($C$3=1,12,$C$3-1),0,IF(繳費報酬率資料!$A$1&lt;&gt;1,VLOOKUP($A749,MP,8,0),IF(AND($A749&gt;=OP!$C$79,$A749&lt;=OP!$C$80),OP!$C$78,)))</f>
        <v>0</v>
      </c>
      <c r="AT749" s="298">
        <f t="shared" ca="1" si="422"/>
        <v>0</v>
      </c>
      <c r="AU749" s="298">
        <f ca="1">IF(AND(A749&lt;=OP!$C$120,COUNTIF(PAY,C749)=1),OP!$C$123,0)</f>
        <v>0</v>
      </c>
      <c r="AV749" s="298">
        <f ca="1">IF(AND(A749&gt;=OP!$C$132,A749&lt;=OP!$C$133,$C$3=C749),OP!$C$135,0)</f>
        <v>0</v>
      </c>
      <c r="AW749" s="180">
        <f t="shared" ca="1" si="423"/>
        <v>0.05</v>
      </c>
      <c r="AX749" s="180">
        <f t="shared" ca="1" si="424"/>
        <v>0.05</v>
      </c>
      <c r="AY749" s="286">
        <f t="shared" ca="1" si="425"/>
        <v>0</v>
      </c>
      <c r="AZ749" s="286">
        <f t="shared" ca="1" si="426"/>
        <v>0</v>
      </c>
      <c r="BA749" s="286">
        <f t="shared" ca="1" si="427"/>
        <v>0</v>
      </c>
      <c r="BB749" s="286">
        <f t="shared" ca="1" si="428"/>
        <v>0</v>
      </c>
      <c r="BC749" s="286">
        <f t="shared" ca="1" si="429"/>
        <v>0</v>
      </c>
      <c r="BD749" s="180">
        <f t="shared" ca="1" si="430"/>
        <v>0.05</v>
      </c>
      <c r="BE749" s="180">
        <f t="shared" ca="1" si="431"/>
        <v>0.05</v>
      </c>
      <c r="BF749" s="286">
        <f t="shared" ca="1" si="432"/>
        <v>0</v>
      </c>
      <c r="BG749" s="286">
        <f t="shared" ca="1" si="433"/>
        <v>0</v>
      </c>
    </row>
    <row r="750" spans="1:59">
      <c r="A750" s="1">
        <f t="shared" ca="1" si="413"/>
        <v>63</v>
      </c>
      <c r="B750" s="1">
        <f t="shared" ca="1" si="406"/>
        <v>168</v>
      </c>
      <c r="C750" s="1">
        <f t="shared" ca="1" si="407"/>
        <v>8</v>
      </c>
      <c r="D750" s="1">
        <f ca="1">MIN($D$3,VLOOKUP(C750,OP!$S$30:$T$41,2))</f>
        <v>2</v>
      </c>
      <c r="E750" s="1" t="str">
        <f t="shared" ca="1" si="408"/>
        <v/>
      </c>
      <c r="F750" s="11" t="str">
        <f t="shared" ca="1" si="414"/>
        <v/>
      </c>
      <c r="G750" s="8">
        <f t="shared" ca="1" si="440"/>
        <v>366</v>
      </c>
      <c r="H750" s="8">
        <f t="shared" ca="1" si="415"/>
        <v>31</v>
      </c>
      <c r="I750" s="8" t="str">
        <f t="shared" ca="1" si="412"/>
        <v>638</v>
      </c>
      <c r="J750" s="13">
        <f>IF(繳費報酬率資料!$A$1=1,VALUE(OP!$C$121),VLOOKUP(A750,MP,2,0))</f>
        <v>0.05</v>
      </c>
      <c r="K750" s="14">
        <f ca="1">IF(SUM($K$4:K749,IF(繳費報酬率資料!$A$1=1,$AU750+$AV750,$BB750+$BC750))&gt;OP!$L$58,0,IF(繳費報酬率資料!$A$1=1,$AU750+$AV750,$BB750+$BC750))</f>
        <v>0</v>
      </c>
      <c r="L750" s="2"/>
      <c r="M750" s="2"/>
      <c r="N750" s="2"/>
      <c r="O750" s="261">
        <f t="shared" ca="1" si="416"/>
        <v>0</v>
      </c>
      <c r="P750" s="261">
        <f t="shared" ca="1" si="434"/>
        <v>0</v>
      </c>
      <c r="Q750" s="3">
        <f ca="1">IF(A750&gt;MAX(OP!$R$17:$R$26),0,VLOOKUP(A750,fees,3,FALSE))</f>
        <v>0</v>
      </c>
      <c r="R750" s="200" t="str">
        <f t="shared" ca="1" si="417"/>
        <v/>
      </c>
      <c r="S750" s="9" t="str">
        <f ca="1">IF(COUNTIF(($T$4:T749),"F")&gt;=1,"",IF(OR(C751&lt;&gt;$C$3,E750=""),"",A750))</f>
        <v/>
      </c>
      <c r="T750" s="20" t="str">
        <f t="shared" ca="1" si="409"/>
        <v/>
      </c>
      <c r="U750" s="2">
        <f ca="1">IF(IF(OP!$C$83=1,$Z749,IF(OP!$C$83=2,$AA749,IF(OP!$C$83=3,$AB749,)))+$K750-$O750-$P750-$AS750&lt;OP!$C$142,0,$AS750)</f>
        <v>0</v>
      </c>
      <c r="V750" s="9"/>
      <c r="W750" s="19">
        <f ca="1">MAX(SUM($K$4:K750),0)</f>
        <v>2000000</v>
      </c>
      <c r="X750" s="19"/>
      <c r="Y750" s="19">
        <f t="shared" ca="1" si="435"/>
        <v>1920000</v>
      </c>
      <c r="Z750" s="2">
        <f ca="1">IF(MIN($Z$4:Z749)=0,0,MAX(0,($Z749+$K750-$O750-$P750)*IF(AND(F750="F",$D$3&lt;&gt;$G$3),((1+(-J750))^(H750/MIN(G750,365))),((1+(-J750))^(1/12)))-$U750))</f>
        <v>78812.60053893899</v>
      </c>
      <c r="AA750" s="2">
        <f ca="1">IF(MIN($AA$4:AA749)=0,0,MAX(0,($AA749+$K750-$O750-$P750)*IF(AND(F750="F",$D$3&lt;&gt;$G$3),((1+$AA$1)^(H750/MIN(G750,365))),((1+$AA$1)^(1/12)))-$U750))</f>
        <v>1920000</v>
      </c>
      <c r="AB750" s="2">
        <f ca="1">IF(MIN($AB$4:AB749)=0,0,MAX(0,($AB749+$K750-$O750-$P750)*IF(AND(F750="F",$D$3&lt;&gt;$G$3),((1+(J750))^(H750/MIN(G750,365))),((1+(J750))^(1/12)))-$U750))</f>
        <v>40025346.085827492</v>
      </c>
      <c r="AC750" s="5"/>
      <c r="AD750" s="5"/>
      <c r="AE750" s="5"/>
      <c r="AF750" s="282">
        <f t="shared" ca="1" si="418"/>
        <v>78813</v>
      </c>
      <c r="AG750" s="282">
        <f t="shared" ca="1" si="419"/>
        <v>1920000</v>
      </c>
      <c r="AH750" s="282">
        <f t="shared" ca="1" si="420"/>
        <v>40025346</v>
      </c>
      <c r="AI750" s="23" t="str">
        <f t="shared" ca="1" si="437"/>
        <v>63-4</v>
      </c>
      <c r="AJ750" s="282">
        <f ca="1">IF(E750&gt;111,,IF(AND(OP!$C$99=1,T750="F"),Z750,IF(AND(OP!$C$99=2,COUNTIF($T$4:T750,"F")=1),OP!$C$97+IF(F750="F",OP!$C$98,0),"")))</f>
        <v>0</v>
      </c>
      <c r="AK750" s="282">
        <f ca="1">IF(E750&gt;111,,IF(AND(OP!$D$99=1,T750="F"),AA750,IF(AND(OP!$D$99=2,COUNTIF($T$4:T750,"F")=1),OP!$D$97+IF(F750="F",OP!$D$98,0),"")))</f>
        <v>0</v>
      </c>
      <c r="AL750" s="282">
        <f ca="1">IF(E750&gt;111,,IF(AND(OP!$E$99=1,T750="F"),AB750,IF(AND(OP!$E$99=2,COUNTIF($T$4:T750,"F")=1),OP!$E$97+IF(F750="F",OP!$E$98,0),"")))</f>
        <v>0</v>
      </c>
      <c r="AM750" s="1">
        <f t="shared" ca="1" si="410"/>
        <v>4</v>
      </c>
      <c r="AN750" s="1" t="e">
        <f ca="1">IF(OR(VLOOKUP($A750,MP,5,0)="月繳"),1,"")</f>
        <v>#N/A</v>
      </c>
      <c r="AO750" s="1">
        <f t="shared" ca="1" si="421"/>
        <v>0</v>
      </c>
      <c r="AP750" s="1" t="str">
        <f ca="1">IF(AND(A750&lt;=OP!$C$120,COUNTIF(PAY,C750)=1),1,"")</f>
        <v/>
      </c>
      <c r="AR750" s="301">
        <f ca="1">IF(繳費報酬率資料!$A$1=1,$AY750+$AZ750,$BF750+$BG750)</f>
        <v>0</v>
      </c>
      <c r="AS750" s="1">
        <f ca="1">IF(C750&lt;&gt;IF($C$3=1,12,$C$3-1),0,IF(繳費報酬率資料!$A$1&lt;&gt;1,VLOOKUP($A750,MP,8,0),IF(AND($A750&gt;=OP!$C$79,$A750&lt;=OP!$C$80),OP!$C$78,)))</f>
        <v>0</v>
      </c>
      <c r="AT750" s="298">
        <f t="shared" ca="1" si="422"/>
        <v>0</v>
      </c>
      <c r="AU750" s="298">
        <f ca="1">IF(AND(A750&lt;=OP!$C$120,COUNTIF(PAY,C750)=1),OP!$C$123,0)</f>
        <v>0</v>
      </c>
      <c r="AV750" s="298">
        <f ca="1">IF(AND(A750&gt;=OP!$C$132,A750&lt;=OP!$C$133,$C$3=C750),OP!$C$135,0)</f>
        <v>0</v>
      </c>
      <c r="AW750" s="180">
        <f t="shared" ca="1" si="423"/>
        <v>0.05</v>
      </c>
      <c r="AX750" s="180">
        <f t="shared" ca="1" si="424"/>
        <v>0.05</v>
      </c>
      <c r="AY750" s="286">
        <f t="shared" ca="1" si="425"/>
        <v>0</v>
      </c>
      <c r="AZ750" s="286">
        <f t="shared" ca="1" si="426"/>
        <v>0</v>
      </c>
      <c r="BA750" s="286">
        <f t="shared" ca="1" si="427"/>
        <v>0</v>
      </c>
      <c r="BB750" s="286">
        <f t="shared" ca="1" si="428"/>
        <v>0</v>
      </c>
      <c r="BC750" s="286">
        <f t="shared" ca="1" si="429"/>
        <v>0</v>
      </c>
      <c r="BD750" s="180">
        <f t="shared" ca="1" si="430"/>
        <v>0.05</v>
      </c>
      <c r="BE750" s="180">
        <f t="shared" ca="1" si="431"/>
        <v>0.05</v>
      </c>
      <c r="BF750" s="286">
        <f t="shared" ca="1" si="432"/>
        <v>0</v>
      </c>
      <c r="BG750" s="286">
        <f t="shared" ca="1" si="433"/>
        <v>0</v>
      </c>
    </row>
    <row r="751" spans="1:59">
      <c r="A751" s="1">
        <f t="shared" ca="1" si="413"/>
        <v>63</v>
      </c>
      <c r="B751" s="1">
        <f t="shared" ca="1" si="406"/>
        <v>168</v>
      </c>
      <c r="C751" s="1">
        <f t="shared" ca="1" si="407"/>
        <v>9</v>
      </c>
      <c r="D751" s="1">
        <f ca="1">MIN($D$3,VLOOKUP(C751,OP!$S$30:$T$41,2))</f>
        <v>2</v>
      </c>
      <c r="E751" s="1" t="str">
        <f t="shared" ca="1" si="408"/>
        <v/>
      </c>
      <c r="F751" s="11" t="str">
        <f t="shared" ca="1" si="414"/>
        <v/>
      </c>
      <c r="G751" s="8">
        <f t="shared" ca="1" si="440"/>
        <v>366</v>
      </c>
      <c r="H751" s="8">
        <f t="shared" ca="1" si="415"/>
        <v>30</v>
      </c>
      <c r="I751" s="8" t="str">
        <f t="shared" ca="1" si="412"/>
        <v>639</v>
      </c>
      <c r="J751" s="13">
        <f>IF(繳費報酬率資料!$A$1=1,VALUE(OP!$C$121),VLOOKUP(A751,MP,2,0))</f>
        <v>0.05</v>
      </c>
      <c r="K751" s="14">
        <f ca="1">IF(SUM($K$4:K750,IF(繳費報酬率資料!$A$1=1,$AU751+$AV751,$BB751+$BC751))&gt;OP!$L$58,0,IF(繳費報酬率資料!$A$1=1,$AU751+$AV751,$BB751+$BC751))</f>
        <v>0</v>
      </c>
      <c r="L751" s="2"/>
      <c r="M751" s="2"/>
      <c r="N751" s="2"/>
      <c r="O751" s="261">
        <f t="shared" ca="1" si="416"/>
        <v>0</v>
      </c>
      <c r="P751" s="261">
        <f t="shared" ca="1" si="434"/>
        <v>0</v>
      </c>
      <c r="Q751" s="3">
        <f ca="1">IF(A751&gt;MAX(OP!$R$17:$R$26),0,VLOOKUP(A751,fees,3,FALSE))</f>
        <v>0</v>
      </c>
      <c r="R751" s="200" t="str">
        <f t="shared" ca="1" si="417"/>
        <v/>
      </c>
      <c r="S751" s="9" t="str">
        <f ca="1">IF(COUNTIF(($T$4:T750),"F")&gt;=1,"",IF(OR(C752&lt;&gt;$C$3,E751=""),"",A751))</f>
        <v/>
      </c>
      <c r="T751" s="20" t="str">
        <f t="shared" ca="1" si="409"/>
        <v/>
      </c>
      <c r="U751" s="2">
        <f ca="1">IF(IF(OP!$C$83=1,$Z750,IF(OP!$C$83=2,$AA750,IF(OP!$C$83=3,$AB750,)))+$K751-$O751-$P751-$AS751&lt;OP!$C$142,0,$AS751)</f>
        <v>0</v>
      </c>
      <c r="V751" s="9"/>
      <c r="W751" s="19">
        <f ca="1">MAX(SUM($K$4:K751),0)</f>
        <v>2000000</v>
      </c>
      <c r="X751" s="19"/>
      <c r="Y751" s="19">
        <f t="shared" ca="1" si="435"/>
        <v>1920000</v>
      </c>
      <c r="Z751" s="2">
        <f ca="1">IF(MIN($Z$4:Z750)=0,0,MAX(0,($Z750+$K751-$O751-$P751)*IF(AND(F751="F",$D$3&lt;&gt;$G$3),((1+(-J751))^(H751/MIN(G751,365))),((1+(-J751))^(1/12)))-$U751))</f>
        <v>78476.439673951871</v>
      </c>
      <c r="AA751" s="2">
        <f ca="1">IF(MIN($AA$4:AA750)=0,0,MAX(0,($AA750+$K751-$O751-$P751)*IF(AND(F751="F",$D$3&lt;&gt;$G$3),((1+$AA$1)^(H751/MIN(G751,365))),((1+$AA$1)^(1/12)))-$U751))</f>
        <v>1920000</v>
      </c>
      <c r="AB751" s="2">
        <f ca="1">IF(MIN($AB$4:AB750)=0,0,MAX(0,($AB750+$K751-$O751-$P751)*IF(AND(F751="F",$D$3&lt;&gt;$G$3),((1+(J751))^(H751/MIN(G751,365))),((1+(J751))^(1/12)))-$U751))</f>
        <v>40188414.300264515</v>
      </c>
      <c r="AC751" s="5"/>
      <c r="AD751" s="5"/>
      <c r="AE751" s="5"/>
      <c r="AF751" s="282">
        <f t="shared" ca="1" si="418"/>
        <v>78476</v>
      </c>
      <c r="AG751" s="282">
        <f t="shared" ca="1" si="419"/>
        <v>1920000</v>
      </c>
      <c r="AH751" s="282">
        <f t="shared" ca="1" si="420"/>
        <v>40188414</v>
      </c>
      <c r="AI751" s="23" t="str">
        <f t="shared" ca="1" si="437"/>
        <v>63-5</v>
      </c>
      <c r="AJ751" s="282">
        <f ca="1">IF(E751&gt;111,,IF(AND(OP!$C$99=1,T751="F"),Z751,IF(AND(OP!$C$99=2,COUNTIF($T$4:T751,"F")=1),OP!$C$97+IF(F751="F",OP!$C$98,0),"")))</f>
        <v>0</v>
      </c>
      <c r="AK751" s="282">
        <f ca="1">IF(E751&gt;111,,IF(AND(OP!$D$99=1,T751="F"),AA751,IF(AND(OP!$D$99=2,COUNTIF($T$4:T751,"F")=1),OP!$D$97+IF(F751="F",OP!$D$98,0),"")))</f>
        <v>0</v>
      </c>
      <c r="AL751" s="282">
        <f ca="1">IF(E751&gt;111,,IF(AND(OP!$E$99=1,T751="F"),AB751,IF(AND(OP!$E$99=2,COUNTIF($T$4:T751,"F")=1),OP!$E$97+IF(F751="F",OP!$E$98,0),"")))</f>
        <v>0</v>
      </c>
      <c r="AM751" s="1">
        <f t="shared" ca="1" si="410"/>
        <v>5</v>
      </c>
      <c r="AN751" s="1" t="e">
        <f ca="1">IF(OR(VLOOKUP($A751,MP,5,0)="季繳",VLOOKUP($A751,MP,5,0)="月繳"),1,"")</f>
        <v>#N/A</v>
      </c>
      <c r="AO751" s="1">
        <f t="shared" ca="1" si="421"/>
        <v>0</v>
      </c>
      <c r="AP751" s="1" t="str">
        <f ca="1">IF(AND(A751&lt;=OP!$C$120,COUNTIF(PAY,C751)=1),1,"")</f>
        <v/>
      </c>
      <c r="AR751" s="301">
        <f ca="1">IF(繳費報酬率資料!$A$1=1,$AY751+$AZ751,$BF751+$BG751)</f>
        <v>0</v>
      </c>
      <c r="AS751" s="1">
        <f ca="1">IF(C751&lt;&gt;IF($C$3=1,12,$C$3-1),0,IF(繳費報酬率資料!$A$1&lt;&gt;1,VLOOKUP($A751,MP,8,0),IF(AND($A751&gt;=OP!$C$79,$A751&lt;=OP!$C$80),OP!$C$78,)))</f>
        <v>0</v>
      </c>
      <c r="AT751" s="298">
        <f t="shared" ca="1" si="422"/>
        <v>0</v>
      </c>
      <c r="AU751" s="298">
        <f ca="1">IF(AND(A751&lt;=OP!$C$120,COUNTIF(PAY,C751)=1),OP!$C$123,0)</f>
        <v>0</v>
      </c>
      <c r="AV751" s="298">
        <f ca="1">IF(AND(A751&gt;=OP!$C$132,A751&lt;=OP!$C$133,$C$3=C751),OP!$C$135,0)</f>
        <v>0</v>
      </c>
      <c r="AW751" s="180">
        <f t="shared" ca="1" si="423"/>
        <v>0.05</v>
      </c>
      <c r="AX751" s="180">
        <f t="shared" ca="1" si="424"/>
        <v>0.05</v>
      </c>
      <c r="AY751" s="286">
        <f t="shared" ca="1" si="425"/>
        <v>0</v>
      </c>
      <c r="AZ751" s="286">
        <f t="shared" ca="1" si="426"/>
        <v>0</v>
      </c>
      <c r="BA751" s="286">
        <f t="shared" ca="1" si="427"/>
        <v>0</v>
      </c>
      <c r="BB751" s="286">
        <f t="shared" ca="1" si="428"/>
        <v>0</v>
      </c>
      <c r="BC751" s="286">
        <f t="shared" ca="1" si="429"/>
        <v>0</v>
      </c>
      <c r="BD751" s="180">
        <f t="shared" ca="1" si="430"/>
        <v>0.05</v>
      </c>
      <c r="BE751" s="180">
        <f t="shared" ca="1" si="431"/>
        <v>0.05</v>
      </c>
      <c r="BF751" s="286">
        <f t="shared" ca="1" si="432"/>
        <v>0</v>
      </c>
      <c r="BG751" s="286">
        <f t="shared" ca="1" si="433"/>
        <v>0</v>
      </c>
    </row>
    <row r="752" spans="1:59">
      <c r="A752" s="1">
        <f t="shared" ca="1" si="413"/>
        <v>63</v>
      </c>
      <c r="B752" s="1">
        <f t="shared" ca="1" si="406"/>
        <v>168</v>
      </c>
      <c r="C752" s="1">
        <f t="shared" ca="1" si="407"/>
        <v>10</v>
      </c>
      <c r="D752" s="1">
        <f ca="1">MIN($D$3,VLOOKUP(C752,OP!$S$30:$T$41,2))</f>
        <v>2</v>
      </c>
      <c r="E752" s="1" t="str">
        <f t="shared" ca="1" si="408"/>
        <v/>
      </c>
      <c r="F752" s="11" t="str">
        <f t="shared" ca="1" si="414"/>
        <v/>
      </c>
      <c r="G752" s="8">
        <f t="shared" ca="1" si="440"/>
        <v>366</v>
      </c>
      <c r="H752" s="8">
        <f t="shared" ca="1" si="415"/>
        <v>31</v>
      </c>
      <c r="I752" s="8" t="str">
        <f t="shared" ca="1" si="412"/>
        <v>6310</v>
      </c>
      <c r="J752" s="13">
        <f>IF(繳費報酬率資料!$A$1=1,VALUE(OP!$C$121),VLOOKUP(A752,MP,2,0))</f>
        <v>0.05</v>
      </c>
      <c r="K752" s="14">
        <f ca="1">IF(SUM($K$4:K751,IF(繳費報酬率資料!$A$1=1,$AU752+$AV752,$BB752+$BC752))&gt;OP!$L$58,0,IF(繳費報酬率資料!$A$1=1,$AU752+$AV752,$BB752+$BC752))</f>
        <v>0</v>
      </c>
      <c r="L752" s="2"/>
      <c r="M752" s="2"/>
      <c r="N752" s="2"/>
      <c r="O752" s="261">
        <f t="shared" ca="1" si="416"/>
        <v>0</v>
      </c>
      <c r="P752" s="261">
        <f t="shared" ca="1" si="434"/>
        <v>0</v>
      </c>
      <c r="Q752" s="3">
        <f ca="1">IF(A752&gt;MAX(OP!$R$17:$R$26),0,VLOOKUP(A752,fees,3,FALSE))</f>
        <v>0</v>
      </c>
      <c r="R752" s="200" t="str">
        <f t="shared" ca="1" si="417"/>
        <v/>
      </c>
      <c r="S752" s="9" t="str">
        <f ca="1">IF(COUNTIF(($T$4:T751),"F")&gt;=1,"",IF(OR(C753&lt;&gt;$C$3,E752=""),"",A752))</f>
        <v/>
      </c>
      <c r="T752" s="20" t="str">
        <f t="shared" ca="1" si="409"/>
        <v/>
      </c>
      <c r="U752" s="2">
        <f ca="1">IF(IF(OP!$C$83=1,$Z751,IF(OP!$C$83=2,$AA751,IF(OP!$C$83=3,$AB751,)))+$K752-$O752-$P752-$AS752&lt;OP!$C$142,0,$AS752)</f>
        <v>0</v>
      </c>
      <c r="V752" s="9"/>
      <c r="W752" s="19">
        <f ca="1">MAX(SUM($K$4:K752),0)</f>
        <v>2000000</v>
      </c>
      <c r="X752" s="19"/>
      <c r="Y752" s="19">
        <f t="shared" ca="1" si="435"/>
        <v>1920000</v>
      </c>
      <c r="Z752" s="2">
        <f ca="1">IF(MIN($Z$4:Z751)=0,0,MAX(0,($Z751+$K752-$O752-$P752)*IF(AND(F752="F",$D$3&lt;&gt;$G$3),((1+(-J752))^(H752/MIN(G752,365))),((1+(-J752))^(1/12)))-$U752))</f>
        <v>78141.712642214465</v>
      </c>
      <c r="AA752" s="2">
        <f ca="1">IF(MIN($AA$4:AA751)=0,0,MAX(0,($AA751+$K752-$O752-$P752)*IF(AND(F752="F",$D$3&lt;&gt;$G$3),((1+$AA$1)^(H752/MIN(G752,365))),((1+$AA$1)^(1/12)))-$U752))</f>
        <v>1920000</v>
      </c>
      <c r="AB752" s="2">
        <f ca="1">IF(MIN($AB$4:AB751)=0,0,MAX(0,($AB751+$K752-$O752-$P752)*IF(AND(F752="F",$D$3&lt;&gt;$G$3),((1+(J752))^(H752/MIN(G752,365))),((1+(J752))^(1/12)))-$U752))</f>
        <v>40352146.874792337</v>
      </c>
      <c r="AC752" s="5"/>
      <c r="AD752" s="5"/>
      <c r="AE752" s="5"/>
      <c r="AF752" s="282">
        <f t="shared" ca="1" si="418"/>
        <v>78142</v>
      </c>
      <c r="AG752" s="282">
        <f t="shared" ca="1" si="419"/>
        <v>1920000</v>
      </c>
      <c r="AH752" s="282">
        <f t="shared" ca="1" si="420"/>
        <v>40352147</v>
      </c>
      <c r="AI752" s="23" t="str">
        <f t="shared" ca="1" si="437"/>
        <v>63-6</v>
      </c>
      <c r="AJ752" s="282">
        <f ca="1">IF(E752&gt;111,,IF(AND(OP!$C$99=1,T752="F"),Z752,IF(AND(OP!$C$99=2,COUNTIF($T$4:T752,"F")=1),OP!$C$97+IF(F752="F",OP!$C$98,0),"")))</f>
        <v>0</v>
      </c>
      <c r="AK752" s="282">
        <f ca="1">IF(E752&gt;111,,IF(AND(OP!$D$99=1,T752="F"),AA752,IF(AND(OP!$D$99=2,COUNTIF($T$4:T752,"F")=1),OP!$D$97+IF(F752="F",OP!$D$98,0),"")))</f>
        <v>0</v>
      </c>
      <c r="AL752" s="282">
        <f ca="1">IF(E752&gt;111,,IF(AND(OP!$E$99=1,T752="F"),AB752,IF(AND(OP!$E$99=2,COUNTIF($T$4:T752,"F")=1),OP!$E$97+IF(F752="F",OP!$E$98,0),"")))</f>
        <v>0</v>
      </c>
      <c r="AM752" s="1">
        <f t="shared" ca="1" si="410"/>
        <v>6</v>
      </c>
      <c r="AN752" s="1" t="e">
        <f ca="1">IF(OR(VLOOKUP($A752,MP,5,0)="月繳"),1,"")</f>
        <v>#N/A</v>
      </c>
      <c r="AO752" s="1">
        <f t="shared" ca="1" si="421"/>
        <v>0</v>
      </c>
      <c r="AP752" s="1" t="str">
        <f ca="1">IF(AND(A752&lt;=OP!$C$120,COUNTIF(PAY,C752)=1),1,"")</f>
        <v/>
      </c>
      <c r="AR752" s="301">
        <f ca="1">IF(繳費報酬率資料!$A$1=1,$AY752+$AZ752,$BF752+$BG752)</f>
        <v>0</v>
      </c>
      <c r="AS752" s="1">
        <f ca="1">IF(C752&lt;&gt;IF($C$3=1,12,$C$3-1),0,IF(繳費報酬率資料!$A$1&lt;&gt;1,VLOOKUP($A752,MP,8,0),IF(AND($A752&gt;=OP!$C$79,$A752&lt;=OP!$C$80),OP!$C$78,)))</f>
        <v>0</v>
      </c>
      <c r="AT752" s="298">
        <f t="shared" ca="1" si="422"/>
        <v>0</v>
      </c>
      <c r="AU752" s="298">
        <f ca="1">IF(AND(A752&lt;=OP!$C$120,COUNTIF(PAY,C752)=1),OP!$C$123,0)</f>
        <v>0</v>
      </c>
      <c r="AV752" s="298">
        <f ca="1">IF(AND(A752&gt;=OP!$C$132,A752&lt;=OP!$C$133,$C$3=C752),OP!$C$135,0)</f>
        <v>0</v>
      </c>
      <c r="AW752" s="180">
        <f t="shared" ca="1" si="423"/>
        <v>0.05</v>
      </c>
      <c r="AX752" s="180">
        <f t="shared" ca="1" si="424"/>
        <v>0.05</v>
      </c>
      <c r="AY752" s="286">
        <f t="shared" ca="1" si="425"/>
        <v>0</v>
      </c>
      <c r="AZ752" s="286">
        <f t="shared" ca="1" si="426"/>
        <v>0</v>
      </c>
      <c r="BA752" s="286">
        <f t="shared" ca="1" si="427"/>
        <v>0</v>
      </c>
      <c r="BB752" s="286">
        <f t="shared" ca="1" si="428"/>
        <v>0</v>
      </c>
      <c r="BC752" s="286">
        <f t="shared" ca="1" si="429"/>
        <v>0</v>
      </c>
      <c r="BD752" s="180">
        <f t="shared" ca="1" si="430"/>
        <v>0.05</v>
      </c>
      <c r="BE752" s="180">
        <f t="shared" ca="1" si="431"/>
        <v>0.05</v>
      </c>
      <c r="BF752" s="286">
        <f t="shared" ca="1" si="432"/>
        <v>0</v>
      </c>
      <c r="BG752" s="286">
        <f t="shared" ca="1" si="433"/>
        <v>0</v>
      </c>
    </row>
    <row r="753" spans="1:59">
      <c r="A753" s="1">
        <f t="shared" ca="1" si="413"/>
        <v>63</v>
      </c>
      <c r="B753" s="1">
        <f t="shared" ca="1" si="406"/>
        <v>168</v>
      </c>
      <c r="C753" s="1">
        <f t="shared" ca="1" si="407"/>
        <v>11</v>
      </c>
      <c r="D753" s="1">
        <f ca="1">MIN($D$3,VLOOKUP(C753,OP!$S$30:$T$41,2))</f>
        <v>2</v>
      </c>
      <c r="E753" s="1" t="str">
        <f t="shared" ca="1" si="408"/>
        <v/>
      </c>
      <c r="F753" s="11" t="str">
        <f t="shared" ca="1" si="414"/>
        <v/>
      </c>
      <c r="G753" s="8">
        <f t="shared" ca="1" si="440"/>
        <v>366</v>
      </c>
      <c r="H753" s="8">
        <f t="shared" ca="1" si="415"/>
        <v>30</v>
      </c>
      <c r="I753" s="8" t="str">
        <f t="shared" ca="1" si="412"/>
        <v>6311</v>
      </c>
      <c r="J753" s="13">
        <f>IF(繳費報酬率資料!$A$1=1,VALUE(OP!$C$121),VLOOKUP(A753,MP,2,0))</f>
        <v>0.05</v>
      </c>
      <c r="K753" s="14">
        <f ca="1">IF(SUM($K$4:K752,IF(繳費報酬率資料!$A$1=1,$AU753+$AV753,$BB753+$BC753))&gt;OP!$L$58,0,IF(繳費報酬率資料!$A$1=1,$AU753+$AV753,$BB753+$BC753))</f>
        <v>0</v>
      </c>
      <c r="L753" s="2"/>
      <c r="M753" s="2"/>
      <c r="N753" s="2"/>
      <c r="O753" s="261">
        <f t="shared" ca="1" si="416"/>
        <v>0</v>
      </c>
      <c r="P753" s="261">
        <f t="shared" ca="1" si="434"/>
        <v>0</v>
      </c>
      <c r="Q753" s="3">
        <f ca="1">IF(A753&gt;MAX(OP!$R$17:$R$26),0,VLOOKUP(A753,fees,3,FALSE))</f>
        <v>0</v>
      </c>
      <c r="R753" s="200" t="str">
        <f t="shared" ca="1" si="417"/>
        <v/>
      </c>
      <c r="S753" s="9" t="str">
        <f ca="1">IF(COUNTIF(($T$4:T752),"F")&gt;=1,"",IF(OR(C754&lt;&gt;$C$3,E753=""),"",A753))</f>
        <v/>
      </c>
      <c r="T753" s="20" t="str">
        <f t="shared" ca="1" si="409"/>
        <v/>
      </c>
      <c r="U753" s="2">
        <f ca="1">IF(IF(OP!$C$83=1,$Z752,IF(OP!$C$83=2,$AA752,IF(OP!$C$83=3,$AB752,)))+$K753-$O753-$P753-$AS753&lt;OP!$C$142,0,$AS753)</f>
        <v>0</v>
      </c>
      <c r="V753" s="9"/>
      <c r="W753" s="19">
        <f ca="1">MAX(SUM($K$4:K753),0)</f>
        <v>2000000</v>
      </c>
      <c r="X753" s="19"/>
      <c r="Y753" s="19">
        <f t="shared" ca="1" si="435"/>
        <v>1920000</v>
      </c>
      <c r="Z753" s="2">
        <f ca="1">IF(MIN($Z$4:Z752)=0,0,MAX(0,($Z752+$K753-$O753-$P753)*IF(AND(F753="F",$D$3&lt;&gt;$G$3),((1+(-J753))^(H753/MIN(G753,365))),((1+(-J753))^(1/12)))-$U753))</f>
        <v>77808.413327970877</v>
      </c>
      <c r="AA753" s="2">
        <f ca="1">IF(MIN($AA$4:AA752)=0,0,MAX(0,($AA752+$K753-$O753-$P753)*IF(AND(F753="F",$D$3&lt;&gt;$G$3),((1+$AA$1)^(H753/MIN(G753,365))),((1+$AA$1)^(1/12)))-$U753))</f>
        <v>1920000</v>
      </c>
      <c r="AB753" s="2">
        <f ca="1">IF(MIN($AB$4:AB752)=0,0,MAX(0,($AB752+$K753-$O753-$P753)*IF(AND(F753="F",$D$3&lt;&gt;$G$3),((1+(J753))^(H753/MIN(G753,365))),((1+(J753))^(1/12)))-$U753))</f>
        <v>40516546.516096197</v>
      </c>
      <c r="AC753" s="5"/>
      <c r="AD753" s="5"/>
      <c r="AE753" s="5"/>
      <c r="AF753" s="282">
        <f t="shared" ca="1" si="418"/>
        <v>77808</v>
      </c>
      <c r="AG753" s="282">
        <f t="shared" ca="1" si="419"/>
        <v>1920000</v>
      </c>
      <c r="AH753" s="282">
        <f t="shared" ca="1" si="420"/>
        <v>40516547</v>
      </c>
      <c r="AI753" s="23" t="str">
        <f t="shared" ca="1" si="437"/>
        <v>63-7</v>
      </c>
      <c r="AJ753" s="282">
        <f ca="1">IF(E753&gt;111,,IF(AND(OP!$C$99=1,T753="F"),Z753,IF(AND(OP!$C$99=2,COUNTIF($T$4:T753,"F")=1),OP!$C$97+IF(F753="F",OP!$C$98,0),"")))</f>
        <v>0</v>
      </c>
      <c r="AK753" s="282">
        <f ca="1">IF(E753&gt;111,,IF(AND(OP!$D$99=1,T753="F"),AA753,IF(AND(OP!$D$99=2,COUNTIF($T$4:T753,"F")=1),OP!$D$97+IF(F753="F",OP!$D$98,0),"")))</f>
        <v>0</v>
      </c>
      <c r="AL753" s="282">
        <f ca="1">IF(E753&gt;111,,IF(AND(OP!$E$99=1,T753="F"),AB753,IF(AND(OP!$E$99=2,COUNTIF($T$4:T753,"F")=1),OP!$E$97+IF(F753="F",OP!$E$98,0),"")))</f>
        <v>0</v>
      </c>
      <c r="AM753" s="1">
        <f t="shared" ca="1" si="410"/>
        <v>7</v>
      </c>
      <c r="AN753" s="1" t="e">
        <f ca="1">IF(OR(VLOOKUP($A753,MP,5,0)="月繳"),1,"")</f>
        <v>#N/A</v>
      </c>
      <c r="AO753" s="1">
        <f t="shared" ca="1" si="421"/>
        <v>0</v>
      </c>
      <c r="AP753" s="1" t="str">
        <f ca="1">IF(AND(A753&lt;=OP!$C$120,COUNTIF(PAY,C753)=1),1,"")</f>
        <v/>
      </c>
      <c r="AR753" s="301">
        <f ca="1">IF(繳費報酬率資料!$A$1=1,$AY753+$AZ753,$BF753+$BG753)</f>
        <v>0</v>
      </c>
      <c r="AS753" s="1">
        <f ca="1">IF(C753&lt;&gt;IF($C$3=1,12,$C$3-1),0,IF(繳費報酬率資料!$A$1&lt;&gt;1,VLOOKUP($A753,MP,8,0),IF(AND($A753&gt;=OP!$C$79,$A753&lt;=OP!$C$80),OP!$C$78,)))</f>
        <v>0</v>
      </c>
      <c r="AT753" s="298">
        <f t="shared" ca="1" si="422"/>
        <v>0</v>
      </c>
      <c r="AU753" s="298">
        <f ca="1">IF(AND(A753&lt;=OP!$C$120,COUNTIF(PAY,C753)=1),OP!$C$123,0)</f>
        <v>0</v>
      </c>
      <c r="AV753" s="298">
        <f ca="1">IF(AND(A753&gt;=OP!$C$132,A753&lt;=OP!$C$133,$C$3=C753),OP!$C$135,0)</f>
        <v>0</v>
      </c>
      <c r="AW753" s="180">
        <f t="shared" ca="1" si="423"/>
        <v>0.05</v>
      </c>
      <c r="AX753" s="180">
        <f t="shared" ca="1" si="424"/>
        <v>0.05</v>
      </c>
      <c r="AY753" s="286">
        <f t="shared" ca="1" si="425"/>
        <v>0</v>
      </c>
      <c r="AZ753" s="286">
        <f t="shared" ca="1" si="426"/>
        <v>0</v>
      </c>
      <c r="BA753" s="286">
        <f t="shared" ca="1" si="427"/>
        <v>0</v>
      </c>
      <c r="BB753" s="286">
        <f t="shared" ca="1" si="428"/>
        <v>0</v>
      </c>
      <c r="BC753" s="286">
        <f t="shared" ca="1" si="429"/>
        <v>0</v>
      </c>
      <c r="BD753" s="180">
        <f t="shared" ca="1" si="430"/>
        <v>0.05</v>
      </c>
      <c r="BE753" s="180">
        <f t="shared" ca="1" si="431"/>
        <v>0.05</v>
      </c>
      <c r="BF753" s="286">
        <f t="shared" ca="1" si="432"/>
        <v>0</v>
      </c>
      <c r="BG753" s="286">
        <f t="shared" ca="1" si="433"/>
        <v>0</v>
      </c>
    </row>
    <row r="754" spans="1:59">
      <c r="A754" s="1">
        <f t="shared" ca="1" si="413"/>
        <v>63</v>
      </c>
      <c r="B754" s="1">
        <f t="shared" ca="1" si="406"/>
        <v>168</v>
      </c>
      <c r="C754" s="1">
        <f t="shared" ca="1" si="407"/>
        <v>12</v>
      </c>
      <c r="D754" s="1">
        <f ca="1">MIN($D$3,VLOOKUP(C754,OP!$S$30:$T$41,2))</f>
        <v>2</v>
      </c>
      <c r="E754" s="1" t="str">
        <f t="shared" ca="1" si="408"/>
        <v/>
      </c>
      <c r="F754" s="11" t="str">
        <f t="shared" ca="1" si="414"/>
        <v/>
      </c>
      <c r="G754" s="8">
        <f t="shared" ca="1" si="440"/>
        <v>366</v>
      </c>
      <c r="H754" s="8">
        <f t="shared" ca="1" si="415"/>
        <v>31</v>
      </c>
      <c r="I754" s="8" t="str">
        <f t="shared" ca="1" si="412"/>
        <v>6312</v>
      </c>
      <c r="J754" s="13">
        <f>IF(繳費報酬率資料!$A$1=1,VALUE(OP!$C$121),VLOOKUP(A754,MP,2,0))</f>
        <v>0.05</v>
      </c>
      <c r="K754" s="14">
        <f ca="1">IF(SUM($K$4:K753,IF(繳費報酬率資料!$A$1=1,$AU754+$AV754,$BB754+$BC754))&gt;OP!$L$58,0,IF(繳費報酬率資料!$A$1=1,$AU754+$AV754,$BB754+$BC754))</f>
        <v>0</v>
      </c>
      <c r="L754" s="2"/>
      <c r="M754" s="2"/>
      <c r="N754" s="2"/>
      <c r="O754" s="261">
        <f t="shared" ca="1" si="416"/>
        <v>0</v>
      </c>
      <c r="P754" s="261">
        <f t="shared" ca="1" si="434"/>
        <v>0</v>
      </c>
      <c r="Q754" s="3">
        <f ca="1">IF(A754&gt;MAX(OP!$R$17:$R$26),0,VLOOKUP(A754,fees,3,FALSE))</f>
        <v>0</v>
      </c>
      <c r="R754" s="200" t="str">
        <f t="shared" ca="1" si="417"/>
        <v/>
      </c>
      <c r="S754" s="9" t="str">
        <f ca="1">IF(COUNTIF(($T$4:T753),"F")&gt;=1,"",IF(OR(C755&lt;&gt;$C$3,E754=""),"",A754))</f>
        <v/>
      </c>
      <c r="T754" s="20" t="str">
        <f t="shared" ca="1" si="409"/>
        <v/>
      </c>
      <c r="U754" s="2">
        <f ca="1">IF(IF(OP!$C$83=1,$Z753,IF(OP!$C$83=2,$AA753,IF(OP!$C$83=3,$AB753,)))+$K754-$O754-$P754-$AS754&lt;OP!$C$142,0,$AS754)</f>
        <v>0</v>
      </c>
      <c r="V754" s="9"/>
      <c r="W754" s="19">
        <f ca="1">MAX(SUM($K$4:K754),0)</f>
        <v>2000000</v>
      </c>
      <c r="X754" s="19"/>
      <c r="Y754" s="19">
        <f t="shared" ca="1" si="435"/>
        <v>1920000</v>
      </c>
      <c r="Z754" s="2">
        <f ca="1">IF(MIN($Z$4:Z753)=0,0,MAX(0,($Z753+$K754-$O754-$P754)*IF(AND(F754="F",$D$3&lt;&gt;$G$3),((1+(-J754))^(H754/MIN(G754,365))),((1+(-J754))^(1/12)))-$U754))</f>
        <v>77476.535641550887</v>
      </c>
      <c r="AA754" s="2">
        <f ca="1">IF(MIN($AA$4:AA753)=0,0,MAX(0,($AA753+$K754-$O754-$P754)*IF(AND(F754="F",$D$3&lt;&gt;$G$3),((1+$AA$1)^(H754/MIN(G754,365))),((1+$AA$1)^(1/12)))-$U754))</f>
        <v>1920000</v>
      </c>
      <c r="AB754" s="2">
        <f ca="1">IF(MIN($AB$4:AB753)=0,0,MAX(0,($AB753+$K754-$O754-$P754)*IF(AND(F754="F",$D$3&lt;&gt;$G$3),((1+(J754))^(H754/MIN(G754,365))),((1+(J754))^(1/12)))-$U754))</f>
        <v>40681615.94188872</v>
      </c>
      <c r="AC754" s="5"/>
      <c r="AD754" s="5"/>
      <c r="AE754" s="5"/>
      <c r="AF754" s="282">
        <f t="shared" ca="1" si="418"/>
        <v>77477</v>
      </c>
      <c r="AG754" s="282">
        <f t="shared" ca="1" si="419"/>
        <v>1920000</v>
      </c>
      <c r="AH754" s="282">
        <f t="shared" ca="1" si="420"/>
        <v>40681616</v>
      </c>
      <c r="AI754" s="23" t="str">
        <f t="shared" ca="1" si="437"/>
        <v>63-8</v>
      </c>
      <c r="AJ754" s="282">
        <f ca="1">IF(E754&gt;111,,IF(AND(OP!$C$99=1,T754="F"),Z754,IF(AND(OP!$C$99=2,COUNTIF($T$4:T754,"F")=1),OP!$C$97+IF(F754="F",OP!$C$98,0),"")))</f>
        <v>0</v>
      </c>
      <c r="AK754" s="282">
        <f ca="1">IF(E754&gt;111,,IF(AND(OP!$D$99=1,T754="F"),AA754,IF(AND(OP!$D$99=2,COUNTIF($T$4:T754,"F")=1),OP!$D$97+IF(F754="F",OP!$D$98,0),"")))</f>
        <v>0</v>
      </c>
      <c r="AL754" s="282">
        <f ca="1">IF(E754&gt;111,,IF(AND(OP!$E$99=1,T754="F"),AB754,IF(AND(OP!$E$99=2,COUNTIF($T$4:T754,"F")=1),OP!$E$97+IF(F754="F",OP!$E$98,0),"")))</f>
        <v>0</v>
      </c>
      <c r="AM754" s="1">
        <f t="shared" ca="1" si="410"/>
        <v>8</v>
      </c>
      <c r="AN754" s="1" t="e">
        <f ca="1">IF(OR(VLOOKUP($A754,MP,5,0)="半年繳",VLOOKUP($A754,MP,5,0)="季繳",VLOOKUP($A754,MP,5,0)="月繳"),1,"")</f>
        <v>#N/A</v>
      </c>
      <c r="AO754" s="1">
        <f t="shared" ca="1" si="421"/>
        <v>0</v>
      </c>
      <c r="AP754" s="1" t="str">
        <f ca="1">IF(AND(A754&lt;=OP!$C$120,COUNTIF(PAY,C754)=1),1,"")</f>
        <v/>
      </c>
      <c r="AR754" s="301">
        <f ca="1">IF(繳費報酬率資料!$A$1=1,$AY754+$AZ754,$BF754+$BG754)</f>
        <v>0</v>
      </c>
      <c r="AS754" s="1">
        <f ca="1">IF(C754&lt;&gt;IF($C$3=1,12,$C$3-1),0,IF(繳費報酬率資料!$A$1&lt;&gt;1,VLOOKUP($A754,MP,8,0),IF(AND($A754&gt;=OP!$C$79,$A754&lt;=OP!$C$80),OP!$C$78,)))</f>
        <v>0</v>
      </c>
      <c r="AT754" s="298">
        <f t="shared" ca="1" si="422"/>
        <v>0</v>
      </c>
      <c r="AU754" s="298">
        <f ca="1">IF(AND(A754&lt;=OP!$C$120,COUNTIF(PAY,C754)=1),OP!$C$123,0)</f>
        <v>0</v>
      </c>
      <c r="AV754" s="298">
        <f ca="1">IF(AND(A754&gt;=OP!$C$132,A754&lt;=OP!$C$133,$C$3=C754),OP!$C$135,0)</f>
        <v>0</v>
      </c>
      <c r="AW754" s="180">
        <f t="shared" ca="1" si="423"/>
        <v>0.05</v>
      </c>
      <c r="AX754" s="180">
        <f t="shared" ca="1" si="424"/>
        <v>0.05</v>
      </c>
      <c r="AY754" s="286">
        <f t="shared" ca="1" si="425"/>
        <v>0</v>
      </c>
      <c r="AZ754" s="286">
        <f t="shared" ca="1" si="426"/>
        <v>0</v>
      </c>
      <c r="BA754" s="286">
        <f t="shared" ca="1" si="427"/>
        <v>0</v>
      </c>
      <c r="BB754" s="286">
        <f t="shared" ca="1" si="428"/>
        <v>0</v>
      </c>
      <c r="BC754" s="286">
        <f t="shared" ca="1" si="429"/>
        <v>0</v>
      </c>
      <c r="BD754" s="180">
        <f t="shared" ca="1" si="430"/>
        <v>0.05</v>
      </c>
      <c r="BE754" s="180">
        <f t="shared" ca="1" si="431"/>
        <v>0.05</v>
      </c>
      <c r="BF754" s="286">
        <f t="shared" ca="1" si="432"/>
        <v>0</v>
      </c>
      <c r="BG754" s="286">
        <f t="shared" ca="1" si="433"/>
        <v>0</v>
      </c>
    </row>
    <row r="755" spans="1:59">
      <c r="A755" s="1">
        <f t="shared" ca="1" si="413"/>
        <v>63</v>
      </c>
      <c r="B755" s="1">
        <f t="shared" ca="1" si="406"/>
        <v>169</v>
      </c>
      <c r="C755" s="1">
        <f t="shared" ca="1" si="407"/>
        <v>1</v>
      </c>
      <c r="D755" s="1">
        <f ca="1">MIN($D$3,VLOOKUP(C755,OP!$S$30:$T$41,2))</f>
        <v>2</v>
      </c>
      <c r="E755" s="1" t="str">
        <f t="shared" ca="1" si="408"/>
        <v/>
      </c>
      <c r="F755" s="11" t="str">
        <f t="shared" ca="1" si="414"/>
        <v/>
      </c>
      <c r="G755" s="8">
        <f t="shared" ca="1" si="440"/>
        <v>366</v>
      </c>
      <c r="H755" s="8">
        <f t="shared" ca="1" si="415"/>
        <v>31</v>
      </c>
      <c r="I755" s="8" t="str">
        <f t="shared" ca="1" si="412"/>
        <v>631</v>
      </c>
      <c r="J755" s="13">
        <f>IF(繳費報酬率資料!$A$1=1,VALUE(OP!$C$121),VLOOKUP(A755,MP,2,0))</f>
        <v>0.05</v>
      </c>
      <c r="K755" s="14">
        <f ca="1">IF(SUM($K$4:K754,IF(繳費報酬率資料!$A$1=1,$AU755+$AV755,$BB755+$BC755))&gt;OP!$L$58,0,IF(繳費報酬率資料!$A$1=1,$AU755+$AV755,$BB755+$BC755))</f>
        <v>0</v>
      </c>
      <c r="L755" s="2"/>
      <c r="M755" s="2"/>
      <c r="N755" s="2"/>
      <c r="O755" s="261">
        <f t="shared" ca="1" si="416"/>
        <v>0</v>
      </c>
      <c r="P755" s="261">
        <f t="shared" ca="1" si="434"/>
        <v>0</v>
      </c>
      <c r="Q755" s="3">
        <f ca="1">IF(A755&gt;MAX(OP!$R$17:$R$26),0,VLOOKUP(A755,fees,3,FALSE))</f>
        <v>0</v>
      </c>
      <c r="R755" s="200" t="str">
        <f t="shared" ca="1" si="417"/>
        <v/>
      </c>
      <c r="S755" s="9" t="str">
        <f ca="1">IF(COUNTIF(($T$4:T754),"F")&gt;=1,"",IF(OR(C756&lt;&gt;$C$3,E755=""),"",A755))</f>
        <v/>
      </c>
      <c r="T755" s="20" t="str">
        <f t="shared" ca="1" si="409"/>
        <v/>
      </c>
      <c r="U755" s="2">
        <f ca="1">IF(IF(OP!$C$83=1,$Z754,IF(OP!$C$83=2,$AA754,IF(OP!$C$83=3,$AB754,)))+$K755-$O755-$P755-$AS755&lt;OP!$C$142,0,$AS755)</f>
        <v>0</v>
      </c>
      <c r="V755" s="9"/>
      <c r="W755" s="19">
        <f ca="1">MAX(SUM($K$4:K755),0)</f>
        <v>2000000</v>
      </c>
      <c r="X755" s="19"/>
      <c r="Y755" s="19">
        <f t="shared" ca="1" si="435"/>
        <v>1920000</v>
      </c>
      <c r="Z755" s="2">
        <f ca="1">IF(MIN($Z$4:Z754)=0,0,MAX(0,($Z754+$K755-$O755-$P755)*IF(AND(F755="F",$D$3&lt;&gt;$G$3),((1+(-J755))^(H755/MIN(G755,365))),((1+(-J755))^(1/12)))-$U755))</f>
        <v>77146.073519258629</v>
      </c>
      <c r="AA755" s="2">
        <f ca="1">IF(MIN($AA$4:AA754)=0,0,MAX(0,($AA754+$K755-$O755-$P755)*IF(AND(F755="F",$D$3&lt;&gt;$G$3),((1+$AA$1)^(H755/MIN(G755,365))),((1+$AA$1)^(1/12)))-$U755))</f>
        <v>1920000</v>
      </c>
      <c r="AB755" s="2">
        <f ca="1">IF(MIN($AB$4:AB754)=0,0,MAX(0,($AB754+$K755-$O755-$P755)*IF(AND(F755="F",$D$3&lt;&gt;$G$3),((1+(J755))^(H755/MIN(G755,365))),((1+(J755))^(1/12)))-$U755))</f>
        <v>40847357.880954817</v>
      </c>
      <c r="AC755" s="5"/>
      <c r="AD755" s="5"/>
      <c r="AE755" s="5"/>
      <c r="AF755" s="282">
        <f t="shared" ca="1" si="418"/>
        <v>77146</v>
      </c>
      <c r="AG755" s="282">
        <f t="shared" ca="1" si="419"/>
        <v>1920000</v>
      </c>
      <c r="AH755" s="282">
        <f t="shared" ca="1" si="420"/>
        <v>40847358</v>
      </c>
      <c r="AI755" s="23" t="str">
        <f t="shared" ca="1" si="437"/>
        <v>63-9</v>
      </c>
      <c r="AJ755" s="282">
        <f ca="1">IF(E755&gt;111,,IF(AND(OP!$C$99=1,T755="F"),Z755,IF(AND(OP!$C$99=2,COUNTIF($T$4:T755,"F")=1),OP!$C$97+IF(F755="F",OP!$C$98,0),"")))</f>
        <v>0</v>
      </c>
      <c r="AK755" s="282">
        <f ca="1">IF(E755&gt;111,,IF(AND(OP!$D$99=1,T755="F"),AA755,IF(AND(OP!$D$99=2,COUNTIF($T$4:T755,"F")=1),OP!$D$97+IF(F755="F",OP!$D$98,0),"")))</f>
        <v>0</v>
      </c>
      <c r="AL755" s="282">
        <f ca="1">IF(E755&gt;111,,IF(AND(OP!$E$99=1,T755="F"),AB755,IF(AND(OP!$E$99=2,COUNTIF($T$4:T755,"F")=1),OP!$E$97+IF(F755="F",OP!$E$98,0),"")))</f>
        <v>0</v>
      </c>
      <c r="AM755" s="1">
        <f t="shared" ca="1" si="410"/>
        <v>9</v>
      </c>
      <c r="AN755" s="1" t="e">
        <f ca="1">IF(OR(VLOOKUP($A755,MP,5,0)="月繳"),1,"")</f>
        <v>#N/A</v>
      </c>
      <c r="AO755" s="1">
        <f t="shared" ca="1" si="421"/>
        <v>0</v>
      </c>
      <c r="AP755" s="1" t="str">
        <f ca="1">IF(AND(A755&lt;=OP!$C$120,COUNTIF(PAY,C755)=1),1,"")</f>
        <v/>
      </c>
      <c r="AR755" s="301">
        <f ca="1">IF(繳費報酬率資料!$A$1=1,$AY755+$AZ755,$BF755+$BG755)</f>
        <v>0</v>
      </c>
      <c r="AS755" s="1">
        <f ca="1">IF(C755&lt;&gt;IF($C$3=1,12,$C$3-1),0,IF(繳費報酬率資料!$A$1&lt;&gt;1,VLOOKUP($A755,MP,8,0),IF(AND($A755&gt;=OP!$C$79,$A755&lt;=OP!$C$80),OP!$C$78,)))</f>
        <v>0</v>
      </c>
      <c r="AT755" s="298">
        <f t="shared" ca="1" si="422"/>
        <v>0</v>
      </c>
      <c r="AU755" s="298">
        <f ca="1">IF(AND(A755&lt;=OP!$C$120,COUNTIF(PAY,C755)=1),OP!$C$123,0)</f>
        <v>0</v>
      </c>
      <c r="AV755" s="298">
        <f ca="1">IF(AND(A755&gt;=OP!$C$132,A755&lt;=OP!$C$133,$C$3=C755),OP!$C$135,0)</f>
        <v>0</v>
      </c>
      <c r="AW755" s="180">
        <f t="shared" ca="1" si="423"/>
        <v>0.05</v>
      </c>
      <c r="AX755" s="180">
        <f t="shared" ca="1" si="424"/>
        <v>0.05</v>
      </c>
      <c r="AY755" s="286">
        <f t="shared" ca="1" si="425"/>
        <v>0</v>
      </c>
      <c r="AZ755" s="286">
        <f t="shared" ca="1" si="426"/>
        <v>0</v>
      </c>
      <c r="BA755" s="286">
        <f t="shared" ca="1" si="427"/>
        <v>0</v>
      </c>
      <c r="BB755" s="286">
        <f t="shared" ca="1" si="428"/>
        <v>0</v>
      </c>
      <c r="BC755" s="286">
        <f t="shared" ca="1" si="429"/>
        <v>0</v>
      </c>
      <c r="BD755" s="180">
        <f t="shared" ca="1" si="430"/>
        <v>0.05</v>
      </c>
      <c r="BE755" s="180">
        <f t="shared" ca="1" si="431"/>
        <v>0.05</v>
      </c>
      <c r="BF755" s="286">
        <f t="shared" ca="1" si="432"/>
        <v>0</v>
      </c>
      <c r="BG755" s="286">
        <f t="shared" ca="1" si="433"/>
        <v>0</v>
      </c>
    </row>
    <row r="756" spans="1:59">
      <c r="A756" s="1">
        <f t="shared" ca="1" si="413"/>
        <v>63</v>
      </c>
      <c r="B756" s="1">
        <f t="shared" ca="1" si="406"/>
        <v>169</v>
      </c>
      <c r="C756" s="1">
        <f t="shared" ca="1" si="407"/>
        <v>2</v>
      </c>
      <c r="D756" s="1">
        <f ca="1">MIN($D$3,VLOOKUP(C756,OP!$S$30:$T$41,2))</f>
        <v>2</v>
      </c>
      <c r="E756" s="1" t="str">
        <f t="shared" ca="1" si="408"/>
        <v/>
      </c>
      <c r="F756" s="11" t="str">
        <f t="shared" ca="1" si="414"/>
        <v/>
      </c>
      <c r="G756" s="8">
        <f t="shared" ca="1" si="440"/>
        <v>366</v>
      </c>
      <c r="H756" s="8">
        <f t="shared" ca="1" si="415"/>
        <v>29</v>
      </c>
      <c r="I756" s="8" t="str">
        <f t="shared" ca="1" si="412"/>
        <v>632</v>
      </c>
      <c r="J756" s="13">
        <f>IF(繳費報酬率資料!$A$1=1,VALUE(OP!$C$121),VLOOKUP(A756,MP,2,0))</f>
        <v>0.05</v>
      </c>
      <c r="K756" s="14">
        <f ca="1">IF(SUM($K$4:K755,IF(繳費報酬率資料!$A$1=1,$AU756+$AV756,$BB756+$BC756))&gt;OP!$L$58,0,IF(繳費報酬率資料!$A$1=1,$AU756+$AV756,$BB756+$BC756))</f>
        <v>0</v>
      </c>
      <c r="L756" s="2"/>
      <c r="M756" s="2"/>
      <c r="N756" s="2"/>
      <c r="O756" s="261">
        <f t="shared" ca="1" si="416"/>
        <v>0</v>
      </c>
      <c r="P756" s="261">
        <f t="shared" ca="1" si="434"/>
        <v>0</v>
      </c>
      <c r="Q756" s="3">
        <f ca="1">IF(A756&gt;MAX(OP!$R$17:$R$26),0,VLOOKUP(A756,fees,3,FALSE))</f>
        <v>0</v>
      </c>
      <c r="R756" s="200" t="str">
        <f t="shared" ca="1" si="417"/>
        <v/>
      </c>
      <c r="S756" s="9" t="str">
        <f ca="1">IF(COUNTIF(($T$4:T755),"F")&gt;=1,"",IF(OR(C757&lt;&gt;$C$3,E756=""),"",A756))</f>
        <v/>
      </c>
      <c r="T756" s="20" t="str">
        <f t="shared" ca="1" si="409"/>
        <v/>
      </c>
      <c r="U756" s="2">
        <f ca="1">IF(IF(OP!$C$83=1,$Z755,IF(OP!$C$83=2,$AA755,IF(OP!$C$83=3,$AB755,)))+$K756-$O756-$P756-$AS756&lt;OP!$C$142,0,$AS756)</f>
        <v>0</v>
      </c>
      <c r="V756" s="9"/>
      <c r="W756" s="19">
        <f ca="1">MAX(SUM($K$4:K756),0)</f>
        <v>2000000</v>
      </c>
      <c r="X756" s="19"/>
      <c r="Y756" s="19">
        <f t="shared" ca="1" si="435"/>
        <v>1920000</v>
      </c>
      <c r="Z756" s="2">
        <f ca="1">IF(MIN($Z$4:Z755)=0,0,MAX(0,($Z755+$K756-$O756-$P756)*IF(AND(F756="F",$D$3&lt;&gt;$G$3),((1+(-J756))^(H756/MIN(G756,365))),((1+(-J756))^(1/12)))-$U756))</f>
        <v>76817.020923261865</v>
      </c>
      <c r="AA756" s="2">
        <f ca="1">IF(MIN($AA$4:AA755)=0,0,MAX(0,($AA755+$K756-$O756-$P756)*IF(AND(F756="F",$D$3&lt;&gt;$G$3),((1+$AA$1)^(H756/MIN(G756,365))),((1+$AA$1)^(1/12)))-$U756))</f>
        <v>1920000</v>
      </c>
      <c r="AB756" s="2">
        <f ca="1">IF(MIN($AB$4:AB755)=0,0,MAX(0,($AB755+$K756-$O756-$P756)*IF(AND(F756="F",$D$3&lt;&gt;$G$3),((1+(J756))^(H756/MIN(G756,365))),((1+(J756))^(1/12)))-$U756))</f>
        <v>41013775.073196813</v>
      </c>
      <c r="AC756" s="5"/>
      <c r="AD756" s="5"/>
      <c r="AE756" s="5"/>
      <c r="AF756" s="282">
        <f t="shared" ca="1" si="418"/>
        <v>76817</v>
      </c>
      <c r="AG756" s="282">
        <f t="shared" ca="1" si="419"/>
        <v>1920000</v>
      </c>
      <c r="AH756" s="282">
        <f t="shared" ca="1" si="420"/>
        <v>41013775</v>
      </c>
      <c r="AI756" s="23" t="str">
        <f t="shared" ca="1" si="437"/>
        <v>63-10</v>
      </c>
      <c r="AJ756" s="282">
        <f ca="1">IF(E756&gt;111,,IF(AND(OP!$C$99=1,T756="F"),Z756,IF(AND(OP!$C$99=2,COUNTIF($T$4:T756,"F")=1),OP!$C$97+IF(F756="F",OP!$C$98,0),"")))</f>
        <v>0</v>
      </c>
      <c r="AK756" s="282">
        <f ca="1">IF(E756&gt;111,,IF(AND(OP!$D$99=1,T756="F"),AA756,IF(AND(OP!$D$99=2,COUNTIF($T$4:T756,"F")=1),OP!$D$97+IF(F756="F",OP!$D$98,0),"")))</f>
        <v>0</v>
      </c>
      <c r="AL756" s="282">
        <f ca="1">IF(E756&gt;111,,IF(AND(OP!$E$99=1,T756="F"),AB756,IF(AND(OP!$E$99=2,COUNTIF($T$4:T756,"F")=1),OP!$E$97+IF(F756="F",OP!$E$98,0),"")))</f>
        <v>0</v>
      </c>
      <c r="AM756" s="1">
        <f t="shared" ca="1" si="410"/>
        <v>10</v>
      </c>
      <c r="AN756" s="1" t="e">
        <f ca="1">IF(OR(VLOOKUP($A756,MP,5,0)="月繳"),1,"")</f>
        <v>#N/A</v>
      </c>
      <c r="AO756" s="1">
        <f t="shared" ca="1" si="421"/>
        <v>0</v>
      </c>
      <c r="AP756" s="1" t="str">
        <f ca="1">IF(AND(A756&lt;=OP!$C$120,COUNTIF(PAY,C756)=1),1,"")</f>
        <v/>
      </c>
      <c r="AR756" s="301">
        <f ca="1">IF(繳費報酬率資料!$A$1=1,$AY756+$AZ756,$BF756+$BG756)</f>
        <v>0</v>
      </c>
      <c r="AS756" s="1">
        <f ca="1">IF(C756&lt;&gt;IF($C$3=1,12,$C$3-1),0,IF(繳費報酬率資料!$A$1&lt;&gt;1,VLOOKUP($A756,MP,8,0),IF(AND($A756&gt;=OP!$C$79,$A756&lt;=OP!$C$80),OP!$C$78,)))</f>
        <v>0</v>
      </c>
      <c r="AT756" s="298">
        <f t="shared" ca="1" si="422"/>
        <v>0</v>
      </c>
      <c r="AU756" s="298">
        <f ca="1">IF(AND(A756&lt;=OP!$C$120,COUNTIF(PAY,C756)=1),OP!$C$123,0)</f>
        <v>0</v>
      </c>
      <c r="AV756" s="298">
        <f ca="1">IF(AND(A756&gt;=OP!$C$132,A756&lt;=OP!$C$133,$C$3=C756),OP!$C$135,0)</f>
        <v>0</v>
      </c>
      <c r="AW756" s="180">
        <f t="shared" ca="1" si="423"/>
        <v>0.05</v>
      </c>
      <c r="AX756" s="180">
        <f t="shared" ca="1" si="424"/>
        <v>0.05</v>
      </c>
      <c r="AY756" s="286">
        <f t="shared" ca="1" si="425"/>
        <v>0</v>
      </c>
      <c r="AZ756" s="286">
        <f t="shared" ca="1" si="426"/>
        <v>0</v>
      </c>
      <c r="BA756" s="286">
        <f t="shared" ca="1" si="427"/>
        <v>0</v>
      </c>
      <c r="BB756" s="286">
        <f t="shared" ca="1" si="428"/>
        <v>0</v>
      </c>
      <c r="BC756" s="286">
        <f t="shared" ca="1" si="429"/>
        <v>0</v>
      </c>
      <c r="BD756" s="180">
        <f t="shared" ca="1" si="430"/>
        <v>0.05</v>
      </c>
      <c r="BE756" s="180">
        <f t="shared" ca="1" si="431"/>
        <v>0.05</v>
      </c>
      <c r="BF756" s="286">
        <f t="shared" ca="1" si="432"/>
        <v>0</v>
      </c>
      <c r="BG756" s="286">
        <f t="shared" ca="1" si="433"/>
        <v>0</v>
      </c>
    </row>
    <row r="757" spans="1:59">
      <c r="A757" s="1">
        <f t="shared" ca="1" si="413"/>
        <v>63</v>
      </c>
      <c r="B757" s="1">
        <f t="shared" ca="1" si="406"/>
        <v>169</v>
      </c>
      <c r="C757" s="1">
        <f t="shared" ca="1" si="407"/>
        <v>3</v>
      </c>
      <c r="D757" s="1">
        <f ca="1">MIN($D$3,VLOOKUP(C757,OP!$S$30:$T$41,2))</f>
        <v>2</v>
      </c>
      <c r="E757" s="1" t="str">
        <f t="shared" ca="1" si="408"/>
        <v/>
      </c>
      <c r="F757" s="11" t="str">
        <f t="shared" ca="1" si="414"/>
        <v/>
      </c>
      <c r="G757" s="8">
        <f t="shared" ca="1" si="440"/>
        <v>366</v>
      </c>
      <c r="H757" s="8">
        <f t="shared" ca="1" si="415"/>
        <v>31</v>
      </c>
      <c r="I757" s="8" t="str">
        <f t="shared" ca="1" si="412"/>
        <v>633</v>
      </c>
      <c r="J757" s="13">
        <f>IF(繳費報酬率資料!$A$1=1,VALUE(OP!$C$121),VLOOKUP(A757,MP,2,0))</f>
        <v>0.05</v>
      </c>
      <c r="K757" s="14">
        <f ca="1">IF(SUM($K$4:K756,IF(繳費報酬率資料!$A$1=1,$AU757+$AV757,$BB757+$BC757))&gt;OP!$L$58,0,IF(繳費報酬率資料!$A$1=1,$AU757+$AV757,$BB757+$BC757))</f>
        <v>0</v>
      </c>
      <c r="L757" s="2"/>
      <c r="M757" s="2"/>
      <c r="N757" s="2"/>
      <c r="O757" s="261">
        <f t="shared" ca="1" si="416"/>
        <v>0</v>
      </c>
      <c r="P757" s="261">
        <f t="shared" ca="1" si="434"/>
        <v>0</v>
      </c>
      <c r="Q757" s="3">
        <f ca="1">IF(A757&gt;MAX(OP!$R$17:$R$26),0,VLOOKUP(A757,fees,3,FALSE))</f>
        <v>0</v>
      </c>
      <c r="R757" s="200" t="str">
        <f t="shared" ca="1" si="417"/>
        <v/>
      </c>
      <c r="S757" s="9" t="str">
        <f ca="1">IF(COUNTIF(($T$4:T756),"F")&gt;=1,"",IF(OR(C758&lt;&gt;$C$3,E757=""),"",A757))</f>
        <v/>
      </c>
      <c r="T757" s="20" t="str">
        <f t="shared" ca="1" si="409"/>
        <v/>
      </c>
      <c r="U757" s="2">
        <f ca="1">IF(IF(OP!$C$83=1,$Z756,IF(OP!$C$83=2,$AA756,IF(OP!$C$83=3,$AB756,)))+$K757-$O757-$P757-$AS757&lt;OP!$C$142,0,$AS757)</f>
        <v>0</v>
      </c>
      <c r="V757" s="9"/>
      <c r="W757" s="19">
        <f ca="1">MAX(SUM($K$4:K757),0)</f>
        <v>2000000</v>
      </c>
      <c r="X757" s="19"/>
      <c r="Y757" s="19">
        <f t="shared" ca="1" si="435"/>
        <v>1920000</v>
      </c>
      <c r="Z757" s="2">
        <f ca="1">IF(MIN($Z$4:Z756)=0,0,MAX(0,($Z756+$K757-$O757-$P757)*IF(AND(F757="F",$D$3&lt;&gt;$G$3),((1+(-J757))^(H757/MIN(G757,365))),((1+(-J757))^(1/12)))-$U757))</f>
        <v>76489.37184148161</v>
      </c>
      <c r="AA757" s="2">
        <f ca="1">IF(MIN($AA$4:AA756)=0,0,MAX(0,($AA756+$K757-$O757-$P757)*IF(AND(F757="F",$D$3&lt;&gt;$G$3),((1+$AA$1)^(H757/MIN(G757,365))),((1+$AA$1)^(1/12)))-$U757))</f>
        <v>1920000</v>
      </c>
      <c r="AB757" s="2">
        <f ca="1">IF(MIN($AB$4:AB756)=0,0,MAX(0,($AB756+$K757-$O757-$P757)*IF(AND(F757="F",$D$3&lt;&gt;$G$3),((1+(J757))^(H757/MIN(G757,365))),((1+(J757))^(1/12)))-$U757))</f>
        <v>41180870.269679725</v>
      </c>
      <c r="AC757" s="5"/>
      <c r="AD757" s="5"/>
      <c r="AE757" s="5"/>
      <c r="AF757" s="282">
        <f t="shared" ca="1" si="418"/>
        <v>76489</v>
      </c>
      <c r="AG757" s="282">
        <f t="shared" ca="1" si="419"/>
        <v>1920000</v>
      </c>
      <c r="AH757" s="282">
        <f t="shared" ca="1" si="420"/>
        <v>41180870</v>
      </c>
      <c r="AI757" s="23" t="str">
        <f t="shared" ca="1" si="437"/>
        <v>63-11</v>
      </c>
      <c r="AJ757" s="282">
        <f ca="1">IF(E757&gt;111,,IF(AND(OP!$C$99=1,T757="F"),Z757,IF(AND(OP!$C$99=2,COUNTIF($T$4:T757,"F")=1),OP!$C$97+IF(F757="F",OP!$C$98,0),"")))</f>
        <v>0</v>
      </c>
      <c r="AK757" s="282">
        <f ca="1">IF(E757&gt;111,,IF(AND(OP!$D$99=1,T757="F"),AA757,IF(AND(OP!$D$99=2,COUNTIF($T$4:T757,"F")=1),OP!$D$97+IF(F757="F",OP!$D$98,0),"")))</f>
        <v>0</v>
      </c>
      <c r="AL757" s="282">
        <f ca="1">IF(E757&gt;111,,IF(AND(OP!$E$99=1,T757="F"),AB757,IF(AND(OP!$E$99=2,COUNTIF($T$4:T757,"F")=1),OP!$E$97+IF(F757="F",OP!$E$98,0),"")))</f>
        <v>0</v>
      </c>
      <c r="AM757" s="1">
        <f t="shared" ca="1" si="410"/>
        <v>11</v>
      </c>
      <c r="AN757" s="1" t="e">
        <f ca="1">IF(OR(VLOOKUP($A757,MP,5,0)="季繳",VLOOKUP($A757,MP,5,0)="月繳"),1,"")</f>
        <v>#N/A</v>
      </c>
      <c r="AO757" s="1">
        <f t="shared" ca="1" si="421"/>
        <v>0</v>
      </c>
      <c r="AP757" s="1" t="str">
        <f ca="1">IF(AND(A757&lt;=OP!$C$120,COUNTIF(PAY,C757)=1),1,"")</f>
        <v/>
      </c>
      <c r="AR757" s="301">
        <f ca="1">IF(繳費報酬率資料!$A$1=1,$AY757+$AZ757,$BF757+$BG757)</f>
        <v>0</v>
      </c>
      <c r="AS757" s="1">
        <f ca="1">IF(C757&lt;&gt;IF($C$3=1,12,$C$3-1),0,IF(繳費報酬率資料!$A$1&lt;&gt;1,VLOOKUP($A757,MP,8,0),IF(AND($A757&gt;=OP!$C$79,$A757&lt;=OP!$C$80),OP!$C$78,)))</f>
        <v>0</v>
      </c>
      <c r="AT757" s="298">
        <f t="shared" ca="1" si="422"/>
        <v>0</v>
      </c>
      <c r="AU757" s="298">
        <f ca="1">IF(AND(A757&lt;=OP!$C$120,COUNTIF(PAY,C757)=1),OP!$C$123,0)</f>
        <v>0</v>
      </c>
      <c r="AV757" s="298">
        <f ca="1">IF(AND(A757&gt;=OP!$C$132,A757&lt;=OP!$C$133,$C$3=C757),OP!$C$135,0)</f>
        <v>0</v>
      </c>
      <c r="AW757" s="180">
        <f t="shared" ca="1" si="423"/>
        <v>0.05</v>
      </c>
      <c r="AX757" s="180">
        <f t="shared" ca="1" si="424"/>
        <v>0.05</v>
      </c>
      <c r="AY757" s="286">
        <f t="shared" ca="1" si="425"/>
        <v>0</v>
      </c>
      <c r="AZ757" s="286">
        <f t="shared" ca="1" si="426"/>
        <v>0</v>
      </c>
      <c r="BA757" s="286">
        <f t="shared" ca="1" si="427"/>
        <v>0</v>
      </c>
      <c r="BB757" s="286">
        <f t="shared" ca="1" si="428"/>
        <v>0</v>
      </c>
      <c r="BC757" s="286">
        <f t="shared" ca="1" si="429"/>
        <v>0</v>
      </c>
      <c r="BD757" s="180">
        <f t="shared" ca="1" si="430"/>
        <v>0.05</v>
      </c>
      <c r="BE757" s="180">
        <f t="shared" ca="1" si="431"/>
        <v>0.05</v>
      </c>
      <c r="BF757" s="286">
        <f t="shared" ca="1" si="432"/>
        <v>0</v>
      </c>
      <c r="BG757" s="286">
        <f t="shared" ca="1" si="433"/>
        <v>0</v>
      </c>
    </row>
    <row r="758" spans="1:59">
      <c r="A758" s="1">
        <f t="shared" ca="1" si="413"/>
        <v>63</v>
      </c>
      <c r="B758" s="1">
        <f t="shared" ca="1" si="406"/>
        <v>169</v>
      </c>
      <c r="C758" s="1">
        <f t="shared" ca="1" si="407"/>
        <v>4</v>
      </c>
      <c r="D758" s="1">
        <f ca="1">MIN($D$3,VLOOKUP(C758,OP!$S$30:$T$41,2))</f>
        <v>2</v>
      </c>
      <c r="E758" s="1" t="str">
        <f t="shared" ca="1" si="408"/>
        <v/>
      </c>
      <c r="F758" s="11" t="str">
        <f t="shared" ca="1" si="414"/>
        <v/>
      </c>
      <c r="G758" s="8">
        <f t="shared" ca="1" si="440"/>
        <v>366</v>
      </c>
      <c r="H758" s="8">
        <f t="shared" ca="1" si="415"/>
        <v>30</v>
      </c>
      <c r="I758" s="8" t="str">
        <f t="shared" ca="1" si="412"/>
        <v>634</v>
      </c>
      <c r="J758" s="13">
        <f>IF(繳費報酬率資料!$A$1=1,VALUE(OP!$C$121),VLOOKUP(A758,MP,2,0))</f>
        <v>0.05</v>
      </c>
      <c r="K758" s="14">
        <f ca="1">IF(SUM($K$4:K757,IF(繳費報酬率資料!$A$1=1,$AU758+$AV758,$BB758+$BC758))&gt;OP!$L$58,0,IF(繳費報酬率資料!$A$1=1,$AU758+$AV758,$BB758+$BC758))</f>
        <v>0</v>
      </c>
      <c r="L758" s="2"/>
      <c r="M758" s="2"/>
      <c r="N758" s="2"/>
      <c r="O758" s="261">
        <f t="shared" ca="1" si="416"/>
        <v>0</v>
      </c>
      <c r="P758" s="261">
        <f t="shared" ca="1" si="434"/>
        <v>0</v>
      </c>
      <c r="Q758" s="3">
        <f ca="1">IF(A758&gt;MAX(OP!$R$17:$R$26),0,VLOOKUP(A758,fees,3,FALSE))</f>
        <v>0</v>
      </c>
      <c r="R758" s="200" t="str">
        <f t="shared" ca="1" si="417"/>
        <v/>
      </c>
      <c r="S758" s="9" t="str">
        <f ca="1">IF(COUNTIF(($T$4:T757),"F")&gt;=1,"",IF(OR(C759&lt;&gt;$C$3,E758=""),"",A758))</f>
        <v/>
      </c>
      <c r="T758" s="20" t="str">
        <f t="shared" ca="1" si="409"/>
        <v/>
      </c>
      <c r="U758" s="2">
        <f ca="1">IF(IF(OP!$C$83=1,$Z757,IF(OP!$C$83=2,$AA757,IF(OP!$C$83=3,$AB757,)))+$K758-$O758-$P758-$AS758&lt;OP!$C$142,0,$AS758)</f>
        <v>0</v>
      </c>
      <c r="V758" s="9"/>
      <c r="W758" s="19">
        <f ca="1">MAX(SUM($K$4:K758),0)</f>
        <v>2000000</v>
      </c>
      <c r="X758" s="19"/>
      <c r="Y758" s="19">
        <f t="shared" ca="1" si="435"/>
        <v>1920000</v>
      </c>
      <c r="Z758" s="2">
        <f ca="1">IF(MIN($Z$4:Z757)=0,0,MAX(0,($Z757+$K758-$O758-$P758)*IF(AND(F758="F",$D$3&lt;&gt;$G$3),((1+(-J758))^(H758/MIN(G758,365))),((1+(-J758))^(1/12)))-$U758))</f>
        <v>76163.120287482321</v>
      </c>
      <c r="AA758" s="2">
        <f ca="1">IF(MIN($AA$4:AA757)=0,0,MAX(0,($AA757+$K758-$O758-$P758)*IF(AND(F758="F",$D$3&lt;&gt;$G$3),((1+$AA$1)^(H758/MIN(G758,365))),((1+$AA$1)^(1/12)))-$U758))</f>
        <v>1920000</v>
      </c>
      <c r="AB758" s="2">
        <f ca="1">IF(MIN($AB$4:AB757)=0,0,MAX(0,($AB757+$K758-$O758-$P758)*IF(AND(F758="F",$D$3&lt;&gt;$G$3),((1+(J758))^(H758/MIN(G758,365))),((1+(J758))^(1/12)))-$U758))</f>
        <v>41348646.232676767</v>
      </c>
      <c r="AC758" s="5"/>
      <c r="AD758" s="5"/>
      <c r="AE758" s="5"/>
      <c r="AF758" s="282">
        <f t="shared" ca="1" si="418"/>
        <v>76163</v>
      </c>
      <c r="AG758" s="282">
        <f t="shared" ca="1" si="419"/>
        <v>1920000</v>
      </c>
      <c r="AH758" s="282">
        <f t="shared" ca="1" si="420"/>
        <v>41348646</v>
      </c>
      <c r="AI758" s="23" t="str">
        <f t="shared" ca="1" si="437"/>
        <v>63-12</v>
      </c>
      <c r="AJ758" s="282">
        <f ca="1">IF(E758&gt;111,,IF(AND(OP!$C$99=1,T758="F"),Z758,IF(AND(OP!$C$99=2,COUNTIF($T$4:T758,"F")=1),OP!$C$97+IF(F758="F",OP!$C$98,0),"")))</f>
        <v>0</v>
      </c>
      <c r="AK758" s="282">
        <f ca="1">IF(E758&gt;111,,IF(AND(OP!$D$99=1,T758="F"),AA758,IF(AND(OP!$D$99=2,COUNTIF($T$4:T758,"F")=1),OP!$D$97+IF(F758="F",OP!$D$98,0),"")))</f>
        <v>0</v>
      </c>
      <c r="AL758" s="282">
        <f ca="1">IF(E758&gt;111,,IF(AND(OP!$E$99=1,T758="F"),AB758,IF(AND(OP!$E$99=2,COUNTIF($T$4:T758,"F")=1),OP!$E$97+IF(F758="F",OP!$E$98,0),"")))</f>
        <v>0</v>
      </c>
      <c r="AM758" s="1">
        <f t="shared" ca="1" si="410"/>
        <v>12</v>
      </c>
      <c r="AN758" s="1" t="e">
        <f ca="1">IF(OR(VLOOKUP($A758,MP,5,0)="月繳"),1,"")</f>
        <v>#N/A</v>
      </c>
      <c r="AO758" s="1">
        <f t="shared" ca="1" si="421"/>
        <v>0</v>
      </c>
      <c r="AP758" s="1" t="str">
        <f ca="1">IF(AND(A758&lt;=OP!$C$120,COUNTIF(PAY,C758)=1),1,"")</f>
        <v/>
      </c>
      <c r="AR758" s="301">
        <f ca="1">IF(繳費報酬率資料!$A$1=1,$AY758+$AZ758,$BF758+$BG758)</f>
        <v>0</v>
      </c>
      <c r="AS758" s="1">
        <f ca="1">IF(C758&lt;&gt;IF($C$3=1,12,$C$3-1),0,IF(繳費報酬率資料!$A$1&lt;&gt;1,VLOOKUP($A758,MP,8,0),IF(AND($A758&gt;=OP!$C$79,$A758&lt;=OP!$C$80),OP!$C$78,)))</f>
        <v>0</v>
      </c>
      <c r="AT758" s="298">
        <f t="shared" ca="1" si="422"/>
        <v>0</v>
      </c>
      <c r="AU758" s="298">
        <f ca="1">IF(AND(A758&lt;=OP!$C$120,COUNTIF(PAY,C758)=1),OP!$C$123,0)</f>
        <v>0</v>
      </c>
      <c r="AV758" s="298">
        <f ca="1">IF(AND(A758&gt;=OP!$C$132,A758&lt;=OP!$C$133,$C$3=C758),OP!$C$135,0)</f>
        <v>0</v>
      </c>
      <c r="AW758" s="180">
        <f t="shared" ca="1" si="423"/>
        <v>0.05</v>
      </c>
      <c r="AX758" s="180">
        <f t="shared" ca="1" si="424"/>
        <v>0.05</v>
      </c>
      <c r="AY758" s="286">
        <f t="shared" ca="1" si="425"/>
        <v>0</v>
      </c>
      <c r="AZ758" s="286">
        <f t="shared" ca="1" si="426"/>
        <v>0</v>
      </c>
      <c r="BA758" s="286">
        <f t="shared" ca="1" si="427"/>
        <v>0</v>
      </c>
      <c r="BB758" s="286">
        <f t="shared" ca="1" si="428"/>
        <v>0</v>
      </c>
      <c r="BC758" s="286">
        <f t="shared" ca="1" si="429"/>
        <v>0</v>
      </c>
      <c r="BD758" s="180">
        <f t="shared" ca="1" si="430"/>
        <v>0.05</v>
      </c>
      <c r="BE758" s="180">
        <f t="shared" ca="1" si="431"/>
        <v>0.05</v>
      </c>
      <c r="BF758" s="286">
        <f t="shared" ca="1" si="432"/>
        <v>0</v>
      </c>
      <c r="BG758" s="286">
        <f t="shared" ca="1" si="433"/>
        <v>0</v>
      </c>
    </row>
    <row r="759" spans="1:59">
      <c r="A759" s="1">
        <f t="shared" ca="1" si="413"/>
        <v>63</v>
      </c>
      <c r="B759" s="1">
        <f t="shared" ca="1" si="406"/>
        <v>169</v>
      </c>
      <c r="C759" s="1">
        <f t="shared" ca="1" si="407"/>
        <v>5</v>
      </c>
      <c r="D759" s="1">
        <f ca="1">MIN($D$3,VLOOKUP(C759,OP!$S$30:$T$41,2))</f>
        <v>2</v>
      </c>
      <c r="E759" s="1" t="str">
        <f t="shared" ca="1" si="408"/>
        <v/>
      </c>
      <c r="F759" s="11" t="str">
        <f t="shared" ca="1" si="414"/>
        <v/>
      </c>
      <c r="G759" s="8">
        <f t="shared" ca="1" si="440"/>
        <v>366</v>
      </c>
      <c r="H759" s="8">
        <f t="shared" ca="1" si="415"/>
        <v>31</v>
      </c>
      <c r="I759" s="8" t="str">
        <f t="shared" ca="1" si="412"/>
        <v>635</v>
      </c>
      <c r="J759" s="13">
        <f>IF(繳費報酬率資料!$A$1=1,VALUE(OP!$C$121),VLOOKUP(A759,MP,2,0))</f>
        <v>0.05</v>
      </c>
      <c r="K759" s="14">
        <f ca="1">IF(SUM($K$4:K758,IF(繳費報酬率資料!$A$1=1,$AU759+$AV759,$BB759+$BC759))&gt;OP!$L$58,0,IF(繳費報酬率資料!$A$1=1,$AU759+$AV759,$BB759+$BC759))</f>
        <v>0</v>
      </c>
      <c r="L759" s="2">
        <f ca="1">ROUND(IF(OP!$C$78&lt;(IF(OR($T759="F",$E759&gt;=111),0,Z758+$K759-$O759+IF($C$1=1,OP!$C$78,IF($C760=$C$3,SUM(AC748:AC759,0)))))*5%,0,(OP!$C$78-((IF(OR($T759="F",$E759&gt;=111),0,Z758+$K759-$O759+IF($C$1=1,AC759,IF($C760=$C$3,SUM(AC748:AC759,0)))))*5%))*$Q759),0)</f>
        <v>0</v>
      </c>
      <c r="M759" s="2">
        <f ca="1">ROUND(IF(OP!$C$78&lt;(IF(OR($T759="F",$E759&gt;=111),0,AA758+$K759-$O759+IF($C$1=1,AD759,IF($C760=$C$3,SUM(AD748:AD759,0)))))*5%,0,(OP!$C$78-((IF(OR($T759="F",$E759&gt;=111),0,AA758+$K759-$O759+IF($C$1=1,AD759,IF($C760=$C$3,SUM(AD748:AD759,0)))))*5%))*$Q759),0)</f>
        <v>0</v>
      </c>
      <c r="N759" s="2">
        <f ca="1">ROUND(IF(OP!$C$78&lt;(IF(OR($T759="F",$E759&gt;=111),0,AB758+$K759-$O759+IF($C$1=1,AE759,IF($C760=$C$3,SUM(AE748:AE759,0)))))*5%,0,(OP!$C$78-((IF(OR($T759="F",$E759&gt;=111),0,AB758+$K759-$O759+IF($C$1=1,AE759,IF($C760=$C$3,SUM(AE748:AE759,0)))))*5%))*$Q759),0)</f>
        <v>0</v>
      </c>
      <c r="O759" s="261">
        <f t="shared" ca="1" si="416"/>
        <v>0</v>
      </c>
      <c r="P759" s="261">
        <f t="shared" ca="1" si="434"/>
        <v>0</v>
      </c>
      <c r="Q759" s="3">
        <f ca="1">IF(A759&gt;MAX(OP!$R$17:$R$26),0,VLOOKUP(A759,fees,3,FALSE))</f>
        <v>0</v>
      </c>
      <c r="R759" s="200" t="str">
        <f t="shared" ca="1" si="417"/>
        <v/>
      </c>
      <c r="S759" s="9" t="str">
        <f ca="1">IF(COUNTIF(($T$4:T758),"F")&gt;=1,"",IF(OR(C760&lt;&gt;$C$3,E759=""),"",A759))</f>
        <v/>
      </c>
      <c r="T759" s="20" t="str">
        <f t="shared" ca="1" si="409"/>
        <v/>
      </c>
      <c r="U759" s="2">
        <f ca="1">IF(IF(OP!$C$83=1,$Z758,IF(OP!$C$83=2,$AA758,IF(OP!$C$83=3,$AB758,)))+$K759-$O759-$P759-$AS759&lt;OP!$C$142,0,$AS759)</f>
        <v>0</v>
      </c>
      <c r="V759" s="19">
        <f ca="1">SUM(K748:K759)</f>
        <v>0</v>
      </c>
      <c r="W759" s="19">
        <f ca="1">MAX(SUM($K$4:K759),0)</f>
        <v>2000000</v>
      </c>
      <c r="X759" s="19">
        <f ca="1">SUM(O748:P759)</f>
        <v>0</v>
      </c>
      <c r="Y759" s="19">
        <f t="shared" ca="1" si="435"/>
        <v>1920000</v>
      </c>
      <c r="Z759" s="2">
        <f ca="1">IF(MIN($Z$4:Z758)=0,0,MAX(0,($Z758+$K759-$O759-$P759)*IF(AND(F759="F",$D$3&lt;&gt;$G$3),((1+(-J759))^(H759/MIN(G759,365))),((1+(-J759))^(1/12)))-$U759))</f>
        <v>75838.260300362512</v>
      </c>
      <c r="AA759" s="2">
        <f ca="1">IF(MIN($AA$4:AA758)=0,0,MAX(0,($AA758+$K759-$O759-$P759)*IF(AND(F759="F",$D$3&lt;&gt;$G$3),((1+$AA$1)^(H759/MIN(G759,365))),((1+$AA$1)^(1/12)))-$U759))</f>
        <v>1920000</v>
      </c>
      <c r="AB759" s="2">
        <f ca="1">IF(MIN($AB$4:AB758)=0,0,MAX(0,($AB758+$K759-$O759-$P759)*IF(AND(F759="F",$D$3&lt;&gt;$G$3),((1+(J759))^(H759/MIN(G759,365))),((1+(J759))^(1/12)))-$U759))</f>
        <v>41517105.735714979</v>
      </c>
      <c r="AC759" s="5"/>
      <c r="AD759" s="5"/>
      <c r="AE759" s="5"/>
      <c r="AF759" s="282">
        <f t="shared" ca="1" si="418"/>
        <v>75838</v>
      </c>
      <c r="AG759" s="282">
        <f t="shared" ca="1" si="419"/>
        <v>1920000</v>
      </c>
      <c r="AH759" s="282">
        <f t="shared" ca="1" si="420"/>
        <v>41517106</v>
      </c>
      <c r="AI759" s="23" t="str">
        <f t="shared" ca="1" si="437"/>
        <v>64-1</v>
      </c>
      <c r="AJ759" s="282">
        <f ca="1">IF(E759&gt;111,,IF(AND(OP!$C$99=1,T759="F"),Z759,IF(AND(OP!$C$99=2,COUNTIF($T$4:T759,"F")=1),OP!$C$97+IF(F759="F",OP!$C$98,0),"")))</f>
        <v>0</v>
      </c>
      <c r="AK759" s="282">
        <f ca="1">IF(E759&gt;111,,IF(AND(OP!$D$99=1,T759="F"),AA759,IF(AND(OP!$D$99=2,COUNTIF($T$4:T759,"F")=1),OP!$D$97+IF(F759="F",OP!$D$98,0),"")))</f>
        <v>0</v>
      </c>
      <c r="AL759" s="282">
        <f ca="1">IF(E759&gt;111,,IF(AND(OP!$E$99=1,T759="F"),AB759,IF(AND(OP!$E$99=2,COUNTIF($T$4:T759,"F")=1),OP!$E$97+IF(F759="F",OP!$E$98,0),"")))</f>
        <v>0</v>
      </c>
      <c r="AM759" s="1">
        <f t="shared" ca="1" si="410"/>
        <v>1</v>
      </c>
      <c r="AN759" s="1" t="e">
        <f ca="1">IF(OR(VLOOKUP($A759,MP,5,0)="月繳"),1,"")</f>
        <v>#N/A</v>
      </c>
      <c r="AO759" s="1">
        <f t="shared" ca="1" si="421"/>
        <v>0</v>
      </c>
      <c r="AP759" s="1" t="str">
        <f ca="1">IF(AND(A759&lt;=OP!$C$120,COUNTIF(PAY,C759)=1),1,"")</f>
        <v/>
      </c>
      <c r="AR759" s="301">
        <f ca="1">IF(繳費報酬率資料!$A$1=1,$AY759+$AZ759,$BF759+$BG759)</f>
        <v>0</v>
      </c>
      <c r="AS759" s="1">
        <f ca="1">IF(C759&lt;&gt;IF($C$3=1,12,$C$3-1),0,IF(繳費報酬率資料!$A$1&lt;&gt;1,VLOOKUP($A759,MP,8,0),IF(AND($A759&gt;=OP!$C$79,$A759&lt;=OP!$C$80),OP!$C$78,)))</f>
        <v>0</v>
      </c>
      <c r="AT759" s="298">
        <f t="shared" ca="1" si="422"/>
        <v>0</v>
      </c>
      <c r="AU759" s="298">
        <f ca="1">IF(AND(A759&lt;=OP!$C$120,COUNTIF(PAY,C759)=1),OP!$C$123,0)</f>
        <v>0</v>
      </c>
      <c r="AV759" s="298">
        <f ca="1">IF(AND(A759&gt;=OP!$C$132,A759&lt;=OP!$C$133,$C$3=C759),OP!$C$135,0)</f>
        <v>0</v>
      </c>
      <c r="AW759" s="180">
        <f t="shared" ca="1" si="423"/>
        <v>0.05</v>
      </c>
      <c r="AX759" s="180">
        <f t="shared" ca="1" si="424"/>
        <v>0.05</v>
      </c>
      <c r="AY759" s="286">
        <f t="shared" ca="1" si="425"/>
        <v>0</v>
      </c>
      <c r="AZ759" s="286">
        <f t="shared" ca="1" si="426"/>
        <v>0</v>
      </c>
      <c r="BA759" s="286">
        <f t="shared" ca="1" si="427"/>
        <v>0</v>
      </c>
      <c r="BB759" s="286">
        <f t="shared" ca="1" si="428"/>
        <v>0</v>
      </c>
      <c r="BC759" s="286">
        <f t="shared" ca="1" si="429"/>
        <v>0</v>
      </c>
      <c r="BD759" s="180">
        <f t="shared" ca="1" si="430"/>
        <v>0.05</v>
      </c>
      <c r="BE759" s="180">
        <f t="shared" ca="1" si="431"/>
        <v>0.05</v>
      </c>
      <c r="BF759" s="286">
        <f t="shared" ca="1" si="432"/>
        <v>0</v>
      </c>
      <c r="BG759" s="286">
        <f t="shared" ca="1" si="433"/>
        <v>0</v>
      </c>
    </row>
    <row r="760" spans="1:59">
      <c r="A760" s="1">
        <f t="shared" ca="1" si="413"/>
        <v>64</v>
      </c>
      <c r="B760" s="1">
        <f t="shared" ca="1" si="406"/>
        <v>169</v>
      </c>
      <c r="C760" s="1">
        <f t="shared" ca="1" si="407"/>
        <v>6</v>
      </c>
      <c r="D760" s="1">
        <f ca="1">MIN($D$3,VLOOKUP(C760,OP!$S$30:$T$41,2))</f>
        <v>2</v>
      </c>
      <c r="E760" s="1" t="str">
        <f t="shared" ca="1" si="408"/>
        <v/>
      </c>
      <c r="F760" s="11" t="str">
        <f t="shared" ca="1" si="414"/>
        <v/>
      </c>
      <c r="G760" s="6">
        <f ca="1">DATEDIF(DATE(B760+1911,C760,D760),DATE(B772+1911,C772,D772),"d")</f>
        <v>365</v>
      </c>
      <c r="H760" s="8">
        <f t="shared" ca="1" si="415"/>
        <v>30</v>
      </c>
      <c r="I760" s="8" t="str">
        <f t="shared" ca="1" si="412"/>
        <v>646</v>
      </c>
      <c r="J760" s="13">
        <f>IF(繳費報酬率資料!$A$1=1,VALUE(OP!$C$121),VLOOKUP(A760,MP,2,0))</f>
        <v>0.05</v>
      </c>
      <c r="K760" s="14">
        <f ca="1">IF(SUM($K$4:K759,IF(繳費報酬率資料!$A$1=1,$AU760+$AV760,$BB760+$BC760))&gt;OP!$L$58,0,IF(繳費報酬率資料!$A$1=1,$AU760+$AV760,$BB760+$BC760))</f>
        <v>0</v>
      </c>
      <c r="L760" s="2"/>
      <c r="M760" s="2"/>
      <c r="N760" s="2"/>
      <c r="O760" s="261">
        <f t="shared" ca="1" si="416"/>
        <v>0</v>
      </c>
      <c r="P760" s="261">
        <f t="shared" ca="1" si="434"/>
        <v>0</v>
      </c>
      <c r="Q760" s="3">
        <f ca="1">IF(A760&gt;MAX(OP!$R$17:$R$26),0,VLOOKUP(A760,fees,3,FALSE))</f>
        <v>0</v>
      </c>
      <c r="R760" s="200" t="str">
        <f t="shared" ca="1" si="417"/>
        <v/>
      </c>
      <c r="S760" s="9" t="str">
        <f ca="1">IF(COUNTIF(($T$4:T759),"F")&gt;=1,"",IF(OR(C761&lt;&gt;$C$3,E760=""),"",A760))</f>
        <v/>
      </c>
      <c r="T760" s="20" t="str">
        <f t="shared" ca="1" si="409"/>
        <v/>
      </c>
      <c r="U760" s="2">
        <f ca="1">IF(IF(OP!$C$83=1,$Z759,IF(OP!$C$83=2,$AA759,IF(OP!$C$83=3,$AB759,)))+$K760-$O760-$P760-$AS760&lt;OP!$C$142,0,$AS760)</f>
        <v>0</v>
      </c>
      <c r="V760" s="9"/>
      <c r="W760" s="19">
        <f ca="1">MAX(SUM($K$4:K760),0)</f>
        <v>2000000</v>
      </c>
      <c r="X760" s="19"/>
      <c r="Y760" s="19">
        <f t="shared" ca="1" si="435"/>
        <v>1920000</v>
      </c>
      <c r="Z760" s="2">
        <f ca="1">IF(MIN($Z$4:Z759)=0,0,MAX(0,($Z759+$K760-$O760-$P760)*IF(AND(F760="F",$D$3&lt;&gt;$G$3),((1+(-J760))^(H760/MIN(G760,365))),((1+(-J760))^(1/12)))-$U760))</f>
        <v>75514.785944645846</v>
      </c>
      <c r="AA760" s="2">
        <f ca="1">IF(MIN($AA$4:AA759)=0,0,MAX(0,($AA759+$K760-$O760-$P760)*IF(AND(F760="F",$D$3&lt;&gt;$G$3),((1+$AA$1)^(H760/MIN(G760,365))),((1+$AA$1)^(1/12)))-$U760))</f>
        <v>1920000</v>
      </c>
      <c r="AB760" s="2">
        <f ca="1">IF(MIN($AB$4:AB759)=0,0,MAX(0,($AB759+$K760-$O760-$P760)*IF(AND(F760="F",$D$3&lt;&gt;$G$3),((1+(J760))^(H760/MIN(G760,365))),((1+(J760))^(1/12)))-$U760))</f>
        <v>41686251.563621096</v>
      </c>
      <c r="AC760" s="21"/>
      <c r="AD760" s="21"/>
      <c r="AE760" s="21"/>
      <c r="AF760" s="282">
        <f t="shared" ca="1" si="418"/>
        <v>75515</v>
      </c>
      <c r="AG760" s="282">
        <f t="shared" ca="1" si="419"/>
        <v>1920000</v>
      </c>
      <c r="AH760" s="282">
        <f t="shared" ca="1" si="420"/>
        <v>41686252</v>
      </c>
      <c r="AI760" s="23" t="str">
        <f t="shared" ca="1" si="437"/>
        <v>64-2</v>
      </c>
      <c r="AJ760" s="281">
        <f ca="1">IF(E760&gt;111,,IF(AND(OP!$C$99=1,T760="F"),Z760,IF(AND(OP!$C$99=2,COUNTIF($T$4:T760,"F")=1),OP!$C$97+IF(F760="F",OP!$C$98,0),"")))</f>
        <v>0</v>
      </c>
      <c r="AK760" s="281">
        <f ca="1">IF(E760&gt;111,,IF(AND(OP!$D$99=1,T760="F"),AA760,IF(AND(OP!$D$99=2,COUNTIF($T$4:T760,"F")=1),OP!$D$97+IF(F760="F",OP!$D$98,0),"")))</f>
        <v>0</v>
      </c>
      <c r="AL760" s="281">
        <f ca="1">IF(E760&gt;111,,IF(AND(OP!$E$99=1,T760="F"),AB760,IF(AND(OP!$E$99=2,COUNTIF($T$4:T760,"F")=1),OP!$E$97+IF(F760="F",OP!$E$98,0),"")))</f>
        <v>0</v>
      </c>
      <c r="AM760" s="1">
        <f t="shared" ca="1" si="410"/>
        <v>2</v>
      </c>
      <c r="AN760" s="1" t="e">
        <f ca="1">IF(OR(VLOOKUP($A760,MP,5,0)="年繳",VLOOKUP($A760,MP,5,0)="半年繳",VLOOKUP($A760,MP,5,0)="季繳",VLOOKUP($A760,MP,5,0)="月繳"),1,"")</f>
        <v>#N/A</v>
      </c>
      <c r="AO760" s="1">
        <f t="shared" ca="1" si="421"/>
        <v>0</v>
      </c>
      <c r="AP760" s="1" t="str">
        <f ca="1">IF(AND(A760&lt;=OP!$C$120,COUNTIF(PAY,C760)=1),1,"")</f>
        <v/>
      </c>
      <c r="AR760" s="301">
        <f ca="1">IF(繳費報酬率資料!$A$1=1,$AY760+$AZ760,$BF760+$BG760)</f>
        <v>0</v>
      </c>
      <c r="AS760" s="1">
        <f ca="1">IF(C760&lt;&gt;IF($C$3=1,12,$C$3-1),0,IF(繳費報酬率資料!$A$1&lt;&gt;1,VLOOKUP($A760,MP,8,0),IF(AND($A760&gt;=OP!$C$79,$A760&lt;=OP!$C$80),OP!$C$78,)))</f>
        <v>0</v>
      </c>
      <c r="AT760" s="298">
        <f t="shared" ca="1" si="422"/>
        <v>0</v>
      </c>
      <c r="AU760" s="298">
        <f ca="1">IF(AND(A760&lt;=OP!$C$120,COUNTIF(PAY,C760)=1),OP!$C$123,0)</f>
        <v>0</v>
      </c>
      <c r="AV760" s="298">
        <f ca="1">IF(AND(A760&gt;=OP!$C$132,A760&lt;=OP!$C$133,$C$3=C760),OP!$C$135,0)</f>
        <v>0</v>
      </c>
      <c r="AW760" s="180">
        <f t="shared" ca="1" si="423"/>
        <v>0.05</v>
      </c>
      <c r="AX760" s="180">
        <f t="shared" ca="1" si="424"/>
        <v>0.05</v>
      </c>
      <c r="AY760" s="286">
        <f t="shared" ca="1" si="425"/>
        <v>0</v>
      </c>
      <c r="AZ760" s="286">
        <f t="shared" ca="1" si="426"/>
        <v>0</v>
      </c>
      <c r="BA760" s="286">
        <f t="shared" ca="1" si="427"/>
        <v>0</v>
      </c>
      <c r="BB760" s="286">
        <f t="shared" ca="1" si="428"/>
        <v>0</v>
      </c>
      <c r="BC760" s="286">
        <f t="shared" ca="1" si="429"/>
        <v>0</v>
      </c>
      <c r="BD760" s="180">
        <f t="shared" ca="1" si="430"/>
        <v>0.05</v>
      </c>
      <c r="BE760" s="180">
        <f t="shared" ca="1" si="431"/>
        <v>0.05</v>
      </c>
      <c r="BF760" s="286">
        <f t="shared" ca="1" si="432"/>
        <v>0</v>
      </c>
      <c r="BG760" s="286">
        <f t="shared" ca="1" si="433"/>
        <v>0</v>
      </c>
    </row>
    <row r="761" spans="1:59">
      <c r="A761" s="1">
        <f t="shared" ca="1" si="413"/>
        <v>64</v>
      </c>
      <c r="B761" s="1">
        <f t="shared" ca="1" si="406"/>
        <v>169</v>
      </c>
      <c r="C761" s="1">
        <f t="shared" ca="1" si="407"/>
        <v>7</v>
      </c>
      <c r="D761" s="1">
        <f ca="1">MIN($D$3,VLOOKUP(C761,OP!$S$30:$T$41,2))</f>
        <v>2</v>
      </c>
      <c r="E761" s="1" t="str">
        <f t="shared" ca="1" si="408"/>
        <v/>
      </c>
      <c r="F761" s="11" t="str">
        <f t="shared" ca="1" si="414"/>
        <v/>
      </c>
      <c r="G761" s="8">
        <f t="shared" ref="G761:G771" ca="1" si="441">G760</f>
        <v>365</v>
      </c>
      <c r="H761" s="8">
        <f t="shared" ca="1" si="415"/>
        <v>31</v>
      </c>
      <c r="I761" s="8" t="str">
        <f t="shared" ca="1" si="412"/>
        <v>647</v>
      </c>
      <c r="J761" s="13">
        <f>IF(繳費報酬率資料!$A$1=1,VALUE(OP!$C$121),VLOOKUP(A761,MP,2,0))</f>
        <v>0.05</v>
      </c>
      <c r="K761" s="14">
        <f ca="1">IF(SUM($K$4:K760,IF(繳費報酬率資料!$A$1=1,$AU761+$AV761,$BB761+$BC761))&gt;OP!$L$58,0,IF(繳費報酬率資料!$A$1=1,$AU761+$AV761,$BB761+$BC761))</f>
        <v>0</v>
      </c>
      <c r="L761" s="2"/>
      <c r="M761" s="2"/>
      <c r="N761" s="2"/>
      <c r="O761" s="261">
        <f t="shared" ca="1" si="416"/>
        <v>0</v>
      </c>
      <c r="P761" s="261">
        <f t="shared" ca="1" si="434"/>
        <v>0</v>
      </c>
      <c r="Q761" s="3">
        <f ca="1">IF(A761&gt;MAX(OP!$R$17:$R$26),0,VLOOKUP(A761,fees,3,FALSE))</f>
        <v>0</v>
      </c>
      <c r="R761" s="200" t="str">
        <f t="shared" ca="1" si="417"/>
        <v/>
      </c>
      <c r="S761" s="9" t="str">
        <f ca="1">IF(COUNTIF(($T$4:T760),"F")&gt;=1,"",IF(OR(C762&lt;&gt;$C$3,E761=""),"",A761))</f>
        <v/>
      </c>
      <c r="T761" s="20" t="str">
        <f t="shared" ca="1" si="409"/>
        <v/>
      </c>
      <c r="U761" s="2">
        <f ca="1">IF(IF(OP!$C$83=1,$Z760,IF(OP!$C$83=2,$AA760,IF(OP!$C$83=3,$AB760,)))+$K761-$O761-$P761-$AS761&lt;OP!$C$142,0,$AS761)</f>
        <v>0</v>
      </c>
      <c r="V761" s="9"/>
      <c r="W761" s="19">
        <f ca="1">MAX(SUM($K$4:K761),0)</f>
        <v>2000000</v>
      </c>
      <c r="X761" s="19"/>
      <c r="Y761" s="19">
        <f t="shared" ca="1" si="435"/>
        <v>1920000</v>
      </c>
      <c r="Z761" s="2">
        <f ca="1">IF(MIN($Z$4:Z760)=0,0,MAX(0,($Z760+$K761-$O761-$P761)*IF(AND(F761="F",$D$3&lt;&gt;$G$3),((1+(-J761))^(H761/MIN(G761,365))),((1+(-J761))^(1/12)))-$U761))</f>
        <v>75192.691310172682</v>
      </c>
      <c r="AA761" s="2">
        <f ca="1">IF(MIN($AA$4:AA760)=0,0,MAX(0,($AA760+$K761-$O761-$P761)*IF(AND(F761="F",$D$3&lt;&gt;$G$3),((1+$AA$1)^(H761/MIN(G761,365))),((1+$AA$1)^(1/12)))-$U761))</f>
        <v>1920000</v>
      </c>
      <c r="AB761" s="2">
        <f ca="1">IF(MIN($AB$4:AB760)=0,0,MAX(0,($AB760+$K761-$O761-$P761)*IF(AND(F761="F",$D$3&lt;&gt;$G$3),((1+(J761))^(H761/MIN(G761,365))),((1+(J761))^(1/12)))-$U761))</f>
        <v>41856086.512567595</v>
      </c>
      <c r="AC761" s="5"/>
      <c r="AD761" s="5"/>
      <c r="AE761" s="5"/>
      <c r="AF761" s="282">
        <f t="shared" ca="1" si="418"/>
        <v>75193</v>
      </c>
      <c r="AG761" s="282">
        <f t="shared" ca="1" si="419"/>
        <v>1920000</v>
      </c>
      <c r="AH761" s="282">
        <f t="shared" ca="1" si="420"/>
        <v>41856087</v>
      </c>
      <c r="AI761" s="23" t="str">
        <f t="shared" ca="1" si="437"/>
        <v>64-3</v>
      </c>
      <c r="AJ761" s="282">
        <f ca="1">IF(E761&gt;111,,IF(AND(OP!$C$99=1,T761="F"),Z761,IF(AND(OP!$C$99=2,COUNTIF($T$4:T761,"F")=1),OP!$C$97+IF(F761="F",OP!$C$98,0),"")))</f>
        <v>0</v>
      </c>
      <c r="AK761" s="282">
        <f ca="1">IF(E761&gt;111,,IF(AND(OP!$D$99=1,T761="F"),AA761,IF(AND(OP!$D$99=2,COUNTIF($T$4:T761,"F")=1),OP!$D$97+IF(F761="F",OP!$D$98,0),"")))</f>
        <v>0</v>
      </c>
      <c r="AL761" s="282">
        <f ca="1">IF(E761&gt;111,,IF(AND(OP!$E$99=1,T761="F"),AB761,IF(AND(OP!$E$99=2,COUNTIF($T$4:T761,"F")=1),OP!$E$97+IF(F761="F",OP!$E$98,0),"")))</f>
        <v>0</v>
      </c>
      <c r="AM761" s="1">
        <f t="shared" ca="1" si="410"/>
        <v>3</v>
      </c>
      <c r="AN761" s="1" t="e">
        <f ca="1">IF(OR(VLOOKUP($A761,MP,5,0)="月繳"),1,"")</f>
        <v>#N/A</v>
      </c>
      <c r="AO761" s="1">
        <f t="shared" ca="1" si="421"/>
        <v>0</v>
      </c>
      <c r="AP761" s="1" t="str">
        <f ca="1">IF(AND(A761&lt;=OP!$C$120,COUNTIF(PAY,C761)=1),1,"")</f>
        <v/>
      </c>
      <c r="AR761" s="301">
        <f ca="1">IF(繳費報酬率資料!$A$1=1,$AY761+$AZ761,$BF761+$BG761)</f>
        <v>0</v>
      </c>
      <c r="AS761" s="1">
        <f ca="1">IF(C761&lt;&gt;IF($C$3=1,12,$C$3-1),0,IF(繳費報酬率資料!$A$1&lt;&gt;1,VLOOKUP($A761,MP,8,0),IF(AND($A761&gt;=OP!$C$79,$A761&lt;=OP!$C$80),OP!$C$78,)))</f>
        <v>0</v>
      </c>
      <c r="AT761" s="298">
        <f t="shared" ca="1" si="422"/>
        <v>0</v>
      </c>
      <c r="AU761" s="298">
        <f ca="1">IF(AND(A761&lt;=OP!$C$120,COUNTIF(PAY,C761)=1),OP!$C$123,0)</f>
        <v>0</v>
      </c>
      <c r="AV761" s="298">
        <f ca="1">IF(AND(A761&gt;=OP!$C$132,A761&lt;=OP!$C$133,$C$3=C761),OP!$C$135,0)</f>
        <v>0</v>
      </c>
      <c r="AW761" s="180">
        <f t="shared" ca="1" si="423"/>
        <v>0.05</v>
      </c>
      <c r="AX761" s="180">
        <f t="shared" ca="1" si="424"/>
        <v>0.05</v>
      </c>
      <c r="AY761" s="286">
        <f t="shared" ca="1" si="425"/>
        <v>0</v>
      </c>
      <c r="AZ761" s="286">
        <f t="shared" ca="1" si="426"/>
        <v>0</v>
      </c>
      <c r="BA761" s="286">
        <f t="shared" ca="1" si="427"/>
        <v>0</v>
      </c>
      <c r="BB761" s="286">
        <f t="shared" ca="1" si="428"/>
        <v>0</v>
      </c>
      <c r="BC761" s="286">
        <f t="shared" ca="1" si="429"/>
        <v>0</v>
      </c>
      <c r="BD761" s="180">
        <f t="shared" ca="1" si="430"/>
        <v>0.05</v>
      </c>
      <c r="BE761" s="180">
        <f t="shared" ca="1" si="431"/>
        <v>0.05</v>
      </c>
      <c r="BF761" s="286">
        <f t="shared" ca="1" si="432"/>
        <v>0</v>
      </c>
      <c r="BG761" s="286">
        <f t="shared" ca="1" si="433"/>
        <v>0</v>
      </c>
    </row>
    <row r="762" spans="1:59">
      <c r="A762" s="1">
        <f t="shared" ca="1" si="413"/>
        <v>64</v>
      </c>
      <c r="B762" s="1">
        <f t="shared" ca="1" si="406"/>
        <v>169</v>
      </c>
      <c r="C762" s="1">
        <f t="shared" ca="1" si="407"/>
        <v>8</v>
      </c>
      <c r="D762" s="1">
        <f ca="1">MIN($D$3,VLOOKUP(C762,OP!$S$30:$T$41,2))</f>
        <v>2</v>
      </c>
      <c r="E762" s="1" t="str">
        <f t="shared" ca="1" si="408"/>
        <v/>
      </c>
      <c r="F762" s="11" t="str">
        <f t="shared" ca="1" si="414"/>
        <v/>
      </c>
      <c r="G762" s="8">
        <f t="shared" ca="1" si="441"/>
        <v>365</v>
      </c>
      <c r="H762" s="8">
        <f t="shared" ca="1" si="415"/>
        <v>31</v>
      </c>
      <c r="I762" s="8" t="str">
        <f t="shared" ca="1" si="412"/>
        <v>648</v>
      </c>
      <c r="J762" s="13">
        <f>IF(繳費報酬率資料!$A$1=1,VALUE(OP!$C$121),VLOOKUP(A762,MP,2,0))</f>
        <v>0.05</v>
      </c>
      <c r="K762" s="14">
        <f ca="1">IF(SUM($K$4:K761,IF(繳費報酬率資料!$A$1=1,$AU762+$AV762,$BB762+$BC762))&gt;OP!$L$58,0,IF(繳費報酬率資料!$A$1=1,$AU762+$AV762,$BB762+$BC762))</f>
        <v>0</v>
      </c>
      <c r="L762" s="2"/>
      <c r="M762" s="2"/>
      <c r="N762" s="2"/>
      <c r="O762" s="261">
        <f t="shared" ca="1" si="416"/>
        <v>0</v>
      </c>
      <c r="P762" s="261">
        <f t="shared" ca="1" si="434"/>
        <v>0</v>
      </c>
      <c r="Q762" s="3">
        <f ca="1">IF(A762&gt;MAX(OP!$R$17:$R$26),0,VLOOKUP(A762,fees,3,FALSE))</f>
        <v>0</v>
      </c>
      <c r="R762" s="200" t="str">
        <f t="shared" ca="1" si="417"/>
        <v/>
      </c>
      <c r="S762" s="9" t="str">
        <f ca="1">IF(COUNTIF(($T$4:T761),"F")&gt;=1,"",IF(OR(C763&lt;&gt;$C$3,E762=""),"",A762))</f>
        <v/>
      </c>
      <c r="T762" s="20" t="str">
        <f t="shared" ca="1" si="409"/>
        <v/>
      </c>
      <c r="U762" s="2">
        <f ca="1">IF(IF(OP!$C$83=1,$Z761,IF(OP!$C$83=2,$AA761,IF(OP!$C$83=3,$AB761,)))+$K762-$O762-$P762-$AS762&lt;OP!$C$142,0,$AS762)</f>
        <v>0</v>
      </c>
      <c r="V762" s="9"/>
      <c r="W762" s="19">
        <f ca="1">MAX(SUM($K$4:K762),0)</f>
        <v>2000000</v>
      </c>
      <c r="X762" s="19"/>
      <c r="Y762" s="19">
        <f t="shared" ca="1" si="435"/>
        <v>1920000</v>
      </c>
      <c r="Z762" s="2">
        <f ca="1">IF(MIN($Z$4:Z761)=0,0,MAX(0,($Z761+$K762-$O762-$P762)*IF(AND(F762="F",$D$3&lt;&gt;$G$3),((1+(-J762))^(H762/MIN(G762,365))),((1+(-J762))^(1/12)))-$U762))</f>
        <v>74871.970511992084</v>
      </c>
      <c r="AA762" s="2">
        <f ca="1">IF(MIN($AA$4:AA761)=0,0,MAX(0,($AA761+$K762-$O762-$P762)*IF(AND(F762="F",$D$3&lt;&gt;$G$3),((1+$AA$1)^(H762/MIN(G762,365))),((1+$AA$1)^(1/12)))-$U762))</f>
        <v>1920000</v>
      </c>
      <c r="AB762" s="2">
        <f ca="1">IF(MIN($AB$4:AB761)=0,0,MAX(0,($AB761+$K762-$O762-$P762)*IF(AND(F762="F",$D$3&lt;&gt;$G$3),((1+(J762))^(H762/MIN(G762,365))),((1+(J762))^(1/12)))-$U762))</f>
        <v>42026613.39011889</v>
      </c>
      <c r="AC762" s="5"/>
      <c r="AD762" s="5"/>
      <c r="AE762" s="5"/>
      <c r="AF762" s="282">
        <f t="shared" ca="1" si="418"/>
        <v>74872</v>
      </c>
      <c r="AG762" s="282">
        <f t="shared" ca="1" si="419"/>
        <v>1920000</v>
      </c>
      <c r="AH762" s="282">
        <f t="shared" ca="1" si="420"/>
        <v>42026613</v>
      </c>
      <c r="AI762" s="23" t="str">
        <f t="shared" ca="1" si="437"/>
        <v>64-4</v>
      </c>
      <c r="AJ762" s="282">
        <f ca="1">IF(E762&gt;111,,IF(AND(OP!$C$99=1,T762="F"),Z762,IF(AND(OP!$C$99=2,COUNTIF($T$4:T762,"F")=1),OP!$C$97+IF(F762="F",OP!$C$98,0),"")))</f>
        <v>0</v>
      </c>
      <c r="AK762" s="282">
        <f ca="1">IF(E762&gt;111,,IF(AND(OP!$D$99=1,T762="F"),AA762,IF(AND(OP!$D$99=2,COUNTIF($T$4:T762,"F")=1),OP!$D$97+IF(F762="F",OP!$D$98,0),"")))</f>
        <v>0</v>
      </c>
      <c r="AL762" s="282">
        <f ca="1">IF(E762&gt;111,,IF(AND(OP!$E$99=1,T762="F"),AB762,IF(AND(OP!$E$99=2,COUNTIF($T$4:T762,"F")=1),OP!$E$97+IF(F762="F",OP!$E$98,0),"")))</f>
        <v>0</v>
      </c>
      <c r="AM762" s="1">
        <f t="shared" ca="1" si="410"/>
        <v>4</v>
      </c>
      <c r="AN762" s="1" t="e">
        <f ca="1">IF(OR(VLOOKUP($A762,MP,5,0)="月繳"),1,"")</f>
        <v>#N/A</v>
      </c>
      <c r="AO762" s="1">
        <f t="shared" ca="1" si="421"/>
        <v>0</v>
      </c>
      <c r="AP762" s="1" t="str">
        <f ca="1">IF(AND(A762&lt;=OP!$C$120,COUNTIF(PAY,C762)=1),1,"")</f>
        <v/>
      </c>
      <c r="AR762" s="301">
        <f ca="1">IF(繳費報酬率資料!$A$1=1,$AY762+$AZ762,$BF762+$BG762)</f>
        <v>0</v>
      </c>
      <c r="AS762" s="1">
        <f ca="1">IF(C762&lt;&gt;IF($C$3=1,12,$C$3-1),0,IF(繳費報酬率資料!$A$1&lt;&gt;1,VLOOKUP($A762,MP,8,0),IF(AND($A762&gt;=OP!$C$79,$A762&lt;=OP!$C$80),OP!$C$78,)))</f>
        <v>0</v>
      </c>
      <c r="AT762" s="298">
        <f t="shared" ca="1" si="422"/>
        <v>0</v>
      </c>
      <c r="AU762" s="298">
        <f ca="1">IF(AND(A762&lt;=OP!$C$120,COUNTIF(PAY,C762)=1),OP!$C$123,0)</f>
        <v>0</v>
      </c>
      <c r="AV762" s="298">
        <f ca="1">IF(AND(A762&gt;=OP!$C$132,A762&lt;=OP!$C$133,$C$3=C762),OP!$C$135,0)</f>
        <v>0</v>
      </c>
      <c r="AW762" s="180">
        <f t="shared" ca="1" si="423"/>
        <v>0.05</v>
      </c>
      <c r="AX762" s="180">
        <f t="shared" ca="1" si="424"/>
        <v>0.05</v>
      </c>
      <c r="AY762" s="286">
        <f t="shared" ca="1" si="425"/>
        <v>0</v>
      </c>
      <c r="AZ762" s="286">
        <f t="shared" ca="1" si="426"/>
        <v>0</v>
      </c>
      <c r="BA762" s="286">
        <f t="shared" ca="1" si="427"/>
        <v>0</v>
      </c>
      <c r="BB762" s="286">
        <f t="shared" ca="1" si="428"/>
        <v>0</v>
      </c>
      <c r="BC762" s="286">
        <f t="shared" ca="1" si="429"/>
        <v>0</v>
      </c>
      <c r="BD762" s="180">
        <f t="shared" ca="1" si="430"/>
        <v>0.05</v>
      </c>
      <c r="BE762" s="180">
        <f t="shared" ca="1" si="431"/>
        <v>0.05</v>
      </c>
      <c r="BF762" s="286">
        <f t="shared" ca="1" si="432"/>
        <v>0</v>
      </c>
      <c r="BG762" s="286">
        <f t="shared" ca="1" si="433"/>
        <v>0</v>
      </c>
    </row>
    <row r="763" spans="1:59">
      <c r="A763" s="1">
        <f t="shared" ca="1" si="413"/>
        <v>64</v>
      </c>
      <c r="B763" s="1">
        <f t="shared" ca="1" si="406"/>
        <v>169</v>
      </c>
      <c r="C763" s="1">
        <f t="shared" ca="1" si="407"/>
        <v>9</v>
      </c>
      <c r="D763" s="1">
        <f ca="1">MIN($D$3,VLOOKUP(C763,OP!$S$30:$T$41,2))</f>
        <v>2</v>
      </c>
      <c r="E763" s="1" t="str">
        <f t="shared" ca="1" si="408"/>
        <v/>
      </c>
      <c r="F763" s="11" t="str">
        <f t="shared" ca="1" si="414"/>
        <v/>
      </c>
      <c r="G763" s="8">
        <f t="shared" ca="1" si="441"/>
        <v>365</v>
      </c>
      <c r="H763" s="8">
        <f t="shared" ca="1" si="415"/>
        <v>30</v>
      </c>
      <c r="I763" s="8" t="str">
        <f t="shared" ca="1" si="412"/>
        <v>649</v>
      </c>
      <c r="J763" s="13">
        <f>IF(繳費報酬率資料!$A$1=1,VALUE(OP!$C$121),VLOOKUP(A763,MP,2,0))</f>
        <v>0.05</v>
      </c>
      <c r="K763" s="14">
        <f ca="1">IF(SUM($K$4:K762,IF(繳費報酬率資料!$A$1=1,$AU763+$AV763,$BB763+$BC763))&gt;OP!$L$58,0,IF(繳費報酬率資料!$A$1=1,$AU763+$AV763,$BB763+$BC763))</f>
        <v>0</v>
      </c>
      <c r="L763" s="2"/>
      <c r="M763" s="2"/>
      <c r="N763" s="2"/>
      <c r="O763" s="261">
        <f t="shared" ca="1" si="416"/>
        <v>0</v>
      </c>
      <c r="P763" s="261">
        <f t="shared" ca="1" si="434"/>
        <v>0</v>
      </c>
      <c r="Q763" s="3">
        <f ca="1">IF(A763&gt;MAX(OP!$R$17:$R$26),0,VLOOKUP(A763,fees,3,FALSE))</f>
        <v>0</v>
      </c>
      <c r="R763" s="200" t="str">
        <f t="shared" ca="1" si="417"/>
        <v/>
      </c>
      <c r="S763" s="9" t="str">
        <f ca="1">IF(COUNTIF(($T$4:T762),"F")&gt;=1,"",IF(OR(C764&lt;&gt;$C$3,E763=""),"",A763))</f>
        <v/>
      </c>
      <c r="T763" s="20" t="str">
        <f t="shared" ca="1" si="409"/>
        <v/>
      </c>
      <c r="U763" s="2">
        <f ca="1">IF(IF(OP!$C$83=1,$Z762,IF(OP!$C$83=2,$AA762,IF(OP!$C$83=3,$AB762,)))+$K763-$O763-$P763-$AS763&lt;OP!$C$142,0,$AS763)</f>
        <v>0</v>
      </c>
      <c r="V763" s="9"/>
      <c r="W763" s="19">
        <f ca="1">MAX(SUM($K$4:K763),0)</f>
        <v>2000000</v>
      </c>
      <c r="X763" s="19"/>
      <c r="Y763" s="19">
        <f t="shared" ca="1" si="435"/>
        <v>1920000</v>
      </c>
      <c r="Z763" s="2">
        <f ca="1">IF(MIN($Z$4:Z762)=0,0,MAX(0,($Z762+$K763-$O763-$P763)*IF(AND(F763="F",$D$3&lt;&gt;$G$3),((1+(-J763))^(H763/MIN(G763,365))),((1+(-J763))^(1/12)))-$U763))</f>
        <v>74552.617690254323</v>
      </c>
      <c r="AA763" s="2">
        <f ca="1">IF(MIN($AA$4:AA762)=0,0,MAX(0,($AA762+$K763-$O763-$P763)*IF(AND(F763="F",$D$3&lt;&gt;$G$3),((1+$AA$1)^(H763/MIN(G763,365))),((1+$AA$1)^(1/12)))-$U763))</f>
        <v>1920000</v>
      </c>
      <c r="AB763" s="2">
        <f ca="1">IF(MIN($AB$4:AB762)=0,0,MAX(0,($AB762+$K763-$O763-$P763)*IF(AND(F763="F",$D$3&lt;&gt;$G$3),((1+(J763))^(H763/MIN(G763,365))),((1+(J763))^(1/12)))-$U763))</f>
        <v>42197835.015277766</v>
      </c>
      <c r="AC763" s="5"/>
      <c r="AD763" s="5"/>
      <c r="AE763" s="5"/>
      <c r="AF763" s="282">
        <f t="shared" ca="1" si="418"/>
        <v>74553</v>
      </c>
      <c r="AG763" s="282">
        <f t="shared" ca="1" si="419"/>
        <v>1920000</v>
      </c>
      <c r="AH763" s="282">
        <f t="shared" ca="1" si="420"/>
        <v>42197835</v>
      </c>
      <c r="AI763" s="23" t="str">
        <f t="shared" ca="1" si="437"/>
        <v>64-5</v>
      </c>
      <c r="AJ763" s="282">
        <f ca="1">IF(E763&gt;111,,IF(AND(OP!$C$99=1,T763="F"),Z763,IF(AND(OP!$C$99=2,COUNTIF($T$4:T763,"F")=1),OP!$C$97+IF(F763="F",OP!$C$98,0),"")))</f>
        <v>0</v>
      </c>
      <c r="AK763" s="282">
        <f ca="1">IF(E763&gt;111,,IF(AND(OP!$D$99=1,T763="F"),AA763,IF(AND(OP!$D$99=2,COUNTIF($T$4:T763,"F")=1),OP!$D$97+IF(F763="F",OP!$D$98,0),"")))</f>
        <v>0</v>
      </c>
      <c r="AL763" s="282">
        <f ca="1">IF(E763&gt;111,,IF(AND(OP!$E$99=1,T763="F"),AB763,IF(AND(OP!$E$99=2,COUNTIF($T$4:T763,"F")=1),OP!$E$97+IF(F763="F",OP!$E$98,0),"")))</f>
        <v>0</v>
      </c>
      <c r="AM763" s="1">
        <f t="shared" ca="1" si="410"/>
        <v>5</v>
      </c>
      <c r="AN763" s="1" t="e">
        <f ca="1">IF(OR(VLOOKUP($A763,MP,5,0)="季繳",VLOOKUP($A763,MP,5,0)="月繳"),1,"")</f>
        <v>#N/A</v>
      </c>
      <c r="AO763" s="1">
        <f t="shared" ca="1" si="421"/>
        <v>0</v>
      </c>
      <c r="AP763" s="1" t="str">
        <f ca="1">IF(AND(A763&lt;=OP!$C$120,COUNTIF(PAY,C763)=1),1,"")</f>
        <v/>
      </c>
      <c r="AR763" s="301">
        <f ca="1">IF(繳費報酬率資料!$A$1=1,$AY763+$AZ763,$BF763+$BG763)</f>
        <v>0</v>
      </c>
      <c r="AS763" s="1">
        <f ca="1">IF(C763&lt;&gt;IF($C$3=1,12,$C$3-1),0,IF(繳費報酬率資料!$A$1&lt;&gt;1,VLOOKUP($A763,MP,8,0),IF(AND($A763&gt;=OP!$C$79,$A763&lt;=OP!$C$80),OP!$C$78,)))</f>
        <v>0</v>
      </c>
      <c r="AT763" s="298">
        <f t="shared" ca="1" si="422"/>
        <v>0</v>
      </c>
      <c r="AU763" s="298">
        <f ca="1">IF(AND(A763&lt;=OP!$C$120,COUNTIF(PAY,C763)=1),OP!$C$123,0)</f>
        <v>0</v>
      </c>
      <c r="AV763" s="298">
        <f ca="1">IF(AND(A763&gt;=OP!$C$132,A763&lt;=OP!$C$133,$C$3=C763),OP!$C$135,0)</f>
        <v>0</v>
      </c>
      <c r="AW763" s="180">
        <f t="shared" ca="1" si="423"/>
        <v>0.05</v>
      </c>
      <c r="AX763" s="180">
        <f t="shared" ca="1" si="424"/>
        <v>0.05</v>
      </c>
      <c r="AY763" s="286">
        <f t="shared" ca="1" si="425"/>
        <v>0</v>
      </c>
      <c r="AZ763" s="286">
        <f t="shared" ca="1" si="426"/>
        <v>0</v>
      </c>
      <c r="BA763" s="286">
        <f t="shared" ca="1" si="427"/>
        <v>0</v>
      </c>
      <c r="BB763" s="286">
        <f t="shared" ca="1" si="428"/>
        <v>0</v>
      </c>
      <c r="BC763" s="286">
        <f t="shared" ca="1" si="429"/>
        <v>0</v>
      </c>
      <c r="BD763" s="180">
        <f t="shared" ca="1" si="430"/>
        <v>0.05</v>
      </c>
      <c r="BE763" s="180">
        <f t="shared" ca="1" si="431"/>
        <v>0.05</v>
      </c>
      <c r="BF763" s="286">
        <f t="shared" ca="1" si="432"/>
        <v>0</v>
      </c>
      <c r="BG763" s="286">
        <f t="shared" ca="1" si="433"/>
        <v>0</v>
      </c>
    </row>
    <row r="764" spans="1:59">
      <c r="A764" s="1">
        <f t="shared" ca="1" si="413"/>
        <v>64</v>
      </c>
      <c r="B764" s="1">
        <f t="shared" ref="B764:B827" ca="1" si="442">IF(C764=1,B763+1,B763)</f>
        <v>169</v>
      </c>
      <c r="C764" s="1">
        <f t="shared" ref="C764:C827" ca="1" si="443">IF(C763=12,1,C763+1)</f>
        <v>10</v>
      </c>
      <c r="D764" s="1">
        <f ca="1">MIN($D$3,VLOOKUP(C764,OP!$S$30:$T$41,2))</f>
        <v>2</v>
      </c>
      <c r="E764" s="1" t="str">
        <f t="shared" ref="E764:E827" ca="1" si="444">IF($K$1+A764-1&gt;$D$1,"",$K$1+A764-1)</f>
        <v/>
      </c>
      <c r="F764" s="11" t="str">
        <f t="shared" ca="1" si="414"/>
        <v/>
      </c>
      <c r="G764" s="8">
        <f t="shared" ca="1" si="441"/>
        <v>365</v>
      </c>
      <c r="H764" s="8">
        <f t="shared" ca="1" si="415"/>
        <v>31</v>
      </c>
      <c r="I764" s="8" t="str">
        <f t="shared" ca="1" si="412"/>
        <v>6410</v>
      </c>
      <c r="J764" s="13">
        <f>IF(繳費報酬率資料!$A$1=1,VALUE(OP!$C$121),VLOOKUP(A764,MP,2,0))</f>
        <v>0.05</v>
      </c>
      <c r="K764" s="14">
        <f ca="1">IF(SUM($K$4:K763,IF(繳費報酬率資料!$A$1=1,$AU764+$AV764,$BB764+$BC764))&gt;OP!$L$58,0,IF(繳費報酬率資料!$A$1=1,$AU764+$AV764,$BB764+$BC764))</f>
        <v>0</v>
      </c>
      <c r="L764" s="2"/>
      <c r="M764" s="2"/>
      <c r="N764" s="2"/>
      <c r="O764" s="261">
        <f t="shared" ca="1" si="416"/>
        <v>0</v>
      </c>
      <c r="P764" s="261">
        <f t="shared" ca="1" si="434"/>
        <v>0</v>
      </c>
      <c r="Q764" s="3">
        <f ca="1">IF(A764&gt;MAX(OP!$R$17:$R$26),0,VLOOKUP(A764,fees,3,FALSE))</f>
        <v>0</v>
      </c>
      <c r="R764" s="200" t="str">
        <f t="shared" ca="1" si="417"/>
        <v/>
      </c>
      <c r="S764" s="9" t="str">
        <f ca="1">IF(COUNTIF(($T$4:T763),"F")&gt;=1,"",IF(OR(C765&lt;&gt;$C$3,E764=""),"",A764))</f>
        <v/>
      </c>
      <c r="T764" s="20" t="str">
        <f t="shared" ref="T764:T827" ca="1" si="445">IF(F764&lt;&gt;"","F","")</f>
        <v/>
      </c>
      <c r="U764" s="2">
        <f ca="1">IF(IF(OP!$C$83=1,$Z763,IF(OP!$C$83=2,$AA763,IF(OP!$C$83=3,$AB763,)))+$K764-$O764-$P764-$AS764&lt;OP!$C$142,0,$AS764)</f>
        <v>0</v>
      </c>
      <c r="V764" s="9"/>
      <c r="W764" s="19">
        <f ca="1">MAX(SUM($K$4:K764),0)</f>
        <v>2000000</v>
      </c>
      <c r="X764" s="19"/>
      <c r="Y764" s="19">
        <f t="shared" ca="1" si="435"/>
        <v>1920000</v>
      </c>
      <c r="Z764" s="2">
        <f ca="1">IF(MIN($Z$4:Z763)=0,0,MAX(0,($Z763+$K764-$O764-$P764)*IF(AND(F764="F",$D$3&lt;&gt;$G$3),((1+(-J764))^(H764/MIN(G764,365))),((1+(-J764))^(1/12)))-$U764))</f>
        <v>74234.627010103781</v>
      </c>
      <c r="AA764" s="2">
        <f ca="1">IF(MIN($AA$4:AA763)=0,0,MAX(0,($AA763+$K764-$O764-$P764)*IF(AND(F764="F",$D$3&lt;&gt;$G$3),((1+$AA$1)^(H764/MIN(G764,365))),((1+$AA$1)^(1/12)))-$U764))</f>
        <v>1920000</v>
      </c>
      <c r="AB764" s="2">
        <f ca="1">IF(MIN($AB$4:AB763)=0,0,MAX(0,($AB763+$K764-$O764-$P764)*IF(AND(F764="F",$D$3&lt;&gt;$G$3),((1+(J764))^(H764/MIN(G764,365))),((1+(J764))^(1/12)))-$U764))</f>
        <v>42369754.218531981</v>
      </c>
      <c r="AC764" s="5"/>
      <c r="AD764" s="5"/>
      <c r="AE764" s="5"/>
      <c r="AF764" s="282">
        <f t="shared" ca="1" si="418"/>
        <v>74235</v>
      </c>
      <c r="AG764" s="282">
        <f t="shared" ca="1" si="419"/>
        <v>1920000</v>
      </c>
      <c r="AH764" s="282">
        <f t="shared" ca="1" si="420"/>
        <v>42369754</v>
      </c>
      <c r="AI764" s="23" t="str">
        <f t="shared" ca="1" si="437"/>
        <v>64-6</v>
      </c>
      <c r="AJ764" s="282">
        <f ca="1">IF(E764&gt;111,,IF(AND(OP!$C$99=1,T764="F"),Z764,IF(AND(OP!$C$99=2,COUNTIF($T$4:T764,"F")=1),OP!$C$97+IF(F764="F",OP!$C$98,0),"")))</f>
        <v>0</v>
      </c>
      <c r="AK764" s="282">
        <f ca="1">IF(E764&gt;111,,IF(AND(OP!$D$99=1,T764="F"),AA764,IF(AND(OP!$D$99=2,COUNTIF($T$4:T764,"F")=1),OP!$D$97+IF(F764="F",OP!$D$98,0),"")))</f>
        <v>0</v>
      </c>
      <c r="AL764" s="282">
        <f ca="1">IF(E764&gt;111,,IF(AND(OP!$E$99=1,T764="F"),AB764,IF(AND(OP!$E$99=2,COUNTIF($T$4:T764,"F")=1),OP!$E$97+IF(F764="F",OP!$E$98,0),"")))</f>
        <v>0</v>
      </c>
      <c r="AM764" s="1">
        <f t="shared" ref="AM764:AM827" ca="1" si="446">IF(AND(AK764&lt;&gt;"",AM763=""),1,IF(AND(AK764&lt;&gt;"",AM763&gt;0),IF(AM763=12,1,AM763+1),""))</f>
        <v>6</v>
      </c>
      <c r="AN764" s="1" t="e">
        <f ca="1">IF(OR(VLOOKUP($A764,MP,5,0)="月繳"),1,"")</f>
        <v>#N/A</v>
      </c>
      <c r="AO764" s="1">
        <f t="shared" ca="1" si="421"/>
        <v>0</v>
      </c>
      <c r="AP764" s="1" t="str">
        <f ca="1">IF(AND(A764&lt;=OP!$C$120,COUNTIF(PAY,C764)=1),1,"")</f>
        <v/>
      </c>
      <c r="AR764" s="301">
        <f ca="1">IF(繳費報酬率資料!$A$1=1,$AY764+$AZ764,$BF764+$BG764)</f>
        <v>0</v>
      </c>
      <c r="AS764" s="1">
        <f ca="1">IF(C764&lt;&gt;IF($C$3=1,12,$C$3-1),0,IF(繳費報酬率資料!$A$1&lt;&gt;1,VLOOKUP($A764,MP,8,0),IF(AND($A764&gt;=OP!$C$79,$A764&lt;=OP!$C$80),OP!$C$78,)))</f>
        <v>0</v>
      </c>
      <c r="AT764" s="298">
        <f t="shared" ca="1" si="422"/>
        <v>0</v>
      </c>
      <c r="AU764" s="298">
        <f ca="1">IF(AND(A764&lt;=OP!$C$120,COUNTIF(PAY,C764)=1),OP!$C$123,0)</f>
        <v>0</v>
      </c>
      <c r="AV764" s="298">
        <f ca="1">IF(AND(A764&gt;=OP!$C$132,A764&lt;=OP!$C$133,$C$3=C764),OP!$C$135,0)</f>
        <v>0</v>
      </c>
      <c r="AW764" s="180">
        <f t="shared" ca="1" si="423"/>
        <v>0.05</v>
      </c>
      <c r="AX764" s="180">
        <f t="shared" ca="1" si="424"/>
        <v>0.05</v>
      </c>
      <c r="AY764" s="286">
        <f t="shared" ca="1" si="425"/>
        <v>0</v>
      </c>
      <c r="AZ764" s="286">
        <f t="shared" ca="1" si="426"/>
        <v>0</v>
      </c>
      <c r="BA764" s="286">
        <f t="shared" ca="1" si="427"/>
        <v>0</v>
      </c>
      <c r="BB764" s="286">
        <f t="shared" ca="1" si="428"/>
        <v>0</v>
      </c>
      <c r="BC764" s="286">
        <f t="shared" ca="1" si="429"/>
        <v>0</v>
      </c>
      <c r="BD764" s="180">
        <f t="shared" ca="1" si="430"/>
        <v>0.05</v>
      </c>
      <c r="BE764" s="180">
        <f t="shared" ca="1" si="431"/>
        <v>0.05</v>
      </c>
      <c r="BF764" s="286">
        <f t="shared" ca="1" si="432"/>
        <v>0</v>
      </c>
      <c r="BG764" s="286">
        <f t="shared" ca="1" si="433"/>
        <v>0</v>
      </c>
    </row>
    <row r="765" spans="1:59">
      <c r="A765" s="1">
        <f t="shared" ca="1" si="413"/>
        <v>64</v>
      </c>
      <c r="B765" s="1">
        <f t="shared" ca="1" si="442"/>
        <v>169</v>
      </c>
      <c r="C765" s="1">
        <f t="shared" ca="1" si="443"/>
        <v>11</v>
      </c>
      <c r="D765" s="1">
        <f ca="1">MIN($D$3,VLOOKUP(C765,OP!$S$30:$T$41,2))</f>
        <v>2</v>
      </c>
      <c r="E765" s="1" t="str">
        <f t="shared" ca="1" si="444"/>
        <v/>
      </c>
      <c r="F765" s="11" t="str">
        <f t="shared" ca="1" si="414"/>
        <v/>
      </c>
      <c r="G765" s="8">
        <f t="shared" ca="1" si="441"/>
        <v>365</v>
      </c>
      <c r="H765" s="8">
        <f t="shared" ca="1" si="415"/>
        <v>30</v>
      </c>
      <c r="I765" s="8" t="str">
        <f t="shared" ca="1" si="412"/>
        <v>6411</v>
      </c>
      <c r="J765" s="13">
        <f>IF(繳費報酬率資料!$A$1=1,VALUE(OP!$C$121),VLOOKUP(A765,MP,2,0))</f>
        <v>0.05</v>
      </c>
      <c r="K765" s="14">
        <f ca="1">IF(SUM($K$4:K764,IF(繳費報酬率資料!$A$1=1,$AU765+$AV765,$BB765+$BC765))&gt;OP!$L$58,0,IF(繳費報酬率資料!$A$1=1,$AU765+$AV765,$BB765+$BC765))</f>
        <v>0</v>
      </c>
      <c r="L765" s="2"/>
      <c r="M765" s="2"/>
      <c r="N765" s="2"/>
      <c r="O765" s="261">
        <f t="shared" ca="1" si="416"/>
        <v>0</v>
      </c>
      <c r="P765" s="261">
        <f t="shared" ca="1" si="434"/>
        <v>0</v>
      </c>
      <c r="Q765" s="3">
        <f ca="1">IF(A765&gt;MAX(OP!$R$17:$R$26),0,VLOOKUP(A765,fees,3,FALSE))</f>
        <v>0</v>
      </c>
      <c r="R765" s="200" t="str">
        <f t="shared" ca="1" si="417"/>
        <v/>
      </c>
      <c r="S765" s="9" t="str">
        <f ca="1">IF(COUNTIF(($T$4:T764),"F")&gt;=1,"",IF(OR(C766&lt;&gt;$C$3,E765=""),"",A765))</f>
        <v/>
      </c>
      <c r="T765" s="20" t="str">
        <f t="shared" ca="1" si="445"/>
        <v/>
      </c>
      <c r="U765" s="2">
        <f ca="1">IF(IF(OP!$C$83=1,$Z764,IF(OP!$C$83=2,$AA764,IF(OP!$C$83=3,$AB764,)))+$K765-$O765-$P765-$AS765&lt;OP!$C$142,0,$AS765)</f>
        <v>0</v>
      </c>
      <c r="V765" s="9"/>
      <c r="W765" s="19">
        <f ca="1">MAX(SUM($K$4:K765),0)</f>
        <v>2000000</v>
      </c>
      <c r="X765" s="19"/>
      <c r="Y765" s="19">
        <f t="shared" ca="1" si="435"/>
        <v>1920000</v>
      </c>
      <c r="Z765" s="2">
        <f ca="1">IF(MIN($Z$4:Z764)=0,0,MAX(0,($Z764+$K765-$O765-$P765)*IF(AND(F765="F",$D$3&lt;&gt;$G$3),((1+(-J765))^(H765/MIN(G765,365))),((1+(-J765))^(1/12)))-$U765))</f>
        <v>73917.992661572382</v>
      </c>
      <c r="AA765" s="2">
        <f ca="1">IF(MIN($AA$4:AA764)=0,0,MAX(0,($AA764+$K765-$O765-$P765)*IF(AND(F765="F",$D$3&lt;&gt;$G$3),((1+$AA$1)^(H765/MIN(G765,365))),((1+$AA$1)^(1/12)))-$U765))</f>
        <v>1920000</v>
      </c>
      <c r="AB765" s="2">
        <f ca="1">IF(MIN($AB$4:AB764)=0,0,MAX(0,($AB764+$K765-$O765-$P765)*IF(AND(F765="F",$D$3&lt;&gt;$G$3),((1+(J765))^(H765/MIN(G765,365))),((1+(J765))^(1/12)))-$U765))</f>
        <v>42542373.841901034</v>
      </c>
      <c r="AC765" s="5"/>
      <c r="AD765" s="5"/>
      <c r="AE765" s="5"/>
      <c r="AF765" s="282">
        <f t="shared" ca="1" si="418"/>
        <v>73918</v>
      </c>
      <c r="AG765" s="282">
        <f t="shared" ca="1" si="419"/>
        <v>1920000</v>
      </c>
      <c r="AH765" s="282">
        <f t="shared" ca="1" si="420"/>
        <v>42542374</v>
      </c>
      <c r="AI765" s="23" t="str">
        <f t="shared" ca="1" si="437"/>
        <v>64-7</v>
      </c>
      <c r="AJ765" s="282">
        <f ca="1">IF(E765&gt;111,,IF(AND(OP!$C$99=1,T765="F"),Z765,IF(AND(OP!$C$99=2,COUNTIF($T$4:T765,"F")=1),OP!$C$97+IF(F765="F",OP!$C$98,0),"")))</f>
        <v>0</v>
      </c>
      <c r="AK765" s="282">
        <f ca="1">IF(E765&gt;111,,IF(AND(OP!$D$99=1,T765="F"),AA765,IF(AND(OP!$D$99=2,COUNTIF($T$4:T765,"F")=1),OP!$D$97+IF(F765="F",OP!$D$98,0),"")))</f>
        <v>0</v>
      </c>
      <c r="AL765" s="282">
        <f ca="1">IF(E765&gt;111,,IF(AND(OP!$E$99=1,T765="F"),AB765,IF(AND(OP!$E$99=2,COUNTIF($T$4:T765,"F")=1),OP!$E$97+IF(F765="F",OP!$E$98,0),"")))</f>
        <v>0</v>
      </c>
      <c r="AM765" s="1">
        <f t="shared" ca="1" si="446"/>
        <v>7</v>
      </c>
      <c r="AN765" s="1" t="e">
        <f ca="1">IF(OR(VLOOKUP($A765,MP,5,0)="月繳"),1,"")</f>
        <v>#N/A</v>
      </c>
      <c r="AO765" s="1">
        <f t="shared" ca="1" si="421"/>
        <v>0</v>
      </c>
      <c r="AP765" s="1" t="str">
        <f ca="1">IF(AND(A765&lt;=OP!$C$120,COUNTIF(PAY,C765)=1),1,"")</f>
        <v/>
      </c>
      <c r="AR765" s="301">
        <f ca="1">IF(繳費報酬率資料!$A$1=1,$AY765+$AZ765,$BF765+$BG765)</f>
        <v>0</v>
      </c>
      <c r="AS765" s="1">
        <f ca="1">IF(C765&lt;&gt;IF($C$3=1,12,$C$3-1),0,IF(繳費報酬率資料!$A$1&lt;&gt;1,VLOOKUP($A765,MP,8,0),IF(AND($A765&gt;=OP!$C$79,$A765&lt;=OP!$C$80),OP!$C$78,)))</f>
        <v>0</v>
      </c>
      <c r="AT765" s="298">
        <f t="shared" ca="1" si="422"/>
        <v>0</v>
      </c>
      <c r="AU765" s="298">
        <f ca="1">IF(AND(A765&lt;=OP!$C$120,COUNTIF(PAY,C765)=1),OP!$C$123,0)</f>
        <v>0</v>
      </c>
      <c r="AV765" s="298">
        <f ca="1">IF(AND(A765&gt;=OP!$C$132,A765&lt;=OP!$C$133,$C$3=C765),OP!$C$135,0)</f>
        <v>0</v>
      </c>
      <c r="AW765" s="180">
        <f t="shared" ca="1" si="423"/>
        <v>0.05</v>
      </c>
      <c r="AX765" s="180">
        <f t="shared" ca="1" si="424"/>
        <v>0.05</v>
      </c>
      <c r="AY765" s="286">
        <f t="shared" ca="1" si="425"/>
        <v>0</v>
      </c>
      <c r="AZ765" s="286">
        <f t="shared" ca="1" si="426"/>
        <v>0</v>
      </c>
      <c r="BA765" s="286">
        <f t="shared" ca="1" si="427"/>
        <v>0</v>
      </c>
      <c r="BB765" s="286">
        <f t="shared" ca="1" si="428"/>
        <v>0</v>
      </c>
      <c r="BC765" s="286">
        <f t="shared" ca="1" si="429"/>
        <v>0</v>
      </c>
      <c r="BD765" s="180">
        <f t="shared" ca="1" si="430"/>
        <v>0.05</v>
      </c>
      <c r="BE765" s="180">
        <f t="shared" ca="1" si="431"/>
        <v>0.05</v>
      </c>
      <c r="BF765" s="286">
        <f t="shared" ca="1" si="432"/>
        <v>0</v>
      </c>
      <c r="BG765" s="286">
        <f t="shared" ca="1" si="433"/>
        <v>0</v>
      </c>
    </row>
    <row r="766" spans="1:59">
      <c r="A766" s="1">
        <f t="shared" ca="1" si="413"/>
        <v>64</v>
      </c>
      <c r="B766" s="1">
        <f t="shared" ca="1" si="442"/>
        <v>169</v>
      </c>
      <c r="C766" s="1">
        <f t="shared" ca="1" si="443"/>
        <v>12</v>
      </c>
      <c r="D766" s="1">
        <f ca="1">MIN($D$3,VLOOKUP(C766,OP!$S$30:$T$41,2))</f>
        <v>2</v>
      </c>
      <c r="E766" s="1" t="str">
        <f t="shared" ca="1" si="444"/>
        <v/>
      </c>
      <c r="F766" s="11" t="str">
        <f t="shared" ca="1" si="414"/>
        <v/>
      </c>
      <c r="G766" s="8">
        <f t="shared" ca="1" si="441"/>
        <v>365</v>
      </c>
      <c r="H766" s="8">
        <f t="shared" ca="1" si="415"/>
        <v>31</v>
      </c>
      <c r="I766" s="8" t="str">
        <f t="shared" ca="1" si="412"/>
        <v>6412</v>
      </c>
      <c r="J766" s="13">
        <f>IF(繳費報酬率資料!$A$1=1,VALUE(OP!$C$121),VLOOKUP(A766,MP,2,0))</f>
        <v>0.05</v>
      </c>
      <c r="K766" s="14">
        <f ca="1">IF(SUM($K$4:K765,IF(繳費報酬率資料!$A$1=1,$AU766+$AV766,$BB766+$BC766))&gt;OP!$L$58,0,IF(繳費報酬率資料!$A$1=1,$AU766+$AV766,$BB766+$BC766))</f>
        <v>0</v>
      </c>
      <c r="L766" s="2"/>
      <c r="M766" s="2"/>
      <c r="N766" s="2"/>
      <c r="O766" s="261">
        <f t="shared" ca="1" si="416"/>
        <v>0</v>
      </c>
      <c r="P766" s="261">
        <f t="shared" ca="1" si="434"/>
        <v>0</v>
      </c>
      <c r="Q766" s="3">
        <f ca="1">IF(A766&gt;MAX(OP!$R$17:$R$26),0,VLOOKUP(A766,fees,3,FALSE))</f>
        <v>0</v>
      </c>
      <c r="R766" s="200" t="str">
        <f t="shared" ca="1" si="417"/>
        <v/>
      </c>
      <c r="S766" s="9" t="str">
        <f ca="1">IF(COUNTIF(($T$4:T765),"F")&gt;=1,"",IF(OR(C767&lt;&gt;$C$3,E766=""),"",A766))</f>
        <v/>
      </c>
      <c r="T766" s="20" t="str">
        <f t="shared" ca="1" si="445"/>
        <v/>
      </c>
      <c r="U766" s="2">
        <f ca="1">IF(IF(OP!$C$83=1,$Z765,IF(OP!$C$83=2,$AA765,IF(OP!$C$83=3,$AB765,)))+$K766-$O766-$P766-$AS766&lt;OP!$C$142,0,$AS766)</f>
        <v>0</v>
      </c>
      <c r="V766" s="9"/>
      <c r="W766" s="19">
        <f ca="1">MAX(SUM($K$4:K766),0)</f>
        <v>2000000</v>
      </c>
      <c r="X766" s="19"/>
      <c r="Y766" s="19">
        <f t="shared" ca="1" si="435"/>
        <v>1920000</v>
      </c>
      <c r="Z766" s="2">
        <f ca="1">IF(MIN($Z$4:Z765)=0,0,MAX(0,($Z765+$K766-$O766-$P766)*IF(AND(F766="F",$D$3&lt;&gt;$G$3),((1+(-J766))^(H766/MIN(G766,365))),((1+(-J766))^(1/12)))-$U766))</f>
        <v>73602.708859473394</v>
      </c>
      <c r="AA766" s="2">
        <f ca="1">IF(MIN($AA$4:AA765)=0,0,MAX(0,($AA765+$K766-$O766-$P766)*IF(AND(F766="F",$D$3&lt;&gt;$G$3),((1+$AA$1)^(H766/MIN(G766,365))),((1+$AA$1)^(1/12)))-$U766))</f>
        <v>1920000</v>
      </c>
      <c r="AB766" s="2">
        <f ca="1">IF(MIN($AB$4:AB765)=0,0,MAX(0,($AB765+$K766-$O766-$P766)*IF(AND(F766="F",$D$3&lt;&gt;$G$3),((1+(J766))^(H766/MIN(G766,365))),((1+(J766))^(1/12)))-$U766))</f>
        <v>42715696.738983184</v>
      </c>
      <c r="AC766" s="5"/>
      <c r="AD766" s="5"/>
      <c r="AE766" s="5"/>
      <c r="AF766" s="282">
        <f t="shared" ca="1" si="418"/>
        <v>73603</v>
      </c>
      <c r="AG766" s="282">
        <f t="shared" ca="1" si="419"/>
        <v>1920000</v>
      </c>
      <c r="AH766" s="282">
        <f t="shared" ca="1" si="420"/>
        <v>42715697</v>
      </c>
      <c r="AI766" s="23" t="str">
        <f t="shared" ca="1" si="437"/>
        <v>64-8</v>
      </c>
      <c r="AJ766" s="282">
        <f ca="1">IF(E766&gt;111,,IF(AND(OP!$C$99=1,T766="F"),Z766,IF(AND(OP!$C$99=2,COUNTIF($T$4:T766,"F")=1),OP!$C$97+IF(F766="F",OP!$C$98,0),"")))</f>
        <v>0</v>
      </c>
      <c r="AK766" s="282">
        <f ca="1">IF(E766&gt;111,,IF(AND(OP!$D$99=1,T766="F"),AA766,IF(AND(OP!$D$99=2,COUNTIF($T$4:T766,"F")=1),OP!$D$97+IF(F766="F",OP!$D$98,0),"")))</f>
        <v>0</v>
      </c>
      <c r="AL766" s="282">
        <f ca="1">IF(E766&gt;111,,IF(AND(OP!$E$99=1,T766="F"),AB766,IF(AND(OP!$E$99=2,COUNTIF($T$4:T766,"F")=1),OP!$E$97+IF(F766="F",OP!$E$98,0),"")))</f>
        <v>0</v>
      </c>
      <c r="AM766" s="1">
        <f t="shared" ca="1" si="446"/>
        <v>8</v>
      </c>
      <c r="AN766" s="1" t="e">
        <f ca="1">IF(OR(VLOOKUP($A766,MP,5,0)="半年繳",VLOOKUP($A766,MP,5,0)="季繳",VLOOKUP($A766,MP,5,0)="月繳"),1,"")</f>
        <v>#N/A</v>
      </c>
      <c r="AO766" s="1">
        <f t="shared" ca="1" si="421"/>
        <v>0</v>
      </c>
      <c r="AP766" s="1" t="str">
        <f ca="1">IF(AND(A766&lt;=OP!$C$120,COUNTIF(PAY,C766)=1),1,"")</f>
        <v/>
      </c>
      <c r="AR766" s="301">
        <f ca="1">IF(繳費報酬率資料!$A$1=1,$AY766+$AZ766,$BF766+$BG766)</f>
        <v>0</v>
      </c>
      <c r="AS766" s="1">
        <f ca="1">IF(C766&lt;&gt;IF($C$3=1,12,$C$3-1),0,IF(繳費報酬率資料!$A$1&lt;&gt;1,VLOOKUP($A766,MP,8,0),IF(AND($A766&gt;=OP!$C$79,$A766&lt;=OP!$C$80),OP!$C$78,)))</f>
        <v>0</v>
      </c>
      <c r="AT766" s="298">
        <f t="shared" ca="1" si="422"/>
        <v>0</v>
      </c>
      <c r="AU766" s="298">
        <f ca="1">IF(AND(A766&lt;=OP!$C$120,COUNTIF(PAY,C766)=1),OP!$C$123,0)</f>
        <v>0</v>
      </c>
      <c r="AV766" s="298">
        <f ca="1">IF(AND(A766&gt;=OP!$C$132,A766&lt;=OP!$C$133,$C$3=C766),OP!$C$135,0)</f>
        <v>0</v>
      </c>
      <c r="AW766" s="180">
        <f t="shared" ca="1" si="423"/>
        <v>0.05</v>
      </c>
      <c r="AX766" s="180">
        <f t="shared" ca="1" si="424"/>
        <v>0.05</v>
      </c>
      <c r="AY766" s="286">
        <f t="shared" ca="1" si="425"/>
        <v>0</v>
      </c>
      <c r="AZ766" s="286">
        <f t="shared" ca="1" si="426"/>
        <v>0</v>
      </c>
      <c r="BA766" s="286">
        <f t="shared" ca="1" si="427"/>
        <v>0</v>
      </c>
      <c r="BB766" s="286">
        <f t="shared" ca="1" si="428"/>
        <v>0</v>
      </c>
      <c r="BC766" s="286">
        <f t="shared" ca="1" si="429"/>
        <v>0</v>
      </c>
      <c r="BD766" s="180">
        <f t="shared" ca="1" si="430"/>
        <v>0.05</v>
      </c>
      <c r="BE766" s="180">
        <f t="shared" ca="1" si="431"/>
        <v>0.05</v>
      </c>
      <c r="BF766" s="286">
        <f t="shared" ca="1" si="432"/>
        <v>0</v>
      </c>
      <c r="BG766" s="286">
        <f t="shared" ca="1" si="433"/>
        <v>0</v>
      </c>
    </row>
    <row r="767" spans="1:59">
      <c r="A767" s="1">
        <f t="shared" ca="1" si="413"/>
        <v>64</v>
      </c>
      <c r="B767" s="1">
        <f t="shared" ca="1" si="442"/>
        <v>170</v>
      </c>
      <c r="C767" s="1">
        <f t="shared" ca="1" si="443"/>
        <v>1</v>
      </c>
      <c r="D767" s="1">
        <f ca="1">MIN($D$3,VLOOKUP(C767,OP!$S$30:$T$41,2))</f>
        <v>2</v>
      </c>
      <c r="E767" s="1" t="str">
        <f t="shared" ca="1" si="444"/>
        <v/>
      </c>
      <c r="F767" s="11" t="str">
        <f t="shared" ca="1" si="414"/>
        <v/>
      </c>
      <c r="G767" s="8">
        <f t="shared" ca="1" si="441"/>
        <v>365</v>
      </c>
      <c r="H767" s="8">
        <f t="shared" ca="1" si="415"/>
        <v>31</v>
      </c>
      <c r="I767" s="8" t="str">
        <f t="shared" ca="1" si="412"/>
        <v>641</v>
      </c>
      <c r="J767" s="13">
        <f>IF(繳費報酬率資料!$A$1=1,VALUE(OP!$C$121),VLOOKUP(A767,MP,2,0))</f>
        <v>0.05</v>
      </c>
      <c r="K767" s="14">
        <f ca="1">IF(SUM($K$4:K766,IF(繳費報酬率資料!$A$1=1,$AU767+$AV767,$BB767+$BC767))&gt;OP!$L$58,0,IF(繳費報酬率資料!$A$1=1,$AU767+$AV767,$BB767+$BC767))</f>
        <v>0</v>
      </c>
      <c r="L767" s="2"/>
      <c r="M767" s="2"/>
      <c r="N767" s="2"/>
      <c r="O767" s="261">
        <f t="shared" ca="1" si="416"/>
        <v>0</v>
      </c>
      <c r="P767" s="261">
        <f t="shared" ca="1" si="434"/>
        <v>0</v>
      </c>
      <c r="Q767" s="3">
        <f ca="1">IF(A767&gt;MAX(OP!$R$17:$R$26),0,VLOOKUP(A767,fees,3,FALSE))</f>
        <v>0</v>
      </c>
      <c r="R767" s="200" t="str">
        <f t="shared" ca="1" si="417"/>
        <v/>
      </c>
      <c r="S767" s="9" t="str">
        <f ca="1">IF(COUNTIF(($T$4:T766),"F")&gt;=1,"",IF(OR(C768&lt;&gt;$C$3,E767=""),"",A767))</f>
        <v/>
      </c>
      <c r="T767" s="20" t="str">
        <f t="shared" ca="1" si="445"/>
        <v/>
      </c>
      <c r="U767" s="2">
        <f ca="1">IF(IF(OP!$C$83=1,$Z766,IF(OP!$C$83=2,$AA766,IF(OP!$C$83=3,$AB766,)))+$K767-$O767-$P767-$AS767&lt;OP!$C$142,0,$AS767)</f>
        <v>0</v>
      </c>
      <c r="V767" s="9"/>
      <c r="W767" s="19">
        <f ca="1">MAX(SUM($K$4:K767),0)</f>
        <v>2000000</v>
      </c>
      <c r="X767" s="19"/>
      <c r="Y767" s="19">
        <f t="shared" ca="1" si="435"/>
        <v>1920000</v>
      </c>
      <c r="Z767" s="2">
        <f ca="1">IF(MIN($Z$4:Z766)=0,0,MAX(0,($Z766+$K767-$O767-$P767)*IF(AND(F767="F",$D$3&lt;&gt;$G$3),((1+(-J767))^(H767/MIN(G767,365))),((1+(-J767))^(1/12)))-$U767))</f>
        <v>73288.769843295755</v>
      </c>
      <c r="AA767" s="2">
        <f ca="1">IF(MIN($AA$4:AA766)=0,0,MAX(0,($AA766+$K767-$O767-$P767)*IF(AND(F767="F",$D$3&lt;&gt;$G$3),((1+$AA$1)^(H767/MIN(G767,365))),((1+$AA$1)^(1/12)))-$U767))</f>
        <v>1920000</v>
      </c>
      <c r="AB767" s="2">
        <f ca="1">IF(MIN($AB$4:AB766)=0,0,MAX(0,($AB766+$K767-$O767-$P767)*IF(AND(F767="F",$D$3&lt;&gt;$G$3),((1+(J767))^(H767/MIN(G767,365))),((1+(J767))^(1/12)))-$U767))</f>
        <v>42889725.775002584</v>
      </c>
      <c r="AC767" s="5"/>
      <c r="AD767" s="5"/>
      <c r="AE767" s="5"/>
      <c r="AF767" s="282">
        <f t="shared" ca="1" si="418"/>
        <v>73289</v>
      </c>
      <c r="AG767" s="282">
        <f t="shared" ca="1" si="419"/>
        <v>1920000</v>
      </c>
      <c r="AH767" s="282">
        <f t="shared" ca="1" si="420"/>
        <v>42889726</v>
      </c>
      <c r="AI767" s="23" t="str">
        <f t="shared" ca="1" si="437"/>
        <v>64-9</v>
      </c>
      <c r="AJ767" s="282">
        <f ca="1">IF(E767&gt;111,,IF(AND(OP!$C$99=1,T767="F"),Z767,IF(AND(OP!$C$99=2,COUNTIF($T$4:T767,"F")=1),OP!$C$97+IF(F767="F",OP!$C$98,0),"")))</f>
        <v>0</v>
      </c>
      <c r="AK767" s="282">
        <f ca="1">IF(E767&gt;111,,IF(AND(OP!$D$99=1,T767="F"),AA767,IF(AND(OP!$D$99=2,COUNTIF($T$4:T767,"F")=1),OP!$D$97+IF(F767="F",OP!$D$98,0),"")))</f>
        <v>0</v>
      </c>
      <c r="AL767" s="282">
        <f ca="1">IF(E767&gt;111,,IF(AND(OP!$E$99=1,T767="F"),AB767,IF(AND(OP!$E$99=2,COUNTIF($T$4:T767,"F")=1),OP!$E$97+IF(F767="F",OP!$E$98,0),"")))</f>
        <v>0</v>
      </c>
      <c r="AM767" s="1">
        <f t="shared" ca="1" si="446"/>
        <v>9</v>
      </c>
      <c r="AN767" s="1" t="e">
        <f ca="1">IF(OR(VLOOKUP($A767,MP,5,0)="月繳"),1,"")</f>
        <v>#N/A</v>
      </c>
      <c r="AO767" s="1">
        <f t="shared" ca="1" si="421"/>
        <v>0</v>
      </c>
      <c r="AP767" s="1" t="str">
        <f ca="1">IF(AND(A767&lt;=OP!$C$120,COUNTIF(PAY,C767)=1),1,"")</f>
        <v/>
      </c>
      <c r="AR767" s="301">
        <f ca="1">IF(繳費報酬率資料!$A$1=1,$AY767+$AZ767,$BF767+$BG767)</f>
        <v>0</v>
      </c>
      <c r="AS767" s="1">
        <f ca="1">IF(C767&lt;&gt;IF($C$3=1,12,$C$3-1),0,IF(繳費報酬率資料!$A$1&lt;&gt;1,VLOOKUP($A767,MP,8,0),IF(AND($A767&gt;=OP!$C$79,$A767&lt;=OP!$C$80),OP!$C$78,)))</f>
        <v>0</v>
      </c>
      <c r="AT767" s="298">
        <f t="shared" ca="1" si="422"/>
        <v>0</v>
      </c>
      <c r="AU767" s="298">
        <f ca="1">IF(AND(A767&lt;=OP!$C$120,COUNTIF(PAY,C767)=1),OP!$C$123,0)</f>
        <v>0</v>
      </c>
      <c r="AV767" s="298">
        <f ca="1">IF(AND(A767&gt;=OP!$C$132,A767&lt;=OP!$C$133,$C$3=C767),OP!$C$135,0)</f>
        <v>0</v>
      </c>
      <c r="AW767" s="180">
        <f t="shared" ca="1" si="423"/>
        <v>0.05</v>
      </c>
      <c r="AX767" s="180">
        <f t="shared" ca="1" si="424"/>
        <v>0.05</v>
      </c>
      <c r="AY767" s="286">
        <f t="shared" ca="1" si="425"/>
        <v>0</v>
      </c>
      <c r="AZ767" s="286">
        <f t="shared" ca="1" si="426"/>
        <v>0</v>
      </c>
      <c r="BA767" s="286">
        <f t="shared" ca="1" si="427"/>
        <v>0</v>
      </c>
      <c r="BB767" s="286">
        <f t="shared" ca="1" si="428"/>
        <v>0</v>
      </c>
      <c r="BC767" s="286">
        <f t="shared" ca="1" si="429"/>
        <v>0</v>
      </c>
      <c r="BD767" s="180">
        <f t="shared" ca="1" si="430"/>
        <v>0.05</v>
      </c>
      <c r="BE767" s="180">
        <f t="shared" ca="1" si="431"/>
        <v>0.05</v>
      </c>
      <c r="BF767" s="286">
        <f t="shared" ca="1" si="432"/>
        <v>0</v>
      </c>
      <c r="BG767" s="286">
        <f t="shared" ca="1" si="433"/>
        <v>0</v>
      </c>
    </row>
    <row r="768" spans="1:59">
      <c r="A768" s="1">
        <f t="shared" ca="1" si="413"/>
        <v>64</v>
      </c>
      <c r="B768" s="1">
        <f t="shared" ca="1" si="442"/>
        <v>170</v>
      </c>
      <c r="C768" s="1">
        <f t="shared" ca="1" si="443"/>
        <v>2</v>
      </c>
      <c r="D768" s="1">
        <f ca="1">MIN($D$3,VLOOKUP(C768,OP!$S$30:$T$41,2))</f>
        <v>2</v>
      </c>
      <c r="E768" s="1" t="str">
        <f t="shared" ca="1" si="444"/>
        <v/>
      </c>
      <c r="F768" s="11" t="str">
        <f t="shared" ca="1" si="414"/>
        <v/>
      </c>
      <c r="G768" s="8">
        <f t="shared" ca="1" si="441"/>
        <v>365</v>
      </c>
      <c r="H768" s="8">
        <f t="shared" ca="1" si="415"/>
        <v>28</v>
      </c>
      <c r="I768" s="8" t="str">
        <f t="shared" ca="1" si="412"/>
        <v>642</v>
      </c>
      <c r="J768" s="13">
        <f>IF(繳費報酬率資料!$A$1=1,VALUE(OP!$C$121),VLOOKUP(A768,MP,2,0))</f>
        <v>0.05</v>
      </c>
      <c r="K768" s="14">
        <f ca="1">IF(SUM($K$4:K767,IF(繳費報酬率資料!$A$1=1,$AU768+$AV768,$BB768+$BC768))&gt;OP!$L$58,0,IF(繳費報酬率資料!$A$1=1,$AU768+$AV768,$BB768+$BC768))</f>
        <v>0</v>
      </c>
      <c r="L768" s="2"/>
      <c r="M768" s="2"/>
      <c r="N768" s="2"/>
      <c r="O768" s="261">
        <f t="shared" ca="1" si="416"/>
        <v>0</v>
      </c>
      <c r="P768" s="261">
        <f t="shared" ca="1" si="434"/>
        <v>0</v>
      </c>
      <c r="Q768" s="3">
        <f ca="1">IF(A768&gt;MAX(OP!$R$17:$R$26),0,VLOOKUP(A768,fees,3,FALSE))</f>
        <v>0</v>
      </c>
      <c r="R768" s="200" t="str">
        <f t="shared" ca="1" si="417"/>
        <v/>
      </c>
      <c r="S768" s="9" t="str">
        <f ca="1">IF(COUNTIF(($T$4:T767),"F")&gt;=1,"",IF(OR(C769&lt;&gt;$C$3,E768=""),"",A768))</f>
        <v/>
      </c>
      <c r="T768" s="20" t="str">
        <f t="shared" ca="1" si="445"/>
        <v/>
      </c>
      <c r="U768" s="2">
        <f ca="1">IF(IF(OP!$C$83=1,$Z767,IF(OP!$C$83=2,$AA767,IF(OP!$C$83=3,$AB767,)))+$K768-$O768-$P768-$AS768&lt;OP!$C$142,0,$AS768)</f>
        <v>0</v>
      </c>
      <c r="V768" s="9"/>
      <c r="W768" s="19">
        <f ca="1">MAX(SUM($K$4:K768),0)</f>
        <v>2000000</v>
      </c>
      <c r="X768" s="19"/>
      <c r="Y768" s="19">
        <f t="shared" ca="1" si="435"/>
        <v>1920000</v>
      </c>
      <c r="Z768" s="2">
        <f ca="1">IF(MIN($Z$4:Z767)=0,0,MAX(0,($Z767+$K768-$O768-$P768)*IF(AND(F768="F",$D$3&lt;&gt;$G$3),((1+(-J768))^(H768/MIN(G768,365))),((1+(-J768))^(1/12)))-$U768))</f>
        <v>72976.16987709883</v>
      </c>
      <c r="AA768" s="2">
        <f ca="1">IF(MIN($AA$4:AA767)=0,0,MAX(0,($AA767+$K768-$O768-$P768)*IF(AND(F768="F",$D$3&lt;&gt;$G$3),((1+$AA$1)^(H768/MIN(G768,365))),((1+$AA$1)^(1/12)))-$U768))</f>
        <v>1920000</v>
      </c>
      <c r="AB768" s="2">
        <f ca="1">IF(MIN($AB$4:AB767)=0,0,MAX(0,($AB767+$K768-$O768-$P768)*IF(AND(F768="F",$D$3&lt;&gt;$G$3),((1+(J768))^(H768/MIN(G768,365))),((1+(J768))^(1/12)))-$U768))</f>
        <v>43064463.82685668</v>
      </c>
      <c r="AC768" s="5"/>
      <c r="AD768" s="5"/>
      <c r="AE768" s="5"/>
      <c r="AF768" s="282">
        <f t="shared" ca="1" si="418"/>
        <v>72976</v>
      </c>
      <c r="AG768" s="282">
        <f t="shared" ca="1" si="419"/>
        <v>1920000</v>
      </c>
      <c r="AH768" s="282">
        <f t="shared" ca="1" si="420"/>
        <v>43064464</v>
      </c>
      <c r="AI768" s="23" t="str">
        <f t="shared" ca="1" si="437"/>
        <v>64-10</v>
      </c>
      <c r="AJ768" s="282">
        <f ca="1">IF(E768&gt;111,,IF(AND(OP!$C$99=1,T768="F"),Z768,IF(AND(OP!$C$99=2,COUNTIF($T$4:T768,"F")=1),OP!$C$97+IF(F768="F",OP!$C$98,0),"")))</f>
        <v>0</v>
      </c>
      <c r="AK768" s="282">
        <f ca="1">IF(E768&gt;111,,IF(AND(OP!$D$99=1,T768="F"),AA768,IF(AND(OP!$D$99=2,COUNTIF($T$4:T768,"F")=1),OP!$D$97+IF(F768="F",OP!$D$98,0),"")))</f>
        <v>0</v>
      </c>
      <c r="AL768" s="282">
        <f ca="1">IF(E768&gt;111,,IF(AND(OP!$E$99=1,T768="F"),AB768,IF(AND(OP!$E$99=2,COUNTIF($T$4:T768,"F")=1),OP!$E$97+IF(F768="F",OP!$E$98,0),"")))</f>
        <v>0</v>
      </c>
      <c r="AM768" s="1">
        <f t="shared" ca="1" si="446"/>
        <v>10</v>
      </c>
      <c r="AN768" s="1" t="e">
        <f ca="1">IF(OR(VLOOKUP($A768,MP,5,0)="月繳"),1,"")</f>
        <v>#N/A</v>
      </c>
      <c r="AO768" s="1">
        <f t="shared" ca="1" si="421"/>
        <v>0</v>
      </c>
      <c r="AP768" s="1" t="str">
        <f ca="1">IF(AND(A768&lt;=OP!$C$120,COUNTIF(PAY,C768)=1),1,"")</f>
        <v/>
      </c>
      <c r="AR768" s="301">
        <f ca="1">IF(繳費報酬率資料!$A$1=1,$AY768+$AZ768,$BF768+$BG768)</f>
        <v>0</v>
      </c>
      <c r="AS768" s="1">
        <f ca="1">IF(C768&lt;&gt;IF($C$3=1,12,$C$3-1),0,IF(繳費報酬率資料!$A$1&lt;&gt;1,VLOOKUP($A768,MP,8,0),IF(AND($A768&gt;=OP!$C$79,$A768&lt;=OP!$C$80),OP!$C$78,)))</f>
        <v>0</v>
      </c>
      <c r="AT768" s="298">
        <f t="shared" ca="1" si="422"/>
        <v>0</v>
      </c>
      <c r="AU768" s="298">
        <f ca="1">IF(AND(A768&lt;=OP!$C$120,COUNTIF(PAY,C768)=1),OP!$C$123,0)</f>
        <v>0</v>
      </c>
      <c r="AV768" s="298">
        <f ca="1">IF(AND(A768&gt;=OP!$C$132,A768&lt;=OP!$C$133,$C$3=C768),OP!$C$135,0)</f>
        <v>0</v>
      </c>
      <c r="AW768" s="180">
        <f t="shared" ca="1" si="423"/>
        <v>0.05</v>
      </c>
      <c r="AX768" s="180">
        <f t="shared" ca="1" si="424"/>
        <v>0.05</v>
      </c>
      <c r="AY768" s="286">
        <f t="shared" ca="1" si="425"/>
        <v>0</v>
      </c>
      <c r="AZ768" s="286">
        <f t="shared" ca="1" si="426"/>
        <v>0</v>
      </c>
      <c r="BA768" s="286">
        <f t="shared" ca="1" si="427"/>
        <v>0</v>
      </c>
      <c r="BB768" s="286">
        <f t="shared" ca="1" si="428"/>
        <v>0</v>
      </c>
      <c r="BC768" s="286">
        <f t="shared" ca="1" si="429"/>
        <v>0</v>
      </c>
      <c r="BD768" s="180">
        <f t="shared" ca="1" si="430"/>
        <v>0.05</v>
      </c>
      <c r="BE768" s="180">
        <f t="shared" ca="1" si="431"/>
        <v>0.05</v>
      </c>
      <c r="BF768" s="286">
        <f t="shared" ca="1" si="432"/>
        <v>0</v>
      </c>
      <c r="BG768" s="286">
        <f t="shared" ca="1" si="433"/>
        <v>0</v>
      </c>
    </row>
    <row r="769" spans="1:59">
      <c r="A769" s="1">
        <f t="shared" ca="1" si="413"/>
        <v>64</v>
      </c>
      <c r="B769" s="1">
        <f t="shared" ca="1" si="442"/>
        <v>170</v>
      </c>
      <c r="C769" s="1">
        <f t="shared" ca="1" si="443"/>
        <v>3</v>
      </c>
      <c r="D769" s="1">
        <f ca="1">MIN($D$3,VLOOKUP(C769,OP!$S$30:$T$41,2))</f>
        <v>2</v>
      </c>
      <c r="E769" s="1" t="str">
        <f t="shared" ca="1" si="444"/>
        <v/>
      </c>
      <c r="F769" s="11" t="str">
        <f t="shared" ca="1" si="414"/>
        <v/>
      </c>
      <c r="G769" s="8">
        <f t="shared" ca="1" si="441"/>
        <v>365</v>
      </c>
      <c r="H769" s="8">
        <f t="shared" ca="1" si="415"/>
        <v>31</v>
      </c>
      <c r="I769" s="8" t="str">
        <f t="shared" ca="1" si="412"/>
        <v>643</v>
      </c>
      <c r="J769" s="13">
        <f>IF(繳費報酬率資料!$A$1=1,VALUE(OP!$C$121),VLOOKUP(A769,MP,2,0))</f>
        <v>0.05</v>
      </c>
      <c r="K769" s="14">
        <f ca="1">IF(SUM($K$4:K768,IF(繳費報酬率資料!$A$1=1,$AU769+$AV769,$BB769+$BC769))&gt;OP!$L$58,0,IF(繳費報酬率資料!$A$1=1,$AU769+$AV769,$BB769+$BC769))</f>
        <v>0</v>
      </c>
      <c r="L769" s="2"/>
      <c r="M769" s="2"/>
      <c r="N769" s="2"/>
      <c r="O769" s="261">
        <f t="shared" ca="1" si="416"/>
        <v>0</v>
      </c>
      <c r="P769" s="261">
        <f t="shared" ca="1" si="434"/>
        <v>0</v>
      </c>
      <c r="Q769" s="3">
        <f ca="1">IF(A769&gt;MAX(OP!$R$17:$R$26),0,VLOOKUP(A769,fees,3,FALSE))</f>
        <v>0</v>
      </c>
      <c r="R769" s="200" t="str">
        <f t="shared" ca="1" si="417"/>
        <v/>
      </c>
      <c r="S769" s="9" t="str">
        <f ca="1">IF(COUNTIF(($T$4:T768),"F")&gt;=1,"",IF(OR(C770&lt;&gt;$C$3,E769=""),"",A769))</f>
        <v/>
      </c>
      <c r="T769" s="20" t="str">
        <f t="shared" ca="1" si="445"/>
        <v/>
      </c>
      <c r="U769" s="2">
        <f ca="1">IF(IF(OP!$C$83=1,$Z768,IF(OP!$C$83=2,$AA768,IF(OP!$C$83=3,$AB768,)))+$K769-$O769-$P769-$AS769&lt;OP!$C$142,0,$AS769)</f>
        <v>0</v>
      </c>
      <c r="V769" s="9"/>
      <c r="W769" s="19">
        <f ca="1">MAX(SUM($K$4:K769),0)</f>
        <v>2000000</v>
      </c>
      <c r="X769" s="19"/>
      <c r="Y769" s="19">
        <f t="shared" ca="1" si="435"/>
        <v>1920000</v>
      </c>
      <c r="Z769" s="2">
        <f ca="1">IF(MIN($Z$4:Z768)=0,0,MAX(0,($Z768+$K769-$O769-$P769)*IF(AND(F769="F",$D$3&lt;&gt;$G$3),((1+(-J769))^(H769/MIN(G769,365))),((1+(-J769))^(1/12)))-$U769))</f>
        <v>72664.90324940758</v>
      </c>
      <c r="AA769" s="2">
        <f ca="1">IF(MIN($AA$4:AA768)=0,0,MAX(0,($AA768+$K769-$O769-$P769)*IF(AND(F769="F",$D$3&lt;&gt;$G$3),((1+$AA$1)^(H769/MIN(G769,365))),((1+$AA$1)^(1/12)))-$U769))</f>
        <v>1920000</v>
      </c>
      <c r="AB769" s="2">
        <f ca="1">IF(MIN($AB$4:AB768)=0,0,MAX(0,($AB768+$K769-$O769-$P769)*IF(AND(F769="F",$D$3&lt;&gt;$G$3),((1+(J769))^(H769/MIN(G769,365))),((1+(J769))^(1/12)))-$U769))</f>
        <v>43239913.783163741</v>
      </c>
      <c r="AC769" s="5"/>
      <c r="AD769" s="5"/>
      <c r="AE769" s="5"/>
      <c r="AF769" s="282">
        <f t="shared" ca="1" si="418"/>
        <v>72665</v>
      </c>
      <c r="AG769" s="282">
        <f t="shared" ca="1" si="419"/>
        <v>1920000</v>
      </c>
      <c r="AH769" s="282">
        <f t="shared" ca="1" si="420"/>
        <v>43239914</v>
      </c>
      <c r="AI769" s="23" t="str">
        <f t="shared" ca="1" si="437"/>
        <v>64-11</v>
      </c>
      <c r="AJ769" s="282">
        <f ca="1">IF(E769&gt;111,,IF(AND(OP!$C$99=1,T769="F"),Z769,IF(AND(OP!$C$99=2,COUNTIF($T$4:T769,"F")=1),OP!$C$97+IF(F769="F",OP!$C$98,0),"")))</f>
        <v>0</v>
      </c>
      <c r="AK769" s="282">
        <f ca="1">IF(E769&gt;111,,IF(AND(OP!$D$99=1,T769="F"),AA769,IF(AND(OP!$D$99=2,COUNTIF($T$4:T769,"F")=1),OP!$D$97+IF(F769="F",OP!$D$98,0),"")))</f>
        <v>0</v>
      </c>
      <c r="AL769" s="282">
        <f ca="1">IF(E769&gt;111,,IF(AND(OP!$E$99=1,T769="F"),AB769,IF(AND(OP!$E$99=2,COUNTIF($T$4:T769,"F")=1),OP!$E$97+IF(F769="F",OP!$E$98,0),"")))</f>
        <v>0</v>
      </c>
      <c r="AM769" s="1">
        <f t="shared" ca="1" si="446"/>
        <v>11</v>
      </c>
      <c r="AN769" s="1" t="e">
        <f ca="1">IF(OR(VLOOKUP($A769,MP,5,0)="季繳",VLOOKUP($A769,MP,5,0)="月繳"),1,"")</f>
        <v>#N/A</v>
      </c>
      <c r="AO769" s="1">
        <f t="shared" ca="1" si="421"/>
        <v>0</v>
      </c>
      <c r="AP769" s="1" t="str">
        <f ca="1">IF(AND(A769&lt;=OP!$C$120,COUNTIF(PAY,C769)=1),1,"")</f>
        <v/>
      </c>
      <c r="AR769" s="301">
        <f ca="1">IF(繳費報酬率資料!$A$1=1,$AY769+$AZ769,$BF769+$BG769)</f>
        <v>0</v>
      </c>
      <c r="AS769" s="1">
        <f ca="1">IF(C769&lt;&gt;IF($C$3=1,12,$C$3-1),0,IF(繳費報酬率資料!$A$1&lt;&gt;1,VLOOKUP($A769,MP,8,0),IF(AND($A769&gt;=OP!$C$79,$A769&lt;=OP!$C$80),OP!$C$78,)))</f>
        <v>0</v>
      </c>
      <c r="AT769" s="298">
        <f t="shared" ca="1" si="422"/>
        <v>0</v>
      </c>
      <c r="AU769" s="298">
        <f ca="1">IF(AND(A769&lt;=OP!$C$120,COUNTIF(PAY,C769)=1),OP!$C$123,0)</f>
        <v>0</v>
      </c>
      <c r="AV769" s="298">
        <f ca="1">IF(AND(A769&gt;=OP!$C$132,A769&lt;=OP!$C$133,$C$3=C769),OP!$C$135,0)</f>
        <v>0</v>
      </c>
      <c r="AW769" s="180">
        <f t="shared" ca="1" si="423"/>
        <v>0.05</v>
      </c>
      <c r="AX769" s="180">
        <f t="shared" ca="1" si="424"/>
        <v>0.05</v>
      </c>
      <c r="AY769" s="286">
        <f t="shared" ca="1" si="425"/>
        <v>0</v>
      </c>
      <c r="AZ769" s="286">
        <f t="shared" ca="1" si="426"/>
        <v>0</v>
      </c>
      <c r="BA769" s="286">
        <f t="shared" ca="1" si="427"/>
        <v>0</v>
      </c>
      <c r="BB769" s="286">
        <f t="shared" ca="1" si="428"/>
        <v>0</v>
      </c>
      <c r="BC769" s="286">
        <f t="shared" ca="1" si="429"/>
        <v>0</v>
      </c>
      <c r="BD769" s="180">
        <f t="shared" ca="1" si="430"/>
        <v>0.05</v>
      </c>
      <c r="BE769" s="180">
        <f t="shared" ca="1" si="431"/>
        <v>0.05</v>
      </c>
      <c r="BF769" s="286">
        <f t="shared" ca="1" si="432"/>
        <v>0</v>
      </c>
      <c r="BG769" s="286">
        <f t="shared" ca="1" si="433"/>
        <v>0</v>
      </c>
    </row>
    <row r="770" spans="1:59">
      <c r="A770" s="1">
        <f t="shared" ca="1" si="413"/>
        <v>64</v>
      </c>
      <c r="B770" s="1">
        <f t="shared" ca="1" si="442"/>
        <v>170</v>
      </c>
      <c r="C770" s="1">
        <f t="shared" ca="1" si="443"/>
        <v>4</v>
      </c>
      <c r="D770" s="1">
        <f ca="1">MIN($D$3,VLOOKUP(C770,OP!$S$30:$T$41,2))</f>
        <v>2</v>
      </c>
      <c r="E770" s="1" t="str">
        <f t="shared" ca="1" si="444"/>
        <v/>
      </c>
      <c r="F770" s="11" t="str">
        <f t="shared" ca="1" si="414"/>
        <v/>
      </c>
      <c r="G770" s="8">
        <f t="shared" ca="1" si="441"/>
        <v>365</v>
      </c>
      <c r="H770" s="8">
        <f t="shared" ca="1" si="415"/>
        <v>30</v>
      </c>
      <c r="I770" s="8" t="str">
        <f t="shared" ca="1" si="412"/>
        <v>644</v>
      </c>
      <c r="J770" s="13">
        <f>IF(繳費報酬率資料!$A$1=1,VALUE(OP!$C$121),VLOOKUP(A770,MP,2,0))</f>
        <v>0.05</v>
      </c>
      <c r="K770" s="14">
        <f ca="1">IF(SUM($K$4:K769,IF(繳費報酬率資料!$A$1=1,$AU770+$AV770,$BB770+$BC770))&gt;OP!$L$58,0,IF(繳費報酬率資料!$A$1=1,$AU770+$AV770,$BB770+$BC770))</f>
        <v>0</v>
      </c>
      <c r="L770" s="2"/>
      <c r="M770" s="2"/>
      <c r="N770" s="2"/>
      <c r="O770" s="261">
        <f t="shared" ca="1" si="416"/>
        <v>0</v>
      </c>
      <c r="P770" s="261">
        <f t="shared" ca="1" si="434"/>
        <v>0</v>
      </c>
      <c r="Q770" s="3">
        <f ca="1">IF(A770&gt;MAX(OP!$R$17:$R$26),0,VLOOKUP(A770,fees,3,FALSE))</f>
        <v>0</v>
      </c>
      <c r="R770" s="200" t="str">
        <f t="shared" ca="1" si="417"/>
        <v/>
      </c>
      <c r="S770" s="9" t="str">
        <f ca="1">IF(COUNTIF(($T$4:T769),"F")&gt;=1,"",IF(OR(C771&lt;&gt;$C$3,E770=""),"",A770))</f>
        <v/>
      </c>
      <c r="T770" s="20" t="str">
        <f t="shared" ca="1" si="445"/>
        <v/>
      </c>
      <c r="U770" s="2">
        <f ca="1">IF(IF(OP!$C$83=1,$Z769,IF(OP!$C$83=2,$AA769,IF(OP!$C$83=3,$AB769,)))+$K770-$O770-$P770-$AS770&lt;OP!$C$142,0,$AS770)</f>
        <v>0</v>
      </c>
      <c r="V770" s="9"/>
      <c r="W770" s="19">
        <f ca="1">MAX(SUM($K$4:K770),0)</f>
        <v>2000000</v>
      </c>
      <c r="X770" s="19"/>
      <c r="Y770" s="19">
        <f t="shared" ca="1" si="435"/>
        <v>1920000</v>
      </c>
      <c r="Z770" s="2">
        <f ca="1">IF(MIN($Z$4:Z769)=0,0,MAX(0,($Z769+$K770-$O770-$P770)*IF(AND(F770="F",$D$3&lt;&gt;$G$3),((1+(-J770))^(H770/MIN(G770,365))),((1+(-J770))^(1/12)))-$U770))</f>
        <v>72354.964273108257</v>
      </c>
      <c r="AA770" s="2">
        <f ca="1">IF(MIN($AA$4:AA769)=0,0,MAX(0,($AA769+$K770-$O770-$P770)*IF(AND(F770="F",$D$3&lt;&gt;$G$3),((1+$AA$1)^(H770/MIN(G770,365))),((1+$AA$1)^(1/12)))-$U770))</f>
        <v>1920000</v>
      </c>
      <c r="AB770" s="2">
        <f ca="1">IF(MIN($AB$4:AB769)=0,0,MAX(0,($AB769+$K770-$O770-$P770)*IF(AND(F770="F",$D$3&lt;&gt;$G$3),((1+(J770))^(H770/MIN(G770,365))),((1+(J770))^(1/12)))-$U770))</f>
        <v>43416078.544310629</v>
      </c>
      <c r="AC770" s="5"/>
      <c r="AD770" s="5"/>
      <c r="AE770" s="5"/>
      <c r="AF770" s="282">
        <f t="shared" ca="1" si="418"/>
        <v>72355</v>
      </c>
      <c r="AG770" s="282">
        <f t="shared" ca="1" si="419"/>
        <v>1920000</v>
      </c>
      <c r="AH770" s="282">
        <f t="shared" ca="1" si="420"/>
        <v>43416079</v>
      </c>
      <c r="AI770" s="23" t="str">
        <f t="shared" ca="1" si="437"/>
        <v>64-12</v>
      </c>
      <c r="AJ770" s="282">
        <f ca="1">IF(E770&gt;111,,IF(AND(OP!$C$99=1,T770="F"),Z770,IF(AND(OP!$C$99=2,COUNTIF($T$4:T770,"F")=1),OP!$C$97+IF(F770="F",OP!$C$98,0),"")))</f>
        <v>0</v>
      </c>
      <c r="AK770" s="282">
        <f ca="1">IF(E770&gt;111,,IF(AND(OP!$D$99=1,T770="F"),AA770,IF(AND(OP!$D$99=2,COUNTIF($T$4:T770,"F")=1),OP!$D$97+IF(F770="F",OP!$D$98,0),"")))</f>
        <v>0</v>
      </c>
      <c r="AL770" s="282">
        <f ca="1">IF(E770&gt;111,,IF(AND(OP!$E$99=1,T770="F"),AB770,IF(AND(OP!$E$99=2,COUNTIF($T$4:T770,"F")=1),OP!$E$97+IF(F770="F",OP!$E$98,0),"")))</f>
        <v>0</v>
      </c>
      <c r="AM770" s="1">
        <f t="shared" ca="1" si="446"/>
        <v>12</v>
      </c>
      <c r="AN770" s="1" t="e">
        <f ca="1">IF(OR(VLOOKUP($A770,MP,5,0)="月繳"),1,"")</f>
        <v>#N/A</v>
      </c>
      <c r="AO770" s="1">
        <f t="shared" ca="1" si="421"/>
        <v>0</v>
      </c>
      <c r="AP770" s="1" t="str">
        <f ca="1">IF(AND(A770&lt;=OP!$C$120,COUNTIF(PAY,C770)=1),1,"")</f>
        <v/>
      </c>
      <c r="AR770" s="301">
        <f ca="1">IF(繳費報酬率資料!$A$1=1,$AY770+$AZ770,$BF770+$BG770)</f>
        <v>0</v>
      </c>
      <c r="AS770" s="1">
        <f ca="1">IF(C770&lt;&gt;IF($C$3=1,12,$C$3-1),0,IF(繳費報酬率資料!$A$1&lt;&gt;1,VLOOKUP($A770,MP,8,0),IF(AND($A770&gt;=OP!$C$79,$A770&lt;=OP!$C$80),OP!$C$78,)))</f>
        <v>0</v>
      </c>
      <c r="AT770" s="298">
        <f t="shared" ca="1" si="422"/>
        <v>0</v>
      </c>
      <c r="AU770" s="298">
        <f ca="1">IF(AND(A770&lt;=OP!$C$120,COUNTIF(PAY,C770)=1),OP!$C$123,0)</f>
        <v>0</v>
      </c>
      <c r="AV770" s="298">
        <f ca="1">IF(AND(A770&gt;=OP!$C$132,A770&lt;=OP!$C$133,$C$3=C770),OP!$C$135,0)</f>
        <v>0</v>
      </c>
      <c r="AW770" s="180">
        <f t="shared" ca="1" si="423"/>
        <v>0.05</v>
      </c>
      <c r="AX770" s="180">
        <f t="shared" ca="1" si="424"/>
        <v>0.05</v>
      </c>
      <c r="AY770" s="286">
        <f t="shared" ca="1" si="425"/>
        <v>0</v>
      </c>
      <c r="AZ770" s="286">
        <f t="shared" ca="1" si="426"/>
        <v>0</v>
      </c>
      <c r="BA770" s="286">
        <f t="shared" ca="1" si="427"/>
        <v>0</v>
      </c>
      <c r="BB770" s="286">
        <f t="shared" ca="1" si="428"/>
        <v>0</v>
      </c>
      <c r="BC770" s="286">
        <f t="shared" ca="1" si="429"/>
        <v>0</v>
      </c>
      <c r="BD770" s="180">
        <f t="shared" ca="1" si="430"/>
        <v>0.05</v>
      </c>
      <c r="BE770" s="180">
        <f t="shared" ca="1" si="431"/>
        <v>0.05</v>
      </c>
      <c r="BF770" s="286">
        <f t="shared" ca="1" si="432"/>
        <v>0</v>
      </c>
      <c r="BG770" s="286">
        <f t="shared" ca="1" si="433"/>
        <v>0</v>
      </c>
    </row>
    <row r="771" spans="1:59">
      <c r="A771" s="1">
        <f t="shared" ca="1" si="413"/>
        <v>64</v>
      </c>
      <c r="B771" s="1">
        <f t="shared" ca="1" si="442"/>
        <v>170</v>
      </c>
      <c r="C771" s="1">
        <f t="shared" ca="1" si="443"/>
        <v>5</v>
      </c>
      <c r="D771" s="1">
        <f ca="1">MIN($D$3,VLOOKUP(C771,OP!$S$30:$T$41,2))</f>
        <v>2</v>
      </c>
      <c r="E771" s="1" t="str">
        <f t="shared" ca="1" si="444"/>
        <v/>
      </c>
      <c r="F771" s="11" t="str">
        <f t="shared" ca="1" si="414"/>
        <v/>
      </c>
      <c r="G771" s="8">
        <f t="shared" ca="1" si="441"/>
        <v>365</v>
      </c>
      <c r="H771" s="8">
        <f t="shared" ca="1" si="415"/>
        <v>31</v>
      </c>
      <c r="I771" s="8" t="str">
        <f t="shared" ca="1" si="412"/>
        <v>645</v>
      </c>
      <c r="J771" s="13">
        <f>IF(繳費報酬率資料!$A$1=1,VALUE(OP!$C$121),VLOOKUP(A771,MP,2,0))</f>
        <v>0.05</v>
      </c>
      <c r="K771" s="14">
        <f ca="1">IF(SUM($K$4:K770,IF(繳費報酬率資料!$A$1=1,$AU771+$AV771,$BB771+$BC771))&gt;OP!$L$58,0,IF(繳費報酬率資料!$A$1=1,$AU771+$AV771,$BB771+$BC771))</f>
        <v>0</v>
      </c>
      <c r="L771" s="2">
        <f ca="1">ROUND(IF(OP!$C$78&lt;(IF(OR($T771="F",$E771&gt;=111),0,Z770+$K771-$O771+IF($C$1=1,OP!$C$78,IF($C772=$C$3,SUM(AC760:AC771,0)))))*5%,0,(OP!$C$78-((IF(OR($T771="F",$E771&gt;=111),0,Z770+$K771-$O771+IF($C$1=1,AC771,IF($C772=$C$3,SUM(AC760:AC771,0)))))*5%))*$Q771),0)</f>
        <v>0</v>
      </c>
      <c r="M771" s="2">
        <f ca="1">ROUND(IF(OP!$C$78&lt;(IF(OR($T771="F",$E771&gt;=111),0,AA770+$K771-$O771+IF($C$1=1,AD771,IF($C772=$C$3,SUM(AD760:AD771,0)))))*5%,0,(OP!$C$78-((IF(OR($T771="F",$E771&gt;=111),0,AA770+$K771-$O771+IF($C$1=1,AD771,IF($C772=$C$3,SUM(AD760:AD771,0)))))*5%))*$Q771),0)</f>
        <v>0</v>
      </c>
      <c r="N771" s="2">
        <f ca="1">ROUND(IF(OP!$C$78&lt;(IF(OR($T771="F",$E771&gt;=111),0,AB770+$K771-$O771+IF($C$1=1,AE771,IF($C772=$C$3,SUM(AE760:AE771,0)))))*5%,0,(OP!$C$78-((IF(OR($T771="F",$E771&gt;=111),0,AB770+$K771-$O771+IF($C$1=1,AE771,IF($C772=$C$3,SUM(AE760:AE771,0)))))*5%))*$Q771),0)</f>
        <v>0</v>
      </c>
      <c r="O771" s="261">
        <f t="shared" ca="1" si="416"/>
        <v>0</v>
      </c>
      <c r="P771" s="261">
        <f t="shared" ca="1" si="434"/>
        <v>0</v>
      </c>
      <c r="Q771" s="3">
        <f ca="1">IF(A771&gt;MAX(OP!$R$17:$R$26),0,VLOOKUP(A771,fees,3,FALSE))</f>
        <v>0</v>
      </c>
      <c r="R771" s="200" t="str">
        <f t="shared" ca="1" si="417"/>
        <v/>
      </c>
      <c r="S771" s="9" t="str">
        <f ca="1">IF(COUNTIF(($T$4:T770),"F")&gt;=1,"",IF(OR(C772&lt;&gt;$C$3,E771=""),"",A771))</f>
        <v/>
      </c>
      <c r="T771" s="20" t="str">
        <f t="shared" ca="1" si="445"/>
        <v/>
      </c>
      <c r="U771" s="2">
        <f ca="1">IF(IF(OP!$C$83=1,$Z770,IF(OP!$C$83=2,$AA770,IF(OP!$C$83=3,$AB770,)))+$K771-$O771-$P771-$AS771&lt;OP!$C$142,0,$AS771)</f>
        <v>0</v>
      </c>
      <c r="V771" s="19">
        <f ca="1">SUM(K760:K771)</f>
        <v>0</v>
      </c>
      <c r="W771" s="19">
        <f ca="1">MAX(SUM($K$4:K771),0)</f>
        <v>2000000</v>
      </c>
      <c r="X771" s="19">
        <f ca="1">SUM(O760:P771)</f>
        <v>0</v>
      </c>
      <c r="Y771" s="19">
        <f t="shared" ca="1" si="435"/>
        <v>1920000</v>
      </c>
      <c r="Z771" s="2">
        <f ca="1">IF(MIN($Z$4:Z770)=0,0,MAX(0,($Z770+$K771-$O771-$P771)*IF(AND(F771="F",$D$3&lt;&gt;$G$3),((1+(-J771))^(H771/MIN(G771,365))),((1+(-J771))^(1/12)))-$U771))</f>
        <v>72046.34728534444</v>
      </c>
      <c r="AA771" s="2">
        <f ca="1">IF(MIN($AA$4:AA770)=0,0,MAX(0,($AA770+$K771-$O771-$P771)*IF(AND(F771="F",$D$3&lt;&gt;$G$3),((1+$AA$1)^(H771/MIN(G771,365))),((1+$AA$1)^(1/12)))-$U771))</f>
        <v>1920000</v>
      </c>
      <c r="AB771" s="2">
        <f ca="1">IF(MIN($AB$4:AB770)=0,0,MAX(0,($AB770+$K771-$O771-$P771)*IF(AND(F771="F",$D$3&lt;&gt;$G$3),((1+(J771))^(H771/MIN(G771,365))),((1+(J771))^(1/12)))-$U771))</f>
        <v>43592961.022500753</v>
      </c>
      <c r="AC771" s="5"/>
      <c r="AD771" s="5"/>
      <c r="AE771" s="5"/>
      <c r="AF771" s="282">
        <f t="shared" ca="1" si="418"/>
        <v>72046</v>
      </c>
      <c r="AG771" s="282">
        <f t="shared" ca="1" si="419"/>
        <v>1920000</v>
      </c>
      <c r="AH771" s="282">
        <f t="shared" ca="1" si="420"/>
        <v>43592961</v>
      </c>
      <c r="AI771" s="23" t="str">
        <f t="shared" ca="1" si="437"/>
        <v>65-1</v>
      </c>
      <c r="AJ771" s="282">
        <f ca="1">IF(E771&gt;111,,IF(AND(OP!$C$99=1,T771="F"),Z771,IF(AND(OP!$C$99=2,COUNTIF($T$4:T771,"F")=1),OP!$C$97+IF(F771="F",OP!$C$98,0),"")))</f>
        <v>0</v>
      </c>
      <c r="AK771" s="282">
        <f ca="1">IF(E771&gt;111,,IF(AND(OP!$D$99=1,T771="F"),AA771,IF(AND(OP!$D$99=2,COUNTIF($T$4:T771,"F")=1),OP!$D$97+IF(F771="F",OP!$D$98,0),"")))</f>
        <v>0</v>
      </c>
      <c r="AL771" s="282">
        <f ca="1">IF(E771&gt;111,,IF(AND(OP!$E$99=1,T771="F"),AB771,IF(AND(OP!$E$99=2,COUNTIF($T$4:T771,"F")=1),OP!$E$97+IF(F771="F",OP!$E$98,0),"")))</f>
        <v>0</v>
      </c>
      <c r="AM771" s="1">
        <f ca="1">IF(AND(AK771&lt;&gt;"",AM770=""),1,IF(AND(AK771&lt;&gt;"",AM770&gt;0),IF(AM770=12,1,AM770+1),""))</f>
        <v>1</v>
      </c>
      <c r="AN771" s="1" t="e">
        <f ca="1">IF(OR(VLOOKUP($A771,MP,5,0)="月繳"),1,"")</f>
        <v>#N/A</v>
      </c>
      <c r="AO771" s="1">
        <f t="shared" ca="1" si="421"/>
        <v>0</v>
      </c>
      <c r="AP771" s="1" t="str">
        <f ca="1">IF(AND(A771&lt;=OP!$C$120,COUNTIF(PAY,C771)=1),1,"")</f>
        <v/>
      </c>
      <c r="AR771" s="301">
        <f ca="1">IF(繳費報酬率資料!$A$1=1,$AY771+$AZ771,$BF771+$BG771)</f>
        <v>0</v>
      </c>
      <c r="AS771" s="1">
        <f ca="1">IF(C771&lt;&gt;IF($C$3=1,12,$C$3-1),0,IF(繳費報酬率資料!$A$1&lt;&gt;1,VLOOKUP($A771,MP,8,0),IF(AND($A771&gt;=OP!$C$79,$A771&lt;=OP!$C$80),OP!$C$78,)))</f>
        <v>0</v>
      </c>
      <c r="AT771" s="298">
        <f t="shared" ca="1" si="422"/>
        <v>0</v>
      </c>
      <c r="AU771" s="298">
        <f ca="1">IF(AND(A771&lt;=OP!$C$120,COUNTIF(PAY,C771)=1),OP!$C$123,0)</f>
        <v>0</v>
      </c>
      <c r="AV771" s="298">
        <f ca="1">IF(AND(A771&gt;=OP!$C$132,A771&lt;=OP!$C$133,$C$3=C771),OP!$C$135,0)</f>
        <v>0</v>
      </c>
      <c r="AW771" s="180">
        <f t="shared" ca="1" si="423"/>
        <v>0.05</v>
      </c>
      <c r="AX771" s="180">
        <f t="shared" ca="1" si="424"/>
        <v>0.05</v>
      </c>
      <c r="AY771" s="286">
        <f t="shared" ca="1" si="425"/>
        <v>0</v>
      </c>
      <c r="AZ771" s="286">
        <f t="shared" ca="1" si="426"/>
        <v>0</v>
      </c>
      <c r="BA771" s="286">
        <f t="shared" ca="1" si="427"/>
        <v>0</v>
      </c>
      <c r="BB771" s="286">
        <f t="shared" ca="1" si="428"/>
        <v>0</v>
      </c>
      <c r="BC771" s="286">
        <f t="shared" ca="1" si="429"/>
        <v>0</v>
      </c>
      <c r="BD771" s="180">
        <f t="shared" ca="1" si="430"/>
        <v>0.05</v>
      </c>
      <c r="BE771" s="180">
        <f t="shared" ca="1" si="431"/>
        <v>0.05</v>
      </c>
      <c r="BF771" s="286">
        <f t="shared" ca="1" si="432"/>
        <v>0</v>
      </c>
      <c r="BG771" s="286">
        <f t="shared" ca="1" si="433"/>
        <v>0</v>
      </c>
    </row>
    <row r="772" spans="1:59">
      <c r="A772" s="1">
        <f t="shared" ca="1" si="413"/>
        <v>65</v>
      </c>
      <c r="B772" s="1">
        <f t="shared" ca="1" si="442"/>
        <v>170</v>
      </c>
      <c r="C772" s="1">
        <f t="shared" ca="1" si="443"/>
        <v>6</v>
      </c>
      <c r="D772" s="1">
        <f ca="1">MIN($D$3,VLOOKUP(C772,OP!$S$30:$T$41,2))</f>
        <v>2</v>
      </c>
      <c r="E772" s="1" t="str">
        <f t="shared" ca="1" si="444"/>
        <v/>
      </c>
      <c r="F772" s="11" t="str">
        <f t="shared" ca="1" si="414"/>
        <v/>
      </c>
      <c r="G772" s="6">
        <f ca="1">DATEDIF(DATE(B772+1911,C772,D772),DATE(B784+1911,C784,D784),"d")</f>
        <v>365</v>
      </c>
      <c r="H772" s="8">
        <f t="shared" ca="1" si="415"/>
        <v>30</v>
      </c>
      <c r="I772" s="8" t="str">
        <f t="shared" ref="I772:I835" ca="1" si="447">A772&amp;C772</f>
        <v>656</v>
      </c>
      <c r="J772" s="13">
        <f>IF(繳費報酬率資料!$A$1=1,VALUE(OP!$C$121),VLOOKUP(A772,MP,2,0))</f>
        <v>0.05</v>
      </c>
      <c r="K772" s="14">
        <f ca="1">IF(SUM($K$4:K771,IF(繳費報酬率資料!$A$1=1,$AU772+$AV772,$BB772+$BC772))&gt;OP!$L$58,0,IF(繳費報酬率資料!$A$1=1,$AU772+$AV772,$BB772+$BC772))</f>
        <v>0</v>
      </c>
      <c r="L772" s="2"/>
      <c r="M772" s="2"/>
      <c r="N772" s="2"/>
      <c r="O772" s="261">
        <f t="shared" ca="1" si="416"/>
        <v>0</v>
      </c>
      <c r="P772" s="261">
        <f t="shared" ca="1" si="434"/>
        <v>0</v>
      </c>
      <c r="Q772" s="3">
        <f ca="1">IF(A772&gt;MAX(OP!$R$17:$R$26),0,VLOOKUP(A772,fees,3,FALSE))</f>
        <v>0</v>
      </c>
      <c r="R772" s="200" t="str">
        <f t="shared" ca="1" si="417"/>
        <v/>
      </c>
      <c r="S772" s="9" t="str">
        <f ca="1">IF(COUNTIF(($T$4:T771),"F")&gt;=1,"",IF(OR(C773&lt;&gt;$C$3,E772=""),"",A772))</f>
        <v/>
      </c>
      <c r="T772" s="20" t="str">
        <f t="shared" ca="1" si="445"/>
        <v/>
      </c>
      <c r="U772" s="2">
        <f ca="1">IF(IF(OP!$C$83=1,$Z771,IF(OP!$C$83=2,$AA771,IF(OP!$C$83=3,$AB771,)))+$K772-$O772-$P772-$AS772&lt;OP!$C$142,0,$AS772)</f>
        <v>0</v>
      </c>
      <c r="V772" s="9"/>
      <c r="W772" s="19">
        <f ca="1">MAX(SUM($K$4:K772),0)</f>
        <v>2000000</v>
      </c>
      <c r="X772" s="19"/>
      <c r="Y772" s="19">
        <f t="shared" ca="1" si="435"/>
        <v>1920000</v>
      </c>
      <c r="Z772" s="2">
        <f ca="1">IF(MIN($Z$4:Z771)=0,0,MAX(0,($Z771+$K772-$O772-$P772)*IF(AND(F772="F",$D$3&lt;&gt;$G$3),((1+(-J772))^(H772/MIN(G772,365))),((1+(-J772))^(1/12)))-$U772))</f>
        <v>71739.046647413605</v>
      </c>
      <c r="AA772" s="2">
        <f ca="1">IF(MIN($AA$4:AA771)=0,0,MAX(0,($AA771+$K772-$O772-$P772)*IF(AND(F772="F",$D$3&lt;&gt;$G$3),((1+$AA$1)^(H772/MIN(G772,365))),((1+$AA$1)^(1/12)))-$U772))</f>
        <v>1920000</v>
      </c>
      <c r="AB772" s="2">
        <f ca="1">IF(MIN($AB$4:AB771)=0,0,MAX(0,($AB771+$K772-$O772-$P772)*IF(AND(F772="F",$D$3&lt;&gt;$G$3),((1+(J772))^(H772/MIN(G772,365))),((1+(J772))^(1/12)))-$U772))</f>
        <v>43770564.141802177</v>
      </c>
      <c r="AC772" s="21"/>
      <c r="AD772" s="21"/>
      <c r="AE772" s="21"/>
      <c r="AF772" s="282">
        <f t="shared" ca="1" si="418"/>
        <v>71739</v>
      </c>
      <c r="AG772" s="282">
        <f t="shared" ca="1" si="419"/>
        <v>1920000</v>
      </c>
      <c r="AH772" s="282">
        <f t="shared" ca="1" si="420"/>
        <v>43770564</v>
      </c>
      <c r="AI772" s="23" t="str">
        <f t="shared" ca="1" si="437"/>
        <v>65-2</v>
      </c>
      <c r="AJ772" s="281">
        <f ca="1">IF(E772&gt;111,,IF(AND(OP!$C$99=1,T772="F"),Z772,IF(AND(OP!$C$99=2,COUNTIF($T$4:T772,"F")=1),OP!$C$97+IF(F772="F",OP!$C$98,0),"")))</f>
        <v>0</v>
      </c>
      <c r="AK772" s="281">
        <f ca="1">IF(E772&gt;111,,IF(AND(OP!$D$99=1,T772="F"),AA772,IF(AND(OP!$D$99=2,COUNTIF($T$4:T772,"F")=1),OP!$D$97+IF(F772="F",OP!$D$98,0),"")))</f>
        <v>0</v>
      </c>
      <c r="AL772" s="281">
        <f ca="1">IF(E772&gt;111,,IF(AND(OP!$E$99=1,T772="F"),AB772,IF(AND(OP!$E$99=2,COUNTIF($T$4:T772,"F")=1),OP!$E$97+IF(F772="F",OP!$E$98,0),"")))</f>
        <v>0</v>
      </c>
      <c r="AM772" s="1">
        <f t="shared" ca="1" si="446"/>
        <v>2</v>
      </c>
      <c r="AN772" s="1" t="e">
        <f ca="1">IF(OR(VLOOKUP($A772,MP,5,0)="年繳",VLOOKUP($A772,MP,5,0)="半年繳",VLOOKUP($A772,MP,5,0)="季繳",VLOOKUP($A772,MP,5,0)="月繳"),1,"")</f>
        <v>#N/A</v>
      </c>
      <c r="AO772" s="1">
        <f t="shared" ca="1" si="421"/>
        <v>0</v>
      </c>
      <c r="AP772" s="1" t="str">
        <f ca="1">IF(AND(A772&lt;=OP!$C$120,COUNTIF(PAY,C772)=1),1,"")</f>
        <v/>
      </c>
      <c r="AR772" s="301">
        <f ca="1">IF(繳費報酬率資料!$A$1=1,$AY772+$AZ772,$BF772+$BG772)</f>
        <v>0</v>
      </c>
      <c r="AS772" s="1">
        <f ca="1">IF(C772&lt;&gt;IF($C$3=1,12,$C$3-1),0,IF(繳費報酬率資料!$A$1&lt;&gt;1,VLOOKUP($A772,MP,8,0),IF(AND($A772&gt;=OP!$C$79,$A772&lt;=OP!$C$80),OP!$C$78,)))</f>
        <v>0</v>
      </c>
      <c r="AT772" s="298">
        <f t="shared" ca="1" si="422"/>
        <v>0</v>
      </c>
      <c r="AU772" s="298">
        <f ca="1">IF(AND(A772&lt;=OP!$C$120,COUNTIF(PAY,C772)=1),OP!$C$123,0)</f>
        <v>0</v>
      </c>
      <c r="AV772" s="298">
        <f ca="1">IF(AND(A772&gt;=OP!$C$132,A772&lt;=OP!$C$133,$C$3=C772),OP!$C$135,0)</f>
        <v>0</v>
      </c>
      <c r="AW772" s="180">
        <f t="shared" ca="1" si="423"/>
        <v>0.05</v>
      </c>
      <c r="AX772" s="180">
        <f t="shared" ca="1" si="424"/>
        <v>0.05</v>
      </c>
      <c r="AY772" s="286">
        <f t="shared" ca="1" si="425"/>
        <v>0</v>
      </c>
      <c r="AZ772" s="286">
        <f t="shared" ca="1" si="426"/>
        <v>0</v>
      </c>
      <c r="BA772" s="286">
        <f t="shared" ca="1" si="427"/>
        <v>0</v>
      </c>
      <c r="BB772" s="286">
        <f t="shared" ca="1" si="428"/>
        <v>0</v>
      </c>
      <c r="BC772" s="286">
        <f t="shared" ca="1" si="429"/>
        <v>0</v>
      </c>
      <c r="BD772" s="180">
        <f t="shared" ca="1" si="430"/>
        <v>0.05</v>
      </c>
      <c r="BE772" s="180">
        <f t="shared" ca="1" si="431"/>
        <v>0.05</v>
      </c>
      <c r="BF772" s="286">
        <f t="shared" ca="1" si="432"/>
        <v>0</v>
      </c>
      <c r="BG772" s="286">
        <f t="shared" ca="1" si="433"/>
        <v>0</v>
      </c>
    </row>
    <row r="773" spans="1:59">
      <c r="A773" s="1">
        <f t="shared" ref="A773:A836" ca="1" si="448">IF(C773=$C$4,A772+1,A772)</f>
        <v>65</v>
      </c>
      <c r="B773" s="1">
        <f t="shared" ca="1" si="442"/>
        <v>170</v>
      </c>
      <c r="C773" s="1">
        <f t="shared" ca="1" si="443"/>
        <v>7</v>
      </c>
      <c r="D773" s="1">
        <f ca="1">MIN($D$3,VLOOKUP(C773,OP!$S$30:$T$41,2))</f>
        <v>2</v>
      </c>
      <c r="E773" s="1" t="str">
        <f t="shared" ca="1" si="444"/>
        <v/>
      </c>
      <c r="F773" s="11" t="str">
        <f t="shared" ref="F773:F836" ca="1" si="449">IF(AND(DATE($E$3+1911,$F$3,$G$3)&gt;DATE(B773+1911,C773,D773),DATE($E$3+1911,$F$3,$G$3)&lt;=DATE(B774+1911,C774,D774)),"F","")</f>
        <v/>
      </c>
      <c r="G773" s="8">
        <f t="shared" ref="G773:G783" ca="1" si="450">G772</f>
        <v>365</v>
      </c>
      <c r="H773" s="8">
        <f t="shared" ref="H773:H836" ca="1" si="451">DATEDIF(DATE(B773+1911,C773,D773),IF(F773="F",DATE($E$3+1911,$F$3,$G$3),DATE(B774+1911,C774,D774)),"d")</f>
        <v>31</v>
      </c>
      <c r="I773" s="8" t="str">
        <f t="shared" ca="1" si="447"/>
        <v>657</v>
      </c>
      <c r="J773" s="13">
        <f>IF(繳費報酬率資料!$A$1=1,VALUE(OP!$C$121),VLOOKUP(A773,MP,2,0))</f>
        <v>0.05</v>
      </c>
      <c r="K773" s="14">
        <f ca="1">IF(SUM($K$4:K772,IF(繳費報酬率資料!$A$1=1,$AU773+$AV773,$BB773+$BC773))&gt;OP!$L$58,0,IF(繳費報酬率資料!$A$1=1,$AU773+$AV773,$BB773+$BC773))</f>
        <v>0</v>
      </c>
      <c r="L773" s="2"/>
      <c r="M773" s="2"/>
      <c r="N773" s="2"/>
      <c r="O773" s="261">
        <f t="shared" ref="O773:O836" ca="1" si="452">IF(K773=0,0,$AR773)</f>
        <v>0</v>
      </c>
      <c r="P773" s="261">
        <f t="shared" ca="1" si="434"/>
        <v>0</v>
      </c>
      <c r="Q773" s="3">
        <f ca="1">IF(A773&gt;MAX(OP!$R$17:$R$26),0,VLOOKUP(A773,fees,3,FALSE))</f>
        <v>0</v>
      </c>
      <c r="R773" s="200" t="str">
        <f t="shared" ref="R773:R836" ca="1" si="453">IF(OR(C774&lt;&gt;$C$3,E773=""),"",A773)</f>
        <v/>
      </c>
      <c r="S773" s="9" t="str">
        <f ca="1">IF(COUNTIF(($T$4:T772),"F")&gt;=1,"",IF(OR(C774&lt;&gt;$C$3,E773=""),"",A773))</f>
        <v/>
      </c>
      <c r="T773" s="20" t="str">
        <f t="shared" ca="1" si="445"/>
        <v/>
      </c>
      <c r="U773" s="2">
        <f ca="1">IF(IF(OP!$C$83=1,$Z772,IF(OP!$C$83=2,$AA772,IF(OP!$C$83=3,$AB772,)))+$K773-$O773-$P773-$AS773&lt;OP!$C$142,0,$AS773)</f>
        <v>0</v>
      </c>
      <c r="V773" s="9"/>
      <c r="W773" s="19">
        <f ca="1">MAX(SUM($K$4:K773),0)</f>
        <v>2000000</v>
      </c>
      <c r="X773" s="19"/>
      <c r="Y773" s="19">
        <f t="shared" ca="1" si="435"/>
        <v>1920000</v>
      </c>
      <c r="Z773" s="2">
        <f ca="1">IF(MIN($Z$4:Z772)=0,0,MAX(0,($Z772+$K773-$O773-$P773)*IF(AND(F773="F",$D$3&lt;&gt;$G$3),((1+(-J773))^(H773/MIN(G773,365))),((1+(-J773))^(1/12)))-$U773))</f>
        <v>71433.056744664093</v>
      </c>
      <c r="AA773" s="2">
        <f ca="1">IF(MIN($AA$4:AA772)=0,0,MAX(0,($AA772+$K773-$O773-$P773)*IF(AND(F773="F",$D$3&lt;&gt;$G$3),((1+$AA$1)^(H773/MIN(G773,365))),((1+$AA$1)^(1/12)))-$U773))</f>
        <v>1920000</v>
      </c>
      <c r="AB773" s="2">
        <f ca="1">IF(MIN($AB$4:AB772)=0,0,MAX(0,($AB772+$K773-$O773-$P773)*IF(AND(F773="F",$D$3&lt;&gt;$G$3),((1+(J773))^(H773/MIN(G773,365))),((1+(J773))^(1/12)))-$U773))</f>
        <v>43948890.838196002</v>
      </c>
      <c r="AC773" s="5"/>
      <c r="AD773" s="5"/>
      <c r="AE773" s="5"/>
      <c r="AF773" s="282">
        <f t="shared" ref="AF773:AF836" ca="1" si="454">ROUND(Z773*(1-$Q773),$AF$1)</f>
        <v>71433</v>
      </c>
      <c r="AG773" s="282">
        <f t="shared" ref="AG773:AG836" ca="1" si="455">ROUND(AA773*(1-$Q773),$AF$1)</f>
        <v>1920000</v>
      </c>
      <c r="AH773" s="282">
        <f t="shared" ref="AH773:AH836" ca="1" si="456">ROUND(AB773*(1-$Q773),$AF$1)</f>
        <v>43948891</v>
      </c>
      <c r="AI773" s="23" t="str">
        <f t="shared" ca="1" si="437"/>
        <v>65-3</v>
      </c>
      <c r="AJ773" s="282">
        <f ca="1">IF(E773&gt;111,,IF(AND(OP!$C$99=1,T773="F"),Z773,IF(AND(OP!$C$99=2,COUNTIF($T$4:T773,"F")=1),OP!$C$97+IF(F773="F",OP!$C$98,0),"")))</f>
        <v>0</v>
      </c>
      <c r="AK773" s="282">
        <f ca="1">IF(E773&gt;111,,IF(AND(OP!$D$99=1,T773="F"),AA773,IF(AND(OP!$D$99=2,COUNTIF($T$4:T773,"F")=1),OP!$D$97+IF(F773="F",OP!$D$98,0),"")))</f>
        <v>0</v>
      </c>
      <c r="AL773" s="282">
        <f ca="1">IF(E773&gt;111,,IF(AND(OP!$E$99=1,T773="F"),AB773,IF(AND(OP!$E$99=2,COUNTIF($T$4:T773,"F")=1),OP!$E$97+IF(F773="F",OP!$E$98,0),"")))</f>
        <v>0</v>
      </c>
      <c r="AM773" s="1">
        <f t="shared" ca="1" si="446"/>
        <v>3</v>
      </c>
      <c r="AN773" s="1" t="e">
        <f ca="1">IF(OR(VLOOKUP($A773,MP,5,0)="月繳"),1,"")</f>
        <v>#N/A</v>
      </c>
      <c r="AO773" s="1">
        <f t="shared" ref="AO773:AO836" ca="1" si="457">IF(ISNA(VLOOKUP(A773,MP,2,0)),,IF(C773=$C$3,ROUND(VLOOKUP(A773,MP,4,0),0),0)+IF(AN773=1,ROUND(VLOOKUP(A773,MP,6,0),0),0))</f>
        <v>0</v>
      </c>
      <c r="AP773" s="1" t="str">
        <f ca="1">IF(AND(A773&lt;=OP!$C$120,COUNTIF(PAY,C773)=1),1,"")</f>
        <v/>
      </c>
      <c r="AR773" s="301">
        <f ca="1">IF(繳費報酬率資料!$A$1=1,$AY773+$AZ773,$BF773+$BG773)</f>
        <v>0</v>
      </c>
      <c r="AS773" s="1">
        <f ca="1">IF(C773&lt;&gt;IF($C$3=1,12,$C$3-1),0,IF(繳費報酬率資料!$A$1&lt;&gt;1,VLOOKUP($A773,MP,8,0),IF(AND($A773&gt;=OP!$C$79,$A773&lt;=OP!$C$80),OP!$C$78,)))</f>
        <v>0</v>
      </c>
      <c r="AT773" s="298">
        <f t="shared" ref="AT773:AT836" ca="1" si="458">AU773+AV773</f>
        <v>0</v>
      </c>
      <c r="AU773" s="298">
        <f ca="1">IF(AND(A773&lt;=OP!$C$120,COUNTIF(PAY,C773)=1),OP!$C$123,0)</f>
        <v>0</v>
      </c>
      <c r="AV773" s="298">
        <f ca="1">IF(AND(A773&gt;=OP!$C$132,A773&lt;=OP!$C$133,$C$3=C773),OP!$C$135,0)</f>
        <v>0</v>
      </c>
      <c r="AW773" s="180">
        <f t="shared" ref="AW773:AW836" ca="1" si="459">HLOOKUP(IF($AU773&lt;$AY$1,1,IF(AND($AU773&gt;=$AY$1,$AU773&lt;$AZ$1),2,IF(AND($AU773&gt;=$AZ$1,$AU773&lt;$BA$1),3,IF(AND($AU773&gt;=$BA$1),4,1)))),PR,2,0)</f>
        <v>0.05</v>
      </c>
      <c r="AX773" s="180">
        <f t="shared" ref="AX773:AX836" ca="1" si="460">HLOOKUP(IF($AV773&lt;$AY$1,1,IF(AND($AV773&gt;=$AY$1,$AV773&lt;$AZ$1),2,IF(AND($AV773&gt;=$AZ$1,$AV773&lt;$BA$1),3,IF(AND($AV773&gt;=$BA$1),4,1)))),PR,2,0)</f>
        <v>0.05</v>
      </c>
      <c r="AY773" s="286">
        <f t="shared" ref="AY773:AY836" ca="1" si="461">ROUND(AU773*AW773,0)</f>
        <v>0</v>
      </c>
      <c r="AZ773" s="286">
        <f t="shared" ref="AZ773:AZ836" ca="1" si="462">ROUND(AV773*AX773,0)</f>
        <v>0</v>
      </c>
      <c r="BA773" s="286">
        <f t="shared" ref="BA773:BA836" ca="1" si="463">BB773+BC773</f>
        <v>0</v>
      </c>
      <c r="BB773" s="286">
        <f t="shared" ref="BB773:BB836" ca="1" si="464">IF(ISNA(VLOOKUP(A773,MP,2,0)),,IF(C773=$C$3,ROUND(VLOOKUP(A773,MP,6,0),0),0))</f>
        <v>0</v>
      </c>
      <c r="BC773" s="286">
        <f t="shared" ref="BC773:BC836" ca="1" si="465">IF(ISNA(VLOOKUP(A773,MP,4,0)),,IF(AND(C773=$C$3,AN773=1),ROUND(VLOOKUP(A773,MP,4,0),0),0))</f>
        <v>0</v>
      </c>
      <c r="BD773" s="180">
        <f t="shared" ref="BD773:BD836" ca="1" si="466">HLOOKUP(IF($BB773&lt;$AY$1,1,IF(AND($BB773&gt;=$AY$1,$BB773&lt;$AZ$1),2,IF(AND($BB773&gt;=$AZ$1,$BB773&lt;$BA$1),3,IF(AND($BB773&gt;=$BA$1),4,1)))),PR,2,0)</f>
        <v>0.05</v>
      </c>
      <c r="BE773" s="180">
        <f t="shared" ref="BE773:BE836" ca="1" si="467">HLOOKUP(IF($BC773&lt;$AY$1,1,IF(AND($BC773&gt;=$AY$1,$BC773&lt;$AZ$1),2,IF(AND($BC773&gt;=$AZ$1,$BC773&lt;$BA$1),3,IF(AND($BC773&gt;=$BA$1),4,1)))),PR,2,0)</f>
        <v>0.05</v>
      </c>
      <c r="BF773" s="286">
        <f t="shared" ref="BF773:BF836" ca="1" si="468">ROUND(BB773*BD773,0)</f>
        <v>0</v>
      </c>
      <c r="BG773" s="286">
        <f t="shared" ref="BG773:BG836" ca="1" si="469">ROUND(BC773*BE773,0)</f>
        <v>0</v>
      </c>
    </row>
    <row r="774" spans="1:59">
      <c r="A774" s="1">
        <f t="shared" ca="1" si="448"/>
        <v>65</v>
      </c>
      <c r="B774" s="1">
        <f t="shared" ca="1" si="442"/>
        <v>170</v>
      </c>
      <c r="C774" s="1">
        <f t="shared" ca="1" si="443"/>
        <v>8</v>
      </c>
      <c r="D774" s="1">
        <f ca="1">MIN($D$3,VLOOKUP(C774,OP!$S$30:$T$41,2))</f>
        <v>2</v>
      </c>
      <c r="E774" s="1" t="str">
        <f t="shared" ca="1" si="444"/>
        <v/>
      </c>
      <c r="F774" s="11" t="str">
        <f t="shared" ca="1" si="449"/>
        <v/>
      </c>
      <c r="G774" s="8">
        <f t="shared" ca="1" si="450"/>
        <v>365</v>
      </c>
      <c r="H774" s="8">
        <f t="shared" ca="1" si="451"/>
        <v>31</v>
      </c>
      <c r="I774" s="8" t="str">
        <f t="shared" ca="1" si="447"/>
        <v>658</v>
      </c>
      <c r="J774" s="13">
        <f>IF(繳費報酬率資料!$A$1=1,VALUE(OP!$C$121),VLOOKUP(A774,MP,2,0))</f>
        <v>0.05</v>
      </c>
      <c r="K774" s="14">
        <f ca="1">IF(SUM($K$4:K773,IF(繳費報酬率資料!$A$1=1,$AU774+$AV774,$BB774+$BC774))&gt;OP!$L$58,0,IF(繳費報酬率資料!$A$1=1,$AU774+$AV774,$BB774+$BC774))</f>
        <v>0</v>
      </c>
      <c r="L774" s="2"/>
      <c r="M774" s="2"/>
      <c r="N774" s="2"/>
      <c r="O774" s="261">
        <f t="shared" ca="1" si="452"/>
        <v>0</v>
      </c>
      <c r="P774" s="261">
        <f t="shared" ref="P774:P837" ca="1" si="470">IF(MAX(Z773:AB773)=0,0,P773)</f>
        <v>0</v>
      </c>
      <c r="Q774" s="3">
        <f ca="1">IF(A774&gt;MAX(OP!$R$17:$R$26),0,VLOOKUP(A774,fees,3,FALSE))</f>
        <v>0</v>
      </c>
      <c r="R774" s="200" t="str">
        <f t="shared" ca="1" si="453"/>
        <v/>
      </c>
      <c r="S774" s="9" t="str">
        <f ca="1">IF(COUNTIF(($T$4:T773),"F")&gt;=1,"",IF(OR(C775&lt;&gt;$C$3,E774=""),"",A774))</f>
        <v/>
      </c>
      <c r="T774" s="20" t="str">
        <f t="shared" ca="1" si="445"/>
        <v/>
      </c>
      <c r="U774" s="2">
        <f ca="1">IF(IF(OP!$C$83=1,$Z773,IF(OP!$C$83=2,$AA773,IF(OP!$C$83=3,$AB773,)))+$K774-$O774-$P774-$AS774&lt;OP!$C$142,0,$AS774)</f>
        <v>0</v>
      </c>
      <c r="V774" s="9"/>
      <c r="W774" s="19">
        <f ca="1">MAX(SUM($K$4:K774),0)</f>
        <v>2000000</v>
      </c>
      <c r="X774" s="19"/>
      <c r="Y774" s="19">
        <f t="shared" ref="Y774:Y837" ca="1" si="471">Y773+K774-O774</f>
        <v>1920000</v>
      </c>
      <c r="Z774" s="2">
        <f ca="1">IF(MIN($Z$4:Z773)=0,0,MAX(0,($Z773+$K774-$O774-$P774)*IF(AND(F774="F",$D$3&lt;&gt;$G$3),((1+(-J774))^(H774/MIN(G774,365))),((1+(-J774))^(1/12)))-$U774))</f>
        <v>71128.371986392522</v>
      </c>
      <c r="AA774" s="2">
        <f ca="1">IF(MIN($AA$4:AA773)=0,0,MAX(0,($AA773+$K774-$O774-$P774)*IF(AND(F774="F",$D$3&lt;&gt;$G$3),((1+$AA$1)^(H774/MIN(G774,365))),((1+$AA$1)^(1/12)))-$U774))</f>
        <v>1920000</v>
      </c>
      <c r="AB774" s="2">
        <f ca="1">IF(MIN($AB$4:AB773)=0,0,MAX(0,($AB773+$K774-$O774-$P774)*IF(AND(F774="F",$D$3&lt;&gt;$G$3),((1+(J774))^(H774/MIN(G774,365))),((1+(J774))^(1/12)))-$U774))</f>
        <v>44127944.059624858</v>
      </c>
      <c r="AC774" s="5"/>
      <c r="AD774" s="5"/>
      <c r="AE774" s="5"/>
      <c r="AF774" s="282">
        <f t="shared" ca="1" si="454"/>
        <v>71128</v>
      </c>
      <c r="AG774" s="282">
        <f t="shared" ca="1" si="455"/>
        <v>1920000</v>
      </c>
      <c r="AH774" s="282">
        <f t="shared" ca="1" si="456"/>
        <v>44127944</v>
      </c>
      <c r="AI774" s="23" t="str">
        <f t="shared" ca="1" si="437"/>
        <v>65-4</v>
      </c>
      <c r="AJ774" s="282">
        <f ca="1">IF(E774&gt;111,,IF(AND(OP!$C$99=1,T774="F"),Z774,IF(AND(OP!$C$99=2,COUNTIF($T$4:T774,"F")=1),OP!$C$97+IF(F774="F",OP!$C$98,0),"")))</f>
        <v>0</v>
      </c>
      <c r="AK774" s="282">
        <f ca="1">IF(E774&gt;111,,IF(AND(OP!$D$99=1,T774="F"),AA774,IF(AND(OP!$D$99=2,COUNTIF($T$4:T774,"F")=1),OP!$D$97+IF(F774="F",OP!$D$98,0),"")))</f>
        <v>0</v>
      </c>
      <c r="AL774" s="282">
        <f ca="1">IF(E774&gt;111,,IF(AND(OP!$E$99=1,T774="F"),AB774,IF(AND(OP!$E$99=2,COUNTIF($T$4:T774,"F")=1),OP!$E$97+IF(F774="F",OP!$E$98,0),"")))</f>
        <v>0</v>
      </c>
      <c r="AM774" s="1">
        <f t="shared" ca="1" si="446"/>
        <v>4</v>
      </c>
      <c r="AN774" s="1" t="e">
        <f ca="1">IF(OR(VLOOKUP($A774,MP,5,0)="月繳"),1,"")</f>
        <v>#N/A</v>
      </c>
      <c r="AO774" s="1">
        <f t="shared" ca="1" si="457"/>
        <v>0</v>
      </c>
      <c r="AP774" s="1" t="str">
        <f ca="1">IF(AND(A774&lt;=OP!$C$120,COUNTIF(PAY,C774)=1),1,"")</f>
        <v/>
      </c>
      <c r="AR774" s="301">
        <f ca="1">IF(繳費報酬率資料!$A$1=1,$AY774+$AZ774,$BF774+$BG774)</f>
        <v>0</v>
      </c>
      <c r="AS774" s="1">
        <f ca="1">IF(C774&lt;&gt;IF($C$3=1,12,$C$3-1),0,IF(繳費報酬率資料!$A$1&lt;&gt;1,VLOOKUP($A774,MP,8,0),IF(AND($A774&gt;=OP!$C$79,$A774&lt;=OP!$C$80),OP!$C$78,)))</f>
        <v>0</v>
      </c>
      <c r="AT774" s="298">
        <f t="shared" ca="1" si="458"/>
        <v>0</v>
      </c>
      <c r="AU774" s="298">
        <f ca="1">IF(AND(A774&lt;=OP!$C$120,COUNTIF(PAY,C774)=1),OP!$C$123,0)</f>
        <v>0</v>
      </c>
      <c r="AV774" s="298">
        <f ca="1">IF(AND(A774&gt;=OP!$C$132,A774&lt;=OP!$C$133,$C$3=C774),OP!$C$135,0)</f>
        <v>0</v>
      </c>
      <c r="AW774" s="180">
        <f t="shared" ca="1" si="459"/>
        <v>0.05</v>
      </c>
      <c r="AX774" s="180">
        <f t="shared" ca="1" si="460"/>
        <v>0.05</v>
      </c>
      <c r="AY774" s="286">
        <f t="shared" ca="1" si="461"/>
        <v>0</v>
      </c>
      <c r="AZ774" s="286">
        <f t="shared" ca="1" si="462"/>
        <v>0</v>
      </c>
      <c r="BA774" s="286">
        <f t="shared" ca="1" si="463"/>
        <v>0</v>
      </c>
      <c r="BB774" s="286">
        <f t="shared" ca="1" si="464"/>
        <v>0</v>
      </c>
      <c r="BC774" s="286">
        <f t="shared" ca="1" si="465"/>
        <v>0</v>
      </c>
      <c r="BD774" s="180">
        <f t="shared" ca="1" si="466"/>
        <v>0.05</v>
      </c>
      <c r="BE774" s="180">
        <f t="shared" ca="1" si="467"/>
        <v>0.05</v>
      </c>
      <c r="BF774" s="286">
        <f t="shared" ca="1" si="468"/>
        <v>0</v>
      </c>
      <c r="BG774" s="286">
        <f t="shared" ca="1" si="469"/>
        <v>0</v>
      </c>
    </row>
    <row r="775" spans="1:59">
      <c r="A775" s="1">
        <f t="shared" ca="1" si="448"/>
        <v>65</v>
      </c>
      <c r="B775" s="1">
        <f t="shared" ca="1" si="442"/>
        <v>170</v>
      </c>
      <c r="C775" s="1">
        <f t="shared" ca="1" si="443"/>
        <v>9</v>
      </c>
      <c r="D775" s="1">
        <f ca="1">MIN($D$3,VLOOKUP(C775,OP!$S$30:$T$41,2))</f>
        <v>2</v>
      </c>
      <c r="E775" s="1" t="str">
        <f t="shared" ca="1" si="444"/>
        <v/>
      </c>
      <c r="F775" s="11" t="str">
        <f t="shared" ca="1" si="449"/>
        <v/>
      </c>
      <c r="G775" s="8">
        <f t="shared" ca="1" si="450"/>
        <v>365</v>
      </c>
      <c r="H775" s="8">
        <f t="shared" ca="1" si="451"/>
        <v>30</v>
      </c>
      <c r="I775" s="8" t="str">
        <f t="shared" ca="1" si="447"/>
        <v>659</v>
      </c>
      <c r="J775" s="13">
        <f>IF(繳費報酬率資料!$A$1=1,VALUE(OP!$C$121),VLOOKUP(A775,MP,2,0))</f>
        <v>0.05</v>
      </c>
      <c r="K775" s="14">
        <f ca="1">IF(SUM($K$4:K774,IF(繳費報酬率資料!$A$1=1,$AU775+$AV775,$BB775+$BC775))&gt;OP!$L$58,0,IF(繳費報酬率資料!$A$1=1,$AU775+$AV775,$BB775+$BC775))</f>
        <v>0</v>
      </c>
      <c r="L775" s="2"/>
      <c r="M775" s="2"/>
      <c r="N775" s="2"/>
      <c r="O775" s="261">
        <f t="shared" ca="1" si="452"/>
        <v>0</v>
      </c>
      <c r="P775" s="261">
        <f t="shared" ca="1" si="470"/>
        <v>0</v>
      </c>
      <c r="Q775" s="3">
        <f ca="1">IF(A775&gt;MAX(OP!$R$17:$R$26),0,VLOOKUP(A775,fees,3,FALSE))</f>
        <v>0</v>
      </c>
      <c r="R775" s="200" t="str">
        <f t="shared" ca="1" si="453"/>
        <v/>
      </c>
      <c r="S775" s="9" t="str">
        <f ca="1">IF(COUNTIF(($T$4:T774),"F")&gt;=1,"",IF(OR(C776&lt;&gt;$C$3,E775=""),"",A775))</f>
        <v/>
      </c>
      <c r="T775" s="20" t="str">
        <f t="shared" ca="1" si="445"/>
        <v/>
      </c>
      <c r="U775" s="2">
        <f ca="1">IF(IF(OP!$C$83=1,$Z774,IF(OP!$C$83=2,$AA774,IF(OP!$C$83=3,$AB774,)))+$K775-$O775-$P775-$AS775&lt;OP!$C$142,0,$AS775)</f>
        <v>0</v>
      </c>
      <c r="V775" s="9"/>
      <c r="W775" s="19">
        <f ca="1">MAX(SUM($K$4:K775),0)</f>
        <v>2000000</v>
      </c>
      <c r="X775" s="19"/>
      <c r="Y775" s="19">
        <f t="shared" ca="1" si="471"/>
        <v>1920000</v>
      </c>
      <c r="Z775" s="2">
        <f ca="1">IF(MIN($Z$4:Z774)=0,0,MAX(0,($Z774+$K775-$O775-$P775)*IF(AND(F775="F",$D$3&lt;&gt;$G$3),((1+(-J775))^(H775/MIN(G775,365))),((1+(-J775))^(1/12)))-$U775))</f>
        <v>70824.986805741646</v>
      </c>
      <c r="AA775" s="2">
        <f ca="1">IF(MIN($AA$4:AA774)=0,0,MAX(0,($AA774+$K775-$O775-$P775)*IF(AND(F775="F",$D$3&lt;&gt;$G$3),((1+$AA$1)^(H775/MIN(G775,365))),((1+$AA$1)^(1/12)))-$U775))</f>
        <v>1920000</v>
      </c>
      <c r="AB775" s="2">
        <f ca="1">IF(MIN($AB$4:AB774)=0,0,MAX(0,($AB774+$K775-$O775-$P775)*IF(AND(F775="F",$D$3&lt;&gt;$G$3),((1+(J775))^(H775/MIN(G775,365))),((1+(J775))^(1/12)))-$U775))</f>
        <v>44307726.766041681</v>
      </c>
      <c r="AC775" s="5"/>
      <c r="AD775" s="5"/>
      <c r="AE775" s="5"/>
      <c r="AF775" s="282">
        <f t="shared" ca="1" si="454"/>
        <v>70825</v>
      </c>
      <c r="AG775" s="282">
        <f t="shared" ca="1" si="455"/>
        <v>1920000</v>
      </c>
      <c r="AH775" s="282">
        <f t="shared" ca="1" si="456"/>
        <v>44307727</v>
      </c>
      <c r="AI775" s="23" t="str">
        <f t="shared" ca="1" si="437"/>
        <v>65-5</v>
      </c>
      <c r="AJ775" s="282">
        <f ca="1">IF(E775&gt;111,,IF(AND(OP!$C$99=1,T775="F"),Z775,IF(AND(OP!$C$99=2,COUNTIF($T$4:T775,"F")=1),OP!$C$97+IF(F775="F",OP!$C$98,0),"")))</f>
        <v>0</v>
      </c>
      <c r="AK775" s="282">
        <f ca="1">IF(E775&gt;111,,IF(AND(OP!$D$99=1,T775="F"),AA775,IF(AND(OP!$D$99=2,COUNTIF($T$4:T775,"F")=1),OP!$D$97+IF(F775="F",OP!$D$98,0),"")))</f>
        <v>0</v>
      </c>
      <c r="AL775" s="282">
        <f ca="1">IF(E775&gt;111,,IF(AND(OP!$E$99=1,T775="F"),AB775,IF(AND(OP!$E$99=2,COUNTIF($T$4:T775,"F")=1),OP!$E$97+IF(F775="F",OP!$E$98,0),"")))</f>
        <v>0</v>
      </c>
      <c r="AM775" s="1">
        <f t="shared" ca="1" si="446"/>
        <v>5</v>
      </c>
      <c r="AN775" s="1" t="e">
        <f ca="1">IF(OR(VLOOKUP($A775,MP,5,0)="季繳",VLOOKUP($A775,MP,5,0)="月繳"),1,"")</f>
        <v>#N/A</v>
      </c>
      <c r="AO775" s="1">
        <f t="shared" ca="1" si="457"/>
        <v>0</v>
      </c>
      <c r="AP775" s="1" t="str">
        <f ca="1">IF(AND(A775&lt;=OP!$C$120,COUNTIF(PAY,C775)=1),1,"")</f>
        <v/>
      </c>
      <c r="AR775" s="301">
        <f ca="1">IF(繳費報酬率資料!$A$1=1,$AY775+$AZ775,$BF775+$BG775)</f>
        <v>0</v>
      </c>
      <c r="AS775" s="1">
        <f ca="1">IF(C775&lt;&gt;IF($C$3=1,12,$C$3-1),0,IF(繳費報酬率資料!$A$1&lt;&gt;1,VLOOKUP($A775,MP,8,0),IF(AND($A775&gt;=OP!$C$79,$A775&lt;=OP!$C$80),OP!$C$78,)))</f>
        <v>0</v>
      </c>
      <c r="AT775" s="298">
        <f t="shared" ca="1" si="458"/>
        <v>0</v>
      </c>
      <c r="AU775" s="298">
        <f ca="1">IF(AND(A775&lt;=OP!$C$120,COUNTIF(PAY,C775)=1),OP!$C$123,0)</f>
        <v>0</v>
      </c>
      <c r="AV775" s="298">
        <f ca="1">IF(AND(A775&gt;=OP!$C$132,A775&lt;=OP!$C$133,$C$3=C775),OP!$C$135,0)</f>
        <v>0</v>
      </c>
      <c r="AW775" s="180">
        <f t="shared" ca="1" si="459"/>
        <v>0.05</v>
      </c>
      <c r="AX775" s="180">
        <f t="shared" ca="1" si="460"/>
        <v>0.05</v>
      </c>
      <c r="AY775" s="286">
        <f t="shared" ca="1" si="461"/>
        <v>0</v>
      </c>
      <c r="AZ775" s="286">
        <f t="shared" ca="1" si="462"/>
        <v>0</v>
      </c>
      <c r="BA775" s="286">
        <f t="shared" ca="1" si="463"/>
        <v>0</v>
      </c>
      <c r="BB775" s="286">
        <f t="shared" ca="1" si="464"/>
        <v>0</v>
      </c>
      <c r="BC775" s="286">
        <f t="shared" ca="1" si="465"/>
        <v>0</v>
      </c>
      <c r="BD775" s="180">
        <f t="shared" ca="1" si="466"/>
        <v>0.05</v>
      </c>
      <c r="BE775" s="180">
        <f t="shared" ca="1" si="467"/>
        <v>0.05</v>
      </c>
      <c r="BF775" s="286">
        <f t="shared" ca="1" si="468"/>
        <v>0</v>
      </c>
      <c r="BG775" s="286">
        <f t="shared" ca="1" si="469"/>
        <v>0</v>
      </c>
    </row>
    <row r="776" spans="1:59">
      <c r="A776" s="1">
        <f t="shared" ca="1" si="448"/>
        <v>65</v>
      </c>
      <c r="B776" s="1">
        <f t="shared" ca="1" si="442"/>
        <v>170</v>
      </c>
      <c r="C776" s="1">
        <f t="shared" ca="1" si="443"/>
        <v>10</v>
      </c>
      <c r="D776" s="1">
        <f ca="1">MIN($D$3,VLOOKUP(C776,OP!$S$30:$T$41,2))</f>
        <v>2</v>
      </c>
      <c r="E776" s="1" t="str">
        <f t="shared" ca="1" si="444"/>
        <v/>
      </c>
      <c r="F776" s="11" t="str">
        <f t="shared" ca="1" si="449"/>
        <v/>
      </c>
      <c r="G776" s="8">
        <f t="shared" ca="1" si="450"/>
        <v>365</v>
      </c>
      <c r="H776" s="8">
        <f t="shared" ca="1" si="451"/>
        <v>31</v>
      </c>
      <c r="I776" s="8" t="str">
        <f t="shared" ca="1" si="447"/>
        <v>6510</v>
      </c>
      <c r="J776" s="13">
        <f>IF(繳費報酬率資料!$A$1=1,VALUE(OP!$C$121),VLOOKUP(A776,MP,2,0))</f>
        <v>0.05</v>
      </c>
      <c r="K776" s="14">
        <f ca="1">IF(SUM($K$4:K775,IF(繳費報酬率資料!$A$1=1,$AU776+$AV776,$BB776+$BC776))&gt;OP!$L$58,0,IF(繳費報酬率資料!$A$1=1,$AU776+$AV776,$BB776+$BC776))</f>
        <v>0</v>
      </c>
      <c r="L776" s="2"/>
      <c r="M776" s="2"/>
      <c r="N776" s="2"/>
      <c r="O776" s="261">
        <f t="shared" ca="1" si="452"/>
        <v>0</v>
      </c>
      <c r="P776" s="261">
        <f t="shared" ca="1" si="470"/>
        <v>0</v>
      </c>
      <c r="Q776" s="3">
        <f ca="1">IF(A776&gt;MAX(OP!$R$17:$R$26),0,VLOOKUP(A776,fees,3,FALSE))</f>
        <v>0</v>
      </c>
      <c r="R776" s="200" t="str">
        <f t="shared" ca="1" si="453"/>
        <v/>
      </c>
      <c r="S776" s="9" t="str">
        <f ca="1">IF(COUNTIF(($T$4:T775),"F")&gt;=1,"",IF(OR(C777&lt;&gt;$C$3,E776=""),"",A776))</f>
        <v/>
      </c>
      <c r="T776" s="20" t="str">
        <f t="shared" ca="1" si="445"/>
        <v/>
      </c>
      <c r="U776" s="2">
        <f ca="1">IF(IF(OP!$C$83=1,$Z775,IF(OP!$C$83=2,$AA775,IF(OP!$C$83=3,$AB775,)))+$K776-$O776-$P776-$AS776&lt;OP!$C$142,0,$AS776)</f>
        <v>0</v>
      </c>
      <c r="V776" s="9"/>
      <c r="W776" s="19">
        <f ca="1">MAX(SUM($K$4:K776),0)</f>
        <v>2000000</v>
      </c>
      <c r="X776" s="19"/>
      <c r="Y776" s="19">
        <f t="shared" ca="1" si="471"/>
        <v>1920000</v>
      </c>
      <c r="Z776" s="2">
        <f ca="1">IF(MIN($Z$4:Z775)=0,0,MAX(0,($Z775+$K776-$O776-$P776)*IF(AND(F776="F",$D$3&lt;&gt;$G$3),((1+(-J776))^(H776/MIN(G776,365))),((1+(-J776))^(1/12)))-$U776))</f>
        <v>70522.895659598638</v>
      </c>
      <c r="AA776" s="2">
        <f ca="1">IF(MIN($AA$4:AA775)=0,0,MAX(0,($AA775+$K776-$O776-$P776)*IF(AND(F776="F",$D$3&lt;&gt;$G$3),((1+$AA$1)^(H776/MIN(G776,365))),((1+$AA$1)^(1/12)))-$U776))</f>
        <v>1920000</v>
      </c>
      <c r="AB776" s="2">
        <f ca="1">IF(MIN($AB$4:AB775)=0,0,MAX(0,($AB775+$K776-$O776-$P776)*IF(AND(F776="F",$D$3&lt;&gt;$G$3),((1+(J776))^(H776/MIN(G776,365))),((1+(J776))^(1/12)))-$U776))</f>
        <v>44488241.929458603</v>
      </c>
      <c r="AC776" s="5"/>
      <c r="AD776" s="5"/>
      <c r="AE776" s="5"/>
      <c r="AF776" s="282">
        <f t="shared" ca="1" si="454"/>
        <v>70523</v>
      </c>
      <c r="AG776" s="282">
        <f t="shared" ca="1" si="455"/>
        <v>1920000</v>
      </c>
      <c r="AH776" s="282">
        <f t="shared" ca="1" si="456"/>
        <v>44488242</v>
      </c>
      <c r="AI776" s="23" t="str">
        <f t="shared" ca="1" si="437"/>
        <v>65-6</v>
      </c>
      <c r="AJ776" s="282">
        <f ca="1">IF(E776&gt;111,,IF(AND(OP!$C$99=1,T776="F"),Z776,IF(AND(OP!$C$99=2,COUNTIF($T$4:T776,"F")=1),OP!$C$97+IF(F776="F",OP!$C$98,0),"")))</f>
        <v>0</v>
      </c>
      <c r="AK776" s="282">
        <f ca="1">IF(E776&gt;111,,IF(AND(OP!$D$99=1,T776="F"),AA776,IF(AND(OP!$D$99=2,COUNTIF($T$4:T776,"F")=1),OP!$D$97+IF(F776="F",OP!$D$98,0),"")))</f>
        <v>0</v>
      </c>
      <c r="AL776" s="282">
        <f ca="1">IF(E776&gt;111,,IF(AND(OP!$E$99=1,T776="F"),AB776,IF(AND(OP!$E$99=2,COUNTIF($T$4:T776,"F")=1),OP!$E$97+IF(F776="F",OP!$E$98,0),"")))</f>
        <v>0</v>
      </c>
      <c r="AM776" s="1">
        <f t="shared" ca="1" si="446"/>
        <v>6</v>
      </c>
      <c r="AN776" s="1" t="e">
        <f ca="1">IF(OR(VLOOKUP($A776,MP,5,0)="月繳"),1,"")</f>
        <v>#N/A</v>
      </c>
      <c r="AO776" s="1">
        <f t="shared" ca="1" si="457"/>
        <v>0</v>
      </c>
      <c r="AP776" s="1" t="str">
        <f ca="1">IF(AND(A776&lt;=OP!$C$120,COUNTIF(PAY,C776)=1),1,"")</f>
        <v/>
      </c>
      <c r="AR776" s="301">
        <f ca="1">IF(繳費報酬率資料!$A$1=1,$AY776+$AZ776,$BF776+$BG776)</f>
        <v>0</v>
      </c>
      <c r="AS776" s="1">
        <f ca="1">IF(C776&lt;&gt;IF($C$3=1,12,$C$3-1),0,IF(繳費報酬率資料!$A$1&lt;&gt;1,VLOOKUP($A776,MP,8,0),IF(AND($A776&gt;=OP!$C$79,$A776&lt;=OP!$C$80),OP!$C$78,)))</f>
        <v>0</v>
      </c>
      <c r="AT776" s="298">
        <f t="shared" ca="1" si="458"/>
        <v>0</v>
      </c>
      <c r="AU776" s="298">
        <f ca="1">IF(AND(A776&lt;=OP!$C$120,COUNTIF(PAY,C776)=1),OP!$C$123,0)</f>
        <v>0</v>
      </c>
      <c r="AV776" s="298">
        <f ca="1">IF(AND(A776&gt;=OP!$C$132,A776&lt;=OP!$C$133,$C$3=C776),OP!$C$135,0)</f>
        <v>0</v>
      </c>
      <c r="AW776" s="180">
        <f t="shared" ca="1" si="459"/>
        <v>0.05</v>
      </c>
      <c r="AX776" s="180">
        <f t="shared" ca="1" si="460"/>
        <v>0.05</v>
      </c>
      <c r="AY776" s="286">
        <f t="shared" ca="1" si="461"/>
        <v>0</v>
      </c>
      <c r="AZ776" s="286">
        <f t="shared" ca="1" si="462"/>
        <v>0</v>
      </c>
      <c r="BA776" s="286">
        <f t="shared" ca="1" si="463"/>
        <v>0</v>
      </c>
      <c r="BB776" s="286">
        <f t="shared" ca="1" si="464"/>
        <v>0</v>
      </c>
      <c r="BC776" s="286">
        <f t="shared" ca="1" si="465"/>
        <v>0</v>
      </c>
      <c r="BD776" s="180">
        <f t="shared" ca="1" si="466"/>
        <v>0.05</v>
      </c>
      <c r="BE776" s="180">
        <f t="shared" ca="1" si="467"/>
        <v>0.05</v>
      </c>
      <c r="BF776" s="286">
        <f t="shared" ca="1" si="468"/>
        <v>0</v>
      </c>
      <c r="BG776" s="286">
        <f t="shared" ca="1" si="469"/>
        <v>0</v>
      </c>
    </row>
    <row r="777" spans="1:59">
      <c r="A777" s="1">
        <f t="shared" ca="1" si="448"/>
        <v>65</v>
      </c>
      <c r="B777" s="1">
        <f t="shared" ca="1" si="442"/>
        <v>170</v>
      </c>
      <c r="C777" s="1">
        <f t="shared" ca="1" si="443"/>
        <v>11</v>
      </c>
      <c r="D777" s="1">
        <f ca="1">MIN($D$3,VLOOKUP(C777,OP!$S$30:$T$41,2))</f>
        <v>2</v>
      </c>
      <c r="E777" s="1" t="str">
        <f t="shared" ca="1" si="444"/>
        <v/>
      </c>
      <c r="F777" s="11" t="str">
        <f t="shared" ca="1" si="449"/>
        <v/>
      </c>
      <c r="G777" s="8">
        <f t="shared" ca="1" si="450"/>
        <v>365</v>
      </c>
      <c r="H777" s="8">
        <f t="shared" ca="1" si="451"/>
        <v>30</v>
      </c>
      <c r="I777" s="8" t="str">
        <f t="shared" ca="1" si="447"/>
        <v>6511</v>
      </c>
      <c r="J777" s="13">
        <f>IF(繳費報酬率資料!$A$1=1,VALUE(OP!$C$121),VLOOKUP(A777,MP,2,0))</f>
        <v>0.05</v>
      </c>
      <c r="K777" s="14">
        <f ca="1">IF(SUM($K$4:K776,IF(繳費報酬率資料!$A$1=1,$AU777+$AV777,$BB777+$BC777))&gt;OP!$L$58,0,IF(繳費報酬率資料!$A$1=1,$AU777+$AV777,$BB777+$BC777))</f>
        <v>0</v>
      </c>
      <c r="L777" s="2"/>
      <c r="M777" s="2"/>
      <c r="N777" s="2"/>
      <c r="O777" s="261">
        <f t="shared" ca="1" si="452"/>
        <v>0</v>
      </c>
      <c r="P777" s="261">
        <f t="shared" ca="1" si="470"/>
        <v>0</v>
      </c>
      <c r="Q777" s="3">
        <f ca="1">IF(A777&gt;MAX(OP!$R$17:$R$26),0,VLOOKUP(A777,fees,3,FALSE))</f>
        <v>0</v>
      </c>
      <c r="R777" s="200" t="str">
        <f t="shared" ca="1" si="453"/>
        <v/>
      </c>
      <c r="S777" s="9" t="str">
        <f ca="1">IF(COUNTIF(($T$4:T776),"F")&gt;=1,"",IF(OR(C778&lt;&gt;$C$3,E777=""),"",A777))</f>
        <v/>
      </c>
      <c r="T777" s="20" t="str">
        <f t="shared" ca="1" si="445"/>
        <v/>
      </c>
      <c r="U777" s="2">
        <f ca="1">IF(IF(OP!$C$83=1,$Z776,IF(OP!$C$83=2,$AA776,IF(OP!$C$83=3,$AB776,)))+$K777-$O777-$P777-$AS777&lt;OP!$C$142,0,$AS777)</f>
        <v>0</v>
      </c>
      <c r="V777" s="9"/>
      <c r="W777" s="19">
        <f ca="1">MAX(SUM($K$4:K777),0)</f>
        <v>2000000</v>
      </c>
      <c r="X777" s="19"/>
      <c r="Y777" s="19">
        <f t="shared" ca="1" si="471"/>
        <v>1920000</v>
      </c>
      <c r="Z777" s="2">
        <f ca="1">IF(MIN($Z$4:Z776)=0,0,MAX(0,($Z776+$K777-$O777-$P777)*IF(AND(F777="F",$D$3&lt;&gt;$G$3),((1+(-J777))^(H777/MIN(G777,365))),((1+(-J777))^(1/12)))-$U777))</f>
        <v>70222.093028493808</v>
      </c>
      <c r="AA777" s="2">
        <f ca="1">IF(MIN($AA$4:AA776)=0,0,MAX(0,($AA776+$K777-$O777-$P777)*IF(AND(F777="F",$D$3&lt;&gt;$G$3),((1+$AA$1)^(H777/MIN(G777,365))),((1+$AA$1)^(1/12)))-$U777))</f>
        <v>1920000</v>
      </c>
      <c r="AB777" s="2">
        <f ca="1">IF(MIN($AB$4:AB776)=0,0,MAX(0,($AB776+$K777-$O777-$P777)*IF(AND(F777="F",$D$3&lt;&gt;$G$3),((1+(J777))^(H777/MIN(G777,365))),((1+(J777))^(1/12)))-$U777))</f>
        <v>44669492.533996113</v>
      </c>
      <c r="AC777" s="5"/>
      <c r="AD777" s="5"/>
      <c r="AE777" s="5"/>
      <c r="AF777" s="282">
        <f t="shared" ca="1" si="454"/>
        <v>70222</v>
      </c>
      <c r="AG777" s="282">
        <f t="shared" ca="1" si="455"/>
        <v>1920000</v>
      </c>
      <c r="AH777" s="282">
        <f t="shared" ca="1" si="456"/>
        <v>44669493</v>
      </c>
      <c r="AI777" s="23" t="str">
        <f t="shared" ca="1" si="437"/>
        <v>65-7</v>
      </c>
      <c r="AJ777" s="282">
        <f ca="1">IF(E777&gt;111,,IF(AND(OP!$C$99=1,T777="F"),Z777,IF(AND(OP!$C$99=2,COUNTIF($T$4:T777,"F")=1),OP!$C$97+IF(F777="F",OP!$C$98,0),"")))</f>
        <v>0</v>
      </c>
      <c r="AK777" s="282">
        <f ca="1">IF(E777&gt;111,,IF(AND(OP!$D$99=1,T777="F"),AA777,IF(AND(OP!$D$99=2,COUNTIF($T$4:T777,"F")=1),OP!$D$97+IF(F777="F",OP!$D$98,0),"")))</f>
        <v>0</v>
      </c>
      <c r="AL777" s="282">
        <f ca="1">IF(E777&gt;111,,IF(AND(OP!$E$99=1,T777="F"),AB777,IF(AND(OP!$E$99=2,COUNTIF($T$4:T777,"F")=1),OP!$E$97+IF(F777="F",OP!$E$98,0),"")))</f>
        <v>0</v>
      </c>
      <c r="AM777" s="1">
        <f t="shared" ca="1" si="446"/>
        <v>7</v>
      </c>
      <c r="AN777" s="1" t="e">
        <f ca="1">IF(OR(VLOOKUP($A777,MP,5,0)="月繳"),1,"")</f>
        <v>#N/A</v>
      </c>
      <c r="AO777" s="1">
        <f t="shared" ca="1" si="457"/>
        <v>0</v>
      </c>
      <c r="AP777" s="1" t="str">
        <f ca="1">IF(AND(A777&lt;=OP!$C$120,COUNTIF(PAY,C777)=1),1,"")</f>
        <v/>
      </c>
      <c r="AR777" s="301">
        <f ca="1">IF(繳費報酬率資料!$A$1=1,$AY777+$AZ777,$BF777+$BG777)</f>
        <v>0</v>
      </c>
      <c r="AS777" s="1">
        <f ca="1">IF(C777&lt;&gt;IF($C$3=1,12,$C$3-1),0,IF(繳費報酬率資料!$A$1&lt;&gt;1,VLOOKUP($A777,MP,8,0),IF(AND($A777&gt;=OP!$C$79,$A777&lt;=OP!$C$80),OP!$C$78,)))</f>
        <v>0</v>
      </c>
      <c r="AT777" s="298">
        <f t="shared" ca="1" si="458"/>
        <v>0</v>
      </c>
      <c r="AU777" s="298">
        <f ca="1">IF(AND(A777&lt;=OP!$C$120,COUNTIF(PAY,C777)=1),OP!$C$123,0)</f>
        <v>0</v>
      </c>
      <c r="AV777" s="298">
        <f ca="1">IF(AND(A777&gt;=OP!$C$132,A777&lt;=OP!$C$133,$C$3=C777),OP!$C$135,0)</f>
        <v>0</v>
      </c>
      <c r="AW777" s="180">
        <f t="shared" ca="1" si="459"/>
        <v>0.05</v>
      </c>
      <c r="AX777" s="180">
        <f t="shared" ca="1" si="460"/>
        <v>0.05</v>
      </c>
      <c r="AY777" s="286">
        <f t="shared" ca="1" si="461"/>
        <v>0</v>
      </c>
      <c r="AZ777" s="286">
        <f t="shared" ca="1" si="462"/>
        <v>0</v>
      </c>
      <c r="BA777" s="286">
        <f t="shared" ca="1" si="463"/>
        <v>0</v>
      </c>
      <c r="BB777" s="286">
        <f t="shared" ca="1" si="464"/>
        <v>0</v>
      </c>
      <c r="BC777" s="286">
        <f t="shared" ca="1" si="465"/>
        <v>0</v>
      </c>
      <c r="BD777" s="180">
        <f t="shared" ca="1" si="466"/>
        <v>0.05</v>
      </c>
      <c r="BE777" s="180">
        <f t="shared" ca="1" si="467"/>
        <v>0.05</v>
      </c>
      <c r="BF777" s="286">
        <f t="shared" ca="1" si="468"/>
        <v>0</v>
      </c>
      <c r="BG777" s="286">
        <f t="shared" ca="1" si="469"/>
        <v>0</v>
      </c>
    </row>
    <row r="778" spans="1:59">
      <c r="A778" s="1">
        <f t="shared" ca="1" si="448"/>
        <v>65</v>
      </c>
      <c r="B778" s="1">
        <f t="shared" ca="1" si="442"/>
        <v>170</v>
      </c>
      <c r="C778" s="1">
        <f t="shared" ca="1" si="443"/>
        <v>12</v>
      </c>
      <c r="D778" s="1">
        <f ca="1">MIN($D$3,VLOOKUP(C778,OP!$S$30:$T$41,2))</f>
        <v>2</v>
      </c>
      <c r="E778" s="1" t="str">
        <f t="shared" ca="1" si="444"/>
        <v/>
      </c>
      <c r="F778" s="11" t="str">
        <f t="shared" ca="1" si="449"/>
        <v/>
      </c>
      <c r="G778" s="8">
        <f t="shared" ca="1" si="450"/>
        <v>365</v>
      </c>
      <c r="H778" s="8">
        <f t="shared" ca="1" si="451"/>
        <v>31</v>
      </c>
      <c r="I778" s="8" t="str">
        <f t="shared" ca="1" si="447"/>
        <v>6512</v>
      </c>
      <c r="J778" s="13">
        <f>IF(繳費報酬率資料!$A$1=1,VALUE(OP!$C$121),VLOOKUP(A778,MP,2,0))</f>
        <v>0.05</v>
      </c>
      <c r="K778" s="14">
        <f ca="1">IF(SUM($K$4:K777,IF(繳費報酬率資料!$A$1=1,$AU778+$AV778,$BB778+$BC778))&gt;OP!$L$58,0,IF(繳費報酬率資料!$A$1=1,$AU778+$AV778,$BB778+$BC778))</f>
        <v>0</v>
      </c>
      <c r="L778" s="2"/>
      <c r="M778" s="2"/>
      <c r="N778" s="2"/>
      <c r="O778" s="261">
        <f t="shared" ca="1" si="452"/>
        <v>0</v>
      </c>
      <c r="P778" s="261">
        <f t="shared" ca="1" si="470"/>
        <v>0</v>
      </c>
      <c r="Q778" s="3">
        <f ca="1">IF(A778&gt;MAX(OP!$R$17:$R$26),0,VLOOKUP(A778,fees,3,FALSE))</f>
        <v>0</v>
      </c>
      <c r="R778" s="200" t="str">
        <f t="shared" ca="1" si="453"/>
        <v/>
      </c>
      <c r="S778" s="9" t="str">
        <f ca="1">IF(COUNTIF(($T$4:T777),"F")&gt;=1,"",IF(OR(C779&lt;&gt;$C$3,E778=""),"",A778))</f>
        <v/>
      </c>
      <c r="T778" s="20" t="str">
        <f t="shared" ca="1" si="445"/>
        <v/>
      </c>
      <c r="U778" s="2">
        <f ca="1">IF(IF(OP!$C$83=1,$Z777,IF(OP!$C$83=2,$AA777,IF(OP!$C$83=3,$AB777,)))+$K778-$O778-$P778-$AS778&lt;OP!$C$142,0,$AS778)</f>
        <v>0</v>
      </c>
      <c r="V778" s="9"/>
      <c r="W778" s="19">
        <f ca="1">MAX(SUM($K$4:K778),0)</f>
        <v>2000000</v>
      </c>
      <c r="X778" s="19"/>
      <c r="Y778" s="19">
        <f t="shared" ca="1" si="471"/>
        <v>1920000</v>
      </c>
      <c r="Z778" s="2">
        <f ca="1">IF(MIN($Z$4:Z777)=0,0,MAX(0,($Z777+$K778-$O778-$P778)*IF(AND(F778="F",$D$3&lt;&gt;$G$3),((1+(-J778))^(H778/MIN(G778,365))),((1+(-J778))^(1/12)))-$U778))</f>
        <v>69922.573416499756</v>
      </c>
      <c r="AA778" s="2">
        <f ca="1">IF(MIN($AA$4:AA777)=0,0,MAX(0,($AA777+$K778-$O778-$P778)*IF(AND(F778="F",$D$3&lt;&gt;$G$3),((1+$AA$1)^(H778/MIN(G778,365))),((1+$AA$1)^(1/12)))-$U778))</f>
        <v>1920000</v>
      </c>
      <c r="AB778" s="2">
        <f ca="1">IF(MIN($AB$4:AB777)=0,0,MAX(0,($AB777+$K778-$O778-$P778)*IF(AND(F778="F",$D$3&lt;&gt;$G$3),((1+(J778))^(H778/MIN(G778,365))),((1+(J778))^(1/12)))-$U778))</f>
        <v>44851481.575932369</v>
      </c>
      <c r="AC778" s="5"/>
      <c r="AD778" s="5"/>
      <c r="AE778" s="5"/>
      <c r="AF778" s="282">
        <f t="shared" ca="1" si="454"/>
        <v>69923</v>
      </c>
      <c r="AG778" s="282">
        <f t="shared" ca="1" si="455"/>
        <v>1920000</v>
      </c>
      <c r="AH778" s="282">
        <f t="shared" ca="1" si="456"/>
        <v>44851482</v>
      </c>
      <c r="AI778" s="23" t="str">
        <f t="shared" ca="1" si="437"/>
        <v>65-8</v>
      </c>
      <c r="AJ778" s="282">
        <f ca="1">IF(E778&gt;111,,IF(AND(OP!$C$99=1,T778="F"),Z778,IF(AND(OP!$C$99=2,COUNTIF($T$4:T778,"F")=1),OP!$C$97+IF(F778="F",OP!$C$98,0),"")))</f>
        <v>0</v>
      </c>
      <c r="AK778" s="282">
        <f ca="1">IF(E778&gt;111,,IF(AND(OP!$D$99=1,T778="F"),AA778,IF(AND(OP!$D$99=2,COUNTIF($T$4:T778,"F")=1),OP!$D$97+IF(F778="F",OP!$D$98,0),"")))</f>
        <v>0</v>
      </c>
      <c r="AL778" s="282">
        <f ca="1">IF(E778&gt;111,,IF(AND(OP!$E$99=1,T778="F"),AB778,IF(AND(OP!$E$99=2,COUNTIF($T$4:T778,"F")=1),OP!$E$97+IF(F778="F",OP!$E$98,0),"")))</f>
        <v>0</v>
      </c>
      <c r="AM778" s="1">
        <f t="shared" ca="1" si="446"/>
        <v>8</v>
      </c>
      <c r="AN778" s="1" t="e">
        <f ca="1">IF(OR(VLOOKUP($A778,MP,5,0)="半年繳",VLOOKUP($A778,MP,5,0)="季繳",VLOOKUP($A778,MP,5,0)="月繳"),1,"")</f>
        <v>#N/A</v>
      </c>
      <c r="AO778" s="1">
        <f t="shared" ca="1" si="457"/>
        <v>0</v>
      </c>
      <c r="AP778" s="1" t="str">
        <f ca="1">IF(AND(A778&lt;=OP!$C$120,COUNTIF(PAY,C778)=1),1,"")</f>
        <v/>
      </c>
      <c r="AR778" s="301">
        <f ca="1">IF(繳費報酬率資料!$A$1=1,$AY778+$AZ778,$BF778+$BG778)</f>
        <v>0</v>
      </c>
      <c r="AS778" s="1">
        <f ca="1">IF(C778&lt;&gt;IF($C$3=1,12,$C$3-1),0,IF(繳費報酬率資料!$A$1&lt;&gt;1,VLOOKUP($A778,MP,8,0),IF(AND($A778&gt;=OP!$C$79,$A778&lt;=OP!$C$80),OP!$C$78,)))</f>
        <v>0</v>
      </c>
      <c r="AT778" s="298">
        <f t="shared" ca="1" si="458"/>
        <v>0</v>
      </c>
      <c r="AU778" s="298">
        <f ca="1">IF(AND(A778&lt;=OP!$C$120,COUNTIF(PAY,C778)=1),OP!$C$123,0)</f>
        <v>0</v>
      </c>
      <c r="AV778" s="298">
        <f ca="1">IF(AND(A778&gt;=OP!$C$132,A778&lt;=OP!$C$133,$C$3=C778),OP!$C$135,0)</f>
        <v>0</v>
      </c>
      <c r="AW778" s="180">
        <f t="shared" ca="1" si="459"/>
        <v>0.05</v>
      </c>
      <c r="AX778" s="180">
        <f t="shared" ca="1" si="460"/>
        <v>0.05</v>
      </c>
      <c r="AY778" s="286">
        <f t="shared" ca="1" si="461"/>
        <v>0</v>
      </c>
      <c r="AZ778" s="286">
        <f t="shared" ca="1" si="462"/>
        <v>0</v>
      </c>
      <c r="BA778" s="286">
        <f t="shared" ca="1" si="463"/>
        <v>0</v>
      </c>
      <c r="BB778" s="286">
        <f t="shared" ca="1" si="464"/>
        <v>0</v>
      </c>
      <c r="BC778" s="286">
        <f t="shared" ca="1" si="465"/>
        <v>0</v>
      </c>
      <c r="BD778" s="180">
        <f t="shared" ca="1" si="466"/>
        <v>0.05</v>
      </c>
      <c r="BE778" s="180">
        <f t="shared" ca="1" si="467"/>
        <v>0.05</v>
      </c>
      <c r="BF778" s="286">
        <f t="shared" ca="1" si="468"/>
        <v>0</v>
      </c>
      <c r="BG778" s="286">
        <f t="shared" ca="1" si="469"/>
        <v>0</v>
      </c>
    </row>
    <row r="779" spans="1:59">
      <c r="A779" s="1">
        <f t="shared" ca="1" si="448"/>
        <v>65</v>
      </c>
      <c r="B779" s="1">
        <f t="shared" ca="1" si="442"/>
        <v>171</v>
      </c>
      <c r="C779" s="1">
        <f t="shared" ca="1" si="443"/>
        <v>1</v>
      </c>
      <c r="D779" s="1">
        <f ca="1">MIN($D$3,VLOOKUP(C779,OP!$S$30:$T$41,2))</f>
        <v>2</v>
      </c>
      <c r="E779" s="1" t="str">
        <f t="shared" ca="1" si="444"/>
        <v/>
      </c>
      <c r="F779" s="11" t="str">
        <f t="shared" ca="1" si="449"/>
        <v/>
      </c>
      <c r="G779" s="8">
        <f t="shared" ca="1" si="450"/>
        <v>365</v>
      </c>
      <c r="H779" s="8">
        <f t="shared" ca="1" si="451"/>
        <v>31</v>
      </c>
      <c r="I779" s="8" t="str">
        <f t="shared" ca="1" si="447"/>
        <v>651</v>
      </c>
      <c r="J779" s="13">
        <f>IF(繳費報酬率資料!$A$1=1,VALUE(OP!$C$121),VLOOKUP(A779,MP,2,0))</f>
        <v>0.05</v>
      </c>
      <c r="K779" s="14">
        <f ca="1">IF(SUM($K$4:K778,IF(繳費報酬率資料!$A$1=1,$AU779+$AV779,$BB779+$BC779))&gt;OP!$L$58,0,IF(繳費報酬率資料!$A$1=1,$AU779+$AV779,$BB779+$BC779))</f>
        <v>0</v>
      </c>
      <c r="L779" s="2"/>
      <c r="M779" s="2"/>
      <c r="N779" s="2"/>
      <c r="O779" s="261">
        <f t="shared" ca="1" si="452"/>
        <v>0</v>
      </c>
      <c r="P779" s="261">
        <f t="shared" ca="1" si="470"/>
        <v>0</v>
      </c>
      <c r="Q779" s="3">
        <f ca="1">IF(A779&gt;MAX(OP!$R$17:$R$26),0,VLOOKUP(A779,fees,3,FALSE))</f>
        <v>0</v>
      </c>
      <c r="R779" s="200" t="str">
        <f t="shared" ca="1" si="453"/>
        <v/>
      </c>
      <c r="S779" s="9" t="str">
        <f ca="1">IF(COUNTIF(($T$4:T778),"F")&gt;=1,"",IF(OR(C780&lt;&gt;$C$3,E779=""),"",A779))</f>
        <v/>
      </c>
      <c r="T779" s="20" t="str">
        <f t="shared" ca="1" si="445"/>
        <v/>
      </c>
      <c r="U779" s="2">
        <f ca="1">IF(IF(OP!$C$83=1,$Z778,IF(OP!$C$83=2,$AA778,IF(OP!$C$83=3,$AB778,)))+$K779-$O779-$P779-$AS779&lt;OP!$C$142,0,$AS779)</f>
        <v>0</v>
      </c>
      <c r="V779" s="9"/>
      <c r="W779" s="19">
        <f ca="1">MAX(SUM($K$4:K779),0)</f>
        <v>2000000</v>
      </c>
      <c r="X779" s="19"/>
      <c r="Y779" s="19">
        <f t="shared" ca="1" si="471"/>
        <v>1920000</v>
      </c>
      <c r="Z779" s="2">
        <f ca="1">IF(MIN($Z$4:Z778)=0,0,MAX(0,($Z778+$K779-$O779-$P779)*IF(AND(F779="F",$D$3&lt;&gt;$G$3),((1+(-J779))^(H779/MIN(G779,365))),((1+(-J779))^(1/12)))-$U779))</f>
        <v>69624.331351130997</v>
      </c>
      <c r="AA779" s="2">
        <f ca="1">IF(MIN($AA$4:AA778)=0,0,MAX(0,($AA778+$K779-$O779-$P779)*IF(AND(F779="F",$D$3&lt;&gt;$G$3),((1+$AA$1)^(H779/MIN(G779,365))),((1+$AA$1)^(1/12)))-$U779))</f>
        <v>1920000</v>
      </c>
      <c r="AB779" s="2">
        <f ca="1">IF(MIN($AB$4:AB778)=0,0,MAX(0,($AB778+$K779-$O779-$P779)*IF(AND(F779="F",$D$3&lt;&gt;$G$3),((1+(J779))^(H779/MIN(G779,365))),((1+(J779))^(1/12)))-$U779))</f>
        <v>45034212.063752741</v>
      </c>
      <c r="AC779" s="5"/>
      <c r="AD779" s="5"/>
      <c r="AE779" s="5"/>
      <c r="AF779" s="282">
        <f t="shared" ca="1" si="454"/>
        <v>69624</v>
      </c>
      <c r="AG779" s="282">
        <f t="shared" ca="1" si="455"/>
        <v>1920000</v>
      </c>
      <c r="AH779" s="282">
        <f t="shared" ca="1" si="456"/>
        <v>45034212</v>
      </c>
      <c r="AI779" s="23" t="str">
        <f t="shared" ca="1" si="437"/>
        <v>65-9</v>
      </c>
      <c r="AJ779" s="282">
        <f ca="1">IF(E779&gt;111,,IF(AND(OP!$C$99=1,T779="F"),Z779,IF(AND(OP!$C$99=2,COUNTIF($T$4:T779,"F")=1),OP!$C$97+IF(F779="F",OP!$C$98,0),"")))</f>
        <v>0</v>
      </c>
      <c r="AK779" s="282">
        <f ca="1">IF(E779&gt;111,,IF(AND(OP!$D$99=1,T779="F"),AA779,IF(AND(OP!$D$99=2,COUNTIF($T$4:T779,"F")=1),OP!$D$97+IF(F779="F",OP!$D$98,0),"")))</f>
        <v>0</v>
      </c>
      <c r="AL779" s="282">
        <f ca="1">IF(E779&gt;111,,IF(AND(OP!$E$99=1,T779="F"),AB779,IF(AND(OP!$E$99=2,COUNTIF($T$4:T779,"F")=1),OP!$E$97+IF(F779="F",OP!$E$98,0),"")))</f>
        <v>0</v>
      </c>
      <c r="AM779" s="1">
        <f t="shared" ca="1" si="446"/>
        <v>9</v>
      </c>
      <c r="AN779" s="1" t="e">
        <f ca="1">IF(OR(VLOOKUP($A779,MP,5,0)="月繳"),1,"")</f>
        <v>#N/A</v>
      </c>
      <c r="AO779" s="1">
        <f t="shared" ca="1" si="457"/>
        <v>0</v>
      </c>
      <c r="AP779" s="1" t="str">
        <f ca="1">IF(AND(A779&lt;=OP!$C$120,COUNTIF(PAY,C779)=1),1,"")</f>
        <v/>
      </c>
      <c r="AR779" s="301">
        <f ca="1">IF(繳費報酬率資料!$A$1=1,$AY779+$AZ779,$BF779+$BG779)</f>
        <v>0</v>
      </c>
      <c r="AS779" s="1">
        <f ca="1">IF(C779&lt;&gt;IF($C$3=1,12,$C$3-1),0,IF(繳費報酬率資料!$A$1&lt;&gt;1,VLOOKUP($A779,MP,8,0),IF(AND($A779&gt;=OP!$C$79,$A779&lt;=OP!$C$80),OP!$C$78,)))</f>
        <v>0</v>
      </c>
      <c r="AT779" s="298">
        <f t="shared" ca="1" si="458"/>
        <v>0</v>
      </c>
      <c r="AU779" s="298">
        <f ca="1">IF(AND(A779&lt;=OP!$C$120,COUNTIF(PAY,C779)=1),OP!$C$123,0)</f>
        <v>0</v>
      </c>
      <c r="AV779" s="298">
        <f ca="1">IF(AND(A779&gt;=OP!$C$132,A779&lt;=OP!$C$133,$C$3=C779),OP!$C$135,0)</f>
        <v>0</v>
      </c>
      <c r="AW779" s="180">
        <f t="shared" ca="1" si="459"/>
        <v>0.05</v>
      </c>
      <c r="AX779" s="180">
        <f t="shared" ca="1" si="460"/>
        <v>0.05</v>
      </c>
      <c r="AY779" s="286">
        <f t="shared" ca="1" si="461"/>
        <v>0</v>
      </c>
      <c r="AZ779" s="286">
        <f t="shared" ca="1" si="462"/>
        <v>0</v>
      </c>
      <c r="BA779" s="286">
        <f t="shared" ca="1" si="463"/>
        <v>0</v>
      </c>
      <c r="BB779" s="286">
        <f t="shared" ca="1" si="464"/>
        <v>0</v>
      </c>
      <c r="BC779" s="286">
        <f t="shared" ca="1" si="465"/>
        <v>0</v>
      </c>
      <c r="BD779" s="180">
        <f t="shared" ca="1" si="466"/>
        <v>0.05</v>
      </c>
      <c r="BE779" s="180">
        <f t="shared" ca="1" si="467"/>
        <v>0.05</v>
      </c>
      <c r="BF779" s="286">
        <f t="shared" ca="1" si="468"/>
        <v>0</v>
      </c>
      <c r="BG779" s="286">
        <f t="shared" ca="1" si="469"/>
        <v>0</v>
      </c>
    </row>
    <row r="780" spans="1:59">
      <c r="A780" s="1">
        <f t="shared" ca="1" si="448"/>
        <v>65</v>
      </c>
      <c r="B780" s="1">
        <f t="shared" ca="1" si="442"/>
        <v>171</v>
      </c>
      <c r="C780" s="1">
        <f t="shared" ca="1" si="443"/>
        <v>2</v>
      </c>
      <c r="D780" s="1">
        <f ca="1">MIN($D$3,VLOOKUP(C780,OP!$S$30:$T$41,2))</f>
        <v>2</v>
      </c>
      <c r="E780" s="1" t="str">
        <f t="shared" ca="1" si="444"/>
        <v/>
      </c>
      <c r="F780" s="11" t="str">
        <f t="shared" ca="1" si="449"/>
        <v/>
      </c>
      <c r="G780" s="8">
        <f t="shared" ca="1" si="450"/>
        <v>365</v>
      </c>
      <c r="H780" s="8">
        <f t="shared" ca="1" si="451"/>
        <v>28</v>
      </c>
      <c r="I780" s="8" t="str">
        <f t="shared" ca="1" si="447"/>
        <v>652</v>
      </c>
      <c r="J780" s="13">
        <f>IF(繳費報酬率資料!$A$1=1,VALUE(OP!$C$121),VLOOKUP(A780,MP,2,0))</f>
        <v>0.05</v>
      </c>
      <c r="K780" s="14">
        <f ca="1">IF(SUM($K$4:K779,IF(繳費報酬率資料!$A$1=1,$AU780+$AV780,$BB780+$BC780))&gt;OP!$L$58,0,IF(繳費報酬率資料!$A$1=1,$AU780+$AV780,$BB780+$BC780))</f>
        <v>0</v>
      </c>
      <c r="L780" s="2"/>
      <c r="M780" s="2"/>
      <c r="N780" s="2"/>
      <c r="O780" s="261">
        <f t="shared" ca="1" si="452"/>
        <v>0</v>
      </c>
      <c r="P780" s="261">
        <f t="shared" ca="1" si="470"/>
        <v>0</v>
      </c>
      <c r="Q780" s="3">
        <f ca="1">IF(A780&gt;MAX(OP!$R$17:$R$26),0,VLOOKUP(A780,fees,3,FALSE))</f>
        <v>0</v>
      </c>
      <c r="R780" s="200" t="str">
        <f t="shared" ca="1" si="453"/>
        <v/>
      </c>
      <c r="S780" s="9" t="str">
        <f ca="1">IF(COUNTIF(($T$4:T779),"F")&gt;=1,"",IF(OR(C781&lt;&gt;$C$3,E780=""),"",A780))</f>
        <v/>
      </c>
      <c r="T780" s="20" t="str">
        <f t="shared" ca="1" si="445"/>
        <v/>
      </c>
      <c r="U780" s="2">
        <f ca="1">IF(IF(OP!$C$83=1,$Z779,IF(OP!$C$83=2,$AA779,IF(OP!$C$83=3,$AB779,)))+$K780-$O780-$P780-$AS780&lt;OP!$C$142,0,$AS780)</f>
        <v>0</v>
      </c>
      <c r="V780" s="9"/>
      <c r="W780" s="19">
        <f ca="1">MAX(SUM($K$4:K780),0)</f>
        <v>2000000</v>
      </c>
      <c r="X780" s="19"/>
      <c r="Y780" s="19">
        <f t="shared" ca="1" si="471"/>
        <v>1920000</v>
      </c>
      <c r="Z780" s="2">
        <f ca="1">IF(MIN($Z$4:Z779)=0,0,MAX(0,($Z779+$K780-$O780-$P780)*IF(AND(F780="F",$D$3&lt;&gt;$G$3),((1+(-J780))^(H780/MIN(G780,365))),((1+(-J780))^(1/12)))-$U780))</f>
        <v>69327.361383243915</v>
      </c>
      <c r="AA780" s="2">
        <f ca="1">IF(MIN($AA$4:AA779)=0,0,MAX(0,($AA779+$K780-$O780-$P780)*IF(AND(F780="F",$D$3&lt;&gt;$G$3),((1+$AA$1)^(H780/MIN(G780,365))),((1+$AA$1)^(1/12)))-$U780))</f>
        <v>1920000</v>
      </c>
      <c r="AB780" s="2">
        <f ca="1">IF(MIN($AB$4:AB779)=0,0,MAX(0,($AB779+$K780-$O780-$P780)*IF(AND(F780="F",$D$3&lt;&gt;$G$3),((1+(J780))^(H780/MIN(G780,365))),((1+(J780))^(1/12)))-$U780))</f>
        <v>45217687.018199541</v>
      </c>
      <c r="AC780" s="5"/>
      <c r="AD780" s="5"/>
      <c r="AE780" s="5"/>
      <c r="AF780" s="282">
        <f t="shared" ca="1" si="454"/>
        <v>69327</v>
      </c>
      <c r="AG780" s="282">
        <f t="shared" ca="1" si="455"/>
        <v>1920000</v>
      </c>
      <c r="AH780" s="282">
        <f t="shared" ca="1" si="456"/>
        <v>45217687</v>
      </c>
      <c r="AI780" s="23" t="str">
        <f t="shared" ref="AI780:AI843" ca="1" si="472">IF($G$3=D781,A781,A780)&amp;"-"&amp;AM780</f>
        <v>65-10</v>
      </c>
      <c r="AJ780" s="282">
        <f ca="1">IF(E780&gt;111,,IF(AND(OP!$C$99=1,T780="F"),Z780,IF(AND(OP!$C$99=2,COUNTIF($T$4:T780,"F")=1),OP!$C$97+IF(F780="F",OP!$C$98,0),"")))</f>
        <v>0</v>
      </c>
      <c r="AK780" s="282">
        <f ca="1">IF(E780&gt;111,,IF(AND(OP!$D$99=1,T780="F"),AA780,IF(AND(OP!$D$99=2,COUNTIF($T$4:T780,"F")=1),OP!$D$97+IF(F780="F",OP!$D$98,0),"")))</f>
        <v>0</v>
      </c>
      <c r="AL780" s="282">
        <f ca="1">IF(E780&gt;111,,IF(AND(OP!$E$99=1,T780="F"),AB780,IF(AND(OP!$E$99=2,COUNTIF($T$4:T780,"F")=1),OP!$E$97+IF(F780="F",OP!$E$98,0),"")))</f>
        <v>0</v>
      </c>
      <c r="AM780" s="1">
        <f t="shared" ca="1" si="446"/>
        <v>10</v>
      </c>
      <c r="AN780" s="1" t="e">
        <f ca="1">IF(OR(VLOOKUP($A780,MP,5,0)="月繳"),1,"")</f>
        <v>#N/A</v>
      </c>
      <c r="AO780" s="1">
        <f t="shared" ca="1" si="457"/>
        <v>0</v>
      </c>
      <c r="AP780" s="1" t="str">
        <f ca="1">IF(AND(A780&lt;=OP!$C$120,COUNTIF(PAY,C780)=1),1,"")</f>
        <v/>
      </c>
      <c r="AR780" s="301">
        <f ca="1">IF(繳費報酬率資料!$A$1=1,$AY780+$AZ780,$BF780+$BG780)</f>
        <v>0</v>
      </c>
      <c r="AS780" s="1">
        <f ca="1">IF(C780&lt;&gt;IF($C$3=1,12,$C$3-1),0,IF(繳費報酬率資料!$A$1&lt;&gt;1,VLOOKUP($A780,MP,8,0),IF(AND($A780&gt;=OP!$C$79,$A780&lt;=OP!$C$80),OP!$C$78,)))</f>
        <v>0</v>
      </c>
      <c r="AT780" s="298">
        <f t="shared" ca="1" si="458"/>
        <v>0</v>
      </c>
      <c r="AU780" s="298">
        <f ca="1">IF(AND(A780&lt;=OP!$C$120,COUNTIF(PAY,C780)=1),OP!$C$123,0)</f>
        <v>0</v>
      </c>
      <c r="AV780" s="298">
        <f ca="1">IF(AND(A780&gt;=OP!$C$132,A780&lt;=OP!$C$133,$C$3=C780),OP!$C$135,0)</f>
        <v>0</v>
      </c>
      <c r="AW780" s="180">
        <f t="shared" ca="1" si="459"/>
        <v>0.05</v>
      </c>
      <c r="AX780" s="180">
        <f t="shared" ca="1" si="460"/>
        <v>0.05</v>
      </c>
      <c r="AY780" s="286">
        <f t="shared" ca="1" si="461"/>
        <v>0</v>
      </c>
      <c r="AZ780" s="286">
        <f t="shared" ca="1" si="462"/>
        <v>0</v>
      </c>
      <c r="BA780" s="286">
        <f t="shared" ca="1" si="463"/>
        <v>0</v>
      </c>
      <c r="BB780" s="286">
        <f t="shared" ca="1" si="464"/>
        <v>0</v>
      </c>
      <c r="BC780" s="286">
        <f t="shared" ca="1" si="465"/>
        <v>0</v>
      </c>
      <c r="BD780" s="180">
        <f t="shared" ca="1" si="466"/>
        <v>0.05</v>
      </c>
      <c r="BE780" s="180">
        <f t="shared" ca="1" si="467"/>
        <v>0.05</v>
      </c>
      <c r="BF780" s="286">
        <f t="shared" ca="1" si="468"/>
        <v>0</v>
      </c>
      <c r="BG780" s="286">
        <f t="shared" ca="1" si="469"/>
        <v>0</v>
      </c>
    </row>
    <row r="781" spans="1:59">
      <c r="A781" s="1">
        <f t="shared" ca="1" si="448"/>
        <v>65</v>
      </c>
      <c r="B781" s="1">
        <f t="shared" ca="1" si="442"/>
        <v>171</v>
      </c>
      <c r="C781" s="1">
        <f t="shared" ca="1" si="443"/>
        <v>3</v>
      </c>
      <c r="D781" s="1">
        <f ca="1">MIN($D$3,VLOOKUP(C781,OP!$S$30:$T$41,2))</f>
        <v>2</v>
      </c>
      <c r="E781" s="1" t="str">
        <f t="shared" ca="1" si="444"/>
        <v/>
      </c>
      <c r="F781" s="11" t="str">
        <f t="shared" ca="1" si="449"/>
        <v/>
      </c>
      <c r="G781" s="8">
        <f t="shared" ca="1" si="450"/>
        <v>365</v>
      </c>
      <c r="H781" s="8">
        <f t="shared" ca="1" si="451"/>
        <v>31</v>
      </c>
      <c r="I781" s="8" t="str">
        <f t="shared" ca="1" si="447"/>
        <v>653</v>
      </c>
      <c r="J781" s="13">
        <f>IF(繳費報酬率資料!$A$1=1,VALUE(OP!$C$121),VLOOKUP(A781,MP,2,0))</f>
        <v>0.05</v>
      </c>
      <c r="K781" s="14">
        <f ca="1">IF(SUM($K$4:K780,IF(繳費報酬率資料!$A$1=1,$AU781+$AV781,$BB781+$BC781))&gt;OP!$L$58,0,IF(繳費報酬率資料!$A$1=1,$AU781+$AV781,$BB781+$BC781))</f>
        <v>0</v>
      </c>
      <c r="L781" s="2"/>
      <c r="M781" s="2"/>
      <c r="N781" s="2"/>
      <c r="O781" s="261">
        <f t="shared" ca="1" si="452"/>
        <v>0</v>
      </c>
      <c r="P781" s="261">
        <f t="shared" ca="1" si="470"/>
        <v>0</v>
      </c>
      <c r="Q781" s="3">
        <f ca="1">IF(A781&gt;MAX(OP!$R$17:$R$26),0,VLOOKUP(A781,fees,3,FALSE))</f>
        <v>0</v>
      </c>
      <c r="R781" s="200" t="str">
        <f t="shared" ca="1" si="453"/>
        <v/>
      </c>
      <c r="S781" s="9" t="str">
        <f ca="1">IF(COUNTIF(($T$4:T780),"F")&gt;=1,"",IF(OR(C782&lt;&gt;$C$3,E781=""),"",A781))</f>
        <v/>
      </c>
      <c r="T781" s="20" t="str">
        <f t="shared" ca="1" si="445"/>
        <v/>
      </c>
      <c r="U781" s="2">
        <f ca="1">IF(IF(OP!$C$83=1,$Z780,IF(OP!$C$83=2,$AA780,IF(OP!$C$83=3,$AB780,)))+$K781-$O781-$P781-$AS781&lt;OP!$C$142,0,$AS781)</f>
        <v>0</v>
      </c>
      <c r="V781" s="9"/>
      <c r="W781" s="19">
        <f ca="1">MAX(SUM($K$4:K781),0)</f>
        <v>2000000</v>
      </c>
      <c r="X781" s="19"/>
      <c r="Y781" s="19">
        <f t="shared" ca="1" si="471"/>
        <v>1920000</v>
      </c>
      <c r="Z781" s="2">
        <f ca="1">IF(MIN($Z$4:Z780)=0,0,MAX(0,($Z780+$K781-$O781-$P781)*IF(AND(F781="F",$D$3&lt;&gt;$G$3),((1+(-J781))^(H781/MIN(G781,365))),((1+(-J781))^(1/12)))-$U781))</f>
        <v>69031.658086937226</v>
      </c>
      <c r="AA781" s="2">
        <f ca="1">IF(MIN($AA$4:AA780)=0,0,MAX(0,($AA780+$K781-$O781-$P781)*IF(AND(F781="F",$D$3&lt;&gt;$G$3),((1+$AA$1)^(H781/MIN(G781,365))),((1+$AA$1)^(1/12)))-$U781))</f>
        <v>1920000</v>
      </c>
      <c r="AB781" s="2">
        <f ca="1">IF(MIN($AB$4:AB780)=0,0,MAX(0,($AB780+$K781-$O781-$P781)*IF(AND(F781="F",$D$3&lt;&gt;$G$3),((1+(J781))^(H781/MIN(G781,365))),((1+(J781))^(1/12)))-$U781))</f>
        <v>45401909.472321957</v>
      </c>
      <c r="AC781" s="5"/>
      <c r="AD781" s="5"/>
      <c r="AE781" s="5"/>
      <c r="AF781" s="282">
        <f t="shared" ca="1" si="454"/>
        <v>69032</v>
      </c>
      <c r="AG781" s="282">
        <f t="shared" ca="1" si="455"/>
        <v>1920000</v>
      </c>
      <c r="AH781" s="282">
        <f t="shared" ca="1" si="456"/>
        <v>45401909</v>
      </c>
      <c r="AI781" s="23" t="str">
        <f t="shared" ca="1" si="472"/>
        <v>65-11</v>
      </c>
      <c r="AJ781" s="282">
        <f ca="1">IF(E781&gt;111,,IF(AND(OP!$C$99=1,T781="F"),Z781,IF(AND(OP!$C$99=2,COUNTIF($T$4:T781,"F")=1),OP!$C$97+IF(F781="F",OP!$C$98,0),"")))</f>
        <v>0</v>
      </c>
      <c r="AK781" s="282">
        <f ca="1">IF(E781&gt;111,,IF(AND(OP!$D$99=1,T781="F"),AA781,IF(AND(OP!$D$99=2,COUNTIF($T$4:T781,"F")=1),OP!$D$97+IF(F781="F",OP!$D$98,0),"")))</f>
        <v>0</v>
      </c>
      <c r="AL781" s="282">
        <f ca="1">IF(E781&gt;111,,IF(AND(OP!$E$99=1,T781="F"),AB781,IF(AND(OP!$E$99=2,COUNTIF($T$4:T781,"F")=1),OP!$E$97+IF(F781="F",OP!$E$98,0),"")))</f>
        <v>0</v>
      </c>
      <c r="AM781" s="1">
        <f t="shared" ca="1" si="446"/>
        <v>11</v>
      </c>
      <c r="AN781" s="1" t="e">
        <f ca="1">IF(OR(VLOOKUP($A781,MP,5,0)="季繳",VLOOKUP($A781,MP,5,0)="月繳"),1,"")</f>
        <v>#N/A</v>
      </c>
      <c r="AO781" s="1">
        <f t="shared" ca="1" si="457"/>
        <v>0</v>
      </c>
      <c r="AP781" s="1" t="str">
        <f ca="1">IF(AND(A781&lt;=OP!$C$120,COUNTIF(PAY,C781)=1),1,"")</f>
        <v/>
      </c>
      <c r="AR781" s="301">
        <f ca="1">IF(繳費報酬率資料!$A$1=1,$AY781+$AZ781,$BF781+$BG781)</f>
        <v>0</v>
      </c>
      <c r="AS781" s="1">
        <f ca="1">IF(C781&lt;&gt;IF($C$3=1,12,$C$3-1),0,IF(繳費報酬率資料!$A$1&lt;&gt;1,VLOOKUP($A781,MP,8,0),IF(AND($A781&gt;=OP!$C$79,$A781&lt;=OP!$C$80),OP!$C$78,)))</f>
        <v>0</v>
      </c>
      <c r="AT781" s="298">
        <f t="shared" ca="1" si="458"/>
        <v>0</v>
      </c>
      <c r="AU781" s="298">
        <f ca="1">IF(AND(A781&lt;=OP!$C$120,COUNTIF(PAY,C781)=1),OP!$C$123,0)</f>
        <v>0</v>
      </c>
      <c r="AV781" s="298">
        <f ca="1">IF(AND(A781&gt;=OP!$C$132,A781&lt;=OP!$C$133,$C$3=C781),OP!$C$135,0)</f>
        <v>0</v>
      </c>
      <c r="AW781" s="180">
        <f t="shared" ca="1" si="459"/>
        <v>0.05</v>
      </c>
      <c r="AX781" s="180">
        <f t="shared" ca="1" si="460"/>
        <v>0.05</v>
      </c>
      <c r="AY781" s="286">
        <f t="shared" ca="1" si="461"/>
        <v>0</v>
      </c>
      <c r="AZ781" s="286">
        <f t="shared" ca="1" si="462"/>
        <v>0</v>
      </c>
      <c r="BA781" s="286">
        <f t="shared" ca="1" si="463"/>
        <v>0</v>
      </c>
      <c r="BB781" s="286">
        <f t="shared" ca="1" si="464"/>
        <v>0</v>
      </c>
      <c r="BC781" s="286">
        <f t="shared" ca="1" si="465"/>
        <v>0</v>
      </c>
      <c r="BD781" s="180">
        <f t="shared" ca="1" si="466"/>
        <v>0.05</v>
      </c>
      <c r="BE781" s="180">
        <f t="shared" ca="1" si="467"/>
        <v>0.05</v>
      </c>
      <c r="BF781" s="286">
        <f t="shared" ca="1" si="468"/>
        <v>0</v>
      </c>
      <c r="BG781" s="286">
        <f t="shared" ca="1" si="469"/>
        <v>0</v>
      </c>
    </row>
    <row r="782" spans="1:59">
      <c r="A782" s="1">
        <f t="shared" ca="1" si="448"/>
        <v>65</v>
      </c>
      <c r="B782" s="1">
        <f t="shared" ca="1" si="442"/>
        <v>171</v>
      </c>
      <c r="C782" s="1">
        <f t="shared" ca="1" si="443"/>
        <v>4</v>
      </c>
      <c r="D782" s="1">
        <f ca="1">MIN($D$3,VLOOKUP(C782,OP!$S$30:$T$41,2))</f>
        <v>2</v>
      </c>
      <c r="E782" s="1" t="str">
        <f t="shared" ca="1" si="444"/>
        <v/>
      </c>
      <c r="F782" s="11" t="str">
        <f t="shared" ca="1" si="449"/>
        <v/>
      </c>
      <c r="G782" s="8">
        <f t="shared" ca="1" si="450"/>
        <v>365</v>
      </c>
      <c r="H782" s="8">
        <f t="shared" ca="1" si="451"/>
        <v>30</v>
      </c>
      <c r="I782" s="8" t="str">
        <f t="shared" ca="1" si="447"/>
        <v>654</v>
      </c>
      <c r="J782" s="13">
        <f>IF(繳費報酬率資料!$A$1=1,VALUE(OP!$C$121),VLOOKUP(A782,MP,2,0))</f>
        <v>0.05</v>
      </c>
      <c r="K782" s="14">
        <f ca="1">IF(SUM($K$4:K781,IF(繳費報酬率資料!$A$1=1,$AU782+$AV782,$BB782+$BC782))&gt;OP!$L$58,0,IF(繳費報酬率資料!$A$1=1,$AU782+$AV782,$BB782+$BC782))</f>
        <v>0</v>
      </c>
      <c r="L782" s="2"/>
      <c r="M782" s="2"/>
      <c r="N782" s="2"/>
      <c r="O782" s="261">
        <f t="shared" ca="1" si="452"/>
        <v>0</v>
      </c>
      <c r="P782" s="261">
        <f t="shared" ca="1" si="470"/>
        <v>0</v>
      </c>
      <c r="Q782" s="3">
        <f ca="1">IF(A782&gt;MAX(OP!$R$17:$R$26),0,VLOOKUP(A782,fees,3,FALSE))</f>
        <v>0</v>
      </c>
      <c r="R782" s="200" t="str">
        <f t="shared" ca="1" si="453"/>
        <v/>
      </c>
      <c r="S782" s="9" t="str">
        <f ca="1">IF(COUNTIF(($T$4:T781),"F")&gt;=1,"",IF(OR(C783&lt;&gt;$C$3,E782=""),"",A782))</f>
        <v/>
      </c>
      <c r="T782" s="20" t="str">
        <f t="shared" ca="1" si="445"/>
        <v/>
      </c>
      <c r="U782" s="2">
        <f ca="1">IF(IF(OP!$C$83=1,$Z781,IF(OP!$C$83=2,$AA781,IF(OP!$C$83=3,$AB781,)))+$K782-$O782-$P782-$AS782&lt;OP!$C$142,0,$AS782)</f>
        <v>0</v>
      </c>
      <c r="V782" s="9"/>
      <c r="W782" s="19">
        <f ca="1">MAX(SUM($K$4:K782),0)</f>
        <v>2000000</v>
      </c>
      <c r="X782" s="19"/>
      <c r="Y782" s="19">
        <f t="shared" ca="1" si="471"/>
        <v>1920000</v>
      </c>
      <c r="Z782" s="2">
        <f ca="1">IF(MIN($Z$4:Z781)=0,0,MAX(0,($Z781+$K782-$O782-$P782)*IF(AND(F782="F",$D$3&lt;&gt;$G$3),((1+(-J782))^(H782/MIN(G782,365))),((1+(-J782))^(1/12)))-$U782))</f>
        <v>68737.216059452869</v>
      </c>
      <c r="AA782" s="2">
        <f ca="1">IF(MIN($AA$4:AA781)=0,0,MAX(0,($AA781+$K782-$O782-$P782)*IF(AND(F782="F",$D$3&lt;&gt;$G$3),((1+$AA$1)^(H782/MIN(G782,365))),((1+$AA$1)^(1/12)))-$U782))</f>
        <v>1920000</v>
      </c>
      <c r="AB782" s="2">
        <f ca="1">IF(MIN($AB$4:AB781)=0,0,MAX(0,($AB781+$K782-$O782-$P782)*IF(AND(F782="F",$D$3&lt;&gt;$G$3),((1+(J782))^(H782/MIN(G782,365))),((1+(J782))^(1/12)))-$U782))</f>
        <v>45586882.471526191</v>
      </c>
      <c r="AC782" s="5"/>
      <c r="AD782" s="5"/>
      <c r="AE782" s="5"/>
      <c r="AF782" s="282">
        <f t="shared" ca="1" si="454"/>
        <v>68737</v>
      </c>
      <c r="AG782" s="282">
        <f t="shared" ca="1" si="455"/>
        <v>1920000</v>
      </c>
      <c r="AH782" s="282">
        <f t="shared" ca="1" si="456"/>
        <v>45586882</v>
      </c>
      <c r="AI782" s="23" t="str">
        <f t="shared" ca="1" si="472"/>
        <v>65-12</v>
      </c>
      <c r="AJ782" s="282">
        <f ca="1">IF(E782&gt;111,,IF(AND(OP!$C$99=1,T782="F"),Z782,IF(AND(OP!$C$99=2,COUNTIF($T$4:T782,"F")=1),OP!$C$97+IF(F782="F",OP!$C$98,0),"")))</f>
        <v>0</v>
      </c>
      <c r="AK782" s="282">
        <f ca="1">IF(E782&gt;111,,IF(AND(OP!$D$99=1,T782="F"),AA782,IF(AND(OP!$D$99=2,COUNTIF($T$4:T782,"F")=1),OP!$D$97+IF(F782="F",OP!$D$98,0),"")))</f>
        <v>0</v>
      </c>
      <c r="AL782" s="282">
        <f ca="1">IF(E782&gt;111,,IF(AND(OP!$E$99=1,T782="F"),AB782,IF(AND(OP!$E$99=2,COUNTIF($T$4:T782,"F")=1),OP!$E$97+IF(F782="F",OP!$E$98,0),"")))</f>
        <v>0</v>
      </c>
      <c r="AM782" s="1">
        <f t="shared" ca="1" si="446"/>
        <v>12</v>
      </c>
      <c r="AN782" s="1" t="e">
        <f ca="1">IF(OR(VLOOKUP($A782,MP,5,0)="月繳"),1,"")</f>
        <v>#N/A</v>
      </c>
      <c r="AO782" s="1">
        <f t="shared" ca="1" si="457"/>
        <v>0</v>
      </c>
      <c r="AP782" s="1" t="str">
        <f ca="1">IF(AND(A782&lt;=OP!$C$120,COUNTIF(PAY,C782)=1),1,"")</f>
        <v/>
      </c>
      <c r="AR782" s="301">
        <f ca="1">IF(繳費報酬率資料!$A$1=1,$AY782+$AZ782,$BF782+$BG782)</f>
        <v>0</v>
      </c>
      <c r="AS782" s="1">
        <f ca="1">IF(C782&lt;&gt;IF($C$3=1,12,$C$3-1),0,IF(繳費報酬率資料!$A$1&lt;&gt;1,VLOOKUP($A782,MP,8,0),IF(AND($A782&gt;=OP!$C$79,$A782&lt;=OP!$C$80),OP!$C$78,)))</f>
        <v>0</v>
      </c>
      <c r="AT782" s="298">
        <f t="shared" ca="1" si="458"/>
        <v>0</v>
      </c>
      <c r="AU782" s="298">
        <f ca="1">IF(AND(A782&lt;=OP!$C$120,COUNTIF(PAY,C782)=1),OP!$C$123,0)</f>
        <v>0</v>
      </c>
      <c r="AV782" s="298">
        <f ca="1">IF(AND(A782&gt;=OP!$C$132,A782&lt;=OP!$C$133,$C$3=C782),OP!$C$135,0)</f>
        <v>0</v>
      </c>
      <c r="AW782" s="180">
        <f t="shared" ca="1" si="459"/>
        <v>0.05</v>
      </c>
      <c r="AX782" s="180">
        <f t="shared" ca="1" si="460"/>
        <v>0.05</v>
      </c>
      <c r="AY782" s="286">
        <f t="shared" ca="1" si="461"/>
        <v>0</v>
      </c>
      <c r="AZ782" s="286">
        <f t="shared" ca="1" si="462"/>
        <v>0</v>
      </c>
      <c r="BA782" s="286">
        <f t="shared" ca="1" si="463"/>
        <v>0</v>
      </c>
      <c r="BB782" s="286">
        <f t="shared" ca="1" si="464"/>
        <v>0</v>
      </c>
      <c r="BC782" s="286">
        <f t="shared" ca="1" si="465"/>
        <v>0</v>
      </c>
      <c r="BD782" s="180">
        <f t="shared" ca="1" si="466"/>
        <v>0.05</v>
      </c>
      <c r="BE782" s="180">
        <f t="shared" ca="1" si="467"/>
        <v>0.05</v>
      </c>
      <c r="BF782" s="286">
        <f t="shared" ca="1" si="468"/>
        <v>0</v>
      </c>
      <c r="BG782" s="286">
        <f t="shared" ca="1" si="469"/>
        <v>0</v>
      </c>
    </row>
    <row r="783" spans="1:59">
      <c r="A783" s="1">
        <f t="shared" ca="1" si="448"/>
        <v>65</v>
      </c>
      <c r="B783" s="1">
        <f t="shared" ca="1" si="442"/>
        <v>171</v>
      </c>
      <c r="C783" s="1">
        <f t="shared" ca="1" si="443"/>
        <v>5</v>
      </c>
      <c r="D783" s="1">
        <f ca="1">MIN($D$3,VLOOKUP(C783,OP!$S$30:$T$41,2))</f>
        <v>2</v>
      </c>
      <c r="E783" s="1" t="str">
        <f t="shared" ca="1" si="444"/>
        <v/>
      </c>
      <c r="F783" s="11" t="str">
        <f t="shared" ca="1" si="449"/>
        <v/>
      </c>
      <c r="G783" s="8">
        <f t="shared" ca="1" si="450"/>
        <v>365</v>
      </c>
      <c r="H783" s="8">
        <f t="shared" ca="1" si="451"/>
        <v>31</v>
      </c>
      <c r="I783" s="8" t="str">
        <f t="shared" ca="1" si="447"/>
        <v>655</v>
      </c>
      <c r="J783" s="13">
        <f>IF(繳費報酬率資料!$A$1=1,VALUE(OP!$C$121),VLOOKUP(A783,MP,2,0))</f>
        <v>0.05</v>
      </c>
      <c r="K783" s="14">
        <f ca="1">IF(SUM($K$4:K782,IF(繳費報酬率資料!$A$1=1,$AU783+$AV783,$BB783+$BC783))&gt;OP!$L$58,0,IF(繳費報酬率資料!$A$1=1,$AU783+$AV783,$BB783+$BC783))</f>
        <v>0</v>
      </c>
      <c r="L783" s="2">
        <f ca="1">ROUND(IF(OP!$C$78&lt;(IF(OR($T783="F",$E783&gt;=111),0,Z782+$K783-$O783+IF($C$1=1,OP!$C$78,IF($C784=$C$3,SUM(AC772:AC783,0)))))*5%,0,(OP!$C$78-((IF(OR($T783="F",$E783&gt;=111),0,Z782+$K783-$O783+IF($C$1=1,AC783,IF($C784=$C$3,SUM(AC772:AC783,0)))))*5%))*$Q783),0)</f>
        <v>0</v>
      </c>
      <c r="M783" s="2">
        <f ca="1">ROUND(IF(OP!$C$78&lt;(IF(OR($T783="F",$E783&gt;=111),0,AA782+$K783-$O783+IF($C$1=1,AD783,IF($C784=$C$3,SUM(AD772:AD783,0)))))*5%,0,(OP!$C$78-((IF(OR($T783="F",$E783&gt;=111),0,AA782+$K783-$O783+IF($C$1=1,AD783,IF($C784=$C$3,SUM(AD772:AD783,0)))))*5%))*$Q783),0)</f>
        <v>0</v>
      </c>
      <c r="N783" s="2">
        <f ca="1">ROUND(IF(OP!$C$78&lt;(IF(OR($T783="F",$E783&gt;=111),0,AB782+$K783-$O783+IF($C$1=1,AE783,IF($C784=$C$3,SUM(AE772:AE783,0)))))*5%,0,(OP!$C$78-((IF(OR($T783="F",$E783&gt;=111),0,AB782+$K783-$O783+IF($C$1=1,AE783,IF($C784=$C$3,SUM(AE772:AE783,0)))))*5%))*$Q783),0)</f>
        <v>0</v>
      </c>
      <c r="O783" s="261">
        <f t="shared" ca="1" si="452"/>
        <v>0</v>
      </c>
      <c r="P783" s="261">
        <f t="shared" ca="1" si="470"/>
        <v>0</v>
      </c>
      <c r="Q783" s="3">
        <f ca="1">IF(A783&gt;MAX(OP!$R$17:$R$26),0,VLOOKUP(A783,fees,3,FALSE))</f>
        <v>0</v>
      </c>
      <c r="R783" s="200" t="str">
        <f t="shared" ca="1" si="453"/>
        <v/>
      </c>
      <c r="S783" s="9" t="str">
        <f ca="1">IF(COUNTIF(($T$4:T782),"F")&gt;=1,"",IF(OR(C784&lt;&gt;$C$3,E783=""),"",A783))</f>
        <v/>
      </c>
      <c r="T783" s="20" t="str">
        <f t="shared" ca="1" si="445"/>
        <v/>
      </c>
      <c r="U783" s="2">
        <f ca="1">IF(IF(OP!$C$83=1,$Z782,IF(OP!$C$83=2,$AA782,IF(OP!$C$83=3,$AB782,)))+$K783-$O783-$P783-$AS783&lt;OP!$C$142,0,$AS783)</f>
        <v>0</v>
      </c>
      <c r="V783" s="19">
        <f ca="1">SUM(K772:K783)</f>
        <v>0</v>
      </c>
      <c r="W783" s="19">
        <f ca="1">MAX(SUM($K$4:K783),0)</f>
        <v>2000000</v>
      </c>
      <c r="X783" s="19">
        <f ca="1">SUM(O772:P783)</f>
        <v>0</v>
      </c>
      <c r="Y783" s="19">
        <f t="shared" ca="1" si="471"/>
        <v>1920000</v>
      </c>
      <c r="Z783" s="2">
        <f ca="1">IF(MIN($Z$4:Z782)=0,0,MAX(0,($Z782+$K783-$O783-$P783)*IF(AND(F783="F",$D$3&lt;&gt;$G$3),((1+(-J783))^(H783/MIN(G783,365))),((1+(-J783))^(1/12)))-$U783))</f>
        <v>68444.029921077235</v>
      </c>
      <c r="AA783" s="2">
        <f ca="1">IF(MIN($AA$4:AA782)=0,0,MAX(0,($AA782+$K783-$O783-$P783)*IF(AND(F783="F",$D$3&lt;&gt;$G$3),((1+$AA$1)^(H783/MIN(G783,365))),((1+$AA$1)^(1/12)))-$U783))</f>
        <v>1920000</v>
      </c>
      <c r="AB783" s="2">
        <f ca="1">IF(MIN($AB$4:AB782)=0,0,MAX(0,($AB782+$K783-$O783-$P783)*IF(AND(F783="F",$D$3&lt;&gt;$G$3),((1+(J783))^(H783/MIN(G783,365))),((1+(J783))^(1/12)))-$U783))</f>
        <v>45772609.073625818</v>
      </c>
      <c r="AC783" s="5"/>
      <c r="AD783" s="5"/>
      <c r="AE783" s="5"/>
      <c r="AF783" s="282">
        <f t="shared" ca="1" si="454"/>
        <v>68444</v>
      </c>
      <c r="AG783" s="282">
        <f t="shared" ca="1" si="455"/>
        <v>1920000</v>
      </c>
      <c r="AH783" s="282">
        <f t="shared" ca="1" si="456"/>
        <v>45772609</v>
      </c>
      <c r="AI783" s="23" t="str">
        <f t="shared" ca="1" si="472"/>
        <v>66-1</v>
      </c>
      <c r="AJ783" s="282">
        <f ca="1">IF(E783&gt;111,,IF(AND(OP!$C$99=1,T783="F"),Z783,IF(AND(OP!$C$99=2,COUNTIF($T$4:T783,"F")=1),OP!$C$97+IF(F783="F",OP!$C$98,0),"")))</f>
        <v>0</v>
      </c>
      <c r="AK783" s="282">
        <f ca="1">IF(E783&gt;111,,IF(AND(OP!$D$99=1,T783="F"),AA783,IF(AND(OP!$D$99=2,COUNTIF($T$4:T783,"F")=1),OP!$D$97+IF(F783="F",OP!$D$98,0),"")))</f>
        <v>0</v>
      </c>
      <c r="AL783" s="282">
        <f ca="1">IF(E783&gt;111,,IF(AND(OP!$E$99=1,T783="F"),AB783,IF(AND(OP!$E$99=2,COUNTIF($T$4:T783,"F")=1),OP!$E$97+IF(F783="F",OP!$E$98,0),"")))</f>
        <v>0</v>
      </c>
      <c r="AM783" s="1">
        <f t="shared" ca="1" si="446"/>
        <v>1</v>
      </c>
      <c r="AN783" s="1" t="e">
        <f ca="1">IF(OR(VLOOKUP($A783,MP,5,0)="月繳"),1,"")</f>
        <v>#N/A</v>
      </c>
      <c r="AO783" s="1">
        <f t="shared" ca="1" si="457"/>
        <v>0</v>
      </c>
      <c r="AP783" s="1" t="str">
        <f ca="1">IF(AND(A783&lt;=OP!$C$120,COUNTIF(PAY,C783)=1),1,"")</f>
        <v/>
      </c>
      <c r="AR783" s="301">
        <f ca="1">IF(繳費報酬率資料!$A$1=1,$AY783+$AZ783,$BF783+$BG783)</f>
        <v>0</v>
      </c>
      <c r="AS783" s="1">
        <f ca="1">IF(C783&lt;&gt;IF($C$3=1,12,$C$3-1),0,IF(繳費報酬率資料!$A$1&lt;&gt;1,VLOOKUP($A783,MP,8,0),IF(AND($A783&gt;=OP!$C$79,$A783&lt;=OP!$C$80),OP!$C$78,)))</f>
        <v>0</v>
      </c>
      <c r="AT783" s="298">
        <f t="shared" ca="1" si="458"/>
        <v>0</v>
      </c>
      <c r="AU783" s="298">
        <f ca="1">IF(AND(A783&lt;=OP!$C$120,COUNTIF(PAY,C783)=1),OP!$C$123,0)</f>
        <v>0</v>
      </c>
      <c r="AV783" s="298">
        <f ca="1">IF(AND(A783&gt;=OP!$C$132,A783&lt;=OP!$C$133,$C$3=C783),OP!$C$135,0)</f>
        <v>0</v>
      </c>
      <c r="AW783" s="180">
        <f t="shared" ca="1" si="459"/>
        <v>0.05</v>
      </c>
      <c r="AX783" s="180">
        <f t="shared" ca="1" si="460"/>
        <v>0.05</v>
      </c>
      <c r="AY783" s="286">
        <f t="shared" ca="1" si="461"/>
        <v>0</v>
      </c>
      <c r="AZ783" s="286">
        <f t="shared" ca="1" si="462"/>
        <v>0</v>
      </c>
      <c r="BA783" s="286">
        <f t="shared" ca="1" si="463"/>
        <v>0</v>
      </c>
      <c r="BB783" s="286">
        <f t="shared" ca="1" si="464"/>
        <v>0</v>
      </c>
      <c r="BC783" s="286">
        <f t="shared" ca="1" si="465"/>
        <v>0</v>
      </c>
      <c r="BD783" s="180">
        <f t="shared" ca="1" si="466"/>
        <v>0.05</v>
      </c>
      <c r="BE783" s="180">
        <f t="shared" ca="1" si="467"/>
        <v>0.05</v>
      </c>
      <c r="BF783" s="286">
        <f t="shared" ca="1" si="468"/>
        <v>0</v>
      </c>
      <c r="BG783" s="286">
        <f t="shared" ca="1" si="469"/>
        <v>0</v>
      </c>
    </row>
    <row r="784" spans="1:59">
      <c r="A784" s="1">
        <f t="shared" ca="1" si="448"/>
        <v>66</v>
      </c>
      <c r="B784" s="1">
        <f t="shared" ca="1" si="442"/>
        <v>171</v>
      </c>
      <c r="C784" s="1">
        <f t="shared" ca="1" si="443"/>
        <v>6</v>
      </c>
      <c r="D784" s="1">
        <f ca="1">MIN($D$3,VLOOKUP(C784,OP!$S$30:$T$41,2))</f>
        <v>2</v>
      </c>
      <c r="E784" s="1" t="str">
        <f t="shared" ca="1" si="444"/>
        <v/>
      </c>
      <c r="F784" s="11" t="str">
        <f t="shared" ca="1" si="449"/>
        <v/>
      </c>
      <c r="G784" s="6">
        <f ca="1">DATEDIF(DATE(B784+1911,C784,D784),DATE(B796+1911,C796,D796),"d")</f>
        <v>365</v>
      </c>
      <c r="H784" s="8">
        <f t="shared" ca="1" si="451"/>
        <v>30</v>
      </c>
      <c r="I784" s="8" t="str">
        <f t="shared" ca="1" si="447"/>
        <v>666</v>
      </c>
      <c r="J784" s="13">
        <f>IF(繳費報酬率資料!$A$1=1,VALUE(OP!$C$121),VLOOKUP(A784,MP,2,0))</f>
        <v>0.05</v>
      </c>
      <c r="K784" s="14">
        <f ca="1">IF(SUM($K$4:K783,IF(繳費報酬率資料!$A$1=1,$AU784+$AV784,$BB784+$BC784))&gt;OP!$L$58,0,IF(繳費報酬率資料!$A$1=1,$AU784+$AV784,$BB784+$BC784))</f>
        <v>0</v>
      </c>
      <c r="L784" s="2"/>
      <c r="M784" s="2"/>
      <c r="N784" s="2"/>
      <c r="O784" s="261">
        <f t="shared" ca="1" si="452"/>
        <v>0</v>
      </c>
      <c r="P784" s="261">
        <f t="shared" ca="1" si="470"/>
        <v>0</v>
      </c>
      <c r="Q784" s="3">
        <f ca="1">IF(A784&gt;MAX(OP!$R$17:$R$26),0,VLOOKUP(A784,fees,3,FALSE))</f>
        <v>0</v>
      </c>
      <c r="R784" s="200" t="str">
        <f t="shared" ca="1" si="453"/>
        <v/>
      </c>
      <c r="S784" s="9" t="str">
        <f ca="1">IF(COUNTIF(($T$4:T783),"F")&gt;=1,"",IF(OR(C785&lt;&gt;$C$3,E784=""),"",A784))</f>
        <v/>
      </c>
      <c r="T784" s="20" t="str">
        <f t="shared" ca="1" si="445"/>
        <v/>
      </c>
      <c r="U784" s="2">
        <f ca="1">IF(IF(OP!$C$83=1,$Z783,IF(OP!$C$83=2,$AA783,IF(OP!$C$83=3,$AB783,)))+$K784-$O784-$P784-$AS784&lt;OP!$C$142,0,$AS784)</f>
        <v>0</v>
      </c>
      <c r="V784" s="9"/>
      <c r="W784" s="19">
        <f ca="1">MAX(SUM($K$4:K784),0)</f>
        <v>2000000</v>
      </c>
      <c r="X784" s="19"/>
      <c r="Y784" s="19">
        <f t="shared" ca="1" si="471"/>
        <v>1920000</v>
      </c>
      <c r="Z784" s="2">
        <f ca="1">IF(MIN($Z$4:Z783)=0,0,MAX(0,($Z783+$K784-$O784-$P784)*IF(AND(F784="F",$D$3&lt;&gt;$G$3),((1+(-J784))^(H784/MIN(G784,365))),((1+(-J784))^(1/12)))-$U784))</f>
        <v>68152.094315042938</v>
      </c>
      <c r="AA784" s="2">
        <f ca="1">IF(MIN($AA$4:AA783)=0,0,MAX(0,($AA783+$K784-$O784-$P784)*IF(AND(F784="F",$D$3&lt;&gt;$G$3),((1+$AA$1)^(H784/MIN(G784,365))),((1+$AA$1)^(1/12)))-$U784))</f>
        <v>1920000</v>
      </c>
      <c r="AB784" s="2">
        <f ca="1">IF(MIN($AB$4:AB783)=0,0,MAX(0,($AB783+$K784-$O784-$P784)*IF(AND(F784="F",$D$3&lt;&gt;$G$3),((1+(J784))^(H784/MIN(G784,365))),((1+(J784))^(1/12)))-$U784))</f>
        <v>45959092.348892316</v>
      </c>
      <c r="AC784" s="21"/>
      <c r="AD784" s="21"/>
      <c r="AE784" s="21"/>
      <c r="AF784" s="282">
        <f t="shared" ca="1" si="454"/>
        <v>68152</v>
      </c>
      <c r="AG784" s="282">
        <f t="shared" ca="1" si="455"/>
        <v>1920000</v>
      </c>
      <c r="AH784" s="282">
        <f t="shared" ca="1" si="456"/>
        <v>45959092</v>
      </c>
      <c r="AI784" s="23" t="str">
        <f t="shared" ca="1" si="472"/>
        <v>66-2</v>
      </c>
      <c r="AJ784" s="281">
        <f ca="1">IF(E784&gt;111,,IF(AND(OP!$C$99=1,T784="F"),Z784,IF(AND(OP!$C$99=2,COUNTIF($T$4:T784,"F")=1),OP!$C$97+IF(F784="F",OP!$C$98,0),"")))</f>
        <v>0</v>
      </c>
      <c r="AK784" s="281">
        <f ca="1">IF(E784&gt;111,,IF(AND(OP!$D$99=1,T784="F"),AA784,IF(AND(OP!$D$99=2,COUNTIF($T$4:T784,"F")=1),OP!$D$97+IF(F784="F",OP!$D$98,0),"")))</f>
        <v>0</v>
      </c>
      <c r="AL784" s="281">
        <f ca="1">IF(E784&gt;111,,IF(AND(OP!$E$99=1,T784="F"),AB784,IF(AND(OP!$E$99=2,COUNTIF($T$4:T784,"F")=1),OP!$E$97+IF(F784="F",OP!$E$98,0),"")))</f>
        <v>0</v>
      </c>
      <c r="AM784" s="1">
        <f t="shared" ca="1" si="446"/>
        <v>2</v>
      </c>
      <c r="AN784" s="1" t="e">
        <f ca="1">IF(OR(VLOOKUP($A784,MP,5,0)="年繳",VLOOKUP($A784,MP,5,0)="半年繳",VLOOKUP($A784,MP,5,0)="季繳",VLOOKUP($A784,MP,5,0)="月繳"),1,"")</f>
        <v>#N/A</v>
      </c>
      <c r="AO784" s="1">
        <f t="shared" ca="1" si="457"/>
        <v>0</v>
      </c>
      <c r="AP784" s="1" t="str">
        <f ca="1">IF(AND(A784&lt;=OP!$C$120,COUNTIF(PAY,C784)=1),1,"")</f>
        <v/>
      </c>
      <c r="AR784" s="301">
        <f ca="1">IF(繳費報酬率資料!$A$1=1,$AY784+$AZ784,$BF784+$BG784)</f>
        <v>0</v>
      </c>
      <c r="AS784" s="1">
        <f ca="1">IF(C784&lt;&gt;IF($C$3=1,12,$C$3-1),0,IF(繳費報酬率資料!$A$1&lt;&gt;1,VLOOKUP($A784,MP,8,0),IF(AND($A784&gt;=OP!$C$79,$A784&lt;=OP!$C$80),OP!$C$78,)))</f>
        <v>0</v>
      </c>
      <c r="AT784" s="298">
        <f t="shared" ca="1" si="458"/>
        <v>0</v>
      </c>
      <c r="AU784" s="298">
        <f ca="1">IF(AND(A784&lt;=OP!$C$120,COUNTIF(PAY,C784)=1),OP!$C$123,0)</f>
        <v>0</v>
      </c>
      <c r="AV784" s="298">
        <f ca="1">IF(AND(A784&gt;=OP!$C$132,A784&lt;=OP!$C$133,$C$3=C784),OP!$C$135,0)</f>
        <v>0</v>
      </c>
      <c r="AW784" s="180">
        <f t="shared" ca="1" si="459"/>
        <v>0.05</v>
      </c>
      <c r="AX784" s="180">
        <f t="shared" ca="1" si="460"/>
        <v>0.05</v>
      </c>
      <c r="AY784" s="286">
        <f t="shared" ca="1" si="461"/>
        <v>0</v>
      </c>
      <c r="AZ784" s="286">
        <f t="shared" ca="1" si="462"/>
        <v>0</v>
      </c>
      <c r="BA784" s="286">
        <f t="shared" ca="1" si="463"/>
        <v>0</v>
      </c>
      <c r="BB784" s="286">
        <f t="shared" ca="1" si="464"/>
        <v>0</v>
      </c>
      <c r="BC784" s="286">
        <f t="shared" ca="1" si="465"/>
        <v>0</v>
      </c>
      <c r="BD784" s="180">
        <f t="shared" ca="1" si="466"/>
        <v>0.05</v>
      </c>
      <c r="BE784" s="180">
        <f t="shared" ca="1" si="467"/>
        <v>0.05</v>
      </c>
      <c r="BF784" s="286">
        <f t="shared" ca="1" si="468"/>
        <v>0</v>
      </c>
      <c r="BG784" s="286">
        <f t="shared" ca="1" si="469"/>
        <v>0</v>
      </c>
    </row>
    <row r="785" spans="1:59">
      <c r="A785" s="1">
        <f t="shared" ca="1" si="448"/>
        <v>66</v>
      </c>
      <c r="B785" s="1">
        <f t="shared" ca="1" si="442"/>
        <v>171</v>
      </c>
      <c r="C785" s="1">
        <f t="shared" ca="1" si="443"/>
        <v>7</v>
      </c>
      <c r="D785" s="1">
        <f ca="1">MIN($D$3,VLOOKUP(C785,OP!$S$30:$T$41,2))</f>
        <v>2</v>
      </c>
      <c r="E785" s="1" t="str">
        <f t="shared" ca="1" si="444"/>
        <v/>
      </c>
      <c r="F785" s="11" t="str">
        <f t="shared" ca="1" si="449"/>
        <v/>
      </c>
      <c r="G785" s="8">
        <f t="shared" ref="G785:G795" ca="1" si="473">G784</f>
        <v>365</v>
      </c>
      <c r="H785" s="8">
        <f t="shared" ca="1" si="451"/>
        <v>31</v>
      </c>
      <c r="I785" s="8" t="str">
        <f t="shared" ca="1" si="447"/>
        <v>667</v>
      </c>
      <c r="J785" s="13">
        <f>IF(繳費報酬率資料!$A$1=1,VALUE(OP!$C$121),VLOOKUP(A785,MP,2,0))</f>
        <v>0.05</v>
      </c>
      <c r="K785" s="14">
        <f ca="1">IF(SUM($K$4:K784,IF(繳費報酬率資料!$A$1=1,$AU785+$AV785,$BB785+$BC785))&gt;OP!$L$58,0,IF(繳費報酬率資料!$A$1=1,$AU785+$AV785,$BB785+$BC785))</f>
        <v>0</v>
      </c>
      <c r="L785" s="2"/>
      <c r="M785" s="2"/>
      <c r="N785" s="2"/>
      <c r="O785" s="261">
        <f t="shared" ca="1" si="452"/>
        <v>0</v>
      </c>
      <c r="P785" s="261">
        <f t="shared" ca="1" si="470"/>
        <v>0</v>
      </c>
      <c r="Q785" s="3">
        <f ca="1">IF(A785&gt;MAX(OP!$R$17:$R$26),0,VLOOKUP(A785,fees,3,FALSE))</f>
        <v>0</v>
      </c>
      <c r="R785" s="200" t="str">
        <f t="shared" ca="1" si="453"/>
        <v/>
      </c>
      <c r="S785" s="9" t="str">
        <f ca="1">IF(COUNTIF(($T$4:T784),"F")&gt;=1,"",IF(OR(C786&lt;&gt;$C$3,E785=""),"",A785))</f>
        <v/>
      </c>
      <c r="T785" s="20" t="str">
        <f t="shared" ca="1" si="445"/>
        <v/>
      </c>
      <c r="U785" s="2">
        <f ca="1">IF(IF(OP!$C$83=1,$Z784,IF(OP!$C$83=2,$AA784,IF(OP!$C$83=3,$AB784,)))+$K785-$O785-$P785-$AS785&lt;OP!$C$142,0,$AS785)</f>
        <v>0</v>
      </c>
      <c r="V785" s="9"/>
      <c r="W785" s="19">
        <f ca="1">MAX(SUM($K$4:K785),0)</f>
        <v>2000000</v>
      </c>
      <c r="X785" s="19"/>
      <c r="Y785" s="19">
        <f t="shared" ca="1" si="471"/>
        <v>1920000</v>
      </c>
      <c r="Z785" s="2">
        <f ca="1">IF(MIN($Z$4:Z784)=0,0,MAX(0,($Z784+$K785-$O785-$P785)*IF(AND(F785="F",$D$3&lt;&gt;$G$3),((1+(-J785))^(H785/MIN(G785,365))),((1+(-J785))^(1/12)))-$U785))</f>
        <v>67861.403907430897</v>
      </c>
      <c r="AA785" s="2">
        <f ca="1">IF(MIN($AA$4:AA784)=0,0,MAX(0,($AA784+$K785-$O785-$P785)*IF(AND(F785="F",$D$3&lt;&gt;$G$3),((1+$AA$1)^(H785/MIN(G785,365))),((1+$AA$1)^(1/12)))-$U785))</f>
        <v>1920000</v>
      </c>
      <c r="AB785" s="2">
        <f ca="1">IF(MIN($AB$4:AB784)=0,0,MAX(0,($AB784+$K785-$O785-$P785)*IF(AND(F785="F",$D$3&lt;&gt;$G$3),((1+(J785))^(H785/MIN(G785,365))),((1+(J785))^(1/12)))-$U785))</f>
        <v>46146335.380105831</v>
      </c>
      <c r="AC785" s="5"/>
      <c r="AD785" s="5"/>
      <c r="AE785" s="5"/>
      <c r="AF785" s="282">
        <f t="shared" ca="1" si="454"/>
        <v>67861</v>
      </c>
      <c r="AG785" s="282">
        <f t="shared" ca="1" si="455"/>
        <v>1920000</v>
      </c>
      <c r="AH785" s="282">
        <f t="shared" ca="1" si="456"/>
        <v>46146335</v>
      </c>
      <c r="AI785" s="23" t="str">
        <f t="shared" ca="1" si="472"/>
        <v>66-3</v>
      </c>
      <c r="AJ785" s="282">
        <f ca="1">IF(E785&gt;111,,IF(AND(OP!$C$99=1,T785="F"),Z785,IF(AND(OP!$C$99=2,COUNTIF($T$4:T785,"F")=1),OP!$C$97+IF(F785="F",OP!$C$98,0),"")))</f>
        <v>0</v>
      </c>
      <c r="AK785" s="282">
        <f ca="1">IF(E785&gt;111,,IF(AND(OP!$D$99=1,T785="F"),AA785,IF(AND(OP!$D$99=2,COUNTIF($T$4:T785,"F")=1),OP!$D$97+IF(F785="F",OP!$D$98,0),"")))</f>
        <v>0</v>
      </c>
      <c r="AL785" s="282">
        <f ca="1">IF(E785&gt;111,,IF(AND(OP!$E$99=1,T785="F"),AB785,IF(AND(OP!$E$99=2,COUNTIF($T$4:T785,"F")=1),OP!$E$97+IF(F785="F",OP!$E$98,0),"")))</f>
        <v>0</v>
      </c>
      <c r="AM785" s="1">
        <f t="shared" ca="1" si="446"/>
        <v>3</v>
      </c>
      <c r="AN785" s="1" t="e">
        <f ca="1">IF(OR(VLOOKUP($A785,MP,5,0)="月繳"),1,"")</f>
        <v>#N/A</v>
      </c>
      <c r="AO785" s="1">
        <f t="shared" ca="1" si="457"/>
        <v>0</v>
      </c>
      <c r="AP785" s="1" t="str">
        <f ca="1">IF(AND(A785&lt;=OP!$C$120,COUNTIF(PAY,C785)=1),1,"")</f>
        <v/>
      </c>
      <c r="AR785" s="301">
        <f ca="1">IF(繳費報酬率資料!$A$1=1,$AY785+$AZ785,$BF785+$BG785)</f>
        <v>0</v>
      </c>
      <c r="AS785" s="1">
        <f ca="1">IF(C785&lt;&gt;IF($C$3=1,12,$C$3-1),0,IF(繳費報酬率資料!$A$1&lt;&gt;1,VLOOKUP($A785,MP,8,0),IF(AND($A785&gt;=OP!$C$79,$A785&lt;=OP!$C$80),OP!$C$78,)))</f>
        <v>0</v>
      </c>
      <c r="AT785" s="298">
        <f t="shared" ca="1" si="458"/>
        <v>0</v>
      </c>
      <c r="AU785" s="298">
        <f ca="1">IF(AND(A785&lt;=OP!$C$120,COUNTIF(PAY,C785)=1),OP!$C$123,0)</f>
        <v>0</v>
      </c>
      <c r="AV785" s="298">
        <f ca="1">IF(AND(A785&gt;=OP!$C$132,A785&lt;=OP!$C$133,$C$3=C785),OP!$C$135,0)</f>
        <v>0</v>
      </c>
      <c r="AW785" s="180">
        <f t="shared" ca="1" si="459"/>
        <v>0.05</v>
      </c>
      <c r="AX785" s="180">
        <f t="shared" ca="1" si="460"/>
        <v>0.05</v>
      </c>
      <c r="AY785" s="286">
        <f t="shared" ca="1" si="461"/>
        <v>0</v>
      </c>
      <c r="AZ785" s="286">
        <f t="shared" ca="1" si="462"/>
        <v>0</v>
      </c>
      <c r="BA785" s="286">
        <f t="shared" ca="1" si="463"/>
        <v>0</v>
      </c>
      <c r="BB785" s="286">
        <f t="shared" ca="1" si="464"/>
        <v>0</v>
      </c>
      <c r="BC785" s="286">
        <f t="shared" ca="1" si="465"/>
        <v>0</v>
      </c>
      <c r="BD785" s="180">
        <f t="shared" ca="1" si="466"/>
        <v>0.05</v>
      </c>
      <c r="BE785" s="180">
        <f t="shared" ca="1" si="467"/>
        <v>0.05</v>
      </c>
      <c r="BF785" s="286">
        <f t="shared" ca="1" si="468"/>
        <v>0</v>
      </c>
      <c r="BG785" s="286">
        <f t="shared" ca="1" si="469"/>
        <v>0</v>
      </c>
    </row>
    <row r="786" spans="1:59">
      <c r="A786" s="1">
        <f t="shared" ca="1" si="448"/>
        <v>66</v>
      </c>
      <c r="B786" s="1">
        <f t="shared" ca="1" si="442"/>
        <v>171</v>
      </c>
      <c r="C786" s="1">
        <f t="shared" ca="1" si="443"/>
        <v>8</v>
      </c>
      <c r="D786" s="1">
        <f ca="1">MIN($D$3,VLOOKUP(C786,OP!$S$30:$T$41,2))</f>
        <v>2</v>
      </c>
      <c r="E786" s="1" t="str">
        <f t="shared" ca="1" si="444"/>
        <v/>
      </c>
      <c r="F786" s="11" t="str">
        <f t="shared" ca="1" si="449"/>
        <v/>
      </c>
      <c r="G786" s="8">
        <f t="shared" ca="1" si="473"/>
        <v>365</v>
      </c>
      <c r="H786" s="8">
        <f t="shared" ca="1" si="451"/>
        <v>31</v>
      </c>
      <c r="I786" s="8" t="str">
        <f t="shared" ca="1" si="447"/>
        <v>668</v>
      </c>
      <c r="J786" s="13">
        <f>IF(繳費報酬率資料!$A$1=1,VALUE(OP!$C$121),VLOOKUP(A786,MP,2,0))</f>
        <v>0.05</v>
      </c>
      <c r="K786" s="14">
        <f ca="1">IF(SUM($K$4:K785,IF(繳費報酬率資料!$A$1=1,$AU786+$AV786,$BB786+$BC786))&gt;OP!$L$58,0,IF(繳費報酬率資料!$A$1=1,$AU786+$AV786,$BB786+$BC786))</f>
        <v>0</v>
      </c>
      <c r="L786" s="2"/>
      <c r="M786" s="2"/>
      <c r="N786" s="2"/>
      <c r="O786" s="261">
        <f t="shared" ca="1" si="452"/>
        <v>0</v>
      </c>
      <c r="P786" s="261">
        <f t="shared" ca="1" si="470"/>
        <v>0</v>
      </c>
      <c r="Q786" s="3">
        <f ca="1">IF(A786&gt;MAX(OP!$R$17:$R$26),0,VLOOKUP(A786,fees,3,FALSE))</f>
        <v>0</v>
      </c>
      <c r="R786" s="200" t="str">
        <f t="shared" ca="1" si="453"/>
        <v/>
      </c>
      <c r="S786" s="9" t="str">
        <f ca="1">IF(COUNTIF(($T$4:T785),"F")&gt;=1,"",IF(OR(C787&lt;&gt;$C$3,E786=""),"",A786))</f>
        <v/>
      </c>
      <c r="T786" s="20" t="str">
        <f t="shared" ca="1" si="445"/>
        <v/>
      </c>
      <c r="U786" s="2">
        <f ca="1">IF(IF(OP!$C$83=1,$Z785,IF(OP!$C$83=2,$AA785,IF(OP!$C$83=3,$AB785,)))+$K786-$O786-$P786-$AS786&lt;OP!$C$142,0,$AS786)</f>
        <v>0</v>
      </c>
      <c r="V786" s="9"/>
      <c r="W786" s="19">
        <f ca="1">MAX(SUM($K$4:K786),0)</f>
        <v>2000000</v>
      </c>
      <c r="X786" s="19"/>
      <c r="Y786" s="19">
        <f t="shared" ca="1" si="471"/>
        <v>1920000</v>
      </c>
      <c r="Z786" s="2">
        <f ca="1">IF(MIN($Z$4:Z785)=0,0,MAX(0,($Z785+$K786-$O786-$P786)*IF(AND(F786="F",$D$3&lt;&gt;$G$3),((1+(-J786))^(H786/MIN(G786,365))),((1+(-J786))^(1/12)))-$U786))</f>
        <v>67571.953387072906</v>
      </c>
      <c r="AA786" s="2">
        <f ca="1">IF(MIN($AA$4:AA785)=0,0,MAX(0,($AA785+$K786-$O786-$P786)*IF(AND(F786="F",$D$3&lt;&gt;$G$3),((1+$AA$1)^(H786/MIN(G786,365))),((1+$AA$1)^(1/12)))-$U786))</f>
        <v>1920000</v>
      </c>
      <c r="AB786" s="2">
        <f ca="1">IF(MIN($AB$4:AB785)=0,0,MAX(0,($AB785+$K786-$O786-$P786)*IF(AND(F786="F",$D$3&lt;&gt;$G$3),((1+(J786))^(H786/MIN(G786,365))),((1+(J786))^(1/12)))-$U786))</f>
        <v>46334341.262606137</v>
      </c>
      <c r="AC786" s="5"/>
      <c r="AD786" s="5"/>
      <c r="AE786" s="5"/>
      <c r="AF786" s="282">
        <f t="shared" ca="1" si="454"/>
        <v>67572</v>
      </c>
      <c r="AG786" s="282">
        <f t="shared" ca="1" si="455"/>
        <v>1920000</v>
      </c>
      <c r="AH786" s="282">
        <f t="shared" ca="1" si="456"/>
        <v>46334341</v>
      </c>
      <c r="AI786" s="23" t="str">
        <f t="shared" ca="1" si="472"/>
        <v>66-4</v>
      </c>
      <c r="AJ786" s="282">
        <f ca="1">IF(E786&gt;111,,IF(AND(OP!$C$99=1,T786="F"),Z786,IF(AND(OP!$C$99=2,COUNTIF($T$4:T786,"F")=1),OP!$C$97+IF(F786="F",OP!$C$98,0),"")))</f>
        <v>0</v>
      </c>
      <c r="AK786" s="282">
        <f ca="1">IF(E786&gt;111,,IF(AND(OP!$D$99=1,T786="F"),AA786,IF(AND(OP!$D$99=2,COUNTIF($T$4:T786,"F")=1),OP!$D$97+IF(F786="F",OP!$D$98,0),"")))</f>
        <v>0</v>
      </c>
      <c r="AL786" s="282">
        <f ca="1">IF(E786&gt;111,,IF(AND(OP!$E$99=1,T786="F"),AB786,IF(AND(OP!$E$99=2,COUNTIF($T$4:T786,"F")=1),OP!$E$97+IF(F786="F",OP!$E$98,0),"")))</f>
        <v>0</v>
      </c>
      <c r="AM786" s="1">
        <f t="shared" ca="1" si="446"/>
        <v>4</v>
      </c>
      <c r="AN786" s="1" t="e">
        <f ca="1">IF(OR(VLOOKUP($A786,MP,5,0)="月繳"),1,"")</f>
        <v>#N/A</v>
      </c>
      <c r="AO786" s="1">
        <f t="shared" ca="1" si="457"/>
        <v>0</v>
      </c>
      <c r="AP786" s="1" t="str">
        <f ca="1">IF(AND(A786&lt;=OP!$C$120,COUNTIF(PAY,C786)=1),1,"")</f>
        <v/>
      </c>
      <c r="AR786" s="301">
        <f ca="1">IF(繳費報酬率資料!$A$1=1,$AY786+$AZ786,$BF786+$BG786)</f>
        <v>0</v>
      </c>
      <c r="AS786" s="1">
        <f ca="1">IF(C786&lt;&gt;IF($C$3=1,12,$C$3-1),0,IF(繳費報酬率資料!$A$1&lt;&gt;1,VLOOKUP($A786,MP,8,0),IF(AND($A786&gt;=OP!$C$79,$A786&lt;=OP!$C$80),OP!$C$78,)))</f>
        <v>0</v>
      </c>
      <c r="AT786" s="298">
        <f t="shared" ca="1" si="458"/>
        <v>0</v>
      </c>
      <c r="AU786" s="298">
        <f ca="1">IF(AND(A786&lt;=OP!$C$120,COUNTIF(PAY,C786)=1),OP!$C$123,0)</f>
        <v>0</v>
      </c>
      <c r="AV786" s="298">
        <f ca="1">IF(AND(A786&gt;=OP!$C$132,A786&lt;=OP!$C$133,$C$3=C786),OP!$C$135,0)</f>
        <v>0</v>
      </c>
      <c r="AW786" s="180">
        <f t="shared" ca="1" si="459"/>
        <v>0.05</v>
      </c>
      <c r="AX786" s="180">
        <f t="shared" ca="1" si="460"/>
        <v>0.05</v>
      </c>
      <c r="AY786" s="286">
        <f t="shared" ca="1" si="461"/>
        <v>0</v>
      </c>
      <c r="AZ786" s="286">
        <f t="shared" ca="1" si="462"/>
        <v>0</v>
      </c>
      <c r="BA786" s="286">
        <f t="shared" ca="1" si="463"/>
        <v>0</v>
      </c>
      <c r="BB786" s="286">
        <f t="shared" ca="1" si="464"/>
        <v>0</v>
      </c>
      <c r="BC786" s="286">
        <f t="shared" ca="1" si="465"/>
        <v>0</v>
      </c>
      <c r="BD786" s="180">
        <f t="shared" ca="1" si="466"/>
        <v>0.05</v>
      </c>
      <c r="BE786" s="180">
        <f t="shared" ca="1" si="467"/>
        <v>0.05</v>
      </c>
      <c r="BF786" s="286">
        <f t="shared" ca="1" si="468"/>
        <v>0</v>
      </c>
      <c r="BG786" s="286">
        <f t="shared" ca="1" si="469"/>
        <v>0</v>
      </c>
    </row>
    <row r="787" spans="1:59">
      <c r="A787" s="1">
        <f t="shared" ca="1" si="448"/>
        <v>66</v>
      </c>
      <c r="B787" s="1">
        <f t="shared" ca="1" si="442"/>
        <v>171</v>
      </c>
      <c r="C787" s="1">
        <f t="shared" ca="1" si="443"/>
        <v>9</v>
      </c>
      <c r="D787" s="1">
        <f ca="1">MIN($D$3,VLOOKUP(C787,OP!$S$30:$T$41,2))</f>
        <v>2</v>
      </c>
      <c r="E787" s="1" t="str">
        <f t="shared" ca="1" si="444"/>
        <v/>
      </c>
      <c r="F787" s="11" t="str">
        <f t="shared" ca="1" si="449"/>
        <v/>
      </c>
      <c r="G787" s="8">
        <f t="shared" ca="1" si="473"/>
        <v>365</v>
      </c>
      <c r="H787" s="8">
        <f t="shared" ca="1" si="451"/>
        <v>30</v>
      </c>
      <c r="I787" s="8" t="str">
        <f t="shared" ca="1" si="447"/>
        <v>669</v>
      </c>
      <c r="J787" s="13">
        <f>IF(繳費報酬率資料!$A$1=1,VALUE(OP!$C$121),VLOOKUP(A787,MP,2,0))</f>
        <v>0.05</v>
      </c>
      <c r="K787" s="14">
        <f ca="1">IF(SUM($K$4:K786,IF(繳費報酬率資料!$A$1=1,$AU787+$AV787,$BB787+$BC787))&gt;OP!$L$58,0,IF(繳費報酬率資料!$A$1=1,$AU787+$AV787,$BB787+$BC787))</f>
        <v>0</v>
      </c>
      <c r="L787" s="2"/>
      <c r="M787" s="2"/>
      <c r="N787" s="2"/>
      <c r="O787" s="261">
        <f t="shared" ca="1" si="452"/>
        <v>0</v>
      </c>
      <c r="P787" s="261">
        <f t="shared" ca="1" si="470"/>
        <v>0</v>
      </c>
      <c r="Q787" s="3">
        <f ca="1">IF(A787&gt;MAX(OP!$R$17:$R$26),0,VLOOKUP(A787,fees,3,FALSE))</f>
        <v>0</v>
      </c>
      <c r="R787" s="200" t="str">
        <f t="shared" ca="1" si="453"/>
        <v/>
      </c>
      <c r="S787" s="9" t="str">
        <f ca="1">IF(COUNTIF(($T$4:T786),"F")&gt;=1,"",IF(OR(C788&lt;&gt;$C$3,E787=""),"",A787))</f>
        <v/>
      </c>
      <c r="T787" s="20" t="str">
        <f t="shared" ca="1" si="445"/>
        <v/>
      </c>
      <c r="U787" s="2">
        <f ca="1">IF(IF(OP!$C$83=1,$Z786,IF(OP!$C$83=2,$AA786,IF(OP!$C$83=3,$AB786,)))+$K787-$O787-$P787-$AS787&lt;OP!$C$142,0,$AS787)</f>
        <v>0</v>
      </c>
      <c r="V787" s="9"/>
      <c r="W787" s="19">
        <f ca="1">MAX(SUM($K$4:K787),0)</f>
        <v>2000000</v>
      </c>
      <c r="X787" s="19"/>
      <c r="Y787" s="19">
        <f t="shared" ca="1" si="471"/>
        <v>1920000</v>
      </c>
      <c r="Z787" s="2">
        <f ca="1">IF(MIN($Z$4:Z786)=0,0,MAX(0,($Z786+$K787-$O787-$P787)*IF(AND(F787="F",$D$3&lt;&gt;$G$3),((1+(-J787))^(H787/MIN(G787,365))),((1+(-J787))^(1/12)))-$U787))</f>
        <v>67283.737465454571</v>
      </c>
      <c r="AA787" s="2">
        <f ca="1">IF(MIN($AA$4:AA786)=0,0,MAX(0,($AA786+$K787-$O787-$P787)*IF(AND(F787="F",$D$3&lt;&gt;$G$3),((1+$AA$1)^(H787/MIN(G787,365))),((1+$AA$1)^(1/12)))-$U787))</f>
        <v>1920000</v>
      </c>
      <c r="AB787" s="2">
        <f ca="1">IF(MIN($AB$4:AB786)=0,0,MAX(0,($AB786+$K787-$O787-$P787)*IF(AND(F787="F",$D$3&lt;&gt;$G$3),((1+(J787))^(H787/MIN(G787,365))),((1+(J787))^(1/12)))-$U787))</f>
        <v>46523113.104343802</v>
      </c>
      <c r="AC787" s="5"/>
      <c r="AD787" s="5"/>
      <c r="AE787" s="5"/>
      <c r="AF787" s="282">
        <f t="shared" ca="1" si="454"/>
        <v>67284</v>
      </c>
      <c r="AG787" s="282">
        <f t="shared" ca="1" si="455"/>
        <v>1920000</v>
      </c>
      <c r="AH787" s="282">
        <f t="shared" ca="1" si="456"/>
        <v>46523113</v>
      </c>
      <c r="AI787" s="23" t="str">
        <f t="shared" ca="1" si="472"/>
        <v>66-5</v>
      </c>
      <c r="AJ787" s="282">
        <f ca="1">IF(E787&gt;111,,IF(AND(OP!$C$99=1,T787="F"),Z787,IF(AND(OP!$C$99=2,COUNTIF($T$4:T787,"F")=1),OP!$C$97+IF(F787="F",OP!$C$98,0),"")))</f>
        <v>0</v>
      </c>
      <c r="AK787" s="282">
        <f ca="1">IF(E787&gt;111,,IF(AND(OP!$D$99=1,T787="F"),AA787,IF(AND(OP!$D$99=2,COUNTIF($T$4:T787,"F")=1),OP!$D$97+IF(F787="F",OP!$D$98,0),"")))</f>
        <v>0</v>
      </c>
      <c r="AL787" s="282">
        <f ca="1">IF(E787&gt;111,,IF(AND(OP!$E$99=1,T787="F"),AB787,IF(AND(OP!$E$99=2,COUNTIF($T$4:T787,"F")=1),OP!$E$97+IF(F787="F",OP!$E$98,0),"")))</f>
        <v>0</v>
      </c>
      <c r="AM787" s="1">
        <f t="shared" ca="1" si="446"/>
        <v>5</v>
      </c>
      <c r="AN787" s="1" t="e">
        <f ca="1">IF(OR(VLOOKUP($A787,MP,5,0)="季繳",VLOOKUP($A787,MP,5,0)="月繳"),1,"")</f>
        <v>#N/A</v>
      </c>
      <c r="AO787" s="1">
        <f t="shared" ca="1" si="457"/>
        <v>0</v>
      </c>
      <c r="AP787" s="1" t="str">
        <f ca="1">IF(AND(A787&lt;=OP!$C$120,COUNTIF(PAY,C787)=1),1,"")</f>
        <v/>
      </c>
      <c r="AR787" s="301">
        <f ca="1">IF(繳費報酬率資料!$A$1=1,$AY787+$AZ787,$BF787+$BG787)</f>
        <v>0</v>
      </c>
      <c r="AS787" s="1">
        <f ca="1">IF(C787&lt;&gt;IF($C$3=1,12,$C$3-1),0,IF(繳費報酬率資料!$A$1&lt;&gt;1,VLOOKUP($A787,MP,8,0),IF(AND($A787&gt;=OP!$C$79,$A787&lt;=OP!$C$80),OP!$C$78,)))</f>
        <v>0</v>
      </c>
      <c r="AT787" s="298">
        <f t="shared" ca="1" si="458"/>
        <v>0</v>
      </c>
      <c r="AU787" s="298">
        <f ca="1">IF(AND(A787&lt;=OP!$C$120,COUNTIF(PAY,C787)=1),OP!$C$123,0)</f>
        <v>0</v>
      </c>
      <c r="AV787" s="298">
        <f ca="1">IF(AND(A787&gt;=OP!$C$132,A787&lt;=OP!$C$133,$C$3=C787),OP!$C$135,0)</f>
        <v>0</v>
      </c>
      <c r="AW787" s="180">
        <f t="shared" ca="1" si="459"/>
        <v>0.05</v>
      </c>
      <c r="AX787" s="180">
        <f t="shared" ca="1" si="460"/>
        <v>0.05</v>
      </c>
      <c r="AY787" s="286">
        <f t="shared" ca="1" si="461"/>
        <v>0</v>
      </c>
      <c r="AZ787" s="286">
        <f t="shared" ca="1" si="462"/>
        <v>0</v>
      </c>
      <c r="BA787" s="286">
        <f t="shared" ca="1" si="463"/>
        <v>0</v>
      </c>
      <c r="BB787" s="286">
        <f t="shared" ca="1" si="464"/>
        <v>0</v>
      </c>
      <c r="BC787" s="286">
        <f t="shared" ca="1" si="465"/>
        <v>0</v>
      </c>
      <c r="BD787" s="180">
        <f t="shared" ca="1" si="466"/>
        <v>0.05</v>
      </c>
      <c r="BE787" s="180">
        <f t="shared" ca="1" si="467"/>
        <v>0.05</v>
      </c>
      <c r="BF787" s="286">
        <f t="shared" ca="1" si="468"/>
        <v>0</v>
      </c>
      <c r="BG787" s="286">
        <f t="shared" ca="1" si="469"/>
        <v>0</v>
      </c>
    </row>
    <row r="788" spans="1:59">
      <c r="A788" s="1">
        <f t="shared" ca="1" si="448"/>
        <v>66</v>
      </c>
      <c r="B788" s="1">
        <f t="shared" ca="1" si="442"/>
        <v>171</v>
      </c>
      <c r="C788" s="1">
        <f t="shared" ca="1" si="443"/>
        <v>10</v>
      </c>
      <c r="D788" s="1">
        <f ca="1">MIN($D$3,VLOOKUP(C788,OP!$S$30:$T$41,2))</f>
        <v>2</v>
      </c>
      <c r="E788" s="1" t="str">
        <f t="shared" ca="1" si="444"/>
        <v/>
      </c>
      <c r="F788" s="11" t="str">
        <f t="shared" ca="1" si="449"/>
        <v/>
      </c>
      <c r="G788" s="8">
        <f t="shared" ca="1" si="473"/>
        <v>365</v>
      </c>
      <c r="H788" s="8">
        <f t="shared" ca="1" si="451"/>
        <v>31</v>
      </c>
      <c r="I788" s="8" t="str">
        <f t="shared" ca="1" si="447"/>
        <v>6610</v>
      </c>
      <c r="J788" s="13">
        <f>IF(繳費報酬率資料!$A$1=1,VALUE(OP!$C$121),VLOOKUP(A788,MP,2,0))</f>
        <v>0.05</v>
      </c>
      <c r="K788" s="14">
        <f ca="1">IF(SUM($K$4:K787,IF(繳費報酬率資料!$A$1=1,$AU788+$AV788,$BB788+$BC788))&gt;OP!$L$58,0,IF(繳費報酬率資料!$A$1=1,$AU788+$AV788,$BB788+$BC788))</f>
        <v>0</v>
      </c>
      <c r="L788" s="2"/>
      <c r="M788" s="2"/>
      <c r="N788" s="2"/>
      <c r="O788" s="261">
        <f t="shared" ca="1" si="452"/>
        <v>0</v>
      </c>
      <c r="P788" s="261">
        <f t="shared" ca="1" si="470"/>
        <v>0</v>
      </c>
      <c r="Q788" s="3">
        <f ca="1">IF(A788&gt;MAX(OP!$R$17:$R$26),0,VLOOKUP(A788,fees,3,FALSE))</f>
        <v>0</v>
      </c>
      <c r="R788" s="200" t="str">
        <f t="shared" ca="1" si="453"/>
        <v/>
      </c>
      <c r="S788" s="9" t="str">
        <f ca="1">IF(COUNTIF(($T$4:T787),"F")&gt;=1,"",IF(OR(C789&lt;&gt;$C$3,E788=""),"",A788))</f>
        <v/>
      </c>
      <c r="T788" s="20" t="str">
        <f t="shared" ca="1" si="445"/>
        <v/>
      </c>
      <c r="U788" s="2">
        <f ca="1">IF(IF(OP!$C$83=1,$Z787,IF(OP!$C$83=2,$AA787,IF(OP!$C$83=3,$AB787,)))+$K788-$O788-$P788-$AS788&lt;OP!$C$142,0,$AS788)</f>
        <v>0</v>
      </c>
      <c r="V788" s="9"/>
      <c r="W788" s="19">
        <f ca="1">MAX(SUM($K$4:K788),0)</f>
        <v>2000000</v>
      </c>
      <c r="X788" s="19"/>
      <c r="Y788" s="19">
        <f t="shared" ca="1" si="471"/>
        <v>1920000</v>
      </c>
      <c r="Z788" s="2">
        <f ca="1">IF(MIN($Z$4:Z787)=0,0,MAX(0,($Z787+$K788-$O788-$P788)*IF(AND(F788="F",$D$3&lt;&gt;$G$3),((1+(-J788))^(H788/MIN(G788,365))),((1+(-J788))^(1/12)))-$U788))</f>
        <v>66996.750876618709</v>
      </c>
      <c r="AA788" s="2">
        <f ca="1">IF(MIN($AA$4:AA787)=0,0,MAX(0,($AA787+$K788-$O788-$P788)*IF(AND(F788="F",$D$3&lt;&gt;$G$3),((1+$AA$1)^(H788/MIN(G788,365))),((1+$AA$1)^(1/12)))-$U788))</f>
        <v>1920000</v>
      </c>
      <c r="AB788" s="2">
        <f ca="1">IF(MIN($AB$4:AB787)=0,0,MAX(0,($AB787+$K788-$O788-$P788)*IF(AND(F788="F",$D$3&lt;&gt;$G$3),((1+(J788))^(H788/MIN(G788,365))),((1+(J788))^(1/12)))-$U788))</f>
        <v>46712654.025931574</v>
      </c>
      <c r="AC788" s="5"/>
      <c r="AD788" s="5"/>
      <c r="AE788" s="5"/>
      <c r="AF788" s="282">
        <f t="shared" ca="1" si="454"/>
        <v>66997</v>
      </c>
      <c r="AG788" s="282">
        <f t="shared" ca="1" si="455"/>
        <v>1920000</v>
      </c>
      <c r="AH788" s="282">
        <f t="shared" ca="1" si="456"/>
        <v>46712654</v>
      </c>
      <c r="AI788" s="23" t="str">
        <f t="shared" ca="1" si="472"/>
        <v>66-6</v>
      </c>
      <c r="AJ788" s="282">
        <f ca="1">IF(E788&gt;111,,IF(AND(OP!$C$99=1,T788="F"),Z788,IF(AND(OP!$C$99=2,COUNTIF($T$4:T788,"F")=1),OP!$C$97+IF(F788="F",OP!$C$98,0),"")))</f>
        <v>0</v>
      </c>
      <c r="AK788" s="282">
        <f ca="1">IF(E788&gt;111,,IF(AND(OP!$D$99=1,T788="F"),AA788,IF(AND(OP!$D$99=2,COUNTIF($T$4:T788,"F")=1),OP!$D$97+IF(F788="F",OP!$D$98,0),"")))</f>
        <v>0</v>
      </c>
      <c r="AL788" s="282">
        <f ca="1">IF(E788&gt;111,,IF(AND(OP!$E$99=1,T788="F"),AB788,IF(AND(OP!$E$99=2,COUNTIF($T$4:T788,"F")=1),OP!$E$97+IF(F788="F",OP!$E$98,0),"")))</f>
        <v>0</v>
      </c>
      <c r="AM788" s="1">
        <f t="shared" ca="1" si="446"/>
        <v>6</v>
      </c>
      <c r="AN788" s="1" t="e">
        <f ca="1">IF(OR(VLOOKUP($A788,MP,5,0)="月繳"),1,"")</f>
        <v>#N/A</v>
      </c>
      <c r="AO788" s="1">
        <f t="shared" ca="1" si="457"/>
        <v>0</v>
      </c>
      <c r="AP788" s="1" t="str">
        <f ca="1">IF(AND(A788&lt;=OP!$C$120,COUNTIF(PAY,C788)=1),1,"")</f>
        <v/>
      </c>
      <c r="AR788" s="301">
        <f ca="1">IF(繳費報酬率資料!$A$1=1,$AY788+$AZ788,$BF788+$BG788)</f>
        <v>0</v>
      </c>
      <c r="AS788" s="1">
        <f ca="1">IF(C788&lt;&gt;IF($C$3=1,12,$C$3-1),0,IF(繳費報酬率資料!$A$1&lt;&gt;1,VLOOKUP($A788,MP,8,0),IF(AND($A788&gt;=OP!$C$79,$A788&lt;=OP!$C$80),OP!$C$78,)))</f>
        <v>0</v>
      </c>
      <c r="AT788" s="298">
        <f t="shared" ca="1" si="458"/>
        <v>0</v>
      </c>
      <c r="AU788" s="298">
        <f ca="1">IF(AND(A788&lt;=OP!$C$120,COUNTIF(PAY,C788)=1),OP!$C$123,0)</f>
        <v>0</v>
      </c>
      <c r="AV788" s="298">
        <f ca="1">IF(AND(A788&gt;=OP!$C$132,A788&lt;=OP!$C$133,$C$3=C788),OP!$C$135,0)</f>
        <v>0</v>
      </c>
      <c r="AW788" s="180">
        <f t="shared" ca="1" si="459"/>
        <v>0.05</v>
      </c>
      <c r="AX788" s="180">
        <f t="shared" ca="1" si="460"/>
        <v>0.05</v>
      </c>
      <c r="AY788" s="286">
        <f t="shared" ca="1" si="461"/>
        <v>0</v>
      </c>
      <c r="AZ788" s="286">
        <f t="shared" ca="1" si="462"/>
        <v>0</v>
      </c>
      <c r="BA788" s="286">
        <f t="shared" ca="1" si="463"/>
        <v>0</v>
      </c>
      <c r="BB788" s="286">
        <f t="shared" ca="1" si="464"/>
        <v>0</v>
      </c>
      <c r="BC788" s="286">
        <f t="shared" ca="1" si="465"/>
        <v>0</v>
      </c>
      <c r="BD788" s="180">
        <f t="shared" ca="1" si="466"/>
        <v>0.05</v>
      </c>
      <c r="BE788" s="180">
        <f t="shared" ca="1" si="467"/>
        <v>0.05</v>
      </c>
      <c r="BF788" s="286">
        <f t="shared" ca="1" si="468"/>
        <v>0</v>
      </c>
      <c r="BG788" s="286">
        <f t="shared" ca="1" si="469"/>
        <v>0</v>
      </c>
    </row>
    <row r="789" spans="1:59">
      <c r="A789" s="1">
        <f t="shared" ca="1" si="448"/>
        <v>66</v>
      </c>
      <c r="B789" s="1">
        <f t="shared" ca="1" si="442"/>
        <v>171</v>
      </c>
      <c r="C789" s="1">
        <f t="shared" ca="1" si="443"/>
        <v>11</v>
      </c>
      <c r="D789" s="1">
        <f ca="1">MIN($D$3,VLOOKUP(C789,OP!$S$30:$T$41,2))</f>
        <v>2</v>
      </c>
      <c r="E789" s="1" t="str">
        <f t="shared" ca="1" si="444"/>
        <v/>
      </c>
      <c r="F789" s="11" t="str">
        <f t="shared" ca="1" si="449"/>
        <v/>
      </c>
      <c r="G789" s="8">
        <f t="shared" ca="1" si="473"/>
        <v>365</v>
      </c>
      <c r="H789" s="8">
        <f t="shared" ca="1" si="451"/>
        <v>30</v>
      </c>
      <c r="I789" s="8" t="str">
        <f t="shared" ca="1" si="447"/>
        <v>6611</v>
      </c>
      <c r="J789" s="13">
        <f>IF(繳費報酬率資料!$A$1=1,VALUE(OP!$C$121),VLOOKUP(A789,MP,2,0))</f>
        <v>0.05</v>
      </c>
      <c r="K789" s="14">
        <f ca="1">IF(SUM($K$4:K788,IF(繳費報酬率資料!$A$1=1,$AU789+$AV789,$BB789+$BC789))&gt;OP!$L$58,0,IF(繳費報酬率資料!$A$1=1,$AU789+$AV789,$BB789+$BC789))</f>
        <v>0</v>
      </c>
      <c r="L789" s="2"/>
      <c r="M789" s="2"/>
      <c r="N789" s="2"/>
      <c r="O789" s="261">
        <f t="shared" ca="1" si="452"/>
        <v>0</v>
      </c>
      <c r="P789" s="261">
        <f t="shared" ca="1" si="470"/>
        <v>0</v>
      </c>
      <c r="Q789" s="3">
        <f ca="1">IF(A789&gt;MAX(OP!$R$17:$R$26),0,VLOOKUP(A789,fees,3,FALSE))</f>
        <v>0</v>
      </c>
      <c r="R789" s="200" t="str">
        <f t="shared" ca="1" si="453"/>
        <v/>
      </c>
      <c r="S789" s="9" t="str">
        <f ca="1">IF(COUNTIF(($T$4:T788),"F")&gt;=1,"",IF(OR(C790&lt;&gt;$C$3,E789=""),"",A789))</f>
        <v/>
      </c>
      <c r="T789" s="20" t="str">
        <f t="shared" ca="1" si="445"/>
        <v/>
      </c>
      <c r="U789" s="2">
        <f ca="1">IF(IF(OP!$C$83=1,$Z788,IF(OP!$C$83=2,$AA788,IF(OP!$C$83=3,$AB788,)))+$K789-$O789-$P789-$AS789&lt;OP!$C$142,0,$AS789)</f>
        <v>0</v>
      </c>
      <c r="V789" s="9"/>
      <c r="W789" s="19">
        <f ca="1">MAX(SUM($K$4:K789),0)</f>
        <v>2000000</v>
      </c>
      <c r="X789" s="19"/>
      <c r="Y789" s="19">
        <f t="shared" ca="1" si="471"/>
        <v>1920000</v>
      </c>
      <c r="Z789" s="2">
        <f ca="1">IF(MIN($Z$4:Z788)=0,0,MAX(0,($Z788+$K789-$O789-$P789)*IF(AND(F789="F",$D$3&lt;&gt;$G$3),((1+(-J789))^(H789/MIN(G789,365))),((1+(-J789))^(1/12)))-$U789))</f>
        <v>66710.988377069109</v>
      </c>
      <c r="AA789" s="2">
        <f ca="1">IF(MIN($AA$4:AA788)=0,0,MAX(0,($AA788+$K789-$O789-$P789)*IF(AND(F789="F",$D$3&lt;&gt;$G$3),((1+$AA$1)^(H789/MIN(G789,365))),((1+$AA$1)^(1/12)))-$U789))</f>
        <v>1920000</v>
      </c>
      <c r="AB789" s="2">
        <f ca="1">IF(MIN($AB$4:AB788)=0,0,MAX(0,($AB788+$K789-$O789-$P789)*IF(AND(F789="F",$D$3&lt;&gt;$G$3),((1+(J789))^(H789/MIN(G789,365))),((1+(J789))^(1/12)))-$U789))</f>
        <v>46902967.160695963</v>
      </c>
      <c r="AC789" s="5"/>
      <c r="AD789" s="5"/>
      <c r="AE789" s="5"/>
      <c r="AF789" s="282">
        <f t="shared" ca="1" si="454"/>
        <v>66711</v>
      </c>
      <c r="AG789" s="282">
        <f t="shared" ca="1" si="455"/>
        <v>1920000</v>
      </c>
      <c r="AH789" s="282">
        <f t="shared" ca="1" si="456"/>
        <v>46902967</v>
      </c>
      <c r="AI789" s="23" t="str">
        <f t="shared" ca="1" si="472"/>
        <v>66-7</v>
      </c>
      <c r="AJ789" s="282">
        <f ca="1">IF(E789&gt;111,,IF(AND(OP!$C$99=1,T789="F"),Z789,IF(AND(OP!$C$99=2,COUNTIF($T$4:T789,"F")=1),OP!$C$97+IF(F789="F",OP!$C$98,0),"")))</f>
        <v>0</v>
      </c>
      <c r="AK789" s="282">
        <f ca="1">IF(E789&gt;111,,IF(AND(OP!$D$99=1,T789="F"),AA789,IF(AND(OP!$D$99=2,COUNTIF($T$4:T789,"F")=1),OP!$D$97+IF(F789="F",OP!$D$98,0),"")))</f>
        <v>0</v>
      </c>
      <c r="AL789" s="282">
        <f ca="1">IF(E789&gt;111,,IF(AND(OP!$E$99=1,T789="F"),AB789,IF(AND(OP!$E$99=2,COUNTIF($T$4:T789,"F")=1),OP!$E$97+IF(F789="F",OP!$E$98,0),"")))</f>
        <v>0</v>
      </c>
      <c r="AM789" s="1">
        <f t="shared" ca="1" si="446"/>
        <v>7</v>
      </c>
      <c r="AN789" s="1" t="e">
        <f ca="1">IF(OR(VLOOKUP($A789,MP,5,0)="月繳"),1,"")</f>
        <v>#N/A</v>
      </c>
      <c r="AO789" s="1">
        <f t="shared" ca="1" si="457"/>
        <v>0</v>
      </c>
      <c r="AP789" s="1" t="str">
        <f ca="1">IF(AND(A789&lt;=OP!$C$120,COUNTIF(PAY,C789)=1),1,"")</f>
        <v/>
      </c>
      <c r="AR789" s="301">
        <f ca="1">IF(繳費報酬率資料!$A$1=1,$AY789+$AZ789,$BF789+$BG789)</f>
        <v>0</v>
      </c>
      <c r="AS789" s="1">
        <f ca="1">IF(C789&lt;&gt;IF($C$3=1,12,$C$3-1),0,IF(繳費報酬率資料!$A$1&lt;&gt;1,VLOOKUP($A789,MP,8,0),IF(AND($A789&gt;=OP!$C$79,$A789&lt;=OP!$C$80),OP!$C$78,)))</f>
        <v>0</v>
      </c>
      <c r="AT789" s="298">
        <f t="shared" ca="1" si="458"/>
        <v>0</v>
      </c>
      <c r="AU789" s="298">
        <f ca="1">IF(AND(A789&lt;=OP!$C$120,COUNTIF(PAY,C789)=1),OP!$C$123,0)</f>
        <v>0</v>
      </c>
      <c r="AV789" s="298">
        <f ca="1">IF(AND(A789&gt;=OP!$C$132,A789&lt;=OP!$C$133,$C$3=C789),OP!$C$135,0)</f>
        <v>0</v>
      </c>
      <c r="AW789" s="180">
        <f t="shared" ca="1" si="459"/>
        <v>0.05</v>
      </c>
      <c r="AX789" s="180">
        <f t="shared" ca="1" si="460"/>
        <v>0.05</v>
      </c>
      <c r="AY789" s="286">
        <f t="shared" ca="1" si="461"/>
        <v>0</v>
      </c>
      <c r="AZ789" s="286">
        <f t="shared" ca="1" si="462"/>
        <v>0</v>
      </c>
      <c r="BA789" s="286">
        <f t="shared" ca="1" si="463"/>
        <v>0</v>
      </c>
      <c r="BB789" s="286">
        <f t="shared" ca="1" si="464"/>
        <v>0</v>
      </c>
      <c r="BC789" s="286">
        <f t="shared" ca="1" si="465"/>
        <v>0</v>
      </c>
      <c r="BD789" s="180">
        <f t="shared" ca="1" si="466"/>
        <v>0.05</v>
      </c>
      <c r="BE789" s="180">
        <f t="shared" ca="1" si="467"/>
        <v>0.05</v>
      </c>
      <c r="BF789" s="286">
        <f t="shared" ca="1" si="468"/>
        <v>0</v>
      </c>
      <c r="BG789" s="286">
        <f t="shared" ca="1" si="469"/>
        <v>0</v>
      </c>
    </row>
    <row r="790" spans="1:59">
      <c r="A790" s="1">
        <f t="shared" ca="1" si="448"/>
        <v>66</v>
      </c>
      <c r="B790" s="1">
        <f t="shared" ca="1" si="442"/>
        <v>171</v>
      </c>
      <c r="C790" s="1">
        <f t="shared" ca="1" si="443"/>
        <v>12</v>
      </c>
      <c r="D790" s="1">
        <f ca="1">MIN($D$3,VLOOKUP(C790,OP!$S$30:$T$41,2))</f>
        <v>2</v>
      </c>
      <c r="E790" s="1" t="str">
        <f t="shared" ca="1" si="444"/>
        <v/>
      </c>
      <c r="F790" s="11" t="str">
        <f t="shared" ca="1" si="449"/>
        <v/>
      </c>
      <c r="G790" s="8">
        <f t="shared" ca="1" si="473"/>
        <v>365</v>
      </c>
      <c r="H790" s="8">
        <f t="shared" ca="1" si="451"/>
        <v>31</v>
      </c>
      <c r="I790" s="8" t="str">
        <f t="shared" ca="1" si="447"/>
        <v>6612</v>
      </c>
      <c r="J790" s="13">
        <f>IF(繳費報酬率資料!$A$1=1,VALUE(OP!$C$121),VLOOKUP(A790,MP,2,0))</f>
        <v>0.05</v>
      </c>
      <c r="K790" s="14">
        <f ca="1">IF(SUM($K$4:K789,IF(繳費報酬率資料!$A$1=1,$AU790+$AV790,$BB790+$BC790))&gt;OP!$L$58,0,IF(繳費報酬率資料!$A$1=1,$AU790+$AV790,$BB790+$BC790))</f>
        <v>0</v>
      </c>
      <c r="L790" s="2"/>
      <c r="M790" s="2"/>
      <c r="N790" s="2"/>
      <c r="O790" s="261">
        <f t="shared" ca="1" si="452"/>
        <v>0</v>
      </c>
      <c r="P790" s="261">
        <f t="shared" ca="1" si="470"/>
        <v>0</v>
      </c>
      <c r="Q790" s="3">
        <f ca="1">IF(A790&gt;MAX(OP!$R$17:$R$26),0,VLOOKUP(A790,fees,3,FALSE))</f>
        <v>0</v>
      </c>
      <c r="R790" s="200" t="str">
        <f t="shared" ca="1" si="453"/>
        <v/>
      </c>
      <c r="S790" s="9" t="str">
        <f ca="1">IF(COUNTIF(($T$4:T789),"F")&gt;=1,"",IF(OR(C791&lt;&gt;$C$3,E790=""),"",A790))</f>
        <v/>
      </c>
      <c r="T790" s="20" t="str">
        <f t="shared" ca="1" si="445"/>
        <v/>
      </c>
      <c r="U790" s="2">
        <f ca="1">IF(IF(OP!$C$83=1,$Z789,IF(OP!$C$83=2,$AA789,IF(OP!$C$83=3,$AB789,)))+$K790-$O790-$P790-$AS790&lt;OP!$C$142,0,$AS790)</f>
        <v>0</v>
      </c>
      <c r="V790" s="9"/>
      <c r="W790" s="19">
        <f ca="1">MAX(SUM($K$4:K790),0)</f>
        <v>2000000</v>
      </c>
      <c r="X790" s="19"/>
      <c r="Y790" s="19">
        <f t="shared" ca="1" si="471"/>
        <v>1920000</v>
      </c>
      <c r="Z790" s="2">
        <f ca="1">IF(MIN($Z$4:Z789)=0,0,MAX(0,($Z789+$K790-$O790-$P790)*IF(AND(F790="F",$D$3&lt;&gt;$G$3),((1+(-J790))^(H790/MIN(G790,365))),((1+(-J790))^(1/12)))-$U790))</f>
        <v>66426.444745674773</v>
      </c>
      <c r="AA790" s="2">
        <f ca="1">IF(MIN($AA$4:AA789)=0,0,MAX(0,($AA789+$K790-$O790-$P790)*IF(AND(F790="F",$D$3&lt;&gt;$G$3),((1+$AA$1)^(H790/MIN(G790,365))),((1+$AA$1)^(1/12)))-$U790))</f>
        <v>1920000</v>
      </c>
      <c r="AB790" s="2">
        <f ca="1">IF(MIN($AB$4:AB789)=0,0,MAX(0,($AB789+$K790-$O790-$P790)*IF(AND(F790="F",$D$3&lt;&gt;$G$3),((1+(J790))^(H790/MIN(G790,365))),((1+(J790))^(1/12)))-$U790))</f>
        <v>47094055.654729031</v>
      </c>
      <c r="AC790" s="5"/>
      <c r="AD790" s="5"/>
      <c r="AE790" s="5"/>
      <c r="AF790" s="282">
        <f t="shared" ca="1" si="454"/>
        <v>66426</v>
      </c>
      <c r="AG790" s="282">
        <f t="shared" ca="1" si="455"/>
        <v>1920000</v>
      </c>
      <c r="AH790" s="282">
        <f t="shared" ca="1" si="456"/>
        <v>47094056</v>
      </c>
      <c r="AI790" s="23" t="str">
        <f t="shared" ca="1" si="472"/>
        <v>66-8</v>
      </c>
      <c r="AJ790" s="282">
        <f ca="1">IF(E790&gt;111,,IF(AND(OP!$C$99=1,T790="F"),Z790,IF(AND(OP!$C$99=2,COUNTIF($T$4:T790,"F")=1),OP!$C$97+IF(F790="F",OP!$C$98,0),"")))</f>
        <v>0</v>
      </c>
      <c r="AK790" s="282">
        <f ca="1">IF(E790&gt;111,,IF(AND(OP!$D$99=1,T790="F"),AA790,IF(AND(OP!$D$99=2,COUNTIF($T$4:T790,"F")=1),OP!$D$97+IF(F790="F",OP!$D$98,0),"")))</f>
        <v>0</v>
      </c>
      <c r="AL790" s="282">
        <f ca="1">IF(E790&gt;111,,IF(AND(OP!$E$99=1,T790="F"),AB790,IF(AND(OP!$E$99=2,COUNTIF($T$4:T790,"F")=1),OP!$E$97+IF(F790="F",OP!$E$98,0),"")))</f>
        <v>0</v>
      </c>
      <c r="AM790" s="1">
        <f t="shared" ca="1" si="446"/>
        <v>8</v>
      </c>
      <c r="AN790" s="1" t="e">
        <f ca="1">IF(OR(VLOOKUP($A790,MP,5,0)="半年繳",VLOOKUP($A790,MP,5,0)="季繳",VLOOKUP($A790,MP,5,0)="月繳"),1,"")</f>
        <v>#N/A</v>
      </c>
      <c r="AO790" s="1">
        <f t="shared" ca="1" si="457"/>
        <v>0</v>
      </c>
      <c r="AP790" s="1" t="str">
        <f ca="1">IF(AND(A790&lt;=OP!$C$120,COUNTIF(PAY,C790)=1),1,"")</f>
        <v/>
      </c>
      <c r="AR790" s="301">
        <f ca="1">IF(繳費報酬率資料!$A$1=1,$AY790+$AZ790,$BF790+$BG790)</f>
        <v>0</v>
      </c>
      <c r="AS790" s="1">
        <f ca="1">IF(C790&lt;&gt;IF($C$3=1,12,$C$3-1),0,IF(繳費報酬率資料!$A$1&lt;&gt;1,VLOOKUP($A790,MP,8,0),IF(AND($A790&gt;=OP!$C$79,$A790&lt;=OP!$C$80),OP!$C$78,)))</f>
        <v>0</v>
      </c>
      <c r="AT790" s="298">
        <f t="shared" ca="1" si="458"/>
        <v>0</v>
      </c>
      <c r="AU790" s="298">
        <f ca="1">IF(AND(A790&lt;=OP!$C$120,COUNTIF(PAY,C790)=1),OP!$C$123,0)</f>
        <v>0</v>
      </c>
      <c r="AV790" s="298">
        <f ca="1">IF(AND(A790&gt;=OP!$C$132,A790&lt;=OP!$C$133,$C$3=C790),OP!$C$135,0)</f>
        <v>0</v>
      </c>
      <c r="AW790" s="180">
        <f t="shared" ca="1" si="459"/>
        <v>0.05</v>
      </c>
      <c r="AX790" s="180">
        <f t="shared" ca="1" si="460"/>
        <v>0.05</v>
      </c>
      <c r="AY790" s="286">
        <f t="shared" ca="1" si="461"/>
        <v>0</v>
      </c>
      <c r="AZ790" s="286">
        <f t="shared" ca="1" si="462"/>
        <v>0</v>
      </c>
      <c r="BA790" s="286">
        <f t="shared" ca="1" si="463"/>
        <v>0</v>
      </c>
      <c r="BB790" s="286">
        <f t="shared" ca="1" si="464"/>
        <v>0</v>
      </c>
      <c r="BC790" s="286">
        <f t="shared" ca="1" si="465"/>
        <v>0</v>
      </c>
      <c r="BD790" s="180">
        <f t="shared" ca="1" si="466"/>
        <v>0.05</v>
      </c>
      <c r="BE790" s="180">
        <f t="shared" ca="1" si="467"/>
        <v>0.05</v>
      </c>
      <c r="BF790" s="286">
        <f t="shared" ca="1" si="468"/>
        <v>0</v>
      </c>
      <c r="BG790" s="286">
        <f t="shared" ca="1" si="469"/>
        <v>0</v>
      </c>
    </row>
    <row r="791" spans="1:59">
      <c r="A791" s="1">
        <f t="shared" ca="1" si="448"/>
        <v>66</v>
      </c>
      <c r="B791" s="1">
        <f t="shared" ca="1" si="442"/>
        <v>172</v>
      </c>
      <c r="C791" s="1">
        <f t="shared" ca="1" si="443"/>
        <v>1</v>
      </c>
      <c r="D791" s="1">
        <f ca="1">MIN($D$3,VLOOKUP(C791,OP!$S$30:$T$41,2))</f>
        <v>2</v>
      </c>
      <c r="E791" s="1" t="str">
        <f t="shared" ca="1" si="444"/>
        <v/>
      </c>
      <c r="F791" s="11" t="str">
        <f t="shared" ca="1" si="449"/>
        <v/>
      </c>
      <c r="G791" s="8">
        <f t="shared" ca="1" si="473"/>
        <v>365</v>
      </c>
      <c r="H791" s="8">
        <f t="shared" ca="1" si="451"/>
        <v>31</v>
      </c>
      <c r="I791" s="8" t="str">
        <f t="shared" ca="1" si="447"/>
        <v>661</v>
      </c>
      <c r="J791" s="13">
        <f>IF(繳費報酬率資料!$A$1=1,VALUE(OP!$C$121),VLOOKUP(A791,MP,2,0))</f>
        <v>0.05</v>
      </c>
      <c r="K791" s="14">
        <f ca="1">IF(SUM($K$4:K790,IF(繳費報酬率資料!$A$1=1,$AU791+$AV791,$BB791+$BC791))&gt;OP!$L$58,0,IF(繳費報酬率資料!$A$1=1,$AU791+$AV791,$BB791+$BC791))</f>
        <v>0</v>
      </c>
      <c r="L791" s="2"/>
      <c r="M791" s="2"/>
      <c r="N791" s="2"/>
      <c r="O791" s="261">
        <f t="shared" ca="1" si="452"/>
        <v>0</v>
      </c>
      <c r="P791" s="261">
        <f t="shared" ca="1" si="470"/>
        <v>0</v>
      </c>
      <c r="Q791" s="3">
        <f ca="1">IF(A791&gt;MAX(OP!$R$17:$R$26),0,VLOOKUP(A791,fees,3,FALSE))</f>
        <v>0</v>
      </c>
      <c r="R791" s="200" t="str">
        <f t="shared" ca="1" si="453"/>
        <v/>
      </c>
      <c r="S791" s="9" t="str">
        <f ca="1">IF(COUNTIF(($T$4:T790),"F")&gt;=1,"",IF(OR(C792&lt;&gt;$C$3,E791=""),"",A791))</f>
        <v/>
      </c>
      <c r="T791" s="20" t="str">
        <f t="shared" ca="1" si="445"/>
        <v/>
      </c>
      <c r="U791" s="2">
        <f ca="1">IF(IF(OP!$C$83=1,$Z790,IF(OP!$C$83=2,$AA790,IF(OP!$C$83=3,$AB790,)))+$K791-$O791-$P791-$AS791&lt;OP!$C$142,0,$AS791)</f>
        <v>0</v>
      </c>
      <c r="V791" s="9"/>
      <c r="W791" s="19">
        <f ca="1">MAX(SUM($K$4:K791),0)</f>
        <v>2000000</v>
      </c>
      <c r="X791" s="19"/>
      <c r="Y791" s="19">
        <f t="shared" ca="1" si="471"/>
        <v>1920000</v>
      </c>
      <c r="Z791" s="2">
        <f ca="1">IF(MIN($Z$4:Z790)=0,0,MAX(0,($Z790+$K791-$O791-$P791)*IF(AND(F791="F",$D$3&lt;&gt;$G$3),((1+(-J791))^(H791/MIN(G791,365))),((1+(-J791))^(1/12)))-$U791))</f>
        <v>66143.114783574449</v>
      </c>
      <c r="AA791" s="2">
        <f ca="1">IF(MIN($AA$4:AA790)=0,0,MAX(0,($AA790+$K791-$O791-$P791)*IF(AND(F791="F",$D$3&lt;&gt;$G$3),((1+$AA$1)^(H791/MIN(G791,365))),((1+$AA$1)^(1/12)))-$U791))</f>
        <v>1920000</v>
      </c>
      <c r="AB791" s="2">
        <f ca="1">IF(MIN($AB$4:AB790)=0,0,MAX(0,($AB790+$K791-$O791-$P791)*IF(AND(F791="F",$D$3&lt;&gt;$G$3),((1+(J791))^(H791/MIN(G791,365))),((1+(J791))^(1/12)))-$U791))</f>
        <v>47285922.666940421</v>
      </c>
      <c r="AC791" s="5"/>
      <c r="AD791" s="5"/>
      <c r="AE791" s="5"/>
      <c r="AF791" s="282">
        <f t="shared" ca="1" si="454"/>
        <v>66143</v>
      </c>
      <c r="AG791" s="282">
        <f t="shared" ca="1" si="455"/>
        <v>1920000</v>
      </c>
      <c r="AH791" s="282">
        <f t="shared" ca="1" si="456"/>
        <v>47285923</v>
      </c>
      <c r="AI791" s="23" t="str">
        <f t="shared" ca="1" si="472"/>
        <v>66-9</v>
      </c>
      <c r="AJ791" s="282">
        <f ca="1">IF(E791&gt;111,,IF(AND(OP!$C$99=1,T791="F"),Z791,IF(AND(OP!$C$99=2,COUNTIF($T$4:T791,"F")=1),OP!$C$97+IF(F791="F",OP!$C$98,0),"")))</f>
        <v>0</v>
      </c>
      <c r="AK791" s="282">
        <f ca="1">IF(E791&gt;111,,IF(AND(OP!$D$99=1,T791="F"),AA791,IF(AND(OP!$D$99=2,COUNTIF($T$4:T791,"F")=1),OP!$D$97+IF(F791="F",OP!$D$98,0),"")))</f>
        <v>0</v>
      </c>
      <c r="AL791" s="282">
        <f ca="1">IF(E791&gt;111,,IF(AND(OP!$E$99=1,T791="F"),AB791,IF(AND(OP!$E$99=2,COUNTIF($T$4:T791,"F")=1),OP!$E$97+IF(F791="F",OP!$E$98,0),"")))</f>
        <v>0</v>
      </c>
      <c r="AM791" s="1">
        <f t="shared" ca="1" si="446"/>
        <v>9</v>
      </c>
      <c r="AN791" s="1" t="e">
        <f ca="1">IF(OR(VLOOKUP($A791,MP,5,0)="月繳"),1,"")</f>
        <v>#N/A</v>
      </c>
      <c r="AO791" s="1">
        <f t="shared" ca="1" si="457"/>
        <v>0</v>
      </c>
      <c r="AP791" s="1" t="str">
        <f ca="1">IF(AND(A791&lt;=OP!$C$120,COUNTIF(PAY,C791)=1),1,"")</f>
        <v/>
      </c>
      <c r="AR791" s="301">
        <f ca="1">IF(繳費報酬率資料!$A$1=1,$AY791+$AZ791,$BF791+$BG791)</f>
        <v>0</v>
      </c>
      <c r="AS791" s="1">
        <f ca="1">IF(C791&lt;&gt;IF($C$3=1,12,$C$3-1),0,IF(繳費報酬率資料!$A$1&lt;&gt;1,VLOOKUP($A791,MP,8,0),IF(AND($A791&gt;=OP!$C$79,$A791&lt;=OP!$C$80),OP!$C$78,)))</f>
        <v>0</v>
      </c>
      <c r="AT791" s="298">
        <f t="shared" ca="1" si="458"/>
        <v>0</v>
      </c>
      <c r="AU791" s="298">
        <f ca="1">IF(AND(A791&lt;=OP!$C$120,COUNTIF(PAY,C791)=1),OP!$C$123,0)</f>
        <v>0</v>
      </c>
      <c r="AV791" s="298">
        <f ca="1">IF(AND(A791&gt;=OP!$C$132,A791&lt;=OP!$C$133,$C$3=C791),OP!$C$135,0)</f>
        <v>0</v>
      </c>
      <c r="AW791" s="180">
        <f t="shared" ca="1" si="459"/>
        <v>0.05</v>
      </c>
      <c r="AX791" s="180">
        <f t="shared" ca="1" si="460"/>
        <v>0.05</v>
      </c>
      <c r="AY791" s="286">
        <f t="shared" ca="1" si="461"/>
        <v>0</v>
      </c>
      <c r="AZ791" s="286">
        <f t="shared" ca="1" si="462"/>
        <v>0</v>
      </c>
      <c r="BA791" s="286">
        <f t="shared" ca="1" si="463"/>
        <v>0</v>
      </c>
      <c r="BB791" s="286">
        <f t="shared" ca="1" si="464"/>
        <v>0</v>
      </c>
      <c r="BC791" s="286">
        <f t="shared" ca="1" si="465"/>
        <v>0</v>
      </c>
      <c r="BD791" s="180">
        <f t="shared" ca="1" si="466"/>
        <v>0.05</v>
      </c>
      <c r="BE791" s="180">
        <f t="shared" ca="1" si="467"/>
        <v>0.05</v>
      </c>
      <c r="BF791" s="286">
        <f t="shared" ca="1" si="468"/>
        <v>0</v>
      </c>
      <c r="BG791" s="286">
        <f t="shared" ca="1" si="469"/>
        <v>0</v>
      </c>
    </row>
    <row r="792" spans="1:59">
      <c r="A792" s="1">
        <f t="shared" ca="1" si="448"/>
        <v>66</v>
      </c>
      <c r="B792" s="1">
        <f t="shared" ca="1" si="442"/>
        <v>172</v>
      </c>
      <c r="C792" s="1">
        <f t="shared" ca="1" si="443"/>
        <v>2</v>
      </c>
      <c r="D792" s="1">
        <f ca="1">MIN($D$3,VLOOKUP(C792,OP!$S$30:$T$41,2))</f>
        <v>2</v>
      </c>
      <c r="E792" s="1" t="str">
        <f t="shared" ca="1" si="444"/>
        <v/>
      </c>
      <c r="F792" s="11" t="str">
        <f t="shared" ca="1" si="449"/>
        <v/>
      </c>
      <c r="G792" s="8">
        <f t="shared" ca="1" si="473"/>
        <v>365</v>
      </c>
      <c r="H792" s="8">
        <f t="shared" ca="1" si="451"/>
        <v>28</v>
      </c>
      <c r="I792" s="8" t="str">
        <f t="shared" ca="1" si="447"/>
        <v>662</v>
      </c>
      <c r="J792" s="13">
        <f>IF(繳費報酬率資料!$A$1=1,VALUE(OP!$C$121),VLOOKUP(A792,MP,2,0))</f>
        <v>0.05</v>
      </c>
      <c r="K792" s="14">
        <f ca="1">IF(SUM($K$4:K791,IF(繳費報酬率資料!$A$1=1,$AU792+$AV792,$BB792+$BC792))&gt;OP!$L$58,0,IF(繳費報酬率資料!$A$1=1,$AU792+$AV792,$BB792+$BC792))</f>
        <v>0</v>
      </c>
      <c r="L792" s="2"/>
      <c r="M792" s="2"/>
      <c r="N792" s="2"/>
      <c r="O792" s="261">
        <f t="shared" ca="1" si="452"/>
        <v>0</v>
      </c>
      <c r="P792" s="261">
        <f t="shared" ca="1" si="470"/>
        <v>0</v>
      </c>
      <c r="Q792" s="3">
        <f ca="1">IF(A792&gt;MAX(OP!$R$17:$R$26),0,VLOOKUP(A792,fees,3,FALSE))</f>
        <v>0</v>
      </c>
      <c r="R792" s="200" t="str">
        <f t="shared" ca="1" si="453"/>
        <v/>
      </c>
      <c r="S792" s="9" t="str">
        <f ca="1">IF(COUNTIF(($T$4:T791),"F")&gt;=1,"",IF(OR(C793&lt;&gt;$C$3,E792=""),"",A792))</f>
        <v/>
      </c>
      <c r="T792" s="20" t="str">
        <f t="shared" ca="1" si="445"/>
        <v/>
      </c>
      <c r="U792" s="2">
        <f ca="1">IF(IF(OP!$C$83=1,$Z791,IF(OP!$C$83=2,$AA791,IF(OP!$C$83=3,$AB791,)))+$K792-$O792-$P792-$AS792&lt;OP!$C$142,0,$AS792)</f>
        <v>0</v>
      </c>
      <c r="V792" s="9"/>
      <c r="W792" s="19">
        <f ca="1">MAX(SUM($K$4:K792),0)</f>
        <v>2000000</v>
      </c>
      <c r="X792" s="19"/>
      <c r="Y792" s="19">
        <f t="shared" ca="1" si="471"/>
        <v>1920000</v>
      </c>
      <c r="Z792" s="2">
        <f ca="1">IF(MIN($Z$4:Z791)=0,0,MAX(0,($Z791+$K792-$O792-$P792)*IF(AND(F792="F",$D$3&lt;&gt;$G$3),((1+(-J792))^(H792/MIN(G792,365))),((1+(-J792))^(1/12)))-$U792))</f>
        <v>65860.993314081716</v>
      </c>
      <c r="AA792" s="2">
        <f ca="1">IF(MIN($AA$4:AA791)=0,0,MAX(0,($AA791+$K792-$O792-$P792)*IF(AND(F792="F",$D$3&lt;&gt;$G$3),((1+$AA$1)^(H792/MIN(G792,365))),((1+$AA$1)^(1/12)))-$U792))</f>
        <v>1920000</v>
      </c>
      <c r="AB792" s="2">
        <f ca="1">IF(MIN($AB$4:AB791)=0,0,MAX(0,($AB791+$K792-$O792-$P792)*IF(AND(F792="F",$D$3&lt;&gt;$G$3),((1+(J792))^(H792/MIN(G792,365))),((1+(J792))^(1/12)))-$U792))</f>
        <v>47478571.369109556</v>
      </c>
      <c r="AC792" s="5"/>
      <c r="AD792" s="5"/>
      <c r="AE792" s="5"/>
      <c r="AF792" s="282">
        <f t="shared" ca="1" si="454"/>
        <v>65861</v>
      </c>
      <c r="AG792" s="282">
        <f t="shared" ca="1" si="455"/>
        <v>1920000</v>
      </c>
      <c r="AH792" s="282">
        <f t="shared" ca="1" si="456"/>
        <v>47478571</v>
      </c>
      <c r="AI792" s="23" t="str">
        <f t="shared" ca="1" si="472"/>
        <v>66-10</v>
      </c>
      <c r="AJ792" s="282">
        <f ca="1">IF(E792&gt;111,,IF(AND(OP!$C$99=1,T792="F"),Z792,IF(AND(OP!$C$99=2,COUNTIF($T$4:T792,"F")=1),OP!$C$97+IF(F792="F",OP!$C$98,0),"")))</f>
        <v>0</v>
      </c>
      <c r="AK792" s="282">
        <f ca="1">IF(E792&gt;111,,IF(AND(OP!$D$99=1,T792="F"),AA792,IF(AND(OP!$D$99=2,COUNTIF($T$4:T792,"F")=1),OP!$D$97+IF(F792="F",OP!$D$98,0),"")))</f>
        <v>0</v>
      </c>
      <c r="AL792" s="282">
        <f ca="1">IF(E792&gt;111,,IF(AND(OP!$E$99=1,T792="F"),AB792,IF(AND(OP!$E$99=2,COUNTIF($T$4:T792,"F")=1),OP!$E$97+IF(F792="F",OP!$E$98,0),"")))</f>
        <v>0</v>
      </c>
      <c r="AM792" s="1">
        <f t="shared" ca="1" si="446"/>
        <v>10</v>
      </c>
      <c r="AN792" s="1" t="e">
        <f ca="1">IF(OR(VLOOKUP($A792,MP,5,0)="月繳"),1,"")</f>
        <v>#N/A</v>
      </c>
      <c r="AO792" s="1">
        <f t="shared" ca="1" si="457"/>
        <v>0</v>
      </c>
      <c r="AP792" s="1" t="str">
        <f ca="1">IF(AND(A792&lt;=OP!$C$120,COUNTIF(PAY,C792)=1),1,"")</f>
        <v/>
      </c>
      <c r="AR792" s="301">
        <f ca="1">IF(繳費報酬率資料!$A$1=1,$AY792+$AZ792,$BF792+$BG792)</f>
        <v>0</v>
      </c>
      <c r="AS792" s="1">
        <f ca="1">IF(C792&lt;&gt;IF($C$3=1,12,$C$3-1),0,IF(繳費報酬率資料!$A$1&lt;&gt;1,VLOOKUP($A792,MP,8,0),IF(AND($A792&gt;=OP!$C$79,$A792&lt;=OP!$C$80),OP!$C$78,)))</f>
        <v>0</v>
      </c>
      <c r="AT792" s="298">
        <f t="shared" ca="1" si="458"/>
        <v>0</v>
      </c>
      <c r="AU792" s="298">
        <f ca="1">IF(AND(A792&lt;=OP!$C$120,COUNTIF(PAY,C792)=1),OP!$C$123,0)</f>
        <v>0</v>
      </c>
      <c r="AV792" s="298">
        <f ca="1">IF(AND(A792&gt;=OP!$C$132,A792&lt;=OP!$C$133,$C$3=C792),OP!$C$135,0)</f>
        <v>0</v>
      </c>
      <c r="AW792" s="180">
        <f t="shared" ca="1" si="459"/>
        <v>0.05</v>
      </c>
      <c r="AX792" s="180">
        <f t="shared" ca="1" si="460"/>
        <v>0.05</v>
      </c>
      <c r="AY792" s="286">
        <f t="shared" ca="1" si="461"/>
        <v>0</v>
      </c>
      <c r="AZ792" s="286">
        <f t="shared" ca="1" si="462"/>
        <v>0</v>
      </c>
      <c r="BA792" s="286">
        <f t="shared" ca="1" si="463"/>
        <v>0</v>
      </c>
      <c r="BB792" s="286">
        <f t="shared" ca="1" si="464"/>
        <v>0</v>
      </c>
      <c r="BC792" s="286">
        <f t="shared" ca="1" si="465"/>
        <v>0</v>
      </c>
      <c r="BD792" s="180">
        <f t="shared" ca="1" si="466"/>
        <v>0.05</v>
      </c>
      <c r="BE792" s="180">
        <f t="shared" ca="1" si="467"/>
        <v>0.05</v>
      </c>
      <c r="BF792" s="286">
        <f t="shared" ca="1" si="468"/>
        <v>0</v>
      </c>
      <c r="BG792" s="286">
        <f t="shared" ca="1" si="469"/>
        <v>0</v>
      </c>
    </row>
    <row r="793" spans="1:59">
      <c r="A793" s="1">
        <f t="shared" ca="1" si="448"/>
        <v>66</v>
      </c>
      <c r="B793" s="1">
        <f t="shared" ca="1" si="442"/>
        <v>172</v>
      </c>
      <c r="C793" s="1">
        <f t="shared" ca="1" si="443"/>
        <v>3</v>
      </c>
      <c r="D793" s="1">
        <f ca="1">MIN($D$3,VLOOKUP(C793,OP!$S$30:$T$41,2))</f>
        <v>2</v>
      </c>
      <c r="E793" s="1" t="str">
        <f t="shared" ca="1" si="444"/>
        <v/>
      </c>
      <c r="F793" s="11" t="str">
        <f t="shared" ca="1" si="449"/>
        <v/>
      </c>
      <c r="G793" s="8">
        <f t="shared" ca="1" si="473"/>
        <v>365</v>
      </c>
      <c r="H793" s="8">
        <f t="shared" ca="1" si="451"/>
        <v>31</v>
      </c>
      <c r="I793" s="8" t="str">
        <f t="shared" ca="1" si="447"/>
        <v>663</v>
      </c>
      <c r="J793" s="13">
        <f>IF(繳費報酬率資料!$A$1=1,VALUE(OP!$C$121),VLOOKUP(A793,MP,2,0))</f>
        <v>0.05</v>
      </c>
      <c r="K793" s="14">
        <f ca="1">IF(SUM($K$4:K792,IF(繳費報酬率資料!$A$1=1,$AU793+$AV793,$BB793+$BC793))&gt;OP!$L$58,0,IF(繳費報酬率資料!$A$1=1,$AU793+$AV793,$BB793+$BC793))</f>
        <v>0</v>
      </c>
      <c r="L793" s="2"/>
      <c r="M793" s="2"/>
      <c r="N793" s="2"/>
      <c r="O793" s="261">
        <f t="shared" ca="1" si="452"/>
        <v>0</v>
      </c>
      <c r="P793" s="261">
        <f t="shared" ca="1" si="470"/>
        <v>0</v>
      </c>
      <c r="Q793" s="3">
        <f ca="1">IF(A793&gt;MAX(OP!$R$17:$R$26),0,VLOOKUP(A793,fees,3,FALSE))</f>
        <v>0</v>
      </c>
      <c r="R793" s="200" t="str">
        <f t="shared" ca="1" si="453"/>
        <v/>
      </c>
      <c r="S793" s="9" t="str">
        <f ca="1">IF(COUNTIF(($T$4:T792),"F")&gt;=1,"",IF(OR(C794&lt;&gt;$C$3,E793=""),"",A793))</f>
        <v/>
      </c>
      <c r="T793" s="20" t="str">
        <f t="shared" ca="1" si="445"/>
        <v/>
      </c>
      <c r="U793" s="2">
        <f ca="1">IF(IF(OP!$C$83=1,$Z792,IF(OP!$C$83=2,$AA792,IF(OP!$C$83=3,$AB792,)))+$K793-$O793-$P793-$AS793&lt;OP!$C$142,0,$AS793)</f>
        <v>0</v>
      </c>
      <c r="V793" s="9"/>
      <c r="W793" s="19">
        <f ca="1">MAX(SUM($K$4:K793),0)</f>
        <v>2000000</v>
      </c>
      <c r="X793" s="19"/>
      <c r="Y793" s="19">
        <f t="shared" ca="1" si="471"/>
        <v>1920000</v>
      </c>
      <c r="Z793" s="2">
        <f ca="1">IF(MIN($Z$4:Z792)=0,0,MAX(0,($Z792+$K793-$O793-$P793)*IF(AND(F793="F",$D$3&lt;&gt;$G$3),((1+(-J793))^(H793/MIN(G793,365))),((1+(-J793))^(1/12)))-$U793))</f>
        <v>65580.075182590372</v>
      </c>
      <c r="AA793" s="2">
        <f ca="1">IF(MIN($AA$4:AA792)=0,0,MAX(0,($AA792+$K793-$O793-$P793)*IF(AND(F793="F",$D$3&lt;&gt;$G$3),((1+$AA$1)^(H793/MIN(G793,365))),((1+$AA$1)^(1/12)))-$U793))</f>
        <v>1920000</v>
      </c>
      <c r="AB793" s="2">
        <f ca="1">IF(MIN($AB$4:AB792)=0,0,MAX(0,($AB792+$K793-$O793-$P793)*IF(AND(F793="F",$D$3&lt;&gt;$G$3),((1+(J793))^(H793/MIN(G793,365))),((1+(J793))^(1/12)))-$U793))</f>
        <v>47672004.945938088</v>
      </c>
      <c r="AC793" s="5"/>
      <c r="AD793" s="5"/>
      <c r="AE793" s="5"/>
      <c r="AF793" s="282">
        <f t="shared" ca="1" si="454"/>
        <v>65580</v>
      </c>
      <c r="AG793" s="282">
        <f t="shared" ca="1" si="455"/>
        <v>1920000</v>
      </c>
      <c r="AH793" s="282">
        <f t="shared" ca="1" si="456"/>
        <v>47672005</v>
      </c>
      <c r="AI793" s="23" t="str">
        <f t="shared" ca="1" si="472"/>
        <v>66-11</v>
      </c>
      <c r="AJ793" s="282">
        <f ca="1">IF(E793&gt;111,,IF(AND(OP!$C$99=1,T793="F"),Z793,IF(AND(OP!$C$99=2,COUNTIF($T$4:T793,"F")=1),OP!$C$97+IF(F793="F",OP!$C$98,0),"")))</f>
        <v>0</v>
      </c>
      <c r="AK793" s="282">
        <f ca="1">IF(E793&gt;111,,IF(AND(OP!$D$99=1,T793="F"),AA793,IF(AND(OP!$D$99=2,COUNTIF($T$4:T793,"F")=1),OP!$D$97+IF(F793="F",OP!$D$98,0),"")))</f>
        <v>0</v>
      </c>
      <c r="AL793" s="282">
        <f ca="1">IF(E793&gt;111,,IF(AND(OP!$E$99=1,T793="F"),AB793,IF(AND(OP!$E$99=2,COUNTIF($T$4:T793,"F")=1),OP!$E$97+IF(F793="F",OP!$E$98,0),"")))</f>
        <v>0</v>
      </c>
      <c r="AM793" s="1">
        <f t="shared" ca="1" si="446"/>
        <v>11</v>
      </c>
      <c r="AN793" s="1" t="e">
        <f ca="1">IF(OR(VLOOKUP($A793,MP,5,0)="季繳",VLOOKUP($A793,MP,5,0)="月繳"),1,"")</f>
        <v>#N/A</v>
      </c>
      <c r="AO793" s="1">
        <f t="shared" ca="1" si="457"/>
        <v>0</v>
      </c>
      <c r="AP793" s="1" t="str">
        <f ca="1">IF(AND(A793&lt;=OP!$C$120,COUNTIF(PAY,C793)=1),1,"")</f>
        <v/>
      </c>
      <c r="AR793" s="301">
        <f ca="1">IF(繳費報酬率資料!$A$1=1,$AY793+$AZ793,$BF793+$BG793)</f>
        <v>0</v>
      </c>
      <c r="AS793" s="1">
        <f ca="1">IF(C793&lt;&gt;IF($C$3=1,12,$C$3-1),0,IF(繳費報酬率資料!$A$1&lt;&gt;1,VLOOKUP($A793,MP,8,0),IF(AND($A793&gt;=OP!$C$79,$A793&lt;=OP!$C$80),OP!$C$78,)))</f>
        <v>0</v>
      </c>
      <c r="AT793" s="298">
        <f t="shared" ca="1" si="458"/>
        <v>0</v>
      </c>
      <c r="AU793" s="298">
        <f ca="1">IF(AND(A793&lt;=OP!$C$120,COUNTIF(PAY,C793)=1),OP!$C$123,0)</f>
        <v>0</v>
      </c>
      <c r="AV793" s="298">
        <f ca="1">IF(AND(A793&gt;=OP!$C$132,A793&lt;=OP!$C$133,$C$3=C793),OP!$C$135,0)</f>
        <v>0</v>
      </c>
      <c r="AW793" s="180">
        <f t="shared" ca="1" si="459"/>
        <v>0.05</v>
      </c>
      <c r="AX793" s="180">
        <f t="shared" ca="1" si="460"/>
        <v>0.05</v>
      </c>
      <c r="AY793" s="286">
        <f t="shared" ca="1" si="461"/>
        <v>0</v>
      </c>
      <c r="AZ793" s="286">
        <f t="shared" ca="1" si="462"/>
        <v>0</v>
      </c>
      <c r="BA793" s="286">
        <f t="shared" ca="1" si="463"/>
        <v>0</v>
      </c>
      <c r="BB793" s="286">
        <f t="shared" ca="1" si="464"/>
        <v>0</v>
      </c>
      <c r="BC793" s="286">
        <f t="shared" ca="1" si="465"/>
        <v>0</v>
      </c>
      <c r="BD793" s="180">
        <f t="shared" ca="1" si="466"/>
        <v>0.05</v>
      </c>
      <c r="BE793" s="180">
        <f t="shared" ca="1" si="467"/>
        <v>0.05</v>
      </c>
      <c r="BF793" s="286">
        <f t="shared" ca="1" si="468"/>
        <v>0</v>
      </c>
      <c r="BG793" s="286">
        <f t="shared" ca="1" si="469"/>
        <v>0</v>
      </c>
    </row>
    <row r="794" spans="1:59">
      <c r="A794" s="1">
        <f t="shared" ca="1" si="448"/>
        <v>66</v>
      </c>
      <c r="B794" s="1">
        <f t="shared" ca="1" si="442"/>
        <v>172</v>
      </c>
      <c r="C794" s="1">
        <f t="shared" ca="1" si="443"/>
        <v>4</v>
      </c>
      <c r="D794" s="1">
        <f ca="1">MIN($D$3,VLOOKUP(C794,OP!$S$30:$T$41,2))</f>
        <v>2</v>
      </c>
      <c r="E794" s="1" t="str">
        <f t="shared" ca="1" si="444"/>
        <v/>
      </c>
      <c r="F794" s="11" t="str">
        <f t="shared" ca="1" si="449"/>
        <v/>
      </c>
      <c r="G794" s="8">
        <f t="shared" ca="1" si="473"/>
        <v>365</v>
      </c>
      <c r="H794" s="8">
        <f t="shared" ca="1" si="451"/>
        <v>30</v>
      </c>
      <c r="I794" s="8" t="str">
        <f t="shared" ca="1" si="447"/>
        <v>664</v>
      </c>
      <c r="J794" s="13">
        <f>IF(繳費報酬率資料!$A$1=1,VALUE(OP!$C$121),VLOOKUP(A794,MP,2,0))</f>
        <v>0.05</v>
      </c>
      <c r="K794" s="14">
        <f ca="1">IF(SUM($K$4:K793,IF(繳費報酬率資料!$A$1=1,$AU794+$AV794,$BB794+$BC794))&gt;OP!$L$58,0,IF(繳費報酬率資料!$A$1=1,$AU794+$AV794,$BB794+$BC794))</f>
        <v>0</v>
      </c>
      <c r="L794" s="2"/>
      <c r="M794" s="2"/>
      <c r="N794" s="2"/>
      <c r="O794" s="261">
        <f t="shared" ca="1" si="452"/>
        <v>0</v>
      </c>
      <c r="P794" s="261">
        <f t="shared" ca="1" si="470"/>
        <v>0</v>
      </c>
      <c r="Q794" s="3">
        <f ca="1">IF(A794&gt;MAX(OP!$R$17:$R$26),0,VLOOKUP(A794,fees,3,FALSE))</f>
        <v>0</v>
      </c>
      <c r="R794" s="200" t="str">
        <f t="shared" ca="1" si="453"/>
        <v/>
      </c>
      <c r="S794" s="9" t="str">
        <f ca="1">IF(COUNTIF(($T$4:T793),"F")&gt;=1,"",IF(OR(C795&lt;&gt;$C$3,E794=""),"",A794))</f>
        <v/>
      </c>
      <c r="T794" s="20" t="str">
        <f t="shared" ca="1" si="445"/>
        <v/>
      </c>
      <c r="U794" s="2">
        <f ca="1">IF(IF(OP!$C$83=1,$Z793,IF(OP!$C$83=2,$AA793,IF(OP!$C$83=3,$AB793,)))+$K794-$O794-$P794-$AS794&lt;OP!$C$142,0,$AS794)</f>
        <v>0</v>
      </c>
      <c r="V794" s="9"/>
      <c r="W794" s="19">
        <f ca="1">MAX(SUM($K$4:K794),0)</f>
        <v>2000000</v>
      </c>
      <c r="X794" s="19"/>
      <c r="Y794" s="19">
        <f t="shared" ca="1" si="471"/>
        <v>1920000</v>
      </c>
      <c r="Z794" s="2">
        <f ca="1">IF(MIN($Z$4:Z793)=0,0,MAX(0,($Z793+$K794-$O794-$P794)*IF(AND(F794="F",$D$3&lt;&gt;$G$3),((1+(-J794))^(H794/MIN(G794,365))),((1+(-J794))^(1/12)))-$U794))</f>
        <v>65300.35525648023</v>
      </c>
      <c r="AA794" s="2">
        <f ca="1">IF(MIN($AA$4:AA793)=0,0,MAX(0,($AA793+$K794-$O794-$P794)*IF(AND(F794="F",$D$3&lt;&gt;$G$3),((1+$AA$1)^(H794/MIN(G794,365))),((1+$AA$1)^(1/12)))-$U794))</f>
        <v>1920000</v>
      </c>
      <c r="AB794" s="2">
        <f ca="1">IF(MIN($AB$4:AB793)=0,0,MAX(0,($AB793+$K794-$O794-$P794)*IF(AND(F794="F",$D$3&lt;&gt;$G$3),((1+(J794))^(H794/MIN(G794,365))),((1+(J794))^(1/12)))-$U794))</f>
        <v>47866226.595102534</v>
      </c>
      <c r="AC794" s="5"/>
      <c r="AD794" s="5"/>
      <c r="AE794" s="5"/>
      <c r="AF794" s="282">
        <f t="shared" ca="1" si="454"/>
        <v>65300</v>
      </c>
      <c r="AG794" s="282">
        <f t="shared" ca="1" si="455"/>
        <v>1920000</v>
      </c>
      <c r="AH794" s="282">
        <f t="shared" ca="1" si="456"/>
        <v>47866227</v>
      </c>
      <c r="AI794" s="23" t="str">
        <f t="shared" ca="1" si="472"/>
        <v>66-12</v>
      </c>
      <c r="AJ794" s="282">
        <f ca="1">IF(E794&gt;111,,IF(AND(OP!$C$99=1,T794="F"),Z794,IF(AND(OP!$C$99=2,COUNTIF($T$4:T794,"F")=1),OP!$C$97+IF(F794="F",OP!$C$98,0),"")))</f>
        <v>0</v>
      </c>
      <c r="AK794" s="282">
        <f ca="1">IF(E794&gt;111,,IF(AND(OP!$D$99=1,T794="F"),AA794,IF(AND(OP!$D$99=2,COUNTIF($T$4:T794,"F")=1),OP!$D$97+IF(F794="F",OP!$D$98,0),"")))</f>
        <v>0</v>
      </c>
      <c r="AL794" s="282">
        <f ca="1">IF(E794&gt;111,,IF(AND(OP!$E$99=1,T794="F"),AB794,IF(AND(OP!$E$99=2,COUNTIF($T$4:T794,"F")=1),OP!$E$97+IF(F794="F",OP!$E$98,0),"")))</f>
        <v>0</v>
      </c>
      <c r="AM794" s="1">
        <f t="shared" ca="1" si="446"/>
        <v>12</v>
      </c>
      <c r="AN794" s="1" t="e">
        <f ca="1">IF(OR(VLOOKUP($A794,MP,5,0)="月繳"),1,"")</f>
        <v>#N/A</v>
      </c>
      <c r="AO794" s="1">
        <f t="shared" ca="1" si="457"/>
        <v>0</v>
      </c>
      <c r="AP794" s="1" t="str">
        <f ca="1">IF(AND(A794&lt;=OP!$C$120,COUNTIF(PAY,C794)=1),1,"")</f>
        <v/>
      </c>
      <c r="AR794" s="301">
        <f ca="1">IF(繳費報酬率資料!$A$1=1,$AY794+$AZ794,$BF794+$BG794)</f>
        <v>0</v>
      </c>
      <c r="AS794" s="1">
        <f ca="1">IF(C794&lt;&gt;IF($C$3=1,12,$C$3-1),0,IF(繳費報酬率資料!$A$1&lt;&gt;1,VLOOKUP($A794,MP,8,0),IF(AND($A794&gt;=OP!$C$79,$A794&lt;=OP!$C$80),OP!$C$78,)))</f>
        <v>0</v>
      </c>
      <c r="AT794" s="298">
        <f t="shared" ca="1" si="458"/>
        <v>0</v>
      </c>
      <c r="AU794" s="298">
        <f ca="1">IF(AND(A794&lt;=OP!$C$120,COUNTIF(PAY,C794)=1),OP!$C$123,0)</f>
        <v>0</v>
      </c>
      <c r="AV794" s="298">
        <f ca="1">IF(AND(A794&gt;=OP!$C$132,A794&lt;=OP!$C$133,$C$3=C794),OP!$C$135,0)</f>
        <v>0</v>
      </c>
      <c r="AW794" s="180">
        <f t="shared" ca="1" si="459"/>
        <v>0.05</v>
      </c>
      <c r="AX794" s="180">
        <f t="shared" ca="1" si="460"/>
        <v>0.05</v>
      </c>
      <c r="AY794" s="286">
        <f t="shared" ca="1" si="461"/>
        <v>0</v>
      </c>
      <c r="AZ794" s="286">
        <f t="shared" ca="1" si="462"/>
        <v>0</v>
      </c>
      <c r="BA794" s="286">
        <f t="shared" ca="1" si="463"/>
        <v>0</v>
      </c>
      <c r="BB794" s="286">
        <f t="shared" ca="1" si="464"/>
        <v>0</v>
      </c>
      <c r="BC794" s="286">
        <f t="shared" ca="1" si="465"/>
        <v>0</v>
      </c>
      <c r="BD794" s="180">
        <f t="shared" ca="1" si="466"/>
        <v>0.05</v>
      </c>
      <c r="BE794" s="180">
        <f t="shared" ca="1" si="467"/>
        <v>0.05</v>
      </c>
      <c r="BF794" s="286">
        <f t="shared" ca="1" si="468"/>
        <v>0</v>
      </c>
      <c r="BG794" s="286">
        <f t="shared" ca="1" si="469"/>
        <v>0</v>
      </c>
    </row>
    <row r="795" spans="1:59">
      <c r="A795" s="1">
        <f t="shared" ca="1" si="448"/>
        <v>66</v>
      </c>
      <c r="B795" s="1">
        <f t="shared" ca="1" si="442"/>
        <v>172</v>
      </c>
      <c r="C795" s="1">
        <f t="shared" ca="1" si="443"/>
        <v>5</v>
      </c>
      <c r="D795" s="1">
        <f ca="1">MIN($D$3,VLOOKUP(C795,OP!$S$30:$T$41,2))</f>
        <v>2</v>
      </c>
      <c r="E795" s="1" t="str">
        <f t="shared" ca="1" si="444"/>
        <v/>
      </c>
      <c r="F795" s="11" t="str">
        <f t="shared" ca="1" si="449"/>
        <v/>
      </c>
      <c r="G795" s="8">
        <f t="shared" ca="1" si="473"/>
        <v>365</v>
      </c>
      <c r="H795" s="8">
        <f t="shared" ca="1" si="451"/>
        <v>31</v>
      </c>
      <c r="I795" s="8" t="str">
        <f t="shared" ca="1" si="447"/>
        <v>665</v>
      </c>
      <c r="J795" s="13">
        <f>IF(繳費報酬率資料!$A$1=1,VALUE(OP!$C$121),VLOOKUP(A795,MP,2,0))</f>
        <v>0.05</v>
      </c>
      <c r="K795" s="14">
        <f ca="1">IF(SUM($K$4:K794,IF(繳費報酬率資料!$A$1=1,$AU795+$AV795,$BB795+$BC795))&gt;OP!$L$58,0,IF(繳費報酬率資料!$A$1=1,$AU795+$AV795,$BB795+$BC795))</f>
        <v>0</v>
      </c>
      <c r="L795" s="2">
        <f ca="1">ROUND(IF(OP!$C$78&lt;(IF(OR($T795="F",$E795&gt;=111),0,Z794+$K795-$O795+IF($C$1=1,OP!$C$78,IF($C796=$C$3,SUM(AC784:AC795,0)))))*5%,0,(OP!$C$78-((IF(OR($T795="F",$E795&gt;=111),0,Z794+$K795-$O795+IF($C$1=1,AC795,IF($C796=$C$3,SUM(AC784:AC795,0)))))*5%))*$Q795),0)</f>
        <v>0</v>
      </c>
      <c r="M795" s="2">
        <f ca="1">ROUND(IF(OP!$C$78&lt;(IF(OR($T795="F",$E795&gt;=111),0,AA794+$K795-$O795+IF($C$1=1,AD795,IF($C796=$C$3,SUM(AD784:AD795,0)))))*5%,0,(OP!$C$78-((IF(OR($T795="F",$E795&gt;=111),0,AA794+$K795-$O795+IF($C$1=1,AD795,IF($C796=$C$3,SUM(AD784:AD795,0)))))*5%))*$Q795),0)</f>
        <v>0</v>
      </c>
      <c r="N795" s="2">
        <f ca="1">ROUND(IF(OP!$C$78&lt;(IF(OR($T795="F",$E795&gt;=111),0,AB794+$K795-$O795+IF($C$1=1,AE795,IF($C796=$C$3,SUM(AE784:AE795,0)))))*5%,0,(OP!$C$78-((IF(OR($T795="F",$E795&gt;=111),0,AB794+$K795-$O795+IF($C$1=1,AE795,IF($C796=$C$3,SUM(AE784:AE795,0)))))*5%))*$Q795),0)</f>
        <v>0</v>
      </c>
      <c r="O795" s="261">
        <f t="shared" ca="1" si="452"/>
        <v>0</v>
      </c>
      <c r="P795" s="261">
        <f t="shared" ca="1" si="470"/>
        <v>0</v>
      </c>
      <c r="Q795" s="3">
        <f ca="1">IF(A795&gt;MAX(OP!$R$17:$R$26),0,VLOOKUP(A795,fees,3,FALSE))</f>
        <v>0</v>
      </c>
      <c r="R795" s="200" t="str">
        <f t="shared" ca="1" si="453"/>
        <v/>
      </c>
      <c r="S795" s="9" t="str">
        <f ca="1">IF(COUNTIF(($T$4:T794),"F")&gt;=1,"",IF(OR(C796&lt;&gt;$C$3,E795=""),"",A795))</f>
        <v/>
      </c>
      <c r="T795" s="20" t="str">
        <f t="shared" ca="1" si="445"/>
        <v/>
      </c>
      <c r="U795" s="2">
        <f ca="1">IF(IF(OP!$C$83=1,$Z794,IF(OP!$C$83=2,$AA794,IF(OP!$C$83=3,$AB794,)))+$K795-$O795-$P795-$AS795&lt;OP!$C$142,0,$AS795)</f>
        <v>0</v>
      </c>
      <c r="V795" s="19">
        <f ca="1">SUM(K784:K795)</f>
        <v>0</v>
      </c>
      <c r="W795" s="19">
        <f ca="1">MAX(SUM($K$4:K795),0)</f>
        <v>2000000</v>
      </c>
      <c r="X795" s="19">
        <f ca="1">SUM(O784:P795)</f>
        <v>0</v>
      </c>
      <c r="Y795" s="19">
        <f t="shared" ca="1" si="471"/>
        <v>1920000</v>
      </c>
      <c r="Z795" s="2">
        <f ca="1">IF(MIN($Z$4:Z794)=0,0,MAX(0,($Z794+$K795-$O795-$P795)*IF(AND(F795="F",$D$3&lt;&gt;$G$3),((1+(-J795))^(H795/MIN(G795,365))),((1+(-J795))^(1/12)))-$U795))</f>
        <v>65021.828425023385</v>
      </c>
      <c r="AA795" s="2">
        <f ca="1">IF(MIN($AA$4:AA794)=0,0,MAX(0,($AA794+$K795-$O795-$P795)*IF(AND(F795="F",$D$3&lt;&gt;$G$3),((1+$AA$1)^(H795/MIN(G795,365))),((1+$AA$1)^(1/12)))-$U795))</f>
        <v>1920000</v>
      </c>
      <c r="AB795" s="2">
        <f ca="1">IF(MIN($AB$4:AB794)=0,0,MAX(0,($AB794+$K795-$O795-$P795)*IF(AND(F795="F",$D$3&lt;&gt;$G$3),((1+(J795))^(H795/MIN(G795,365))),((1+(J795))^(1/12)))-$U795))</f>
        <v>48061239.527307145</v>
      </c>
      <c r="AC795" s="5"/>
      <c r="AD795" s="5"/>
      <c r="AE795" s="5"/>
      <c r="AF795" s="282">
        <f t="shared" ca="1" si="454"/>
        <v>65022</v>
      </c>
      <c r="AG795" s="282">
        <f t="shared" ca="1" si="455"/>
        <v>1920000</v>
      </c>
      <c r="AH795" s="282">
        <f t="shared" ca="1" si="456"/>
        <v>48061240</v>
      </c>
      <c r="AI795" s="23" t="str">
        <f t="shared" ca="1" si="472"/>
        <v>67-1</v>
      </c>
      <c r="AJ795" s="282">
        <f ca="1">IF(E795&gt;111,,IF(AND(OP!$C$99=1,T795="F"),Z795,IF(AND(OP!$C$99=2,COUNTIF($T$4:T795,"F")=1),OP!$C$97+IF(F795="F",OP!$C$98,0),"")))</f>
        <v>0</v>
      </c>
      <c r="AK795" s="282">
        <f ca="1">IF(E795&gt;111,,IF(AND(OP!$D$99=1,T795="F"),AA795,IF(AND(OP!$D$99=2,COUNTIF($T$4:T795,"F")=1),OP!$D$97+IF(F795="F",OP!$D$98,0),"")))</f>
        <v>0</v>
      </c>
      <c r="AL795" s="282">
        <f ca="1">IF(E795&gt;111,,IF(AND(OP!$E$99=1,T795="F"),AB795,IF(AND(OP!$E$99=2,COUNTIF($T$4:T795,"F")=1),OP!$E$97+IF(F795="F",OP!$E$98,0),"")))</f>
        <v>0</v>
      </c>
      <c r="AM795" s="1">
        <f t="shared" ca="1" si="446"/>
        <v>1</v>
      </c>
      <c r="AN795" s="1" t="e">
        <f ca="1">IF(OR(VLOOKUP($A795,MP,5,0)="月繳"),1,"")</f>
        <v>#N/A</v>
      </c>
      <c r="AO795" s="1">
        <f t="shared" ca="1" si="457"/>
        <v>0</v>
      </c>
      <c r="AP795" s="1" t="str">
        <f ca="1">IF(AND(A795&lt;=OP!$C$120,COUNTIF(PAY,C795)=1),1,"")</f>
        <v/>
      </c>
      <c r="AR795" s="301">
        <f ca="1">IF(繳費報酬率資料!$A$1=1,$AY795+$AZ795,$BF795+$BG795)</f>
        <v>0</v>
      </c>
      <c r="AS795" s="1">
        <f ca="1">IF(C795&lt;&gt;IF($C$3=1,12,$C$3-1),0,IF(繳費報酬率資料!$A$1&lt;&gt;1,VLOOKUP($A795,MP,8,0),IF(AND($A795&gt;=OP!$C$79,$A795&lt;=OP!$C$80),OP!$C$78,)))</f>
        <v>0</v>
      </c>
      <c r="AT795" s="298">
        <f t="shared" ca="1" si="458"/>
        <v>0</v>
      </c>
      <c r="AU795" s="298">
        <f ca="1">IF(AND(A795&lt;=OP!$C$120,COUNTIF(PAY,C795)=1),OP!$C$123,0)</f>
        <v>0</v>
      </c>
      <c r="AV795" s="298">
        <f ca="1">IF(AND(A795&gt;=OP!$C$132,A795&lt;=OP!$C$133,$C$3=C795),OP!$C$135,0)</f>
        <v>0</v>
      </c>
      <c r="AW795" s="180">
        <f t="shared" ca="1" si="459"/>
        <v>0.05</v>
      </c>
      <c r="AX795" s="180">
        <f t="shared" ca="1" si="460"/>
        <v>0.05</v>
      </c>
      <c r="AY795" s="286">
        <f t="shared" ca="1" si="461"/>
        <v>0</v>
      </c>
      <c r="AZ795" s="286">
        <f t="shared" ca="1" si="462"/>
        <v>0</v>
      </c>
      <c r="BA795" s="286">
        <f t="shared" ca="1" si="463"/>
        <v>0</v>
      </c>
      <c r="BB795" s="286">
        <f t="shared" ca="1" si="464"/>
        <v>0</v>
      </c>
      <c r="BC795" s="286">
        <f t="shared" ca="1" si="465"/>
        <v>0</v>
      </c>
      <c r="BD795" s="180">
        <f t="shared" ca="1" si="466"/>
        <v>0.05</v>
      </c>
      <c r="BE795" s="180">
        <f t="shared" ca="1" si="467"/>
        <v>0.05</v>
      </c>
      <c r="BF795" s="286">
        <f t="shared" ca="1" si="468"/>
        <v>0</v>
      </c>
      <c r="BG795" s="286">
        <f t="shared" ca="1" si="469"/>
        <v>0</v>
      </c>
    </row>
    <row r="796" spans="1:59">
      <c r="A796" s="1">
        <f t="shared" ca="1" si="448"/>
        <v>67</v>
      </c>
      <c r="B796" s="1">
        <f t="shared" ca="1" si="442"/>
        <v>172</v>
      </c>
      <c r="C796" s="1">
        <f t="shared" ca="1" si="443"/>
        <v>6</v>
      </c>
      <c r="D796" s="1">
        <f ca="1">MIN($D$3,VLOOKUP(C796,OP!$S$30:$T$41,2))</f>
        <v>2</v>
      </c>
      <c r="E796" s="1" t="str">
        <f t="shared" ca="1" si="444"/>
        <v/>
      </c>
      <c r="F796" s="11" t="str">
        <f t="shared" ca="1" si="449"/>
        <v/>
      </c>
      <c r="G796" s="6">
        <f ca="1">DATEDIF(DATE(B796+1911,C796,D796),DATE(B808+1911,C808,D808),"d")</f>
        <v>366</v>
      </c>
      <c r="H796" s="8">
        <f t="shared" ca="1" si="451"/>
        <v>30</v>
      </c>
      <c r="I796" s="8" t="str">
        <f t="shared" ca="1" si="447"/>
        <v>676</v>
      </c>
      <c r="J796" s="13">
        <f>IF(繳費報酬率資料!$A$1=1,VALUE(OP!$C$121),VLOOKUP(A796,MP,2,0))</f>
        <v>0.05</v>
      </c>
      <c r="K796" s="14">
        <f ca="1">IF(SUM($K$4:K795,IF(繳費報酬率資料!$A$1=1,$AU796+$AV796,$BB796+$BC796))&gt;OP!$L$58,0,IF(繳費報酬率資料!$A$1=1,$AU796+$AV796,$BB796+$BC796))</f>
        <v>0</v>
      </c>
      <c r="L796" s="2"/>
      <c r="M796" s="2"/>
      <c r="N796" s="2"/>
      <c r="O796" s="261">
        <f t="shared" ca="1" si="452"/>
        <v>0</v>
      </c>
      <c r="P796" s="261">
        <f t="shared" ca="1" si="470"/>
        <v>0</v>
      </c>
      <c r="Q796" s="3">
        <f ca="1">IF(A796&gt;MAX(OP!$R$17:$R$26),0,VLOOKUP(A796,fees,3,FALSE))</f>
        <v>0</v>
      </c>
      <c r="R796" s="200" t="str">
        <f t="shared" ca="1" si="453"/>
        <v/>
      </c>
      <c r="S796" s="9" t="str">
        <f ca="1">IF(COUNTIF(($T$4:T795),"F")&gt;=1,"",IF(OR(C797&lt;&gt;$C$3,E796=""),"",A796))</f>
        <v/>
      </c>
      <c r="T796" s="20" t="str">
        <f t="shared" ca="1" si="445"/>
        <v/>
      </c>
      <c r="U796" s="2">
        <f ca="1">IF(IF(OP!$C$83=1,$Z795,IF(OP!$C$83=2,$AA795,IF(OP!$C$83=3,$AB795,)))+$K796-$O796-$P796-$AS796&lt;OP!$C$142,0,$AS796)</f>
        <v>0</v>
      </c>
      <c r="V796" s="9"/>
      <c r="W796" s="19">
        <f ca="1">MAX(SUM($K$4:K796),0)</f>
        <v>2000000</v>
      </c>
      <c r="X796" s="19"/>
      <c r="Y796" s="19">
        <f t="shared" ca="1" si="471"/>
        <v>1920000</v>
      </c>
      <c r="Z796" s="2">
        <f ca="1">IF(MIN($Z$4:Z795)=0,0,MAX(0,($Z795+$K796-$O796-$P796)*IF(AND(F796="F",$D$3&lt;&gt;$G$3),((1+(-J796))^(H796/MIN(G796,365))),((1+(-J796))^(1/12)))-$U796))</f>
        <v>64744.489599290806</v>
      </c>
      <c r="AA796" s="2">
        <f ca="1">IF(MIN($AA$4:AA795)=0,0,MAX(0,($AA795+$K796-$O796-$P796)*IF(AND(F796="F",$D$3&lt;&gt;$G$3),((1+$AA$1)^(H796/MIN(G796,365))),((1+$AA$1)^(1/12)))-$U796))</f>
        <v>1920000</v>
      </c>
      <c r="AB796" s="2">
        <f ca="1">IF(MIN($AB$4:AB795)=0,0,MAX(0,($AB795+$K796-$O796-$P796)*IF(AND(F796="F",$D$3&lt;&gt;$G$3),((1+(J796))^(H796/MIN(G796,365))),((1+(J796))^(1/12)))-$U796))</f>
        <v>48257046.966336966</v>
      </c>
      <c r="AC796" s="21"/>
      <c r="AD796" s="21"/>
      <c r="AE796" s="21"/>
      <c r="AF796" s="282">
        <f t="shared" ca="1" si="454"/>
        <v>64744</v>
      </c>
      <c r="AG796" s="282">
        <f t="shared" ca="1" si="455"/>
        <v>1920000</v>
      </c>
      <c r="AH796" s="282">
        <f t="shared" ca="1" si="456"/>
        <v>48257047</v>
      </c>
      <c r="AI796" s="23" t="str">
        <f t="shared" ca="1" si="472"/>
        <v>67-2</v>
      </c>
      <c r="AJ796" s="281">
        <f ca="1">IF(E796&gt;111,,IF(AND(OP!$C$99=1,T796="F"),Z796,IF(AND(OP!$C$99=2,COUNTIF($T$4:T796,"F")=1),OP!$C$97+IF(F796="F",OP!$C$98,0),"")))</f>
        <v>0</v>
      </c>
      <c r="AK796" s="281">
        <f ca="1">IF(E796&gt;111,,IF(AND(OP!$D$99=1,T796="F"),AA796,IF(AND(OP!$D$99=2,COUNTIF($T$4:T796,"F")=1),OP!$D$97+IF(F796="F",OP!$D$98,0),"")))</f>
        <v>0</v>
      </c>
      <c r="AL796" s="281">
        <f ca="1">IF(E796&gt;111,,IF(AND(OP!$E$99=1,T796="F"),AB796,IF(AND(OP!$E$99=2,COUNTIF($T$4:T796,"F")=1),OP!$E$97+IF(F796="F",OP!$E$98,0),"")))</f>
        <v>0</v>
      </c>
      <c r="AM796" s="1">
        <f t="shared" ca="1" si="446"/>
        <v>2</v>
      </c>
      <c r="AN796" s="1" t="e">
        <f ca="1">IF(OR(VLOOKUP($A796,MP,5,0)="年繳",VLOOKUP($A796,MP,5,0)="半年繳",VLOOKUP($A796,MP,5,0)="季繳",VLOOKUP($A796,MP,5,0)="月繳"),1,"")</f>
        <v>#N/A</v>
      </c>
      <c r="AO796" s="1">
        <f t="shared" ca="1" si="457"/>
        <v>0</v>
      </c>
      <c r="AP796" s="1" t="str">
        <f ca="1">IF(AND(A796&lt;=OP!$C$120,COUNTIF(PAY,C796)=1),1,"")</f>
        <v/>
      </c>
      <c r="AR796" s="301">
        <f ca="1">IF(繳費報酬率資料!$A$1=1,$AY796+$AZ796,$BF796+$BG796)</f>
        <v>0</v>
      </c>
      <c r="AS796" s="1">
        <f ca="1">IF(C796&lt;&gt;IF($C$3=1,12,$C$3-1),0,IF(繳費報酬率資料!$A$1&lt;&gt;1,VLOOKUP($A796,MP,8,0),IF(AND($A796&gt;=OP!$C$79,$A796&lt;=OP!$C$80),OP!$C$78,)))</f>
        <v>0</v>
      </c>
      <c r="AT796" s="298">
        <f t="shared" ca="1" si="458"/>
        <v>0</v>
      </c>
      <c r="AU796" s="298">
        <f ca="1">IF(AND(A796&lt;=OP!$C$120,COUNTIF(PAY,C796)=1),OP!$C$123,0)</f>
        <v>0</v>
      </c>
      <c r="AV796" s="298">
        <f ca="1">IF(AND(A796&gt;=OP!$C$132,A796&lt;=OP!$C$133,$C$3=C796),OP!$C$135,0)</f>
        <v>0</v>
      </c>
      <c r="AW796" s="180">
        <f t="shared" ca="1" si="459"/>
        <v>0.05</v>
      </c>
      <c r="AX796" s="180">
        <f t="shared" ca="1" si="460"/>
        <v>0.05</v>
      </c>
      <c r="AY796" s="286">
        <f t="shared" ca="1" si="461"/>
        <v>0</v>
      </c>
      <c r="AZ796" s="286">
        <f t="shared" ca="1" si="462"/>
        <v>0</v>
      </c>
      <c r="BA796" s="286">
        <f t="shared" ca="1" si="463"/>
        <v>0</v>
      </c>
      <c r="BB796" s="286">
        <f t="shared" ca="1" si="464"/>
        <v>0</v>
      </c>
      <c r="BC796" s="286">
        <f t="shared" ca="1" si="465"/>
        <v>0</v>
      </c>
      <c r="BD796" s="180">
        <f t="shared" ca="1" si="466"/>
        <v>0.05</v>
      </c>
      <c r="BE796" s="180">
        <f t="shared" ca="1" si="467"/>
        <v>0.05</v>
      </c>
      <c r="BF796" s="286">
        <f t="shared" ca="1" si="468"/>
        <v>0</v>
      </c>
      <c r="BG796" s="286">
        <f t="shared" ca="1" si="469"/>
        <v>0</v>
      </c>
    </row>
    <row r="797" spans="1:59">
      <c r="A797" s="1">
        <f t="shared" ca="1" si="448"/>
        <v>67</v>
      </c>
      <c r="B797" s="1">
        <f t="shared" ca="1" si="442"/>
        <v>172</v>
      </c>
      <c r="C797" s="1">
        <f t="shared" ca="1" si="443"/>
        <v>7</v>
      </c>
      <c r="D797" s="1">
        <f ca="1">MIN($D$3,VLOOKUP(C797,OP!$S$30:$T$41,2))</f>
        <v>2</v>
      </c>
      <c r="E797" s="1" t="str">
        <f t="shared" ca="1" si="444"/>
        <v/>
      </c>
      <c r="F797" s="11" t="str">
        <f t="shared" ca="1" si="449"/>
        <v/>
      </c>
      <c r="G797" s="8">
        <f t="shared" ref="G797:G807" ca="1" si="474">G796</f>
        <v>366</v>
      </c>
      <c r="H797" s="8">
        <f t="shared" ca="1" si="451"/>
        <v>31</v>
      </c>
      <c r="I797" s="8" t="str">
        <f t="shared" ca="1" si="447"/>
        <v>677</v>
      </c>
      <c r="J797" s="13">
        <f>IF(繳費報酬率資料!$A$1=1,VALUE(OP!$C$121),VLOOKUP(A797,MP,2,0))</f>
        <v>0.05</v>
      </c>
      <c r="K797" s="14">
        <f ca="1">IF(SUM($K$4:K796,IF(繳費報酬率資料!$A$1=1,$AU797+$AV797,$BB797+$BC797))&gt;OP!$L$58,0,IF(繳費報酬率資料!$A$1=1,$AU797+$AV797,$BB797+$BC797))</f>
        <v>0</v>
      </c>
      <c r="L797" s="2"/>
      <c r="M797" s="2"/>
      <c r="N797" s="2"/>
      <c r="O797" s="261">
        <f t="shared" ca="1" si="452"/>
        <v>0</v>
      </c>
      <c r="P797" s="261">
        <f t="shared" ca="1" si="470"/>
        <v>0</v>
      </c>
      <c r="Q797" s="3">
        <f ca="1">IF(A797&gt;MAX(OP!$R$17:$R$26),0,VLOOKUP(A797,fees,3,FALSE))</f>
        <v>0</v>
      </c>
      <c r="R797" s="200" t="str">
        <f t="shared" ca="1" si="453"/>
        <v/>
      </c>
      <c r="S797" s="9" t="str">
        <f ca="1">IF(COUNTIF(($T$4:T796),"F")&gt;=1,"",IF(OR(C798&lt;&gt;$C$3,E797=""),"",A797))</f>
        <v/>
      </c>
      <c r="T797" s="20" t="str">
        <f t="shared" ca="1" si="445"/>
        <v/>
      </c>
      <c r="U797" s="2">
        <f ca="1">IF(IF(OP!$C$83=1,$Z796,IF(OP!$C$83=2,$AA796,IF(OP!$C$83=3,$AB796,)))+$K797-$O797-$P797-$AS797&lt;OP!$C$142,0,$AS797)</f>
        <v>0</v>
      </c>
      <c r="V797" s="9"/>
      <c r="W797" s="19">
        <f ca="1">MAX(SUM($K$4:K797),0)</f>
        <v>2000000</v>
      </c>
      <c r="X797" s="19"/>
      <c r="Y797" s="19">
        <f t="shared" ca="1" si="471"/>
        <v>1920000</v>
      </c>
      <c r="Z797" s="2">
        <f ca="1">IF(MIN($Z$4:Z796)=0,0,MAX(0,($Z796+$K797-$O797-$P797)*IF(AND(F797="F",$D$3&lt;&gt;$G$3),((1+(-J797))^(H797/MIN(G797,365))),((1+(-J797))^(1/12)))-$U797))</f>
        <v>64468.333712059371</v>
      </c>
      <c r="AA797" s="2">
        <f ca="1">IF(MIN($AA$4:AA796)=0,0,MAX(0,($AA796+$K797-$O797-$P797)*IF(AND(F797="F",$D$3&lt;&gt;$G$3),((1+$AA$1)^(H797/MIN(G797,365))),((1+$AA$1)^(1/12)))-$U797))</f>
        <v>1920000</v>
      </c>
      <c r="AB797" s="2">
        <f ca="1">IF(MIN($AB$4:AB796)=0,0,MAX(0,($AB796+$K797-$O797-$P797)*IF(AND(F797="F",$D$3&lt;&gt;$G$3),((1+(J797))^(H797/MIN(G797,365))),((1+(J797))^(1/12)))-$U797))</f>
        <v>48453652.149111152</v>
      </c>
      <c r="AC797" s="5"/>
      <c r="AD797" s="5"/>
      <c r="AE797" s="5"/>
      <c r="AF797" s="282">
        <f t="shared" ca="1" si="454"/>
        <v>64468</v>
      </c>
      <c r="AG797" s="282">
        <f t="shared" ca="1" si="455"/>
        <v>1920000</v>
      </c>
      <c r="AH797" s="282">
        <f t="shared" ca="1" si="456"/>
        <v>48453652</v>
      </c>
      <c r="AI797" s="23" t="str">
        <f t="shared" ca="1" si="472"/>
        <v>67-3</v>
      </c>
      <c r="AJ797" s="282">
        <f ca="1">IF(E797&gt;111,,IF(AND(OP!$C$99=1,T797="F"),Z797,IF(AND(OP!$C$99=2,COUNTIF($T$4:T797,"F")=1),OP!$C$97+IF(F797="F",OP!$C$98,0),"")))</f>
        <v>0</v>
      </c>
      <c r="AK797" s="282">
        <f ca="1">IF(E797&gt;111,,IF(AND(OP!$D$99=1,T797="F"),AA797,IF(AND(OP!$D$99=2,COUNTIF($T$4:T797,"F")=1),OP!$D$97+IF(F797="F",OP!$D$98,0),"")))</f>
        <v>0</v>
      </c>
      <c r="AL797" s="282">
        <f ca="1">IF(E797&gt;111,,IF(AND(OP!$E$99=1,T797="F"),AB797,IF(AND(OP!$E$99=2,COUNTIF($T$4:T797,"F")=1),OP!$E$97+IF(F797="F",OP!$E$98,0),"")))</f>
        <v>0</v>
      </c>
      <c r="AM797" s="1">
        <f t="shared" ca="1" si="446"/>
        <v>3</v>
      </c>
      <c r="AN797" s="1" t="e">
        <f ca="1">IF(OR(VLOOKUP($A797,MP,5,0)="月繳"),1,"")</f>
        <v>#N/A</v>
      </c>
      <c r="AO797" s="1">
        <f t="shared" ca="1" si="457"/>
        <v>0</v>
      </c>
      <c r="AP797" s="1" t="str">
        <f ca="1">IF(AND(A797&lt;=OP!$C$120,COUNTIF(PAY,C797)=1),1,"")</f>
        <v/>
      </c>
      <c r="AR797" s="301">
        <f ca="1">IF(繳費報酬率資料!$A$1=1,$AY797+$AZ797,$BF797+$BG797)</f>
        <v>0</v>
      </c>
      <c r="AS797" s="1">
        <f ca="1">IF(C797&lt;&gt;IF($C$3=1,12,$C$3-1),0,IF(繳費報酬率資料!$A$1&lt;&gt;1,VLOOKUP($A797,MP,8,0),IF(AND($A797&gt;=OP!$C$79,$A797&lt;=OP!$C$80),OP!$C$78,)))</f>
        <v>0</v>
      </c>
      <c r="AT797" s="298">
        <f t="shared" ca="1" si="458"/>
        <v>0</v>
      </c>
      <c r="AU797" s="298">
        <f ca="1">IF(AND(A797&lt;=OP!$C$120,COUNTIF(PAY,C797)=1),OP!$C$123,0)</f>
        <v>0</v>
      </c>
      <c r="AV797" s="298">
        <f ca="1">IF(AND(A797&gt;=OP!$C$132,A797&lt;=OP!$C$133,$C$3=C797),OP!$C$135,0)</f>
        <v>0</v>
      </c>
      <c r="AW797" s="180">
        <f t="shared" ca="1" si="459"/>
        <v>0.05</v>
      </c>
      <c r="AX797" s="180">
        <f t="shared" ca="1" si="460"/>
        <v>0.05</v>
      </c>
      <c r="AY797" s="286">
        <f t="shared" ca="1" si="461"/>
        <v>0</v>
      </c>
      <c r="AZ797" s="286">
        <f t="shared" ca="1" si="462"/>
        <v>0</v>
      </c>
      <c r="BA797" s="286">
        <f t="shared" ca="1" si="463"/>
        <v>0</v>
      </c>
      <c r="BB797" s="286">
        <f t="shared" ca="1" si="464"/>
        <v>0</v>
      </c>
      <c r="BC797" s="286">
        <f t="shared" ca="1" si="465"/>
        <v>0</v>
      </c>
      <c r="BD797" s="180">
        <f t="shared" ca="1" si="466"/>
        <v>0.05</v>
      </c>
      <c r="BE797" s="180">
        <f t="shared" ca="1" si="467"/>
        <v>0.05</v>
      </c>
      <c r="BF797" s="286">
        <f t="shared" ca="1" si="468"/>
        <v>0</v>
      </c>
      <c r="BG797" s="286">
        <f t="shared" ca="1" si="469"/>
        <v>0</v>
      </c>
    </row>
    <row r="798" spans="1:59">
      <c r="A798" s="1">
        <f t="shared" ca="1" si="448"/>
        <v>67</v>
      </c>
      <c r="B798" s="1">
        <f t="shared" ca="1" si="442"/>
        <v>172</v>
      </c>
      <c r="C798" s="1">
        <f t="shared" ca="1" si="443"/>
        <v>8</v>
      </c>
      <c r="D798" s="1">
        <f ca="1">MIN($D$3,VLOOKUP(C798,OP!$S$30:$T$41,2))</f>
        <v>2</v>
      </c>
      <c r="E798" s="1" t="str">
        <f t="shared" ca="1" si="444"/>
        <v/>
      </c>
      <c r="F798" s="11" t="str">
        <f t="shared" ca="1" si="449"/>
        <v/>
      </c>
      <c r="G798" s="8">
        <f t="shared" ca="1" si="474"/>
        <v>366</v>
      </c>
      <c r="H798" s="8">
        <f t="shared" ca="1" si="451"/>
        <v>31</v>
      </c>
      <c r="I798" s="8" t="str">
        <f t="shared" ca="1" si="447"/>
        <v>678</v>
      </c>
      <c r="J798" s="13">
        <f>IF(繳費報酬率資料!$A$1=1,VALUE(OP!$C$121),VLOOKUP(A798,MP,2,0))</f>
        <v>0.05</v>
      </c>
      <c r="K798" s="14">
        <f ca="1">IF(SUM($K$4:K797,IF(繳費報酬率資料!$A$1=1,$AU798+$AV798,$BB798+$BC798))&gt;OP!$L$58,0,IF(繳費報酬率資料!$A$1=1,$AU798+$AV798,$BB798+$BC798))</f>
        <v>0</v>
      </c>
      <c r="L798" s="2"/>
      <c r="M798" s="2"/>
      <c r="N798" s="2"/>
      <c r="O798" s="261">
        <f t="shared" ca="1" si="452"/>
        <v>0</v>
      </c>
      <c r="P798" s="261">
        <f t="shared" ca="1" si="470"/>
        <v>0</v>
      </c>
      <c r="Q798" s="3">
        <f ca="1">IF(A798&gt;MAX(OP!$R$17:$R$26),0,VLOOKUP(A798,fees,3,FALSE))</f>
        <v>0</v>
      </c>
      <c r="R798" s="200" t="str">
        <f t="shared" ca="1" si="453"/>
        <v/>
      </c>
      <c r="S798" s="9" t="str">
        <f ca="1">IF(COUNTIF(($T$4:T797),"F")&gt;=1,"",IF(OR(C799&lt;&gt;$C$3,E798=""),"",A798))</f>
        <v/>
      </c>
      <c r="T798" s="20" t="str">
        <f t="shared" ca="1" si="445"/>
        <v/>
      </c>
      <c r="U798" s="2">
        <f ca="1">IF(IF(OP!$C$83=1,$Z797,IF(OP!$C$83=2,$AA797,IF(OP!$C$83=3,$AB797,)))+$K798-$O798-$P798-$AS798&lt;OP!$C$142,0,$AS798)</f>
        <v>0</v>
      </c>
      <c r="V798" s="9"/>
      <c r="W798" s="19">
        <f ca="1">MAX(SUM($K$4:K798),0)</f>
        <v>2000000</v>
      </c>
      <c r="X798" s="19"/>
      <c r="Y798" s="19">
        <f t="shared" ca="1" si="471"/>
        <v>1920000</v>
      </c>
      <c r="Z798" s="2">
        <f ca="1">IF(MIN($Z$4:Z797)=0,0,MAX(0,($Z797+$K798-$O798-$P798)*IF(AND(F798="F",$D$3&lt;&gt;$G$3),((1+(-J798))^(H798/MIN(G798,365))),((1+(-J798))^(1/12)))-$U798))</f>
        <v>64193.355717719278</v>
      </c>
      <c r="AA798" s="2">
        <f ca="1">IF(MIN($AA$4:AA797)=0,0,MAX(0,($AA797+$K798-$O798-$P798)*IF(AND(F798="F",$D$3&lt;&gt;$G$3),((1+$AA$1)^(H798/MIN(G798,365))),((1+$AA$1)^(1/12)))-$U798))</f>
        <v>1920000</v>
      </c>
      <c r="AB798" s="2">
        <f ca="1">IF(MIN($AB$4:AB797)=0,0,MAX(0,($AB797+$K798-$O798-$P798)*IF(AND(F798="F",$D$3&lt;&gt;$G$3),((1+(J798))^(H798/MIN(G798,365))),((1+(J798))^(1/12)))-$U798))</f>
        <v>48651058.325736471</v>
      </c>
      <c r="AC798" s="5"/>
      <c r="AD798" s="5"/>
      <c r="AE798" s="5"/>
      <c r="AF798" s="282">
        <f t="shared" ca="1" si="454"/>
        <v>64193</v>
      </c>
      <c r="AG798" s="282">
        <f t="shared" ca="1" si="455"/>
        <v>1920000</v>
      </c>
      <c r="AH798" s="282">
        <f t="shared" ca="1" si="456"/>
        <v>48651058</v>
      </c>
      <c r="AI798" s="23" t="str">
        <f t="shared" ca="1" si="472"/>
        <v>67-4</v>
      </c>
      <c r="AJ798" s="282">
        <f ca="1">IF(E798&gt;111,,IF(AND(OP!$C$99=1,T798="F"),Z798,IF(AND(OP!$C$99=2,COUNTIF($T$4:T798,"F")=1),OP!$C$97+IF(F798="F",OP!$C$98,0),"")))</f>
        <v>0</v>
      </c>
      <c r="AK798" s="282">
        <f ca="1">IF(E798&gt;111,,IF(AND(OP!$D$99=1,T798="F"),AA798,IF(AND(OP!$D$99=2,COUNTIF($T$4:T798,"F")=1),OP!$D$97+IF(F798="F",OP!$D$98,0),"")))</f>
        <v>0</v>
      </c>
      <c r="AL798" s="282">
        <f ca="1">IF(E798&gt;111,,IF(AND(OP!$E$99=1,T798="F"),AB798,IF(AND(OP!$E$99=2,COUNTIF($T$4:T798,"F")=1),OP!$E$97+IF(F798="F",OP!$E$98,0),"")))</f>
        <v>0</v>
      </c>
      <c r="AM798" s="1">
        <f t="shared" ca="1" si="446"/>
        <v>4</v>
      </c>
      <c r="AN798" s="1" t="e">
        <f ca="1">IF(OR(VLOOKUP($A798,MP,5,0)="月繳"),1,"")</f>
        <v>#N/A</v>
      </c>
      <c r="AO798" s="1">
        <f t="shared" ca="1" si="457"/>
        <v>0</v>
      </c>
      <c r="AP798" s="1" t="str">
        <f ca="1">IF(AND(A798&lt;=OP!$C$120,COUNTIF(PAY,C798)=1),1,"")</f>
        <v/>
      </c>
      <c r="AR798" s="301">
        <f ca="1">IF(繳費報酬率資料!$A$1=1,$AY798+$AZ798,$BF798+$BG798)</f>
        <v>0</v>
      </c>
      <c r="AS798" s="1">
        <f ca="1">IF(C798&lt;&gt;IF($C$3=1,12,$C$3-1),0,IF(繳費報酬率資料!$A$1&lt;&gt;1,VLOOKUP($A798,MP,8,0),IF(AND($A798&gt;=OP!$C$79,$A798&lt;=OP!$C$80),OP!$C$78,)))</f>
        <v>0</v>
      </c>
      <c r="AT798" s="298">
        <f t="shared" ca="1" si="458"/>
        <v>0</v>
      </c>
      <c r="AU798" s="298">
        <f ca="1">IF(AND(A798&lt;=OP!$C$120,COUNTIF(PAY,C798)=1),OP!$C$123,0)</f>
        <v>0</v>
      </c>
      <c r="AV798" s="298">
        <f ca="1">IF(AND(A798&gt;=OP!$C$132,A798&lt;=OP!$C$133,$C$3=C798),OP!$C$135,0)</f>
        <v>0</v>
      </c>
      <c r="AW798" s="180">
        <f t="shared" ca="1" si="459"/>
        <v>0.05</v>
      </c>
      <c r="AX798" s="180">
        <f t="shared" ca="1" si="460"/>
        <v>0.05</v>
      </c>
      <c r="AY798" s="286">
        <f t="shared" ca="1" si="461"/>
        <v>0</v>
      </c>
      <c r="AZ798" s="286">
        <f t="shared" ca="1" si="462"/>
        <v>0</v>
      </c>
      <c r="BA798" s="286">
        <f t="shared" ca="1" si="463"/>
        <v>0</v>
      </c>
      <c r="BB798" s="286">
        <f t="shared" ca="1" si="464"/>
        <v>0</v>
      </c>
      <c r="BC798" s="286">
        <f t="shared" ca="1" si="465"/>
        <v>0</v>
      </c>
      <c r="BD798" s="180">
        <f t="shared" ca="1" si="466"/>
        <v>0.05</v>
      </c>
      <c r="BE798" s="180">
        <f t="shared" ca="1" si="467"/>
        <v>0.05</v>
      </c>
      <c r="BF798" s="286">
        <f t="shared" ca="1" si="468"/>
        <v>0</v>
      </c>
      <c r="BG798" s="286">
        <f t="shared" ca="1" si="469"/>
        <v>0</v>
      </c>
    </row>
    <row r="799" spans="1:59">
      <c r="A799" s="1">
        <f t="shared" ca="1" si="448"/>
        <v>67</v>
      </c>
      <c r="B799" s="1">
        <f t="shared" ca="1" si="442"/>
        <v>172</v>
      </c>
      <c r="C799" s="1">
        <f t="shared" ca="1" si="443"/>
        <v>9</v>
      </c>
      <c r="D799" s="1">
        <f ca="1">MIN($D$3,VLOOKUP(C799,OP!$S$30:$T$41,2))</f>
        <v>2</v>
      </c>
      <c r="E799" s="1" t="str">
        <f t="shared" ca="1" si="444"/>
        <v/>
      </c>
      <c r="F799" s="11" t="str">
        <f t="shared" ca="1" si="449"/>
        <v/>
      </c>
      <c r="G799" s="8">
        <f t="shared" ca="1" si="474"/>
        <v>366</v>
      </c>
      <c r="H799" s="8">
        <f t="shared" ca="1" si="451"/>
        <v>30</v>
      </c>
      <c r="I799" s="8" t="str">
        <f t="shared" ca="1" si="447"/>
        <v>679</v>
      </c>
      <c r="J799" s="13">
        <f>IF(繳費報酬率資料!$A$1=1,VALUE(OP!$C$121),VLOOKUP(A799,MP,2,0))</f>
        <v>0.05</v>
      </c>
      <c r="K799" s="14">
        <f ca="1">IF(SUM($K$4:K798,IF(繳費報酬率資料!$A$1=1,$AU799+$AV799,$BB799+$BC799))&gt;OP!$L$58,0,IF(繳費報酬率資料!$A$1=1,$AU799+$AV799,$BB799+$BC799))</f>
        <v>0</v>
      </c>
      <c r="L799" s="2"/>
      <c r="M799" s="2"/>
      <c r="N799" s="2"/>
      <c r="O799" s="261">
        <f t="shared" ca="1" si="452"/>
        <v>0</v>
      </c>
      <c r="P799" s="261">
        <f t="shared" ca="1" si="470"/>
        <v>0</v>
      </c>
      <c r="Q799" s="3">
        <f ca="1">IF(A799&gt;MAX(OP!$R$17:$R$26),0,VLOOKUP(A799,fees,3,FALSE))</f>
        <v>0</v>
      </c>
      <c r="R799" s="200" t="str">
        <f t="shared" ca="1" si="453"/>
        <v/>
      </c>
      <c r="S799" s="9" t="str">
        <f ca="1">IF(COUNTIF(($T$4:T798),"F")&gt;=1,"",IF(OR(C800&lt;&gt;$C$3,E799=""),"",A799))</f>
        <v/>
      </c>
      <c r="T799" s="20" t="str">
        <f t="shared" ca="1" si="445"/>
        <v/>
      </c>
      <c r="U799" s="2">
        <f ca="1">IF(IF(OP!$C$83=1,$Z798,IF(OP!$C$83=2,$AA798,IF(OP!$C$83=3,$AB798,)))+$K799-$O799-$P799-$AS799&lt;OP!$C$142,0,$AS799)</f>
        <v>0</v>
      </c>
      <c r="V799" s="9"/>
      <c r="W799" s="19">
        <f ca="1">MAX(SUM($K$4:K799),0)</f>
        <v>2000000</v>
      </c>
      <c r="X799" s="19"/>
      <c r="Y799" s="19">
        <f t="shared" ca="1" si="471"/>
        <v>1920000</v>
      </c>
      <c r="Z799" s="2">
        <f ca="1">IF(MIN($Z$4:Z798)=0,0,MAX(0,($Z798+$K799-$O799-$P799)*IF(AND(F799="F",$D$3&lt;&gt;$G$3),((1+(-J799))^(H799/MIN(G799,365))),((1+(-J799))^(1/12)))-$U799))</f>
        <v>63919.550592181862</v>
      </c>
      <c r="AA799" s="2">
        <f ca="1">IF(MIN($AA$4:AA798)=0,0,MAX(0,($AA798+$K799-$O799-$P799)*IF(AND(F799="F",$D$3&lt;&gt;$G$3),((1+$AA$1)^(H799/MIN(G799,365))),((1+$AA$1)^(1/12)))-$U799))</f>
        <v>1920000</v>
      </c>
      <c r="AB799" s="2">
        <f ca="1">IF(MIN($AB$4:AB798)=0,0,MAX(0,($AB798+$K799-$O799-$P799)*IF(AND(F799="F",$D$3&lt;&gt;$G$3),((1+(J799))^(H799/MIN(G799,365))),((1+(J799))^(1/12)))-$U799))</f>
        <v>48849268.759561017</v>
      </c>
      <c r="AC799" s="5"/>
      <c r="AD799" s="5"/>
      <c r="AE799" s="5"/>
      <c r="AF799" s="282">
        <f t="shared" ca="1" si="454"/>
        <v>63920</v>
      </c>
      <c r="AG799" s="282">
        <f t="shared" ca="1" si="455"/>
        <v>1920000</v>
      </c>
      <c r="AH799" s="282">
        <f t="shared" ca="1" si="456"/>
        <v>48849269</v>
      </c>
      <c r="AI799" s="23" t="str">
        <f t="shared" ca="1" si="472"/>
        <v>67-5</v>
      </c>
      <c r="AJ799" s="282">
        <f ca="1">IF(E799&gt;111,,IF(AND(OP!$C$99=1,T799="F"),Z799,IF(AND(OP!$C$99=2,COUNTIF($T$4:T799,"F")=1),OP!$C$97+IF(F799="F",OP!$C$98,0),"")))</f>
        <v>0</v>
      </c>
      <c r="AK799" s="282">
        <f ca="1">IF(E799&gt;111,,IF(AND(OP!$D$99=1,T799="F"),AA799,IF(AND(OP!$D$99=2,COUNTIF($T$4:T799,"F")=1),OP!$D$97+IF(F799="F",OP!$D$98,0),"")))</f>
        <v>0</v>
      </c>
      <c r="AL799" s="282">
        <f ca="1">IF(E799&gt;111,,IF(AND(OP!$E$99=1,T799="F"),AB799,IF(AND(OP!$E$99=2,COUNTIF($T$4:T799,"F")=1),OP!$E$97+IF(F799="F",OP!$E$98,0),"")))</f>
        <v>0</v>
      </c>
      <c r="AM799" s="1">
        <f t="shared" ca="1" si="446"/>
        <v>5</v>
      </c>
      <c r="AN799" s="1" t="e">
        <f ca="1">IF(OR(VLOOKUP($A799,MP,5,0)="季繳",VLOOKUP($A799,MP,5,0)="月繳"),1,"")</f>
        <v>#N/A</v>
      </c>
      <c r="AO799" s="1">
        <f t="shared" ca="1" si="457"/>
        <v>0</v>
      </c>
      <c r="AP799" s="1" t="str">
        <f ca="1">IF(AND(A799&lt;=OP!$C$120,COUNTIF(PAY,C799)=1),1,"")</f>
        <v/>
      </c>
      <c r="AR799" s="301">
        <f ca="1">IF(繳費報酬率資料!$A$1=1,$AY799+$AZ799,$BF799+$BG799)</f>
        <v>0</v>
      </c>
      <c r="AS799" s="1">
        <f ca="1">IF(C799&lt;&gt;IF($C$3=1,12,$C$3-1),0,IF(繳費報酬率資料!$A$1&lt;&gt;1,VLOOKUP($A799,MP,8,0),IF(AND($A799&gt;=OP!$C$79,$A799&lt;=OP!$C$80),OP!$C$78,)))</f>
        <v>0</v>
      </c>
      <c r="AT799" s="298">
        <f t="shared" ca="1" si="458"/>
        <v>0</v>
      </c>
      <c r="AU799" s="298">
        <f ca="1">IF(AND(A799&lt;=OP!$C$120,COUNTIF(PAY,C799)=1),OP!$C$123,0)</f>
        <v>0</v>
      </c>
      <c r="AV799" s="298">
        <f ca="1">IF(AND(A799&gt;=OP!$C$132,A799&lt;=OP!$C$133,$C$3=C799),OP!$C$135,0)</f>
        <v>0</v>
      </c>
      <c r="AW799" s="180">
        <f t="shared" ca="1" si="459"/>
        <v>0.05</v>
      </c>
      <c r="AX799" s="180">
        <f t="shared" ca="1" si="460"/>
        <v>0.05</v>
      </c>
      <c r="AY799" s="286">
        <f t="shared" ca="1" si="461"/>
        <v>0</v>
      </c>
      <c r="AZ799" s="286">
        <f t="shared" ca="1" si="462"/>
        <v>0</v>
      </c>
      <c r="BA799" s="286">
        <f t="shared" ca="1" si="463"/>
        <v>0</v>
      </c>
      <c r="BB799" s="286">
        <f t="shared" ca="1" si="464"/>
        <v>0</v>
      </c>
      <c r="BC799" s="286">
        <f t="shared" ca="1" si="465"/>
        <v>0</v>
      </c>
      <c r="BD799" s="180">
        <f t="shared" ca="1" si="466"/>
        <v>0.05</v>
      </c>
      <c r="BE799" s="180">
        <f t="shared" ca="1" si="467"/>
        <v>0.05</v>
      </c>
      <c r="BF799" s="286">
        <f t="shared" ca="1" si="468"/>
        <v>0</v>
      </c>
      <c r="BG799" s="286">
        <f t="shared" ca="1" si="469"/>
        <v>0</v>
      </c>
    </row>
    <row r="800" spans="1:59">
      <c r="A800" s="1">
        <f t="shared" ca="1" si="448"/>
        <v>67</v>
      </c>
      <c r="B800" s="1">
        <f t="shared" ca="1" si="442"/>
        <v>172</v>
      </c>
      <c r="C800" s="1">
        <f t="shared" ca="1" si="443"/>
        <v>10</v>
      </c>
      <c r="D800" s="1">
        <f ca="1">MIN($D$3,VLOOKUP(C800,OP!$S$30:$T$41,2))</f>
        <v>2</v>
      </c>
      <c r="E800" s="1" t="str">
        <f t="shared" ca="1" si="444"/>
        <v/>
      </c>
      <c r="F800" s="11" t="str">
        <f t="shared" ca="1" si="449"/>
        <v/>
      </c>
      <c r="G800" s="8">
        <f t="shared" ca="1" si="474"/>
        <v>366</v>
      </c>
      <c r="H800" s="8">
        <f t="shared" ca="1" si="451"/>
        <v>31</v>
      </c>
      <c r="I800" s="8" t="str">
        <f t="shared" ca="1" si="447"/>
        <v>6710</v>
      </c>
      <c r="J800" s="13">
        <f>IF(繳費報酬率資料!$A$1=1,VALUE(OP!$C$121),VLOOKUP(A800,MP,2,0))</f>
        <v>0.05</v>
      </c>
      <c r="K800" s="14">
        <f ca="1">IF(SUM($K$4:K799,IF(繳費報酬率資料!$A$1=1,$AU800+$AV800,$BB800+$BC800))&gt;OP!$L$58,0,IF(繳費報酬率資料!$A$1=1,$AU800+$AV800,$BB800+$BC800))</f>
        <v>0</v>
      </c>
      <c r="L800" s="2"/>
      <c r="M800" s="2"/>
      <c r="N800" s="2"/>
      <c r="O800" s="261">
        <f t="shared" ca="1" si="452"/>
        <v>0</v>
      </c>
      <c r="P800" s="261">
        <f t="shared" ca="1" si="470"/>
        <v>0</v>
      </c>
      <c r="Q800" s="3">
        <f ca="1">IF(A800&gt;MAX(OP!$R$17:$R$26),0,VLOOKUP(A800,fees,3,FALSE))</f>
        <v>0</v>
      </c>
      <c r="R800" s="200" t="str">
        <f t="shared" ca="1" si="453"/>
        <v/>
      </c>
      <c r="S800" s="9" t="str">
        <f ca="1">IF(COUNTIF(($T$4:T799),"F")&gt;=1,"",IF(OR(C801&lt;&gt;$C$3,E800=""),"",A800))</f>
        <v/>
      </c>
      <c r="T800" s="20" t="str">
        <f t="shared" ca="1" si="445"/>
        <v/>
      </c>
      <c r="U800" s="2">
        <f ca="1">IF(IF(OP!$C$83=1,$Z799,IF(OP!$C$83=2,$AA799,IF(OP!$C$83=3,$AB799,)))+$K800-$O800-$P800-$AS800&lt;OP!$C$142,0,$AS800)</f>
        <v>0</v>
      </c>
      <c r="V800" s="9"/>
      <c r="W800" s="19">
        <f ca="1">MAX(SUM($K$4:K800),0)</f>
        <v>2000000</v>
      </c>
      <c r="X800" s="19"/>
      <c r="Y800" s="19">
        <f t="shared" ca="1" si="471"/>
        <v>1920000</v>
      </c>
      <c r="Z800" s="2">
        <f ca="1">IF(MIN($Z$4:Z799)=0,0,MAX(0,($Z799+$K800-$O800-$P800)*IF(AND(F800="F",$D$3&lt;&gt;$G$3),((1+(-J800))^(H800/MIN(G800,365))),((1+(-J800))^(1/12)))-$U800))</f>
        <v>63646.913332787793</v>
      </c>
      <c r="AA800" s="2">
        <f ca="1">IF(MIN($AA$4:AA799)=0,0,MAX(0,($AA799+$K800-$O800-$P800)*IF(AND(F800="F",$D$3&lt;&gt;$G$3),((1+$AA$1)^(H800/MIN(G800,365))),((1+$AA$1)^(1/12)))-$U800))</f>
        <v>1920000</v>
      </c>
      <c r="AB800" s="2">
        <f ca="1">IF(MIN($AB$4:AB799)=0,0,MAX(0,($AB799+$K800-$O800-$P800)*IF(AND(F800="F",$D$3&lt;&gt;$G$3),((1+(J800))^(H800/MIN(G800,365))),((1+(J800))^(1/12)))-$U800))</f>
        <v>49048286.727228172</v>
      </c>
      <c r="AC800" s="5"/>
      <c r="AD800" s="5"/>
      <c r="AE800" s="5"/>
      <c r="AF800" s="282">
        <f t="shared" ca="1" si="454"/>
        <v>63647</v>
      </c>
      <c r="AG800" s="282">
        <f t="shared" ca="1" si="455"/>
        <v>1920000</v>
      </c>
      <c r="AH800" s="282">
        <f t="shared" ca="1" si="456"/>
        <v>49048287</v>
      </c>
      <c r="AI800" s="23" t="str">
        <f t="shared" ca="1" si="472"/>
        <v>67-6</v>
      </c>
      <c r="AJ800" s="282">
        <f ca="1">IF(E800&gt;111,,IF(AND(OP!$C$99=1,T800="F"),Z800,IF(AND(OP!$C$99=2,COUNTIF($T$4:T800,"F")=1),OP!$C$97+IF(F800="F",OP!$C$98,0),"")))</f>
        <v>0</v>
      </c>
      <c r="AK800" s="282">
        <f ca="1">IF(E800&gt;111,,IF(AND(OP!$D$99=1,T800="F"),AA800,IF(AND(OP!$D$99=2,COUNTIF($T$4:T800,"F")=1),OP!$D$97+IF(F800="F",OP!$D$98,0),"")))</f>
        <v>0</v>
      </c>
      <c r="AL800" s="282">
        <f ca="1">IF(E800&gt;111,,IF(AND(OP!$E$99=1,T800="F"),AB800,IF(AND(OP!$E$99=2,COUNTIF($T$4:T800,"F")=1),OP!$E$97+IF(F800="F",OP!$E$98,0),"")))</f>
        <v>0</v>
      </c>
      <c r="AM800" s="1">
        <f t="shared" ca="1" si="446"/>
        <v>6</v>
      </c>
      <c r="AN800" s="1" t="e">
        <f ca="1">IF(OR(VLOOKUP($A800,MP,5,0)="月繳"),1,"")</f>
        <v>#N/A</v>
      </c>
      <c r="AO800" s="1">
        <f t="shared" ca="1" si="457"/>
        <v>0</v>
      </c>
      <c r="AP800" s="1" t="str">
        <f ca="1">IF(AND(A800&lt;=OP!$C$120,COUNTIF(PAY,C800)=1),1,"")</f>
        <v/>
      </c>
      <c r="AR800" s="301">
        <f ca="1">IF(繳費報酬率資料!$A$1=1,$AY800+$AZ800,$BF800+$BG800)</f>
        <v>0</v>
      </c>
      <c r="AS800" s="1">
        <f ca="1">IF(C800&lt;&gt;IF($C$3=1,12,$C$3-1),0,IF(繳費報酬率資料!$A$1&lt;&gt;1,VLOOKUP($A800,MP,8,0),IF(AND($A800&gt;=OP!$C$79,$A800&lt;=OP!$C$80),OP!$C$78,)))</f>
        <v>0</v>
      </c>
      <c r="AT800" s="298">
        <f t="shared" ca="1" si="458"/>
        <v>0</v>
      </c>
      <c r="AU800" s="298">
        <f ca="1">IF(AND(A800&lt;=OP!$C$120,COUNTIF(PAY,C800)=1),OP!$C$123,0)</f>
        <v>0</v>
      </c>
      <c r="AV800" s="298">
        <f ca="1">IF(AND(A800&gt;=OP!$C$132,A800&lt;=OP!$C$133,$C$3=C800),OP!$C$135,0)</f>
        <v>0</v>
      </c>
      <c r="AW800" s="180">
        <f t="shared" ca="1" si="459"/>
        <v>0.05</v>
      </c>
      <c r="AX800" s="180">
        <f t="shared" ca="1" si="460"/>
        <v>0.05</v>
      </c>
      <c r="AY800" s="286">
        <f t="shared" ca="1" si="461"/>
        <v>0</v>
      </c>
      <c r="AZ800" s="286">
        <f t="shared" ca="1" si="462"/>
        <v>0</v>
      </c>
      <c r="BA800" s="286">
        <f t="shared" ca="1" si="463"/>
        <v>0</v>
      </c>
      <c r="BB800" s="286">
        <f t="shared" ca="1" si="464"/>
        <v>0</v>
      </c>
      <c r="BC800" s="286">
        <f t="shared" ca="1" si="465"/>
        <v>0</v>
      </c>
      <c r="BD800" s="180">
        <f t="shared" ca="1" si="466"/>
        <v>0.05</v>
      </c>
      <c r="BE800" s="180">
        <f t="shared" ca="1" si="467"/>
        <v>0.05</v>
      </c>
      <c r="BF800" s="286">
        <f t="shared" ca="1" si="468"/>
        <v>0</v>
      </c>
      <c r="BG800" s="286">
        <f t="shared" ca="1" si="469"/>
        <v>0</v>
      </c>
    </row>
    <row r="801" spans="1:59">
      <c r="A801" s="1">
        <f t="shared" ca="1" si="448"/>
        <v>67</v>
      </c>
      <c r="B801" s="1">
        <f t="shared" ca="1" si="442"/>
        <v>172</v>
      </c>
      <c r="C801" s="1">
        <f t="shared" ca="1" si="443"/>
        <v>11</v>
      </c>
      <c r="D801" s="1">
        <f ca="1">MIN($D$3,VLOOKUP(C801,OP!$S$30:$T$41,2))</f>
        <v>2</v>
      </c>
      <c r="E801" s="1" t="str">
        <f t="shared" ca="1" si="444"/>
        <v/>
      </c>
      <c r="F801" s="11" t="str">
        <f t="shared" ca="1" si="449"/>
        <v/>
      </c>
      <c r="G801" s="8">
        <f t="shared" ca="1" si="474"/>
        <v>366</v>
      </c>
      <c r="H801" s="8">
        <f t="shared" ca="1" si="451"/>
        <v>30</v>
      </c>
      <c r="I801" s="8" t="str">
        <f t="shared" ca="1" si="447"/>
        <v>6711</v>
      </c>
      <c r="J801" s="13">
        <f>IF(繳費報酬率資料!$A$1=1,VALUE(OP!$C$121),VLOOKUP(A801,MP,2,0))</f>
        <v>0.05</v>
      </c>
      <c r="K801" s="14">
        <f ca="1">IF(SUM($K$4:K800,IF(繳費報酬率資料!$A$1=1,$AU801+$AV801,$BB801+$BC801))&gt;OP!$L$58,0,IF(繳費報酬率資料!$A$1=1,$AU801+$AV801,$BB801+$BC801))</f>
        <v>0</v>
      </c>
      <c r="L801" s="2"/>
      <c r="M801" s="2"/>
      <c r="N801" s="2"/>
      <c r="O801" s="261">
        <f t="shared" ca="1" si="452"/>
        <v>0</v>
      </c>
      <c r="P801" s="261">
        <f t="shared" ca="1" si="470"/>
        <v>0</v>
      </c>
      <c r="Q801" s="3">
        <f ca="1">IF(A801&gt;MAX(OP!$R$17:$R$26),0,VLOOKUP(A801,fees,3,FALSE))</f>
        <v>0</v>
      </c>
      <c r="R801" s="200" t="str">
        <f t="shared" ca="1" si="453"/>
        <v/>
      </c>
      <c r="S801" s="9" t="str">
        <f ca="1">IF(COUNTIF(($T$4:T800),"F")&gt;=1,"",IF(OR(C802&lt;&gt;$C$3,E801=""),"",A801))</f>
        <v/>
      </c>
      <c r="T801" s="20" t="str">
        <f t="shared" ca="1" si="445"/>
        <v/>
      </c>
      <c r="U801" s="2">
        <f ca="1">IF(IF(OP!$C$83=1,$Z800,IF(OP!$C$83=2,$AA800,IF(OP!$C$83=3,$AB800,)))+$K801-$O801-$P801-$AS801&lt;OP!$C$142,0,$AS801)</f>
        <v>0</v>
      </c>
      <c r="V801" s="9"/>
      <c r="W801" s="19">
        <f ca="1">MAX(SUM($K$4:K801),0)</f>
        <v>2000000</v>
      </c>
      <c r="X801" s="19"/>
      <c r="Y801" s="19">
        <f t="shared" ca="1" si="471"/>
        <v>1920000</v>
      </c>
      <c r="Z801" s="2">
        <f ca="1">IF(MIN($Z$4:Z800)=0,0,MAX(0,($Z800+$K801-$O801-$P801)*IF(AND(F801="F",$D$3&lt;&gt;$G$3),((1+(-J801))^(H801/MIN(G801,365))),((1+(-J801))^(1/12)))-$U801))</f>
        <v>63375.43895821568</v>
      </c>
      <c r="AA801" s="2">
        <f ca="1">IF(MIN($AA$4:AA800)=0,0,MAX(0,($AA800+$K801-$O801-$P801)*IF(AND(F801="F",$D$3&lt;&gt;$G$3),((1+$AA$1)^(H801/MIN(G801,365))),((1+$AA$1)^(1/12)))-$U801))</f>
        <v>1920000</v>
      </c>
      <c r="AB801" s="2">
        <f ca="1">IF(MIN($AB$4:AB800)=0,0,MAX(0,($AB800+$K801-$O801-$P801)*IF(AND(F801="F",$D$3&lt;&gt;$G$3),((1+(J801))^(H801/MIN(G801,365))),((1+(J801))^(1/12)))-$U801))</f>
        <v>49248115.518730775</v>
      </c>
      <c r="AC801" s="5"/>
      <c r="AD801" s="5"/>
      <c r="AE801" s="5"/>
      <c r="AF801" s="282">
        <f t="shared" ca="1" si="454"/>
        <v>63375</v>
      </c>
      <c r="AG801" s="282">
        <f t="shared" ca="1" si="455"/>
        <v>1920000</v>
      </c>
      <c r="AH801" s="282">
        <f t="shared" ca="1" si="456"/>
        <v>49248116</v>
      </c>
      <c r="AI801" s="23" t="str">
        <f t="shared" ca="1" si="472"/>
        <v>67-7</v>
      </c>
      <c r="AJ801" s="282">
        <f ca="1">IF(E801&gt;111,,IF(AND(OP!$C$99=1,T801="F"),Z801,IF(AND(OP!$C$99=2,COUNTIF($T$4:T801,"F")=1),OP!$C$97+IF(F801="F",OP!$C$98,0),"")))</f>
        <v>0</v>
      </c>
      <c r="AK801" s="282">
        <f ca="1">IF(E801&gt;111,,IF(AND(OP!$D$99=1,T801="F"),AA801,IF(AND(OP!$D$99=2,COUNTIF($T$4:T801,"F")=1),OP!$D$97+IF(F801="F",OP!$D$98,0),"")))</f>
        <v>0</v>
      </c>
      <c r="AL801" s="282">
        <f ca="1">IF(E801&gt;111,,IF(AND(OP!$E$99=1,T801="F"),AB801,IF(AND(OP!$E$99=2,COUNTIF($T$4:T801,"F")=1),OP!$E$97+IF(F801="F",OP!$E$98,0),"")))</f>
        <v>0</v>
      </c>
      <c r="AM801" s="1">
        <f t="shared" ca="1" si="446"/>
        <v>7</v>
      </c>
      <c r="AN801" s="1" t="e">
        <f ca="1">IF(OR(VLOOKUP($A801,MP,5,0)="月繳"),1,"")</f>
        <v>#N/A</v>
      </c>
      <c r="AO801" s="1">
        <f t="shared" ca="1" si="457"/>
        <v>0</v>
      </c>
      <c r="AP801" s="1" t="str">
        <f ca="1">IF(AND(A801&lt;=OP!$C$120,COUNTIF(PAY,C801)=1),1,"")</f>
        <v/>
      </c>
      <c r="AR801" s="301">
        <f ca="1">IF(繳費報酬率資料!$A$1=1,$AY801+$AZ801,$BF801+$BG801)</f>
        <v>0</v>
      </c>
      <c r="AS801" s="1">
        <f ca="1">IF(C801&lt;&gt;IF($C$3=1,12,$C$3-1),0,IF(繳費報酬率資料!$A$1&lt;&gt;1,VLOOKUP($A801,MP,8,0),IF(AND($A801&gt;=OP!$C$79,$A801&lt;=OP!$C$80),OP!$C$78,)))</f>
        <v>0</v>
      </c>
      <c r="AT801" s="298">
        <f t="shared" ca="1" si="458"/>
        <v>0</v>
      </c>
      <c r="AU801" s="298">
        <f ca="1">IF(AND(A801&lt;=OP!$C$120,COUNTIF(PAY,C801)=1),OP!$C$123,0)</f>
        <v>0</v>
      </c>
      <c r="AV801" s="298">
        <f ca="1">IF(AND(A801&gt;=OP!$C$132,A801&lt;=OP!$C$133,$C$3=C801),OP!$C$135,0)</f>
        <v>0</v>
      </c>
      <c r="AW801" s="180">
        <f t="shared" ca="1" si="459"/>
        <v>0.05</v>
      </c>
      <c r="AX801" s="180">
        <f t="shared" ca="1" si="460"/>
        <v>0.05</v>
      </c>
      <c r="AY801" s="286">
        <f t="shared" ca="1" si="461"/>
        <v>0</v>
      </c>
      <c r="AZ801" s="286">
        <f t="shared" ca="1" si="462"/>
        <v>0</v>
      </c>
      <c r="BA801" s="286">
        <f t="shared" ca="1" si="463"/>
        <v>0</v>
      </c>
      <c r="BB801" s="286">
        <f t="shared" ca="1" si="464"/>
        <v>0</v>
      </c>
      <c r="BC801" s="286">
        <f t="shared" ca="1" si="465"/>
        <v>0</v>
      </c>
      <c r="BD801" s="180">
        <f t="shared" ca="1" si="466"/>
        <v>0.05</v>
      </c>
      <c r="BE801" s="180">
        <f t="shared" ca="1" si="467"/>
        <v>0.05</v>
      </c>
      <c r="BF801" s="286">
        <f t="shared" ca="1" si="468"/>
        <v>0</v>
      </c>
      <c r="BG801" s="286">
        <f t="shared" ca="1" si="469"/>
        <v>0</v>
      </c>
    </row>
    <row r="802" spans="1:59">
      <c r="A802" s="1">
        <f t="shared" ca="1" si="448"/>
        <v>67</v>
      </c>
      <c r="B802" s="1">
        <f t="shared" ca="1" si="442"/>
        <v>172</v>
      </c>
      <c r="C802" s="1">
        <f t="shared" ca="1" si="443"/>
        <v>12</v>
      </c>
      <c r="D802" s="1">
        <f ca="1">MIN($D$3,VLOOKUP(C802,OP!$S$30:$T$41,2))</f>
        <v>2</v>
      </c>
      <c r="E802" s="1" t="str">
        <f t="shared" ca="1" si="444"/>
        <v/>
      </c>
      <c r="F802" s="11" t="str">
        <f t="shared" ca="1" si="449"/>
        <v/>
      </c>
      <c r="G802" s="8">
        <f t="shared" ca="1" si="474"/>
        <v>366</v>
      </c>
      <c r="H802" s="8">
        <f t="shared" ca="1" si="451"/>
        <v>31</v>
      </c>
      <c r="I802" s="8" t="str">
        <f t="shared" ca="1" si="447"/>
        <v>6712</v>
      </c>
      <c r="J802" s="13">
        <f>IF(繳費報酬率資料!$A$1=1,VALUE(OP!$C$121),VLOOKUP(A802,MP,2,0))</f>
        <v>0.05</v>
      </c>
      <c r="K802" s="14">
        <f ca="1">IF(SUM($K$4:K801,IF(繳費報酬率資料!$A$1=1,$AU802+$AV802,$BB802+$BC802))&gt;OP!$L$58,0,IF(繳費報酬率資料!$A$1=1,$AU802+$AV802,$BB802+$BC802))</f>
        <v>0</v>
      </c>
      <c r="L802" s="2"/>
      <c r="M802" s="2"/>
      <c r="N802" s="2"/>
      <c r="O802" s="261">
        <f t="shared" ca="1" si="452"/>
        <v>0</v>
      </c>
      <c r="P802" s="261">
        <f t="shared" ca="1" si="470"/>
        <v>0</v>
      </c>
      <c r="Q802" s="3">
        <f ca="1">IF(A802&gt;MAX(OP!$R$17:$R$26),0,VLOOKUP(A802,fees,3,FALSE))</f>
        <v>0</v>
      </c>
      <c r="R802" s="200" t="str">
        <f t="shared" ca="1" si="453"/>
        <v/>
      </c>
      <c r="S802" s="9" t="str">
        <f ca="1">IF(COUNTIF(($T$4:T801),"F")&gt;=1,"",IF(OR(C803&lt;&gt;$C$3,E802=""),"",A802))</f>
        <v/>
      </c>
      <c r="T802" s="20" t="str">
        <f t="shared" ca="1" si="445"/>
        <v/>
      </c>
      <c r="U802" s="2">
        <f ca="1">IF(IF(OP!$C$83=1,$Z801,IF(OP!$C$83=2,$AA801,IF(OP!$C$83=3,$AB801,)))+$K802-$O802-$P802-$AS802&lt;OP!$C$142,0,$AS802)</f>
        <v>0</v>
      </c>
      <c r="V802" s="9"/>
      <c r="W802" s="19">
        <f ca="1">MAX(SUM($K$4:K802),0)</f>
        <v>2000000</v>
      </c>
      <c r="X802" s="19"/>
      <c r="Y802" s="19">
        <f t="shared" ca="1" si="471"/>
        <v>1920000</v>
      </c>
      <c r="Z802" s="2">
        <f ca="1">IF(MIN($Z$4:Z801)=0,0,MAX(0,($Z801+$K802-$O802-$P802)*IF(AND(F802="F",$D$3&lt;&gt;$G$3),((1+(-J802))^(H802/MIN(G802,365))),((1+(-J802))^(1/12)))-$U802))</f>
        <v>63105.122508391054</v>
      </c>
      <c r="AA802" s="2">
        <f ca="1">IF(MIN($AA$4:AA801)=0,0,MAX(0,($AA801+$K802-$O802-$P802)*IF(AND(F802="F",$D$3&lt;&gt;$G$3),((1+$AA$1)^(H802/MIN(G802,365))),((1+$AA$1)^(1/12)))-$U802))</f>
        <v>1920000</v>
      </c>
      <c r="AB802" s="2">
        <f ca="1">IF(MIN($AB$4:AB801)=0,0,MAX(0,($AB801+$K802-$O802-$P802)*IF(AND(F802="F",$D$3&lt;&gt;$G$3),((1+(J802))^(H802/MIN(G802,365))),((1+(J802))^(1/12)))-$U802))</f>
        <v>49448758.437465496</v>
      </c>
      <c r="AC802" s="5"/>
      <c r="AD802" s="5"/>
      <c r="AE802" s="5"/>
      <c r="AF802" s="282">
        <f t="shared" ca="1" si="454"/>
        <v>63105</v>
      </c>
      <c r="AG802" s="282">
        <f t="shared" ca="1" si="455"/>
        <v>1920000</v>
      </c>
      <c r="AH802" s="282">
        <f t="shared" ca="1" si="456"/>
        <v>49448758</v>
      </c>
      <c r="AI802" s="23" t="str">
        <f t="shared" ca="1" si="472"/>
        <v>67-8</v>
      </c>
      <c r="AJ802" s="282">
        <f ca="1">IF(E802&gt;111,,IF(AND(OP!$C$99=1,T802="F"),Z802,IF(AND(OP!$C$99=2,COUNTIF($T$4:T802,"F")=1),OP!$C$97+IF(F802="F",OP!$C$98,0),"")))</f>
        <v>0</v>
      </c>
      <c r="AK802" s="282">
        <f ca="1">IF(E802&gt;111,,IF(AND(OP!$D$99=1,T802="F"),AA802,IF(AND(OP!$D$99=2,COUNTIF($T$4:T802,"F")=1),OP!$D$97+IF(F802="F",OP!$D$98,0),"")))</f>
        <v>0</v>
      </c>
      <c r="AL802" s="282">
        <f ca="1">IF(E802&gt;111,,IF(AND(OP!$E$99=1,T802="F"),AB802,IF(AND(OP!$E$99=2,COUNTIF($T$4:T802,"F")=1),OP!$E$97+IF(F802="F",OP!$E$98,0),"")))</f>
        <v>0</v>
      </c>
      <c r="AM802" s="1">
        <f t="shared" ca="1" si="446"/>
        <v>8</v>
      </c>
      <c r="AN802" s="1" t="e">
        <f ca="1">IF(OR(VLOOKUP($A802,MP,5,0)="半年繳",VLOOKUP($A802,MP,5,0)="季繳",VLOOKUP($A802,MP,5,0)="月繳"),1,"")</f>
        <v>#N/A</v>
      </c>
      <c r="AO802" s="1">
        <f t="shared" ca="1" si="457"/>
        <v>0</v>
      </c>
      <c r="AP802" s="1" t="str">
        <f ca="1">IF(AND(A802&lt;=OP!$C$120,COUNTIF(PAY,C802)=1),1,"")</f>
        <v/>
      </c>
      <c r="AR802" s="301">
        <f ca="1">IF(繳費報酬率資料!$A$1=1,$AY802+$AZ802,$BF802+$BG802)</f>
        <v>0</v>
      </c>
      <c r="AS802" s="1">
        <f ca="1">IF(C802&lt;&gt;IF($C$3=1,12,$C$3-1),0,IF(繳費報酬率資料!$A$1&lt;&gt;1,VLOOKUP($A802,MP,8,0),IF(AND($A802&gt;=OP!$C$79,$A802&lt;=OP!$C$80),OP!$C$78,)))</f>
        <v>0</v>
      </c>
      <c r="AT802" s="298">
        <f t="shared" ca="1" si="458"/>
        <v>0</v>
      </c>
      <c r="AU802" s="298">
        <f ca="1">IF(AND(A802&lt;=OP!$C$120,COUNTIF(PAY,C802)=1),OP!$C$123,0)</f>
        <v>0</v>
      </c>
      <c r="AV802" s="298">
        <f ca="1">IF(AND(A802&gt;=OP!$C$132,A802&lt;=OP!$C$133,$C$3=C802),OP!$C$135,0)</f>
        <v>0</v>
      </c>
      <c r="AW802" s="180">
        <f t="shared" ca="1" si="459"/>
        <v>0.05</v>
      </c>
      <c r="AX802" s="180">
        <f t="shared" ca="1" si="460"/>
        <v>0.05</v>
      </c>
      <c r="AY802" s="286">
        <f t="shared" ca="1" si="461"/>
        <v>0</v>
      </c>
      <c r="AZ802" s="286">
        <f t="shared" ca="1" si="462"/>
        <v>0</v>
      </c>
      <c r="BA802" s="286">
        <f t="shared" ca="1" si="463"/>
        <v>0</v>
      </c>
      <c r="BB802" s="286">
        <f t="shared" ca="1" si="464"/>
        <v>0</v>
      </c>
      <c r="BC802" s="286">
        <f t="shared" ca="1" si="465"/>
        <v>0</v>
      </c>
      <c r="BD802" s="180">
        <f t="shared" ca="1" si="466"/>
        <v>0.05</v>
      </c>
      <c r="BE802" s="180">
        <f t="shared" ca="1" si="467"/>
        <v>0.05</v>
      </c>
      <c r="BF802" s="286">
        <f t="shared" ca="1" si="468"/>
        <v>0</v>
      </c>
      <c r="BG802" s="286">
        <f t="shared" ca="1" si="469"/>
        <v>0</v>
      </c>
    </row>
    <row r="803" spans="1:59">
      <c r="A803" s="1">
        <f t="shared" ca="1" si="448"/>
        <v>67</v>
      </c>
      <c r="B803" s="1">
        <f t="shared" ca="1" si="442"/>
        <v>173</v>
      </c>
      <c r="C803" s="1">
        <f t="shared" ca="1" si="443"/>
        <v>1</v>
      </c>
      <c r="D803" s="1">
        <f ca="1">MIN($D$3,VLOOKUP(C803,OP!$S$30:$T$41,2))</f>
        <v>2</v>
      </c>
      <c r="E803" s="1" t="str">
        <f t="shared" ca="1" si="444"/>
        <v/>
      </c>
      <c r="F803" s="11" t="str">
        <f t="shared" ca="1" si="449"/>
        <v/>
      </c>
      <c r="G803" s="8">
        <f t="shared" ca="1" si="474"/>
        <v>366</v>
      </c>
      <c r="H803" s="8">
        <f t="shared" ca="1" si="451"/>
        <v>31</v>
      </c>
      <c r="I803" s="8" t="str">
        <f t="shared" ca="1" si="447"/>
        <v>671</v>
      </c>
      <c r="J803" s="13">
        <f>IF(繳費報酬率資料!$A$1=1,VALUE(OP!$C$121),VLOOKUP(A803,MP,2,0))</f>
        <v>0.05</v>
      </c>
      <c r="K803" s="14">
        <f ca="1">IF(SUM($K$4:K802,IF(繳費報酬率資料!$A$1=1,$AU803+$AV803,$BB803+$BC803))&gt;OP!$L$58,0,IF(繳費報酬率資料!$A$1=1,$AU803+$AV803,$BB803+$BC803))</f>
        <v>0</v>
      </c>
      <c r="L803" s="2"/>
      <c r="M803" s="2"/>
      <c r="N803" s="2"/>
      <c r="O803" s="261">
        <f t="shared" ca="1" si="452"/>
        <v>0</v>
      </c>
      <c r="P803" s="261">
        <f t="shared" ca="1" si="470"/>
        <v>0</v>
      </c>
      <c r="Q803" s="3">
        <f ca="1">IF(A803&gt;MAX(OP!$R$17:$R$26),0,VLOOKUP(A803,fees,3,FALSE))</f>
        <v>0</v>
      </c>
      <c r="R803" s="200" t="str">
        <f t="shared" ca="1" si="453"/>
        <v/>
      </c>
      <c r="S803" s="9" t="str">
        <f ca="1">IF(COUNTIF(($T$4:T802),"F")&gt;=1,"",IF(OR(C804&lt;&gt;$C$3,E803=""),"",A803))</f>
        <v/>
      </c>
      <c r="T803" s="20" t="str">
        <f t="shared" ca="1" si="445"/>
        <v/>
      </c>
      <c r="U803" s="2">
        <f ca="1">IF(IF(OP!$C$83=1,$Z802,IF(OP!$C$83=2,$AA802,IF(OP!$C$83=3,$AB802,)))+$K803-$O803-$P803-$AS803&lt;OP!$C$142,0,$AS803)</f>
        <v>0</v>
      </c>
      <c r="V803" s="9"/>
      <c r="W803" s="19">
        <f ca="1">MAX(SUM($K$4:K803),0)</f>
        <v>2000000</v>
      </c>
      <c r="X803" s="19"/>
      <c r="Y803" s="19">
        <f t="shared" ca="1" si="471"/>
        <v>1920000</v>
      </c>
      <c r="Z803" s="2">
        <f ca="1">IF(MIN($Z$4:Z802)=0,0,MAX(0,($Z802+$K803-$O803-$P803)*IF(AND(F803="F",$D$3&lt;&gt;$G$3),((1+(-J803))^(H803/MIN(G803,365))),((1+(-J803))^(1/12)))-$U803))</f>
        <v>62835.95904439575</v>
      </c>
      <c r="AA803" s="2">
        <f ca="1">IF(MIN($AA$4:AA802)=0,0,MAX(0,($AA802+$K803-$O803-$P803)*IF(AND(F803="F",$D$3&lt;&gt;$G$3),((1+$AA$1)^(H803/MIN(G803,365))),((1+$AA$1)^(1/12)))-$U803))</f>
        <v>1920000</v>
      </c>
      <c r="AB803" s="2">
        <f ca="1">IF(MIN($AB$4:AB802)=0,0,MAX(0,($AB802+$K803-$O803-$P803)*IF(AND(F803="F",$D$3&lt;&gt;$G$3),((1+(J803))^(H803/MIN(G803,365))),((1+(J803))^(1/12)))-$U803))</f>
        <v>49650218.800287455</v>
      </c>
      <c r="AC803" s="5"/>
      <c r="AD803" s="5"/>
      <c r="AE803" s="5"/>
      <c r="AF803" s="282">
        <f t="shared" ca="1" si="454"/>
        <v>62836</v>
      </c>
      <c r="AG803" s="282">
        <f t="shared" ca="1" si="455"/>
        <v>1920000</v>
      </c>
      <c r="AH803" s="282">
        <f t="shared" ca="1" si="456"/>
        <v>49650219</v>
      </c>
      <c r="AI803" s="23" t="str">
        <f t="shared" ca="1" si="472"/>
        <v>67-9</v>
      </c>
      <c r="AJ803" s="282">
        <f ca="1">IF(E803&gt;111,,IF(AND(OP!$C$99=1,T803="F"),Z803,IF(AND(OP!$C$99=2,COUNTIF($T$4:T803,"F")=1),OP!$C$97+IF(F803="F",OP!$C$98,0),"")))</f>
        <v>0</v>
      </c>
      <c r="AK803" s="282">
        <f ca="1">IF(E803&gt;111,,IF(AND(OP!$D$99=1,T803="F"),AA803,IF(AND(OP!$D$99=2,COUNTIF($T$4:T803,"F")=1),OP!$D$97+IF(F803="F",OP!$D$98,0),"")))</f>
        <v>0</v>
      </c>
      <c r="AL803" s="282">
        <f ca="1">IF(E803&gt;111,,IF(AND(OP!$E$99=1,T803="F"),AB803,IF(AND(OP!$E$99=2,COUNTIF($T$4:T803,"F")=1),OP!$E$97+IF(F803="F",OP!$E$98,0),"")))</f>
        <v>0</v>
      </c>
      <c r="AM803" s="1">
        <f t="shared" ca="1" si="446"/>
        <v>9</v>
      </c>
      <c r="AN803" s="1" t="e">
        <f ca="1">IF(OR(VLOOKUP($A803,MP,5,0)="月繳"),1,"")</f>
        <v>#N/A</v>
      </c>
      <c r="AO803" s="1">
        <f t="shared" ca="1" si="457"/>
        <v>0</v>
      </c>
      <c r="AP803" s="1" t="str">
        <f ca="1">IF(AND(A803&lt;=OP!$C$120,COUNTIF(PAY,C803)=1),1,"")</f>
        <v/>
      </c>
      <c r="AR803" s="301">
        <f ca="1">IF(繳費報酬率資料!$A$1=1,$AY803+$AZ803,$BF803+$BG803)</f>
        <v>0</v>
      </c>
      <c r="AS803" s="1">
        <f ca="1">IF(C803&lt;&gt;IF($C$3=1,12,$C$3-1),0,IF(繳費報酬率資料!$A$1&lt;&gt;1,VLOOKUP($A803,MP,8,0),IF(AND($A803&gt;=OP!$C$79,$A803&lt;=OP!$C$80),OP!$C$78,)))</f>
        <v>0</v>
      </c>
      <c r="AT803" s="298">
        <f t="shared" ca="1" si="458"/>
        <v>0</v>
      </c>
      <c r="AU803" s="298">
        <f ca="1">IF(AND(A803&lt;=OP!$C$120,COUNTIF(PAY,C803)=1),OP!$C$123,0)</f>
        <v>0</v>
      </c>
      <c r="AV803" s="298">
        <f ca="1">IF(AND(A803&gt;=OP!$C$132,A803&lt;=OP!$C$133,$C$3=C803),OP!$C$135,0)</f>
        <v>0</v>
      </c>
      <c r="AW803" s="180">
        <f t="shared" ca="1" si="459"/>
        <v>0.05</v>
      </c>
      <c r="AX803" s="180">
        <f t="shared" ca="1" si="460"/>
        <v>0.05</v>
      </c>
      <c r="AY803" s="286">
        <f t="shared" ca="1" si="461"/>
        <v>0</v>
      </c>
      <c r="AZ803" s="286">
        <f t="shared" ca="1" si="462"/>
        <v>0</v>
      </c>
      <c r="BA803" s="286">
        <f t="shared" ca="1" si="463"/>
        <v>0</v>
      </c>
      <c r="BB803" s="286">
        <f t="shared" ca="1" si="464"/>
        <v>0</v>
      </c>
      <c r="BC803" s="286">
        <f t="shared" ca="1" si="465"/>
        <v>0</v>
      </c>
      <c r="BD803" s="180">
        <f t="shared" ca="1" si="466"/>
        <v>0.05</v>
      </c>
      <c r="BE803" s="180">
        <f t="shared" ca="1" si="467"/>
        <v>0.05</v>
      </c>
      <c r="BF803" s="286">
        <f t="shared" ca="1" si="468"/>
        <v>0</v>
      </c>
      <c r="BG803" s="286">
        <f t="shared" ca="1" si="469"/>
        <v>0</v>
      </c>
    </row>
    <row r="804" spans="1:59">
      <c r="A804" s="1">
        <f t="shared" ca="1" si="448"/>
        <v>67</v>
      </c>
      <c r="B804" s="1">
        <f t="shared" ca="1" si="442"/>
        <v>173</v>
      </c>
      <c r="C804" s="1">
        <f t="shared" ca="1" si="443"/>
        <v>2</v>
      </c>
      <c r="D804" s="1">
        <f ca="1">MIN($D$3,VLOOKUP(C804,OP!$S$30:$T$41,2))</f>
        <v>2</v>
      </c>
      <c r="E804" s="1" t="str">
        <f t="shared" ca="1" si="444"/>
        <v/>
      </c>
      <c r="F804" s="11" t="str">
        <f t="shared" ca="1" si="449"/>
        <v/>
      </c>
      <c r="G804" s="8">
        <f t="shared" ca="1" si="474"/>
        <v>366</v>
      </c>
      <c r="H804" s="8">
        <f t="shared" ca="1" si="451"/>
        <v>29</v>
      </c>
      <c r="I804" s="8" t="str">
        <f t="shared" ca="1" si="447"/>
        <v>672</v>
      </c>
      <c r="J804" s="13">
        <f>IF(繳費報酬率資料!$A$1=1,VALUE(OP!$C$121),VLOOKUP(A804,MP,2,0))</f>
        <v>0.05</v>
      </c>
      <c r="K804" s="14">
        <f ca="1">IF(SUM($K$4:K803,IF(繳費報酬率資料!$A$1=1,$AU804+$AV804,$BB804+$BC804))&gt;OP!$L$58,0,IF(繳費報酬率資料!$A$1=1,$AU804+$AV804,$BB804+$BC804))</f>
        <v>0</v>
      </c>
      <c r="L804" s="2"/>
      <c r="M804" s="2"/>
      <c r="N804" s="2"/>
      <c r="O804" s="261">
        <f t="shared" ca="1" si="452"/>
        <v>0</v>
      </c>
      <c r="P804" s="261">
        <f t="shared" ca="1" si="470"/>
        <v>0</v>
      </c>
      <c r="Q804" s="3">
        <f ca="1">IF(A804&gt;MAX(OP!$R$17:$R$26),0,VLOOKUP(A804,fees,3,FALSE))</f>
        <v>0</v>
      </c>
      <c r="R804" s="200" t="str">
        <f t="shared" ca="1" si="453"/>
        <v/>
      </c>
      <c r="S804" s="9" t="str">
        <f ca="1">IF(COUNTIF(($T$4:T803),"F")&gt;=1,"",IF(OR(C805&lt;&gt;$C$3,E804=""),"",A804))</f>
        <v/>
      </c>
      <c r="T804" s="20" t="str">
        <f t="shared" ca="1" si="445"/>
        <v/>
      </c>
      <c r="U804" s="2">
        <f ca="1">IF(IF(OP!$C$83=1,$Z803,IF(OP!$C$83=2,$AA803,IF(OP!$C$83=3,$AB803,)))+$K804-$O804-$P804-$AS804&lt;OP!$C$142,0,$AS804)</f>
        <v>0</v>
      </c>
      <c r="V804" s="9"/>
      <c r="W804" s="19">
        <f ca="1">MAX(SUM($K$4:K804),0)</f>
        <v>2000000</v>
      </c>
      <c r="X804" s="19"/>
      <c r="Y804" s="19">
        <f t="shared" ca="1" si="471"/>
        <v>1920000</v>
      </c>
      <c r="Z804" s="2">
        <f ca="1">IF(MIN($Z$4:Z803)=0,0,MAX(0,($Z803+$K804-$O804-$P804)*IF(AND(F804="F",$D$3&lt;&gt;$G$3),((1+(-J804))^(H804/MIN(G804,365))),((1+(-J804))^(1/12)))-$U804))</f>
        <v>62567.943648377659</v>
      </c>
      <c r="AA804" s="2">
        <f ca="1">IF(MIN($AA$4:AA803)=0,0,MAX(0,($AA803+$K804-$O804-$P804)*IF(AND(F804="F",$D$3&lt;&gt;$G$3),((1+$AA$1)^(H804/MIN(G804,365))),((1+$AA$1)^(1/12)))-$U804))</f>
        <v>1920000</v>
      </c>
      <c r="AB804" s="2">
        <f ca="1">IF(MIN($AB$4:AB803)=0,0,MAX(0,($AB803+$K804-$O804-$P804)*IF(AND(F804="F",$D$3&lt;&gt;$G$3),((1+(J804))^(H804/MIN(G804,365))),((1+(J804))^(1/12)))-$U804))</f>
        <v>49852499.937565051</v>
      </c>
      <c r="AC804" s="5"/>
      <c r="AD804" s="5"/>
      <c r="AE804" s="5"/>
      <c r="AF804" s="282">
        <f t="shared" ca="1" si="454"/>
        <v>62568</v>
      </c>
      <c r="AG804" s="282">
        <f t="shared" ca="1" si="455"/>
        <v>1920000</v>
      </c>
      <c r="AH804" s="282">
        <f t="shared" ca="1" si="456"/>
        <v>49852500</v>
      </c>
      <c r="AI804" s="23" t="str">
        <f t="shared" ca="1" si="472"/>
        <v>67-10</v>
      </c>
      <c r="AJ804" s="282">
        <f ca="1">IF(E804&gt;111,,IF(AND(OP!$C$99=1,T804="F"),Z804,IF(AND(OP!$C$99=2,COUNTIF($T$4:T804,"F")=1),OP!$C$97+IF(F804="F",OP!$C$98,0),"")))</f>
        <v>0</v>
      </c>
      <c r="AK804" s="282">
        <f ca="1">IF(E804&gt;111,,IF(AND(OP!$D$99=1,T804="F"),AA804,IF(AND(OP!$D$99=2,COUNTIF($T$4:T804,"F")=1),OP!$D$97+IF(F804="F",OP!$D$98,0),"")))</f>
        <v>0</v>
      </c>
      <c r="AL804" s="282">
        <f ca="1">IF(E804&gt;111,,IF(AND(OP!$E$99=1,T804="F"),AB804,IF(AND(OP!$E$99=2,COUNTIF($T$4:T804,"F")=1),OP!$E$97+IF(F804="F",OP!$E$98,0),"")))</f>
        <v>0</v>
      </c>
      <c r="AM804" s="1">
        <f t="shared" ca="1" si="446"/>
        <v>10</v>
      </c>
      <c r="AN804" s="1" t="e">
        <f ca="1">IF(OR(VLOOKUP($A804,MP,5,0)="月繳"),1,"")</f>
        <v>#N/A</v>
      </c>
      <c r="AO804" s="1">
        <f t="shared" ca="1" si="457"/>
        <v>0</v>
      </c>
      <c r="AP804" s="1" t="str">
        <f ca="1">IF(AND(A804&lt;=OP!$C$120,COUNTIF(PAY,C804)=1),1,"")</f>
        <v/>
      </c>
      <c r="AR804" s="301">
        <f ca="1">IF(繳費報酬率資料!$A$1=1,$AY804+$AZ804,$BF804+$BG804)</f>
        <v>0</v>
      </c>
      <c r="AS804" s="1">
        <f ca="1">IF(C804&lt;&gt;IF($C$3=1,12,$C$3-1),0,IF(繳費報酬率資料!$A$1&lt;&gt;1,VLOOKUP($A804,MP,8,0),IF(AND($A804&gt;=OP!$C$79,$A804&lt;=OP!$C$80),OP!$C$78,)))</f>
        <v>0</v>
      </c>
      <c r="AT804" s="298">
        <f t="shared" ca="1" si="458"/>
        <v>0</v>
      </c>
      <c r="AU804" s="298">
        <f ca="1">IF(AND(A804&lt;=OP!$C$120,COUNTIF(PAY,C804)=1),OP!$C$123,0)</f>
        <v>0</v>
      </c>
      <c r="AV804" s="298">
        <f ca="1">IF(AND(A804&gt;=OP!$C$132,A804&lt;=OP!$C$133,$C$3=C804),OP!$C$135,0)</f>
        <v>0</v>
      </c>
      <c r="AW804" s="180">
        <f t="shared" ca="1" si="459"/>
        <v>0.05</v>
      </c>
      <c r="AX804" s="180">
        <f t="shared" ca="1" si="460"/>
        <v>0.05</v>
      </c>
      <c r="AY804" s="286">
        <f t="shared" ca="1" si="461"/>
        <v>0</v>
      </c>
      <c r="AZ804" s="286">
        <f t="shared" ca="1" si="462"/>
        <v>0</v>
      </c>
      <c r="BA804" s="286">
        <f t="shared" ca="1" si="463"/>
        <v>0</v>
      </c>
      <c r="BB804" s="286">
        <f t="shared" ca="1" si="464"/>
        <v>0</v>
      </c>
      <c r="BC804" s="286">
        <f t="shared" ca="1" si="465"/>
        <v>0</v>
      </c>
      <c r="BD804" s="180">
        <f t="shared" ca="1" si="466"/>
        <v>0.05</v>
      </c>
      <c r="BE804" s="180">
        <f t="shared" ca="1" si="467"/>
        <v>0.05</v>
      </c>
      <c r="BF804" s="286">
        <f t="shared" ca="1" si="468"/>
        <v>0</v>
      </c>
      <c r="BG804" s="286">
        <f t="shared" ca="1" si="469"/>
        <v>0</v>
      </c>
    </row>
    <row r="805" spans="1:59">
      <c r="A805" s="1">
        <f t="shared" ca="1" si="448"/>
        <v>67</v>
      </c>
      <c r="B805" s="1">
        <f t="shared" ca="1" si="442"/>
        <v>173</v>
      </c>
      <c r="C805" s="1">
        <f t="shared" ca="1" si="443"/>
        <v>3</v>
      </c>
      <c r="D805" s="1">
        <f ca="1">MIN($D$3,VLOOKUP(C805,OP!$S$30:$T$41,2))</f>
        <v>2</v>
      </c>
      <c r="E805" s="1" t="str">
        <f t="shared" ca="1" si="444"/>
        <v/>
      </c>
      <c r="F805" s="11" t="str">
        <f t="shared" ca="1" si="449"/>
        <v/>
      </c>
      <c r="G805" s="8">
        <f t="shared" ca="1" si="474"/>
        <v>366</v>
      </c>
      <c r="H805" s="8">
        <f t="shared" ca="1" si="451"/>
        <v>31</v>
      </c>
      <c r="I805" s="8" t="str">
        <f t="shared" ca="1" si="447"/>
        <v>673</v>
      </c>
      <c r="J805" s="13">
        <f>IF(繳費報酬率資料!$A$1=1,VALUE(OP!$C$121),VLOOKUP(A805,MP,2,0))</f>
        <v>0.05</v>
      </c>
      <c r="K805" s="14">
        <f ca="1">IF(SUM($K$4:K804,IF(繳費報酬率資料!$A$1=1,$AU805+$AV805,$BB805+$BC805))&gt;OP!$L$58,0,IF(繳費報酬率資料!$A$1=1,$AU805+$AV805,$BB805+$BC805))</f>
        <v>0</v>
      </c>
      <c r="L805" s="2"/>
      <c r="M805" s="2"/>
      <c r="N805" s="2"/>
      <c r="O805" s="261">
        <f t="shared" ca="1" si="452"/>
        <v>0</v>
      </c>
      <c r="P805" s="261">
        <f t="shared" ca="1" si="470"/>
        <v>0</v>
      </c>
      <c r="Q805" s="3">
        <f ca="1">IF(A805&gt;MAX(OP!$R$17:$R$26),0,VLOOKUP(A805,fees,3,FALSE))</f>
        <v>0</v>
      </c>
      <c r="R805" s="200" t="str">
        <f t="shared" ca="1" si="453"/>
        <v/>
      </c>
      <c r="S805" s="9" t="str">
        <f ca="1">IF(COUNTIF(($T$4:T804),"F")&gt;=1,"",IF(OR(C806&lt;&gt;$C$3,E805=""),"",A805))</f>
        <v/>
      </c>
      <c r="T805" s="20" t="str">
        <f t="shared" ca="1" si="445"/>
        <v/>
      </c>
      <c r="U805" s="2">
        <f ca="1">IF(IF(OP!$C$83=1,$Z804,IF(OP!$C$83=2,$AA804,IF(OP!$C$83=3,$AB804,)))+$K805-$O805-$P805-$AS805&lt;OP!$C$142,0,$AS805)</f>
        <v>0</v>
      </c>
      <c r="V805" s="9"/>
      <c r="W805" s="19">
        <f ca="1">MAX(SUM($K$4:K805),0)</f>
        <v>2000000</v>
      </c>
      <c r="X805" s="19"/>
      <c r="Y805" s="19">
        <f t="shared" ca="1" si="471"/>
        <v>1920000</v>
      </c>
      <c r="Z805" s="2">
        <f ca="1">IF(MIN($Z$4:Z804)=0,0,MAX(0,($Z804+$K805-$O805-$P805)*IF(AND(F805="F",$D$3&lt;&gt;$G$3),((1+(-J805))^(H805/MIN(G805,365))),((1+(-J805))^(1/12)))-$U805))</f>
        <v>62301.071423460875</v>
      </c>
      <c r="AA805" s="2">
        <f ca="1">IF(MIN($AA$4:AA804)=0,0,MAX(0,($AA804+$K805-$O805-$P805)*IF(AND(F805="F",$D$3&lt;&gt;$G$3),((1+$AA$1)^(H805/MIN(G805,365))),((1+$AA$1)^(1/12)))-$U805))</f>
        <v>1920000</v>
      </c>
      <c r="AB805" s="2">
        <f ca="1">IF(MIN($AB$4:AB804)=0,0,MAX(0,($AB804+$K805-$O805-$P805)*IF(AND(F805="F",$D$3&lt;&gt;$G$3),((1+(J805))^(H805/MIN(G805,365))),((1+(J805))^(1/12)))-$U805))</f>
        <v>50055605.19323501</v>
      </c>
      <c r="AC805" s="5"/>
      <c r="AD805" s="5"/>
      <c r="AE805" s="5"/>
      <c r="AF805" s="282">
        <f t="shared" ca="1" si="454"/>
        <v>62301</v>
      </c>
      <c r="AG805" s="282">
        <f t="shared" ca="1" si="455"/>
        <v>1920000</v>
      </c>
      <c r="AH805" s="282">
        <f t="shared" ca="1" si="456"/>
        <v>50055605</v>
      </c>
      <c r="AI805" s="23" t="str">
        <f t="shared" ca="1" si="472"/>
        <v>67-11</v>
      </c>
      <c r="AJ805" s="282">
        <f ca="1">IF(E805&gt;111,,IF(AND(OP!$C$99=1,T805="F"),Z805,IF(AND(OP!$C$99=2,COUNTIF($T$4:T805,"F")=1),OP!$C$97+IF(F805="F",OP!$C$98,0),"")))</f>
        <v>0</v>
      </c>
      <c r="AK805" s="282">
        <f ca="1">IF(E805&gt;111,,IF(AND(OP!$D$99=1,T805="F"),AA805,IF(AND(OP!$D$99=2,COUNTIF($T$4:T805,"F")=1),OP!$D$97+IF(F805="F",OP!$D$98,0),"")))</f>
        <v>0</v>
      </c>
      <c r="AL805" s="282">
        <f ca="1">IF(E805&gt;111,,IF(AND(OP!$E$99=1,T805="F"),AB805,IF(AND(OP!$E$99=2,COUNTIF($T$4:T805,"F")=1),OP!$E$97+IF(F805="F",OP!$E$98,0),"")))</f>
        <v>0</v>
      </c>
      <c r="AM805" s="1">
        <f t="shared" ca="1" si="446"/>
        <v>11</v>
      </c>
      <c r="AN805" s="1" t="e">
        <f ca="1">IF(OR(VLOOKUP($A805,MP,5,0)="季繳",VLOOKUP($A805,MP,5,0)="月繳"),1,"")</f>
        <v>#N/A</v>
      </c>
      <c r="AO805" s="1">
        <f t="shared" ca="1" si="457"/>
        <v>0</v>
      </c>
      <c r="AP805" s="1" t="str">
        <f ca="1">IF(AND(A805&lt;=OP!$C$120,COUNTIF(PAY,C805)=1),1,"")</f>
        <v/>
      </c>
      <c r="AR805" s="301">
        <f ca="1">IF(繳費報酬率資料!$A$1=1,$AY805+$AZ805,$BF805+$BG805)</f>
        <v>0</v>
      </c>
      <c r="AS805" s="1">
        <f ca="1">IF(C805&lt;&gt;IF($C$3=1,12,$C$3-1),0,IF(繳費報酬率資料!$A$1&lt;&gt;1,VLOOKUP($A805,MP,8,0),IF(AND($A805&gt;=OP!$C$79,$A805&lt;=OP!$C$80),OP!$C$78,)))</f>
        <v>0</v>
      </c>
      <c r="AT805" s="298">
        <f t="shared" ca="1" si="458"/>
        <v>0</v>
      </c>
      <c r="AU805" s="298">
        <f ca="1">IF(AND(A805&lt;=OP!$C$120,COUNTIF(PAY,C805)=1),OP!$C$123,0)</f>
        <v>0</v>
      </c>
      <c r="AV805" s="298">
        <f ca="1">IF(AND(A805&gt;=OP!$C$132,A805&lt;=OP!$C$133,$C$3=C805),OP!$C$135,0)</f>
        <v>0</v>
      </c>
      <c r="AW805" s="180">
        <f t="shared" ca="1" si="459"/>
        <v>0.05</v>
      </c>
      <c r="AX805" s="180">
        <f t="shared" ca="1" si="460"/>
        <v>0.05</v>
      </c>
      <c r="AY805" s="286">
        <f t="shared" ca="1" si="461"/>
        <v>0</v>
      </c>
      <c r="AZ805" s="286">
        <f t="shared" ca="1" si="462"/>
        <v>0</v>
      </c>
      <c r="BA805" s="286">
        <f t="shared" ca="1" si="463"/>
        <v>0</v>
      </c>
      <c r="BB805" s="286">
        <f t="shared" ca="1" si="464"/>
        <v>0</v>
      </c>
      <c r="BC805" s="286">
        <f t="shared" ca="1" si="465"/>
        <v>0</v>
      </c>
      <c r="BD805" s="180">
        <f t="shared" ca="1" si="466"/>
        <v>0.05</v>
      </c>
      <c r="BE805" s="180">
        <f t="shared" ca="1" si="467"/>
        <v>0.05</v>
      </c>
      <c r="BF805" s="286">
        <f t="shared" ca="1" si="468"/>
        <v>0</v>
      </c>
      <c r="BG805" s="286">
        <f t="shared" ca="1" si="469"/>
        <v>0</v>
      </c>
    </row>
    <row r="806" spans="1:59">
      <c r="A806" s="1">
        <f t="shared" ca="1" si="448"/>
        <v>67</v>
      </c>
      <c r="B806" s="1">
        <f t="shared" ca="1" si="442"/>
        <v>173</v>
      </c>
      <c r="C806" s="1">
        <f t="shared" ca="1" si="443"/>
        <v>4</v>
      </c>
      <c r="D806" s="1">
        <f ca="1">MIN($D$3,VLOOKUP(C806,OP!$S$30:$T$41,2))</f>
        <v>2</v>
      </c>
      <c r="E806" s="1" t="str">
        <f t="shared" ca="1" si="444"/>
        <v/>
      </c>
      <c r="F806" s="11" t="str">
        <f t="shared" ca="1" si="449"/>
        <v/>
      </c>
      <c r="G806" s="8">
        <f t="shared" ca="1" si="474"/>
        <v>366</v>
      </c>
      <c r="H806" s="8">
        <f t="shared" ca="1" si="451"/>
        <v>30</v>
      </c>
      <c r="I806" s="8" t="str">
        <f t="shared" ca="1" si="447"/>
        <v>674</v>
      </c>
      <c r="J806" s="13">
        <f>IF(繳費報酬率資料!$A$1=1,VALUE(OP!$C$121),VLOOKUP(A806,MP,2,0))</f>
        <v>0.05</v>
      </c>
      <c r="K806" s="14">
        <f ca="1">IF(SUM($K$4:K805,IF(繳費報酬率資料!$A$1=1,$AU806+$AV806,$BB806+$BC806))&gt;OP!$L$58,0,IF(繳費報酬率資料!$A$1=1,$AU806+$AV806,$BB806+$BC806))</f>
        <v>0</v>
      </c>
      <c r="L806" s="2"/>
      <c r="M806" s="2"/>
      <c r="N806" s="2"/>
      <c r="O806" s="261">
        <f t="shared" ca="1" si="452"/>
        <v>0</v>
      </c>
      <c r="P806" s="261">
        <f t="shared" ca="1" si="470"/>
        <v>0</v>
      </c>
      <c r="Q806" s="3">
        <f ca="1">IF(A806&gt;MAX(OP!$R$17:$R$26),0,VLOOKUP(A806,fees,3,FALSE))</f>
        <v>0</v>
      </c>
      <c r="R806" s="200" t="str">
        <f t="shared" ca="1" si="453"/>
        <v/>
      </c>
      <c r="S806" s="9" t="str">
        <f ca="1">IF(COUNTIF(($T$4:T805),"F")&gt;=1,"",IF(OR(C807&lt;&gt;$C$3,E806=""),"",A806))</f>
        <v/>
      </c>
      <c r="T806" s="20" t="str">
        <f t="shared" ca="1" si="445"/>
        <v/>
      </c>
      <c r="U806" s="2">
        <f ca="1">IF(IF(OP!$C$83=1,$Z805,IF(OP!$C$83=2,$AA805,IF(OP!$C$83=3,$AB805,)))+$K806-$O806-$P806-$AS806&lt;OP!$C$142,0,$AS806)</f>
        <v>0</v>
      </c>
      <c r="V806" s="9"/>
      <c r="W806" s="19">
        <f ca="1">MAX(SUM($K$4:K806),0)</f>
        <v>2000000</v>
      </c>
      <c r="X806" s="19"/>
      <c r="Y806" s="19">
        <f t="shared" ca="1" si="471"/>
        <v>1920000</v>
      </c>
      <c r="Z806" s="2">
        <f ca="1">IF(MIN($Z$4:Z805)=0,0,MAX(0,($Z805+$K806-$O806-$P806)*IF(AND(F806="F",$D$3&lt;&gt;$G$3),((1+(-J806))^(H806/MIN(G806,365))),((1+(-J806))^(1/12)))-$U806))</f>
        <v>62035.33749365624</v>
      </c>
      <c r="AA806" s="2">
        <f ca="1">IF(MIN($AA$4:AA805)=0,0,MAX(0,($AA805+$K806-$O806-$P806)*IF(AND(F806="F",$D$3&lt;&gt;$G$3),((1+$AA$1)^(H806/MIN(G806,365))),((1+$AA$1)^(1/12)))-$U806))</f>
        <v>1920000</v>
      </c>
      <c r="AB806" s="2">
        <f ca="1">IF(MIN($AB$4:AB805)=0,0,MAX(0,($AB805+$K806-$O806-$P806)*IF(AND(F806="F",$D$3&lt;&gt;$G$3),((1+(J806))^(H806/MIN(G806,365))),((1+(J806))^(1/12)))-$U806))</f>
        <v>50259537.924857683</v>
      </c>
      <c r="AC806" s="5"/>
      <c r="AD806" s="5"/>
      <c r="AE806" s="5"/>
      <c r="AF806" s="282">
        <f t="shared" ca="1" si="454"/>
        <v>62035</v>
      </c>
      <c r="AG806" s="282">
        <f t="shared" ca="1" si="455"/>
        <v>1920000</v>
      </c>
      <c r="AH806" s="282">
        <f t="shared" ca="1" si="456"/>
        <v>50259538</v>
      </c>
      <c r="AI806" s="23" t="str">
        <f t="shared" ca="1" si="472"/>
        <v>67-12</v>
      </c>
      <c r="AJ806" s="282">
        <f ca="1">IF(E806&gt;111,,IF(AND(OP!$C$99=1,T806="F"),Z806,IF(AND(OP!$C$99=2,COUNTIF($T$4:T806,"F")=1),OP!$C$97+IF(F806="F",OP!$C$98,0),"")))</f>
        <v>0</v>
      </c>
      <c r="AK806" s="282">
        <f ca="1">IF(E806&gt;111,,IF(AND(OP!$D$99=1,T806="F"),AA806,IF(AND(OP!$D$99=2,COUNTIF($T$4:T806,"F")=1),OP!$D$97+IF(F806="F",OP!$D$98,0),"")))</f>
        <v>0</v>
      </c>
      <c r="AL806" s="282">
        <f ca="1">IF(E806&gt;111,,IF(AND(OP!$E$99=1,T806="F"),AB806,IF(AND(OP!$E$99=2,COUNTIF($T$4:T806,"F")=1),OP!$E$97+IF(F806="F",OP!$E$98,0),"")))</f>
        <v>0</v>
      </c>
      <c r="AM806" s="1">
        <f t="shared" ca="1" si="446"/>
        <v>12</v>
      </c>
      <c r="AN806" s="1" t="e">
        <f ca="1">IF(OR(VLOOKUP($A806,MP,5,0)="月繳"),1,"")</f>
        <v>#N/A</v>
      </c>
      <c r="AO806" s="1">
        <f t="shared" ca="1" si="457"/>
        <v>0</v>
      </c>
      <c r="AP806" s="1" t="str">
        <f ca="1">IF(AND(A806&lt;=OP!$C$120,COUNTIF(PAY,C806)=1),1,"")</f>
        <v/>
      </c>
      <c r="AR806" s="301">
        <f ca="1">IF(繳費報酬率資料!$A$1=1,$AY806+$AZ806,$BF806+$BG806)</f>
        <v>0</v>
      </c>
      <c r="AS806" s="1">
        <f ca="1">IF(C806&lt;&gt;IF($C$3=1,12,$C$3-1),0,IF(繳費報酬率資料!$A$1&lt;&gt;1,VLOOKUP($A806,MP,8,0),IF(AND($A806&gt;=OP!$C$79,$A806&lt;=OP!$C$80),OP!$C$78,)))</f>
        <v>0</v>
      </c>
      <c r="AT806" s="298">
        <f t="shared" ca="1" si="458"/>
        <v>0</v>
      </c>
      <c r="AU806" s="298">
        <f ca="1">IF(AND(A806&lt;=OP!$C$120,COUNTIF(PAY,C806)=1),OP!$C$123,0)</f>
        <v>0</v>
      </c>
      <c r="AV806" s="298">
        <f ca="1">IF(AND(A806&gt;=OP!$C$132,A806&lt;=OP!$C$133,$C$3=C806),OP!$C$135,0)</f>
        <v>0</v>
      </c>
      <c r="AW806" s="180">
        <f t="shared" ca="1" si="459"/>
        <v>0.05</v>
      </c>
      <c r="AX806" s="180">
        <f t="shared" ca="1" si="460"/>
        <v>0.05</v>
      </c>
      <c r="AY806" s="286">
        <f t="shared" ca="1" si="461"/>
        <v>0</v>
      </c>
      <c r="AZ806" s="286">
        <f t="shared" ca="1" si="462"/>
        <v>0</v>
      </c>
      <c r="BA806" s="286">
        <f t="shared" ca="1" si="463"/>
        <v>0</v>
      </c>
      <c r="BB806" s="286">
        <f t="shared" ca="1" si="464"/>
        <v>0</v>
      </c>
      <c r="BC806" s="286">
        <f t="shared" ca="1" si="465"/>
        <v>0</v>
      </c>
      <c r="BD806" s="180">
        <f t="shared" ca="1" si="466"/>
        <v>0.05</v>
      </c>
      <c r="BE806" s="180">
        <f t="shared" ca="1" si="467"/>
        <v>0.05</v>
      </c>
      <c r="BF806" s="286">
        <f t="shared" ca="1" si="468"/>
        <v>0</v>
      </c>
      <c r="BG806" s="286">
        <f t="shared" ca="1" si="469"/>
        <v>0</v>
      </c>
    </row>
    <row r="807" spans="1:59">
      <c r="A807" s="1">
        <f t="shared" ca="1" si="448"/>
        <v>67</v>
      </c>
      <c r="B807" s="1">
        <f t="shared" ca="1" si="442"/>
        <v>173</v>
      </c>
      <c r="C807" s="1">
        <f t="shared" ca="1" si="443"/>
        <v>5</v>
      </c>
      <c r="D807" s="1">
        <f ca="1">MIN($D$3,VLOOKUP(C807,OP!$S$30:$T$41,2))</f>
        <v>2</v>
      </c>
      <c r="E807" s="1" t="str">
        <f t="shared" ca="1" si="444"/>
        <v/>
      </c>
      <c r="F807" s="11" t="str">
        <f t="shared" ca="1" si="449"/>
        <v/>
      </c>
      <c r="G807" s="8">
        <f t="shared" ca="1" si="474"/>
        <v>366</v>
      </c>
      <c r="H807" s="8">
        <f t="shared" ca="1" si="451"/>
        <v>31</v>
      </c>
      <c r="I807" s="8" t="str">
        <f t="shared" ca="1" si="447"/>
        <v>675</v>
      </c>
      <c r="J807" s="13">
        <f>IF(繳費報酬率資料!$A$1=1,VALUE(OP!$C$121),VLOOKUP(A807,MP,2,0))</f>
        <v>0.05</v>
      </c>
      <c r="K807" s="14">
        <f ca="1">IF(SUM($K$4:K806,IF(繳費報酬率資料!$A$1=1,$AU807+$AV807,$BB807+$BC807))&gt;OP!$L$58,0,IF(繳費報酬率資料!$A$1=1,$AU807+$AV807,$BB807+$BC807))</f>
        <v>0</v>
      </c>
      <c r="L807" s="2">
        <f ca="1">ROUND(IF(OP!$C$78&lt;(IF(OR($T807="F",$E807&gt;=111),0,Z806+$K807-$O807+IF($C$1=1,OP!$C$78,IF($C808=$C$3,SUM(AC796:AC807,0)))))*5%,0,(OP!$C$78-((IF(OR($T807="F",$E807&gt;=111),0,Z806+$K807-$O807+IF($C$1=1,AC807,IF($C808=$C$3,SUM(AC796:AC807,0)))))*5%))*$Q807),0)</f>
        <v>0</v>
      </c>
      <c r="M807" s="2">
        <f ca="1">ROUND(IF(OP!$C$78&lt;(IF(OR($T807="F",$E807&gt;=111),0,AA806+$K807-$O807+IF($C$1=1,AD807,IF($C808=$C$3,SUM(AD796:AD807,0)))))*5%,0,(OP!$C$78-((IF(OR($T807="F",$E807&gt;=111),0,AA806+$K807-$O807+IF($C$1=1,AD807,IF($C808=$C$3,SUM(AD796:AD807,0)))))*5%))*$Q807),0)</f>
        <v>0</v>
      </c>
      <c r="N807" s="2">
        <f ca="1">ROUND(IF(OP!$C$78&lt;(IF(OR($T807="F",$E807&gt;=111),0,AB806+$K807-$O807+IF($C$1=1,AE807,IF($C808=$C$3,SUM(AE796:AE807,0)))))*5%,0,(OP!$C$78-((IF(OR($T807="F",$E807&gt;=111),0,AB806+$K807-$O807+IF($C$1=1,AE807,IF($C808=$C$3,SUM(AE796:AE807,0)))))*5%))*$Q807),0)</f>
        <v>0</v>
      </c>
      <c r="O807" s="261">
        <f t="shared" ca="1" si="452"/>
        <v>0</v>
      </c>
      <c r="P807" s="261">
        <f t="shared" ca="1" si="470"/>
        <v>0</v>
      </c>
      <c r="Q807" s="3">
        <f ca="1">IF(A807&gt;MAX(OP!$R$17:$R$26),0,VLOOKUP(A807,fees,3,FALSE))</f>
        <v>0</v>
      </c>
      <c r="R807" s="200" t="str">
        <f t="shared" ca="1" si="453"/>
        <v/>
      </c>
      <c r="S807" s="9" t="str">
        <f ca="1">IF(COUNTIF(($T$4:T806),"F")&gt;=1,"",IF(OR(C808&lt;&gt;$C$3,E807=""),"",A807))</f>
        <v/>
      </c>
      <c r="T807" s="20" t="str">
        <f t="shared" ca="1" si="445"/>
        <v/>
      </c>
      <c r="U807" s="2">
        <f ca="1">IF(IF(OP!$C$83=1,$Z806,IF(OP!$C$83=2,$AA806,IF(OP!$C$83=3,$AB806,)))+$K807-$O807-$P807-$AS807&lt;OP!$C$142,0,$AS807)</f>
        <v>0</v>
      </c>
      <c r="V807" s="19">
        <f ca="1">SUM(K796:K807)</f>
        <v>0</v>
      </c>
      <c r="W807" s="19">
        <f ca="1">MAX(SUM($K$4:K807),0)</f>
        <v>2000000</v>
      </c>
      <c r="X807" s="19">
        <f ca="1">SUM(O796:P807)</f>
        <v>0</v>
      </c>
      <c r="Y807" s="19">
        <f t="shared" ca="1" si="471"/>
        <v>1920000</v>
      </c>
      <c r="Z807" s="2">
        <f ca="1">IF(MIN($Z$4:Z806)=0,0,MAX(0,($Z806+$K807-$O807-$P807)*IF(AND(F807="F",$D$3&lt;&gt;$G$3),((1+(-J807))^(H807/MIN(G807,365))),((1+(-J807))^(1/12)))-$U807))</f>
        <v>61770.737003772236</v>
      </c>
      <c r="AA807" s="2">
        <f ca="1">IF(MIN($AA$4:AA806)=0,0,MAX(0,($AA806+$K807-$O807-$P807)*IF(AND(F807="F",$D$3&lt;&gt;$G$3),((1+$AA$1)^(H807/MIN(G807,365))),((1+$AA$1)^(1/12)))-$U807))</f>
        <v>1920000</v>
      </c>
      <c r="AB807" s="2">
        <f ca="1">IF(MIN($AB$4:AB806)=0,0,MAX(0,($AB806+$K807-$O807-$P807)*IF(AND(F807="F",$D$3&lt;&gt;$G$3),((1+(J807))^(H807/MIN(G807,365))),((1+(J807))^(1/12)))-$U807))</f>
        <v>50464301.503672525</v>
      </c>
      <c r="AC807" s="5"/>
      <c r="AD807" s="5"/>
      <c r="AE807" s="5"/>
      <c r="AF807" s="282">
        <f t="shared" ca="1" si="454"/>
        <v>61771</v>
      </c>
      <c r="AG807" s="282">
        <f t="shared" ca="1" si="455"/>
        <v>1920000</v>
      </c>
      <c r="AH807" s="282">
        <f t="shared" ca="1" si="456"/>
        <v>50464302</v>
      </c>
      <c r="AI807" s="23" t="str">
        <f t="shared" ca="1" si="472"/>
        <v>68-1</v>
      </c>
      <c r="AJ807" s="282">
        <f ca="1">IF(E807&gt;111,,IF(AND(OP!$C$99=1,T807="F"),Z807,IF(AND(OP!$C$99=2,COUNTIF($T$4:T807,"F")=1),OP!$C$97+IF(F807="F",OP!$C$98,0),"")))</f>
        <v>0</v>
      </c>
      <c r="AK807" s="282">
        <f ca="1">IF(E807&gt;111,,IF(AND(OP!$D$99=1,T807="F"),AA807,IF(AND(OP!$D$99=2,COUNTIF($T$4:T807,"F")=1),OP!$D$97+IF(F807="F",OP!$D$98,0),"")))</f>
        <v>0</v>
      </c>
      <c r="AL807" s="282">
        <f ca="1">IF(E807&gt;111,,IF(AND(OP!$E$99=1,T807="F"),AB807,IF(AND(OP!$E$99=2,COUNTIF($T$4:T807,"F")=1),OP!$E$97+IF(F807="F",OP!$E$98,0),"")))</f>
        <v>0</v>
      </c>
      <c r="AM807" s="1">
        <f t="shared" ca="1" si="446"/>
        <v>1</v>
      </c>
      <c r="AN807" s="1" t="e">
        <f ca="1">IF(OR(VLOOKUP($A807,MP,5,0)="月繳"),1,"")</f>
        <v>#N/A</v>
      </c>
      <c r="AO807" s="1">
        <f t="shared" ca="1" si="457"/>
        <v>0</v>
      </c>
      <c r="AP807" s="1" t="str">
        <f ca="1">IF(AND(A807&lt;=OP!$C$120,COUNTIF(PAY,C807)=1),1,"")</f>
        <v/>
      </c>
      <c r="AR807" s="301">
        <f ca="1">IF(繳費報酬率資料!$A$1=1,$AY807+$AZ807,$BF807+$BG807)</f>
        <v>0</v>
      </c>
      <c r="AS807" s="1">
        <f ca="1">IF(C807&lt;&gt;IF($C$3=1,12,$C$3-1),0,IF(繳費報酬率資料!$A$1&lt;&gt;1,VLOOKUP($A807,MP,8,0),IF(AND($A807&gt;=OP!$C$79,$A807&lt;=OP!$C$80),OP!$C$78,)))</f>
        <v>0</v>
      </c>
      <c r="AT807" s="298">
        <f t="shared" ca="1" si="458"/>
        <v>0</v>
      </c>
      <c r="AU807" s="298">
        <f ca="1">IF(AND(A807&lt;=OP!$C$120,COUNTIF(PAY,C807)=1),OP!$C$123,0)</f>
        <v>0</v>
      </c>
      <c r="AV807" s="298">
        <f ca="1">IF(AND(A807&gt;=OP!$C$132,A807&lt;=OP!$C$133,$C$3=C807),OP!$C$135,0)</f>
        <v>0</v>
      </c>
      <c r="AW807" s="180">
        <f t="shared" ca="1" si="459"/>
        <v>0.05</v>
      </c>
      <c r="AX807" s="180">
        <f t="shared" ca="1" si="460"/>
        <v>0.05</v>
      </c>
      <c r="AY807" s="286">
        <f t="shared" ca="1" si="461"/>
        <v>0</v>
      </c>
      <c r="AZ807" s="286">
        <f t="shared" ca="1" si="462"/>
        <v>0</v>
      </c>
      <c r="BA807" s="286">
        <f t="shared" ca="1" si="463"/>
        <v>0</v>
      </c>
      <c r="BB807" s="286">
        <f t="shared" ca="1" si="464"/>
        <v>0</v>
      </c>
      <c r="BC807" s="286">
        <f t="shared" ca="1" si="465"/>
        <v>0</v>
      </c>
      <c r="BD807" s="180">
        <f t="shared" ca="1" si="466"/>
        <v>0.05</v>
      </c>
      <c r="BE807" s="180">
        <f t="shared" ca="1" si="467"/>
        <v>0.05</v>
      </c>
      <c r="BF807" s="286">
        <f t="shared" ca="1" si="468"/>
        <v>0</v>
      </c>
      <c r="BG807" s="286">
        <f t="shared" ca="1" si="469"/>
        <v>0</v>
      </c>
    </row>
    <row r="808" spans="1:59">
      <c r="A808" s="1">
        <f t="shared" ca="1" si="448"/>
        <v>68</v>
      </c>
      <c r="B808" s="1">
        <f t="shared" ca="1" si="442"/>
        <v>173</v>
      </c>
      <c r="C808" s="1">
        <f t="shared" ca="1" si="443"/>
        <v>6</v>
      </c>
      <c r="D808" s="1">
        <f ca="1">MIN($D$3,VLOOKUP(C808,OP!$S$30:$T$41,2))</f>
        <v>2</v>
      </c>
      <c r="E808" s="1" t="str">
        <f t="shared" ca="1" si="444"/>
        <v/>
      </c>
      <c r="F808" s="11" t="str">
        <f t="shared" ca="1" si="449"/>
        <v/>
      </c>
      <c r="G808" s="6">
        <f ca="1">DATEDIF(DATE(B808+1911,C808,D808),DATE(B820+1911,C820,D820),"d")</f>
        <v>365</v>
      </c>
      <c r="H808" s="8">
        <f t="shared" ca="1" si="451"/>
        <v>30</v>
      </c>
      <c r="I808" s="8" t="str">
        <f t="shared" ca="1" si="447"/>
        <v>686</v>
      </c>
      <c r="J808" s="13">
        <f>IF(繳費報酬率資料!$A$1=1,VALUE(OP!$C$121),VLOOKUP(A808,MP,2,0))</f>
        <v>0.05</v>
      </c>
      <c r="K808" s="14">
        <f ca="1">IF(SUM($K$4:K807,IF(繳費報酬率資料!$A$1=1,$AU808+$AV808,$BB808+$BC808))&gt;OP!$L$58,0,IF(繳費報酬率資料!$A$1=1,$AU808+$AV808,$BB808+$BC808))</f>
        <v>0</v>
      </c>
      <c r="L808" s="2"/>
      <c r="M808" s="2"/>
      <c r="N808" s="2"/>
      <c r="O808" s="261">
        <f t="shared" ca="1" si="452"/>
        <v>0</v>
      </c>
      <c r="P808" s="261">
        <f t="shared" ca="1" si="470"/>
        <v>0</v>
      </c>
      <c r="Q808" s="3">
        <f ca="1">IF(A808&gt;MAX(OP!$R$17:$R$26),0,VLOOKUP(A808,fees,3,FALSE))</f>
        <v>0</v>
      </c>
      <c r="R808" s="200" t="str">
        <f t="shared" ca="1" si="453"/>
        <v/>
      </c>
      <c r="S808" s="9" t="str">
        <f ca="1">IF(COUNTIF(($T$4:T807),"F")&gt;=1,"",IF(OR(C809&lt;&gt;$C$3,E808=""),"",A808))</f>
        <v/>
      </c>
      <c r="T808" s="20" t="str">
        <f t="shared" ca="1" si="445"/>
        <v/>
      </c>
      <c r="U808" s="2">
        <f ca="1">IF(IF(OP!$C$83=1,$Z807,IF(OP!$C$83=2,$AA807,IF(OP!$C$83=3,$AB807,)))+$K808-$O808-$P808-$AS808&lt;OP!$C$142,0,$AS808)</f>
        <v>0</v>
      </c>
      <c r="V808" s="9"/>
      <c r="W808" s="19">
        <f ca="1">MAX(SUM($K$4:K808),0)</f>
        <v>2000000</v>
      </c>
      <c r="X808" s="19"/>
      <c r="Y808" s="19">
        <f t="shared" ca="1" si="471"/>
        <v>1920000</v>
      </c>
      <c r="Z808" s="2">
        <f ca="1">IF(MIN($Z$4:Z807)=0,0,MAX(0,($Z807+$K808-$O808-$P808)*IF(AND(F808="F",$D$3&lt;&gt;$G$3),((1+(-J808))^(H808/MIN(G808,365))),((1+(-J808))^(1/12)))-$U808))</f>
        <v>61507.265119326286</v>
      </c>
      <c r="AA808" s="2">
        <f ca="1">IF(MIN($AA$4:AA807)=0,0,MAX(0,($AA807+$K808-$O808-$P808)*IF(AND(F808="F",$D$3&lt;&gt;$G$3),((1+$AA$1)^(H808/MIN(G808,365))),((1+$AA$1)^(1/12)))-$U808))</f>
        <v>1920000</v>
      </c>
      <c r="AB808" s="2">
        <f ca="1">IF(MIN($AB$4:AB807)=0,0,MAX(0,($AB807+$K808-$O808-$P808)*IF(AND(F808="F",$D$3&lt;&gt;$G$3),((1+(J808))^(H808/MIN(G808,365))),((1+(J808))^(1/12)))-$U808))</f>
        <v>50669899.314653836</v>
      </c>
      <c r="AC808" s="21"/>
      <c r="AD808" s="21"/>
      <c r="AE808" s="21"/>
      <c r="AF808" s="282">
        <f t="shared" ca="1" si="454"/>
        <v>61507</v>
      </c>
      <c r="AG808" s="282">
        <f t="shared" ca="1" si="455"/>
        <v>1920000</v>
      </c>
      <c r="AH808" s="282">
        <f t="shared" ca="1" si="456"/>
        <v>50669899</v>
      </c>
      <c r="AI808" s="23" t="str">
        <f t="shared" ca="1" si="472"/>
        <v>68-2</v>
      </c>
      <c r="AJ808" s="281">
        <f ca="1">IF(E808&gt;111,,IF(AND(OP!$C$99=1,T808="F"),Z808,IF(AND(OP!$C$99=2,COUNTIF($T$4:T808,"F")=1),OP!$C$97+IF(F808="F",OP!$C$98,0),"")))</f>
        <v>0</v>
      </c>
      <c r="AK808" s="281">
        <f ca="1">IF(E808&gt;111,,IF(AND(OP!$D$99=1,T808="F"),AA808,IF(AND(OP!$D$99=2,COUNTIF($T$4:T808,"F")=1),OP!$D$97+IF(F808="F",OP!$D$98,0),"")))</f>
        <v>0</v>
      </c>
      <c r="AL808" s="281">
        <f ca="1">IF(E808&gt;111,,IF(AND(OP!$E$99=1,T808="F"),AB808,IF(AND(OP!$E$99=2,COUNTIF($T$4:T808,"F")=1),OP!$E$97+IF(F808="F",OP!$E$98,0),"")))</f>
        <v>0</v>
      </c>
      <c r="AM808" s="1">
        <f t="shared" ca="1" si="446"/>
        <v>2</v>
      </c>
      <c r="AN808" s="1" t="e">
        <f ca="1">IF(OR(VLOOKUP($A808,MP,5,0)="年繳",VLOOKUP($A808,MP,5,0)="半年繳",VLOOKUP($A808,MP,5,0)="季繳",VLOOKUP($A808,MP,5,0)="月繳"),1,"")</f>
        <v>#N/A</v>
      </c>
      <c r="AO808" s="1">
        <f t="shared" ca="1" si="457"/>
        <v>0</v>
      </c>
      <c r="AP808" s="1" t="str">
        <f ca="1">IF(AND(A808&lt;=OP!$C$120,COUNTIF(PAY,C808)=1),1,"")</f>
        <v/>
      </c>
      <c r="AR808" s="301">
        <f ca="1">IF(繳費報酬率資料!$A$1=1,$AY808+$AZ808,$BF808+$BG808)</f>
        <v>0</v>
      </c>
      <c r="AS808" s="1">
        <f ca="1">IF(C808&lt;&gt;IF($C$3=1,12,$C$3-1),0,IF(繳費報酬率資料!$A$1&lt;&gt;1,VLOOKUP($A808,MP,8,0),IF(AND($A808&gt;=OP!$C$79,$A808&lt;=OP!$C$80),OP!$C$78,)))</f>
        <v>0</v>
      </c>
      <c r="AT808" s="298">
        <f t="shared" ca="1" si="458"/>
        <v>0</v>
      </c>
      <c r="AU808" s="298">
        <f ca="1">IF(AND(A808&lt;=OP!$C$120,COUNTIF(PAY,C808)=1),OP!$C$123,0)</f>
        <v>0</v>
      </c>
      <c r="AV808" s="298">
        <f ca="1">IF(AND(A808&gt;=OP!$C$132,A808&lt;=OP!$C$133,$C$3=C808),OP!$C$135,0)</f>
        <v>0</v>
      </c>
      <c r="AW808" s="180">
        <f t="shared" ca="1" si="459"/>
        <v>0.05</v>
      </c>
      <c r="AX808" s="180">
        <f t="shared" ca="1" si="460"/>
        <v>0.05</v>
      </c>
      <c r="AY808" s="286">
        <f t="shared" ca="1" si="461"/>
        <v>0</v>
      </c>
      <c r="AZ808" s="286">
        <f t="shared" ca="1" si="462"/>
        <v>0</v>
      </c>
      <c r="BA808" s="286">
        <f t="shared" ca="1" si="463"/>
        <v>0</v>
      </c>
      <c r="BB808" s="286">
        <f t="shared" ca="1" si="464"/>
        <v>0</v>
      </c>
      <c r="BC808" s="286">
        <f t="shared" ca="1" si="465"/>
        <v>0</v>
      </c>
      <c r="BD808" s="180">
        <f t="shared" ca="1" si="466"/>
        <v>0.05</v>
      </c>
      <c r="BE808" s="180">
        <f t="shared" ca="1" si="467"/>
        <v>0.05</v>
      </c>
      <c r="BF808" s="286">
        <f t="shared" ca="1" si="468"/>
        <v>0</v>
      </c>
      <c r="BG808" s="286">
        <f t="shared" ca="1" si="469"/>
        <v>0</v>
      </c>
    </row>
    <row r="809" spans="1:59">
      <c r="A809" s="1">
        <f t="shared" ca="1" si="448"/>
        <v>68</v>
      </c>
      <c r="B809" s="1">
        <f t="shared" ca="1" si="442"/>
        <v>173</v>
      </c>
      <c r="C809" s="1">
        <f t="shared" ca="1" si="443"/>
        <v>7</v>
      </c>
      <c r="D809" s="1">
        <f ca="1">MIN($D$3,VLOOKUP(C809,OP!$S$30:$T$41,2))</f>
        <v>2</v>
      </c>
      <c r="E809" s="1" t="str">
        <f t="shared" ca="1" si="444"/>
        <v/>
      </c>
      <c r="F809" s="11" t="str">
        <f t="shared" ca="1" si="449"/>
        <v/>
      </c>
      <c r="G809" s="8">
        <f t="shared" ref="G809:G819" ca="1" si="475">G808</f>
        <v>365</v>
      </c>
      <c r="H809" s="8">
        <f t="shared" ca="1" si="451"/>
        <v>31</v>
      </c>
      <c r="I809" s="8" t="str">
        <f t="shared" ca="1" si="447"/>
        <v>687</v>
      </c>
      <c r="J809" s="13">
        <f>IF(繳費報酬率資料!$A$1=1,VALUE(OP!$C$121),VLOOKUP(A809,MP,2,0))</f>
        <v>0.05</v>
      </c>
      <c r="K809" s="14">
        <f ca="1">IF(SUM($K$4:K808,IF(繳費報酬率資料!$A$1=1,$AU809+$AV809,$BB809+$BC809))&gt;OP!$L$58,0,IF(繳費報酬率資料!$A$1=1,$AU809+$AV809,$BB809+$BC809))</f>
        <v>0</v>
      </c>
      <c r="L809" s="2"/>
      <c r="M809" s="2"/>
      <c r="N809" s="2"/>
      <c r="O809" s="261">
        <f t="shared" ca="1" si="452"/>
        <v>0</v>
      </c>
      <c r="P809" s="261">
        <f t="shared" ca="1" si="470"/>
        <v>0</v>
      </c>
      <c r="Q809" s="3">
        <f ca="1">IF(A809&gt;MAX(OP!$R$17:$R$26),0,VLOOKUP(A809,fees,3,FALSE))</f>
        <v>0</v>
      </c>
      <c r="R809" s="200" t="str">
        <f t="shared" ca="1" si="453"/>
        <v/>
      </c>
      <c r="S809" s="9" t="str">
        <f ca="1">IF(COUNTIF(($T$4:T808),"F")&gt;=1,"",IF(OR(C810&lt;&gt;$C$3,E809=""),"",A809))</f>
        <v/>
      </c>
      <c r="T809" s="20" t="str">
        <f t="shared" ca="1" si="445"/>
        <v/>
      </c>
      <c r="U809" s="2">
        <f ca="1">IF(IF(OP!$C$83=1,$Z808,IF(OP!$C$83=2,$AA808,IF(OP!$C$83=3,$AB808,)))+$K809-$O809-$P809-$AS809&lt;OP!$C$142,0,$AS809)</f>
        <v>0</v>
      </c>
      <c r="V809" s="9"/>
      <c r="W809" s="19">
        <f ca="1">MAX(SUM($K$4:K809),0)</f>
        <v>2000000</v>
      </c>
      <c r="X809" s="19"/>
      <c r="Y809" s="19">
        <f t="shared" ca="1" si="471"/>
        <v>1920000</v>
      </c>
      <c r="Z809" s="2">
        <f ca="1">IF(MIN($Z$4:Z808)=0,0,MAX(0,($Z808+$K809-$O809-$P809)*IF(AND(F809="F",$D$3&lt;&gt;$G$3),((1+(-J809))^(H809/MIN(G809,365))),((1+(-J809))^(1/12)))-$U809))</f>
        <v>61244.917026456424</v>
      </c>
      <c r="AA809" s="2">
        <f ca="1">IF(MIN($AA$4:AA808)=0,0,MAX(0,($AA808+$K809-$O809-$P809)*IF(AND(F809="F",$D$3&lt;&gt;$G$3),((1+$AA$1)^(H809/MIN(G809,365))),((1+$AA$1)^(1/12)))-$U809))</f>
        <v>1920000</v>
      </c>
      <c r="AB809" s="2">
        <f ca="1">IF(MIN($AB$4:AB808)=0,0,MAX(0,($AB808+$K809-$O809-$P809)*IF(AND(F809="F",$D$3&lt;&gt;$G$3),((1+(J809))^(H809/MIN(G809,365))),((1+(J809))^(1/12)))-$U809))</f>
        <v>50876334.756566733</v>
      </c>
      <c r="AC809" s="5"/>
      <c r="AD809" s="5"/>
      <c r="AE809" s="5"/>
      <c r="AF809" s="282">
        <f t="shared" ca="1" si="454"/>
        <v>61245</v>
      </c>
      <c r="AG809" s="282">
        <f t="shared" ca="1" si="455"/>
        <v>1920000</v>
      </c>
      <c r="AH809" s="282">
        <f t="shared" ca="1" si="456"/>
        <v>50876335</v>
      </c>
      <c r="AI809" s="23" t="str">
        <f t="shared" ca="1" si="472"/>
        <v>68-3</v>
      </c>
      <c r="AJ809" s="282">
        <f ca="1">IF(E809&gt;111,,IF(AND(OP!$C$99=1,T809="F"),Z809,IF(AND(OP!$C$99=2,COUNTIF($T$4:T809,"F")=1),OP!$C$97+IF(F809="F",OP!$C$98,0),"")))</f>
        <v>0</v>
      </c>
      <c r="AK809" s="282">
        <f ca="1">IF(E809&gt;111,,IF(AND(OP!$D$99=1,T809="F"),AA809,IF(AND(OP!$D$99=2,COUNTIF($T$4:T809,"F")=1),OP!$D$97+IF(F809="F",OP!$D$98,0),"")))</f>
        <v>0</v>
      </c>
      <c r="AL809" s="282">
        <f ca="1">IF(E809&gt;111,,IF(AND(OP!$E$99=1,T809="F"),AB809,IF(AND(OP!$E$99=2,COUNTIF($T$4:T809,"F")=1),OP!$E$97+IF(F809="F",OP!$E$98,0),"")))</f>
        <v>0</v>
      </c>
      <c r="AM809" s="1">
        <f t="shared" ca="1" si="446"/>
        <v>3</v>
      </c>
      <c r="AN809" s="1" t="e">
        <f ca="1">IF(OR(VLOOKUP($A809,MP,5,0)="月繳"),1,"")</f>
        <v>#N/A</v>
      </c>
      <c r="AO809" s="1">
        <f t="shared" ca="1" si="457"/>
        <v>0</v>
      </c>
      <c r="AP809" s="1" t="str">
        <f ca="1">IF(AND(A809&lt;=OP!$C$120,COUNTIF(PAY,C809)=1),1,"")</f>
        <v/>
      </c>
      <c r="AR809" s="301">
        <f ca="1">IF(繳費報酬率資料!$A$1=1,$AY809+$AZ809,$BF809+$BG809)</f>
        <v>0</v>
      </c>
      <c r="AS809" s="1">
        <f ca="1">IF(C809&lt;&gt;IF($C$3=1,12,$C$3-1),0,IF(繳費報酬率資料!$A$1&lt;&gt;1,VLOOKUP($A809,MP,8,0),IF(AND($A809&gt;=OP!$C$79,$A809&lt;=OP!$C$80),OP!$C$78,)))</f>
        <v>0</v>
      </c>
      <c r="AT809" s="298">
        <f t="shared" ca="1" si="458"/>
        <v>0</v>
      </c>
      <c r="AU809" s="298">
        <f ca="1">IF(AND(A809&lt;=OP!$C$120,COUNTIF(PAY,C809)=1),OP!$C$123,0)</f>
        <v>0</v>
      </c>
      <c r="AV809" s="298">
        <f ca="1">IF(AND(A809&gt;=OP!$C$132,A809&lt;=OP!$C$133,$C$3=C809),OP!$C$135,0)</f>
        <v>0</v>
      </c>
      <c r="AW809" s="180">
        <f t="shared" ca="1" si="459"/>
        <v>0.05</v>
      </c>
      <c r="AX809" s="180">
        <f t="shared" ca="1" si="460"/>
        <v>0.05</v>
      </c>
      <c r="AY809" s="286">
        <f t="shared" ca="1" si="461"/>
        <v>0</v>
      </c>
      <c r="AZ809" s="286">
        <f t="shared" ca="1" si="462"/>
        <v>0</v>
      </c>
      <c r="BA809" s="286">
        <f t="shared" ca="1" si="463"/>
        <v>0</v>
      </c>
      <c r="BB809" s="286">
        <f t="shared" ca="1" si="464"/>
        <v>0</v>
      </c>
      <c r="BC809" s="286">
        <f t="shared" ca="1" si="465"/>
        <v>0</v>
      </c>
      <c r="BD809" s="180">
        <f t="shared" ca="1" si="466"/>
        <v>0.05</v>
      </c>
      <c r="BE809" s="180">
        <f t="shared" ca="1" si="467"/>
        <v>0.05</v>
      </c>
      <c r="BF809" s="286">
        <f t="shared" ca="1" si="468"/>
        <v>0</v>
      </c>
      <c r="BG809" s="286">
        <f t="shared" ca="1" si="469"/>
        <v>0</v>
      </c>
    </row>
    <row r="810" spans="1:59">
      <c r="A810" s="1">
        <f t="shared" ca="1" si="448"/>
        <v>68</v>
      </c>
      <c r="B810" s="1">
        <f t="shared" ca="1" si="442"/>
        <v>173</v>
      </c>
      <c r="C810" s="1">
        <f t="shared" ca="1" si="443"/>
        <v>8</v>
      </c>
      <c r="D810" s="1">
        <f ca="1">MIN($D$3,VLOOKUP(C810,OP!$S$30:$T$41,2))</f>
        <v>2</v>
      </c>
      <c r="E810" s="1" t="str">
        <f t="shared" ca="1" si="444"/>
        <v/>
      </c>
      <c r="F810" s="11" t="str">
        <f t="shared" ca="1" si="449"/>
        <v/>
      </c>
      <c r="G810" s="8">
        <f t="shared" ca="1" si="475"/>
        <v>365</v>
      </c>
      <c r="H810" s="8">
        <f t="shared" ca="1" si="451"/>
        <v>31</v>
      </c>
      <c r="I810" s="8" t="str">
        <f t="shared" ca="1" si="447"/>
        <v>688</v>
      </c>
      <c r="J810" s="13">
        <f>IF(繳費報酬率資料!$A$1=1,VALUE(OP!$C$121),VLOOKUP(A810,MP,2,0))</f>
        <v>0.05</v>
      </c>
      <c r="K810" s="14">
        <f ca="1">IF(SUM($K$4:K809,IF(繳費報酬率資料!$A$1=1,$AU810+$AV810,$BB810+$BC810))&gt;OP!$L$58,0,IF(繳費報酬率資料!$A$1=1,$AU810+$AV810,$BB810+$BC810))</f>
        <v>0</v>
      </c>
      <c r="L810" s="2"/>
      <c r="M810" s="2"/>
      <c r="N810" s="2"/>
      <c r="O810" s="261">
        <f t="shared" ca="1" si="452"/>
        <v>0</v>
      </c>
      <c r="P810" s="261">
        <f t="shared" ca="1" si="470"/>
        <v>0</v>
      </c>
      <c r="Q810" s="3">
        <f ca="1">IF(A810&gt;MAX(OP!$R$17:$R$26),0,VLOOKUP(A810,fees,3,FALSE))</f>
        <v>0</v>
      </c>
      <c r="R810" s="200" t="str">
        <f t="shared" ca="1" si="453"/>
        <v/>
      </c>
      <c r="S810" s="9" t="str">
        <f ca="1">IF(COUNTIF(($T$4:T809),"F")&gt;=1,"",IF(OR(C811&lt;&gt;$C$3,E810=""),"",A810))</f>
        <v/>
      </c>
      <c r="T810" s="20" t="str">
        <f t="shared" ca="1" si="445"/>
        <v/>
      </c>
      <c r="U810" s="2">
        <f ca="1">IF(IF(OP!$C$83=1,$Z809,IF(OP!$C$83=2,$AA809,IF(OP!$C$83=3,$AB809,)))+$K810-$O810-$P810-$AS810&lt;OP!$C$142,0,$AS810)</f>
        <v>0</v>
      </c>
      <c r="V810" s="9"/>
      <c r="W810" s="19">
        <f ca="1">MAX(SUM($K$4:K810),0)</f>
        <v>2000000</v>
      </c>
      <c r="X810" s="19"/>
      <c r="Y810" s="19">
        <f t="shared" ca="1" si="471"/>
        <v>1920000</v>
      </c>
      <c r="Z810" s="2">
        <f ca="1">IF(MIN($Z$4:Z809)=0,0,MAX(0,($Z809+$K810-$O810-$P810)*IF(AND(F810="F",$D$3&lt;&gt;$G$3),((1+(-J810))^(H810/MIN(G810,365))),((1+(-J810))^(1/12)))-$U810))</f>
        <v>60983.687931833338</v>
      </c>
      <c r="AA810" s="2">
        <f ca="1">IF(MIN($AA$4:AA809)=0,0,MAX(0,($AA809+$K810-$O810-$P810)*IF(AND(F810="F",$D$3&lt;&gt;$G$3),((1+$AA$1)^(H810/MIN(G810,365))),((1+$AA$1)^(1/12)))-$U810))</f>
        <v>1920000</v>
      </c>
      <c r="AB810" s="2">
        <f ca="1">IF(MIN($AB$4:AB809)=0,0,MAX(0,($AB809+$K810-$O810-$P810)*IF(AND(F810="F",$D$3&lt;&gt;$G$3),((1+(J810))^(H810/MIN(G810,365))),((1+(J810))^(1/12)))-$U810))</f>
        <v>51083611.242023319</v>
      </c>
      <c r="AC810" s="5"/>
      <c r="AD810" s="5"/>
      <c r="AE810" s="5"/>
      <c r="AF810" s="282">
        <f t="shared" ca="1" si="454"/>
        <v>60984</v>
      </c>
      <c r="AG810" s="282">
        <f t="shared" ca="1" si="455"/>
        <v>1920000</v>
      </c>
      <c r="AH810" s="282">
        <f t="shared" ca="1" si="456"/>
        <v>51083611</v>
      </c>
      <c r="AI810" s="23" t="str">
        <f t="shared" ca="1" si="472"/>
        <v>68-4</v>
      </c>
      <c r="AJ810" s="282">
        <f ca="1">IF(E810&gt;111,,IF(AND(OP!$C$99=1,T810="F"),Z810,IF(AND(OP!$C$99=2,COUNTIF($T$4:T810,"F")=1),OP!$C$97+IF(F810="F",OP!$C$98,0),"")))</f>
        <v>0</v>
      </c>
      <c r="AK810" s="282">
        <f ca="1">IF(E810&gt;111,,IF(AND(OP!$D$99=1,T810="F"),AA810,IF(AND(OP!$D$99=2,COUNTIF($T$4:T810,"F")=1),OP!$D$97+IF(F810="F",OP!$D$98,0),"")))</f>
        <v>0</v>
      </c>
      <c r="AL810" s="282">
        <f ca="1">IF(E810&gt;111,,IF(AND(OP!$E$99=1,T810="F"),AB810,IF(AND(OP!$E$99=2,COUNTIF($T$4:T810,"F")=1),OP!$E$97+IF(F810="F",OP!$E$98,0),"")))</f>
        <v>0</v>
      </c>
      <c r="AM810" s="1">
        <f t="shared" ca="1" si="446"/>
        <v>4</v>
      </c>
      <c r="AN810" s="1" t="e">
        <f ca="1">IF(OR(VLOOKUP($A810,MP,5,0)="月繳"),1,"")</f>
        <v>#N/A</v>
      </c>
      <c r="AO810" s="1">
        <f t="shared" ca="1" si="457"/>
        <v>0</v>
      </c>
      <c r="AP810" s="1" t="str">
        <f ca="1">IF(AND(A810&lt;=OP!$C$120,COUNTIF(PAY,C810)=1),1,"")</f>
        <v/>
      </c>
      <c r="AR810" s="301">
        <f ca="1">IF(繳費報酬率資料!$A$1=1,$AY810+$AZ810,$BF810+$BG810)</f>
        <v>0</v>
      </c>
      <c r="AS810" s="1">
        <f ca="1">IF(C810&lt;&gt;IF($C$3=1,12,$C$3-1),0,IF(繳費報酬率資料!$A$1&lt;&gt;1,VLOOKUP($A810,MP,8,0),IF(AND($A810&gt;=OP!$C$79,$A810&lt;=OP!$C$80),OP!$C$78,)))</f>
        <v>0</v>
      </c>
      <c r="AT810" s="298">
        <f t="shared" ca="1" si="458"/>
        <v>0</v>
      </c>
      <c r="AU810" s="298">
        <f ca="1">IF(AND(A810&lt;=OP!$C$120,COUNTIF(PAY,C810)=1),OP!$C$123,0)</f>
        <v>0</v>
      </c>
      <c r="AV810" s="298">
        <f ca="1">IF(AND(A810&gt;=OP!$C$132,A810&lt;=OP!$C$133,$C$3=C810),OP!$C$135,0)</f>
        <v>0</v>
      </c>
      <c r="AW810" s="180">
        <f t="shared" ca="1" si="459"/>
        <v>0.05</v>
      </c>
      <c r="AX810" s="180">
        <f t="shared" ca="1" si="460"/>
        <v>0.05</v>
      </c>
      <c r="AY810" s="286">
        <f t="shared" ca="1" si="461"/>
        <v>0</v>
      </c>
      <c r="AZ810" s="286">
        <f t="shared" ca="1" si="462"/>
        <v>0</v>
      </c>
      <c r="BA810" s="286">
        <f t="shared" ca="1" si="463"/>
        <v>0</v>
      </c>
      <c r="BB810" s="286">
        <f t="shared" ca="1" si="464"/>
        <v>0</v>
      </c>
      <c r="BC810" s="286">
        <f t="shared" ca="1" si="465"/>
        <v>0</v>
      </c>
      <c r="BD810" s="180">
        <f t="shared" ca="1" si="466"/>
        <v>0.05</v>
      </c>
      <c r="BE810" s="180">
        <f t="shared" ca="1" si="467"/>
        <v>0.05</v>
      </c>
      <c r="BF810" s="286">
        <f t="shared" ca="1" si="468"/>
        <v>0</v>
      </c>
      <c r="BG810" s="286">
        <f t="shared" ca="1" si="469"/>
        <v>0</v>
      </c>
    </row>
    <row r="811" spans="1:59">
      <c r="A811" s="1">
        <f t="shared" ca="1" si="448"/>
        <v>68</v>
      </c>
      <c r="B811" s="1">
        <f t="shared" ca="1" si="442"/>
        <v>173</v>
      </c>
      <c r="C811" s="1">
        <f t="shared" ca="1" si="443"/>
        <v>9</v>
      </c>
      <c r="D811" s="1">
        <f ca="1">MIN($D$3,VLOOKUP(C811,OP!$S$30:$T$41,2))</f>
        <v>2</v>
      </c>
      <c r="E811" s="1" t="str">
        <f t="shared" ca="1" si="444"/>
        <v/>
      </c>
      <c r="F811" s="11" t="str">
        <f t="shared" ca="1" si="449"/>
        <v/>
      </c>
      <c r="G811" s="8">
        <f t="shared" ca="1" si="475"/>
        <v>365</v>
      </c>
      <c r="H811" s="8">
        <f t="shared" ca="1" si="451"/>
        <v>30</v>
      </c>
      <c r="I811" s="8" t="str">
        <f t="shared" ca="1" si="447"/>
        <v>689</v>
      </c>
      <c r="J811" s="13">
        <f>IF(繳費報酬率資料!$A$1=1,VALUE(OP!$C$121),VLOOKUP(A811,MP,2,0))</f>
        <v>0.05</v>
      </c>
      <c r="K811" s="14">
        <f ca="1">IF(SUM($K$4:K810,IF(繳費報酬率資料!$A$1=1,$AU811+$AV811,$BB811+$BC811))&gt;OP!$L$58,0,IF(繳費報酬率資料!$A$1=1,$AU811+$AV811,$BB811+$BC811))</f>
        <v>0</v>
      </c>
      <c r="L811" s="2"/>
      <c r="M811" s="2"/>
      <c r="N811" s="2"/>
      <c r="O811" s="261">
        <f t="shared" ca="1" si="452"/>
        <v>0</v>
      </c>
      <c r="P811" s="261">
        <f t="shared" ca="1" si="470"/>
        <v>0</v>
      </c>
      <c r="Q811" s="3">
        <f ca="1">IF(A811&gt;MAX(OP!$R$17:$R$26),0,VLOOKUP(A811,fees,3,FALSE))</f>
        <v>0</v>
      </c>
      <c r="R811" s="200" t="str">
        <f t="shared" ca="1" si="453"/>
        <v/>
      </c>
      <c r="S811" s="9" t="str">
        <f ca="1">IF(COUNTIF(($T$4:T810),"F")&gt;=1,"",IF(OR(C812&lt;&gt;$C$3,E811=""),"",A811))</f>
        <v/>
      </c>
      <c r="T811" s="20" t="str">
        <f t="shared" ca="1" si="445"/>
        <v/>
      </c>
      <c r="U811" s="2">
        <f ca="1">IF(IF(OP!$C$83=1,$Z810,IF(OP!$C$83=2,$AA810,IF(OP!$C$83=3,$AB810,)))+$K811-$O811-$P811-$AS811&lt;OP!$C$142,0,$AS811)</f>
        <v>0</v>
      </c>
      <c r="V811" s="9"/>
      <c r="W811" s="19">
        <f ca="1">MAX(SUM($K$4:K811),0)</f>
        <v>2000000</v>
      </c>
      <c r="X811" s="19"/>
      <c r="Y811" s="19">
        <f t="shared" ca="1" si="471"/>
        <v>1920000</v>
      </c>
      <c r="Z811" s="2">
        <f ca="1">IF(MIN($Z$4:Z810)=0,0,MAX(0,($Z810+$K811-$O811-$P811)*IF(AND(F811="F",$D$3&lt;&gt;$G$3),((1+(-J811))^(H811/MIN(G811,365))),((1+(-J811))^(1/12)))-$U811))</f>
        <v>60723.573062572788</v>
      </c>
      <c r="AA811" s="2">
        <f ca="1">IF(MIN($AA$4:AA810)=0,0,MAX(0,($AA810+$K811-$O811-$P811)*IF(AND(F811="F",$D$3&lt;&gt;$G$3),((1+$AA$1)^(H811/MIN(G811,365))),((1+$AA$1)^(1/12)))-$U811))</f>
        <v>1920000</v>
      </c>
      <c r="AB811" s="2">
        <f ca="1">IF(MIN($AB$4:AB810)=0,0,MAX(0,($AB810+$K811-$O811-$P811)*IF(AND(F811="F",$D$3&lt;&gt;$G$3),((1+(J811))^(H811/MIN(G811,365))),((1+(J811))^(1/12)))-$U811))</f>
        <v>51291732.197539091</v>
      </c>
      <c r="AC811" s="5"/>
      <c r="AD811" s="5"/>
      <c r="AE811" s="5"/>
      <c r="AF811" s="282">
        <f t="shared" ca="1" si="454"/>
        <v>60724</v>
      </c>
      <c r="AG811" s="282">
        <f t="shared" ca="1" si="455"/>
        <v>1920000</v>
      </c>
      <c r="AH811" s="282">
        <f t="shared" ca="1" si="456"/>
        <v>51291732</v>
      </c>
      <c r="AI811" s="23" t="str">
        <f t="shared" ca="1" si="472"/>
        <v>68-5</v>
      </c>
      <c r="AJ811" s="282">
        <f ca="1">IF(E811&gt;111,,IF(AND(OP!$C$99=1,T811="F"),Z811,IF(AND(OP!$C$99=2,COUNTIF($T$4:T811,"F")=1),OP!$C$97+IF(F811="F",OP!$C$98,0),"")))</f>
        <v>0</v>
      </c>
      <c r="AK811" s="282">
        <f ca="1">IF(E811&gt;111,,IF(AND(OP!$D$99=1,T811="F"),AA811,IF(AND(OP!$D$99=2,COUNTIF($T$4:T811,"F")=1),OP!$D$97+IF(F811="F",OP!$D$98,0),"")))</f>
        <v>0</v>
      </c>
      <c r="AL811" s="282">
        <f ca="1">IF(E811&gt;111,,IF(AND(OP!$E$99=1,T811="F"),AB811,IF(AND(OP!$E$99=2,COUNTIF($T$4:T811,"F")=1),OP!$E$97+IF(F811="F",OP!$E$98,0),"")))</f>
        <v>0</v>
      </c>
      <c r="AM811" s="1">
        <f t="shared" ca="1" si="446"/>
        <v>5</v>
      </c>
      <c r="AN811" s="1" t="e">
        <f ca="1">IF(OR(VLOOKUP($A811,MP,5,0)="季繳",VLOOKUP($A811,MP,5,0)="月繳"),1,"")</f>
        <v>#N/A</v>
      </c>
      <c r="AO811" s="1">
        <f t="shared" ca="1" si="457"/>
        <v>0</v>
      </c>
      <c r="AP811" s="1" t="str">
        <f ca="1">IF(AND(A811&lt;=OP!$C$120,COUNTIF(PAY,C811)=1),1,"")</f>
        <v/>
      </c>
      <c r="AR811" s="301">
        <f ca="1">IF(繳費報酬率資料!$A$1=1,$AY811+$AZ811,$BF811+$BG811)</f>
        <v>0</v>
      </c>
      <c r="AS811" s="1">
        <f ca="1">IF(C811&lt;&gt;IF($C$3=1,12,$C$3-1),0,IF(繳費報酬率資料!$A$1&lt;&gt;1,VLOOKUP($A811,MP,8,0),IF(AND($A811&gt;=OP!$C$79,$A811&lt;=OP!$C$80),OP!$C$78,)))</f>
        <v>0</v>
      </c>
      <c r="AT811" s="298">
        <f t="shared" ca="1" si="458"/>
        <v>0</v>
      </c>
      <c r="AU811" s="298">
        <f ca="1">IF(AND(A811&lt;=OP!$C$120,COUNTIF(PAY,C811)=1),OP!$C$123,0)</f>
        <v>0</v>
      </c>
      <c r="AV811" s="298">
        <f ca="1">IF(AND(A811&gt;=OP!$C$132,A811&lt;=OP!$C$133,$C$3=C811),OP!$C$135,0)</f>
        <v>0</v>
      </c>
      <c r="AW811" s="180">
        <f t="shared" ca="1" si="459"/>
        <v>0.05</v>
      </c>
      <c r="AX811" s="180">
        <f t="shared" ca="1" si="460"/>
        <v>0.05</v>
      </c>
      <c r="AY811" s="286">
        <f t="shared" ca="1" si="461"/>
        <v>0</v>
      </c>
      <c r="AZ811" s="286">
        <f t="shared" ca="1" si="462"/>
        <v>0</v>
      </c>
      <c r="BA811" s="286">
        <f t="shared" ca="1" si="463"/>
        <v>0</v>
      </c>
      <c r="BB811" s="286">
        <f t="shared" ca="1" si="464"/>
        <v>0</v>
      </c>
      <c r="BC811" s="286">
        <f t="shared" ca="1" si="465"/>
        <v>0</v>
      </c>
      <c r="BD811" s="180">
        <f t="shared" ca="1" si="466"/>
        <v>0.05</v>
      </c>
      <c r="BE811" s="180">
        <f t="shared" ca="1" si="467"/>
        <v>0.05</v>
      </c>
      <c r="BF811" s="286">
        <f t="shared" ca="1" si="468"/>
        <v>0</v>
      </c>
      <c r="BG811" s="286">
        <f t="shared" ca="1" si="469"/>
        <v>0</v>
      </c>
    </row>
    <row r="812" spans="1:59">
      <c r="A812" s="1">
        <f t="shared" ca="1" si="448"/>
        <v>68</v>
      </c>
      <c r="B812" s="1">
        <f t="shared" ca="1" si="442"/>
        <v>173</v>
      </c>
      <c r="C812" s="1">
        <f t="shared" ca="1" si="443"/>
        <v>10</v>
      </c>
      <c r="D812" s="1">
        <f ca="1">MIN($D$3,VLOOKUP(C812,OP!$S$30:$T$41,2))</f>
        <v>2</v>
      </c>
      <c r="E812" s="1" t="str">
        <f t="shared" ca="1" si="444"/>
        <v/>
      </c>
      <c r="F812" s="11" t="str">
        <f t="shared" ca="1" si="449"/>
        <v/>
      </c>
      <c r="G812" s="8">
        <f t="shared" ca="1" si="475"/>
        <v>365</v>
      </c>
      <c r="H812" s="8">
        <f t="shared" ca="1" si="451"/>
        <v>31</v>
      </c>
      <c r="I812" s="8" t="str">
        <f t="shared" ca="1" si="447"/>
        <v>6810</v>
      </c>
      <c r="J812" s="13">
        <f>IF(繳費報酬率資料!$A$1=1,VALUE(OP!$C$121),VLOOKUP(A812,MP,2,0))</f>
        <v>0.05</v>
      </c>
      <c r="K812" s="14">
        <f ca="1">IF(SUM($K$4:K811,IF(繳費報酬率資料!$A$1=1,$AU812+$AV812,$BB812+$BC812))&gt;OP!$L$58,0,IF(繳費報酬率資料!$A$1=1,$AU812+$AV812,$BB812+$BC812))</f>
        <v>0</v>
      </c>
      <c r="L812" s="2"/>
      <c r="M812" s="2"/>
      <c r="N812" s="2"/>
      <c r="O812" s="261">
        <f t="shared" ca="1" si="452"/>
        <v>0</v>
      </c>
      <c r="P812" s="261">
        <f t="shared" ca="1" si="470"/>
        <v>0</v>
      </c>
      <c r="Q812" s="3">
        <f ca="1">IF(A812&gt;MAX(OP!$R$17:$R$26),0,VLOOKUP(A812,fees,3,FALSE))</f>
        <v>0</v>
      </c>
      <c r="R812" s="200" t="str">
        <f t="shared" ca="1" si="453"/>
        <v/>
      </c>
      <c r="S812" s="9" t="str">
        <f ca="1">IF(COUNTIF(($T$4:T811),"F")&gt;=1,"",IF(OR(C813&lt;&gt;$C$3,E812=""),"",A812))</f>
        <v/>
      </c>
      <c r="T812" s="20" t="str">
        <f t="shared" ca="1" si="445"/>
        <v/>
      </c>
      <c r="U812" s="2">
        <f ca="1">IF(IF(OP!$C$83=1,$Z811,IF(OP!$C$83=2,$AA811,IF(OP!$C$83=3,$AB811,)))+$K812-$O812-$P812-$AS812&lt;OP!$C$142,0,$AS812)</f>
        <v>0</v>
      </c>
      <c r="V812" s="9"/>
      <c r="W812" s="19">
        <f ca="1">MAX(SUM($K$4:K812),0)</f>
        <v>2000000</v>
      </c>
      <c r="X812" s="19"/>
      <c r="Y812" s="19">
        <f t="shared" ca="1" si="471"/>
        <v>1920000</v>
      </c>
      <c r="Z812" s="2">
        <f ca="1">IF(MIN($Z$4:Z811)=0,0,MAX(0,($Z811+$K812-$O812-$P812)*IF(AND(F812="F",$D$3&lt;&gt;$G$3),((1+(-J812))^(H812/MIN(G812,365))),((1+(-J812))^(1/12)))-$U812))</f>
        <v>60464.567666148418</v>
      </c>
      <c r="AA812" s="2">
        <f ca="1">IF(MIN($AA$4:AA811)=0,0,MAX(0,($AA811+$K812-$O812-$P812)*IF(AND(F812="F",$D$3&lt;&gt;$G$3),((1+$AA$1)^(H812/MIN(G812,365))),((1+$AA$1)^(1/12)))-$U812))</f>
        <v>1920000</v>
      </c>
      <c r="AB812" s="2">
        <f ca="1">IF(MIN($AB$4:AB811)=0,0,MAX(0,($AB811+$K812-$O812-$P812)*IF(AND(F812="F",$D$3&lt;&gt;$G$3),((1+(J812))^(H812/MIN(G812,365))),((1+(J812))^(1/12)))-$U812))</f>
        <v>51500701.06358961</v>
      </c>
      <c r="AC812" s="5"/>
      <c r="AD812" s="5"/>
      <c r="AE812" s="5"/>
      <c r="AF812" s="282">
        <f t="shared" ca="1" si="454"/>
        <v>60465</v>
      </c>
      <c r="AG812" s="282">
        <f t="shared" ca="1" si="455"/>
        <v>1920000</v>
      </c>
      <c r="AH812" s="282">
        <f t="shared" ca="1" si="456"/>
        <v>51500701</v>
      </c>
      <c r="AI812" s="23" t="str">
        <f t="shared" ca="1" si="472"/>
        <v>68-6</v>
      </c>
      <c r="AJ812" s="282">
        <f ca="1">IF(E812&gt;111,,IF(AND(OP!$C$99=1,T812="F"),Z812,IF(AND(OP!$C$99=2,COUNTIF($T$4:T812,"F")=1),OP!$C$97+IF(F812="F",OP!$C$98,0),"")))</f>
        <v>0</v>
      </c>
      <c r="AK812" s="282">
        <f ca="1">IF(E812&gt;111,,IF(AND(OP!$D$99=1,T812="F"),AA812,IF(AND(OP!$D$99=2,COUNTIF($T$4:T812,"F")=1),OP!$D$97+IF(F812="F",OP!$D$98,0),"")))</f>
        <v>0</v>
      </c>
      <c r="AL812" s="282">
        <f ca="1">IF(E812&gt;111,,IF(AND(OP!$E$99=1,T812="F"),AB812,IF(AND(OP!$E$99=2,COUNTIF($T$4:T812,"F")=1),OP!$E$97+IF(F812="F",OP!$E$98,0),"")))</f>
        <v>0</v>
      </c>
      <c r="AM812" s="1">
        <f t="shared" ca="1" si="446"/>
        <v>6</v>
      </c>
      <c r="AN812" s="1" t="e">
        <f ca="1">IF(OR(VLOOKUP($A812,MP,5,0)="月繳"),1,"")</f>
        <v>#N/A</v>
      </c>
      <c r="AO812" s="1">
        <f t="shared" ca="1" si="457"/>
        <v>0</v>
      </c>
      <c r="AP812" s="1" t="str">
        <f ca="1">IF(AND(A812&lt;=OP!$C$120,COUNTIF(PAY,C812)=1),1,"")</f>
        <v/>
      </c>
      <c r="AR812" s="301">
        <f ca="1">IF(繳費報酬率資料!$A$1=1,$AY812+$AZ812,$BF812+$BG812)</f>
        <v>0</v>
      </c>
      <c r="AS812" s="1">
        <f ca="1">IF(C812&lt;&gt;IF($C$3=1,12,$C$3-1),0,IF(繳費報酬率資料!$A$1&lt;&gt;1,VLOOKUP($A812,MP,8,0),IF(AND($A812&gt;=OP!$C$79,$A812&lt;=OP!$C$80),OP!$C$78,)))</f>
        <v>0</v>
      </c>
      <c r="AT812" s="298">
        <f t="shared" ca="1" si="458"/>
        <v>0</v>
      </c>
      <c r="AU812" s="298">
        <f ca="1">IF(AND(A812&lt;=OP!$C$120,COUNTIF(PAY,C812)=1),OP!$C$123,0)</f>
        <v>0</v>
      </c>
      <c r="AV812" s="298">
        <f ca="1">IF(AND(A812&gt;=OP!$C$132,A812&lt;=OP!$C$133,$C$3=C812),OP!$C$135,0)</f>
        <v>0</v>
      </c>
      <c r="AW812" s="180">
        <f t="shared" ca="1" si="459"/>
        <v>0.05</v>
      </c>
      <c r="AX812" s="180">
        <f t="shared" ca="1" si="460"/>
        <v>0.05</v>
      </c>
      <c r="AY812" s="286">
        <f t="shared" ca="1" si="461"/>
        <v>0</v>
      </c>
      <c r="AZ812" s="286">
        <f t="shared" ca="1" si="462"/>
        <v>0</v>
      </c>
      <c r="BA812" s="286">
        <f t="shared" ca="1" si="463"/>
        <v>0</v>
      </c>
      <c r="BB812" s="286">
        <f t="shared" ca="1" si="464"/>
        <v>0</v>
      </c>
      <c r="BC812" s="286">
        <f t="shared" ca="1" si="465"/>
        <v>0</v>
      </c>
      <c r="BD812" s="180">
        <f t="shared" ca="1" si="466"/>
        <v>0.05</v>
      </c>
      <c r="BE812" s="180">
        <f t="shared" ca="1" si="467"/>
        <v>0.05</v>
      </c>
      <c r="BF812" s="286">
        <f t="shared" ca="1" si="468"/>
        <v>0</v>
      </c>
      <c r="BG812" s="286">
        <f t="shared" ca="1" si="469"/>
        <v>0</v>
      </c>
    </row>
    <row r="813" spans="1:59">
      <c r="A813" s="1">
        <f t="shared" ca="1" si="448"/>
        <v>68</v>
      </c>
      <c r="B813" s="1">
        <f t="shared" ca="1" si="442"/>
        <v>173</v>
      </c>
      <c r="C813" s="1">
        <f t="shared" ca="1" si="443"/>
        <v>11</v>
      </c>
      <c r="D813" s="1">
        <f ca="1">MIN($D$3,VLOOKUP(C813,OP!$S$30:$T$41,2))</f>
        <v>2</v>
      </c>
      <c r="E813" s="1" t="str">
        <f t="shared" ca="1" si="444"/>
        <v/>
      </c>
      <c r="F813" s="11" t="str">
        <f t="shared" ca="1" si="449"/>
        <v/>
      </c>
      <c r="G813" s="8">
        <f t="shared" ca="1" si="475"/>
        <v>365</v>
      </c>
      <c r="H813" s="8">
        <f t="shared" ca="1" si="451"/>
        <v>30</v>
      </c>
      <c r="I813" s="8" t="str">
        <f t="shared" ca="1" si="447"/>
        <v>6811</v>
      </c>
      <c r="J813" s="13">
        <f>IF(繳費報酬率資料!$A$1=1,VALUE(OP!$C$121),VLOOKUP(A813,MP,2,0))</f>
        <v>0.05</v>
      </c>
      <c r="K813" s="14">
        <f ca="1">IF(SUM($K$4:K812,IF(繳費報酬率資料!$A$1=1,$AU813+$AV813,$BB813+$BC813))&gt;OP!$L$58,0,IF(繳費報酬率資料!$A$1=1,$AU813+$AV813,$BB813+$BC813))</f>
        <v>0</v>
      </c>
      <c r="L813" s="2"/>
      <c r="M813" s="2"/>
      <c r="N813" s="2"/>
      <c r="O813" s="261">
        <f t="shared" ca="1" si="452"/>
        <v>0</v>
      </c>
      <c r="P813" s="261">
        <f t="shared" ca="1" si="470"/>
        <v>0</v>
      </c>
      <c r="Q813" s="3">
        <f ca="1">IF(A813&gt;MAX(OP!$R$17:$R$26),0,VLOOKUP(A813,fees,3,FALSE))</f>
        <v>0</v>
      </c>
      <c r="R813" s="200" t="str">
        <f t="shared" ca="1" si="453"/>
        <v/>
      </c>
      <c r="S813" s="9" t="str">
        <f ca="1">IF(COUNTIF(($T$4:T812),"F")&gt;=1,"",IF(OR(C814&lt;&gt;$C$3,E813=""),"",A813))</f>
        <v/>
      </c>
      <c r="T813" s="20" t="str">
        <f t="shared" ca="1" si="445"/>
        <v/>
      </c>
      <c r="U813" s="2">
        <f ca="1">IF(IF(OP!$C$83=1,$Z812,IF(OP!$C$83=2,$AA812,IF(OP!$C$83=3,$AB812,)))+$K813-$O813-$P813-$AS813&lt;OP!$C$142,0,$AS813)</f>
        <v>0</v>
      </c>
      <c r="V813" s="9"/>
      <c r="W813" s="19">
        <f ca="1">MAX(SUM($K$4:K813),0)</f>
        <v>2000000</v>
      </c>
      <c r="X813" s="19"/>
      <c r="Y813" s="19">
        <f t="shared" ca="1" si="471"/>
        <v>1920000</v>
      </c>
      <c r="Z813" s="2">
        <f ca="1">IF(MIN($Z$4:Z812)=0,0,MAX(0,($Z812+$K813-$O813-$P813)*IF(AND(F813="F",$D$3&lt;&gt;$G$3),((1+(-J813))^(H813/MIN(G813,365))),((1+(-J813))^(1/12)))-$U813))</f>
        <v>60206.667010304911</v>
      </c>
      <c r="AA813" s="2">
        <f ca="1">IF(MIN($AA$4:AA812)=0,0,MAX(0,($AA812+$K813-$O813-$P813)*IF(AND(F813="F",$D$3&lt;&gt;$G$3),((1+$AA$1)^(H813/MIN(G813,365))),((1+$AA$1)^(1/12)))-$U813))</f>
        <v>1920000</v>
      </c>
      <c r="AB813" s="2">
        <f ca="1">IF(MIN($AB$4:AB812)=0,0,MAX(0,($AB812+$K813-$O813-$P813)*IF(AND(F813="F",$D$3&lt;&gt;$G$3),((1+(J813))^(H813/MIN(G813,365))),((1+(J813))^(1/12)))-$U813))</f>
        <v>51710521.294667348</v>
      </c>
      <c r="AC813" s="5"/>
      <c r="AD813" s="5"/>
      <c r="AE813" s="5"/>
      <c r="AF813" s="282">
        <f t="shared" ca="1" si="454"/>
        <v>60207</v>
      </c>
      <c r="AG813" s="282">
        <f t="shared" ca="1" si="455"/>
        <v>1920000</v>
      </c>
      <c r="AH813" s="282">
        <f t="shared" ca="1" si="456"/>
        <v>51710521</v>
      </c>
      <c r="AI813" s="23" t="str">
        <f t="shared" ca="1" si="472"/>
        <v>68-7</v>
      </c>
      <c r="AJ813" s="282">
        <f ca="1">IF(E813&gt;111,,IF(AND(OP!$C$99=1,T813="F"),Z813,IF(AND(OP!$C$99=2,COUNTIF($T$4:T813,"F")=1),OP!$C$97+IF(F813="F",OP!$C$98,0),"")))</f>
        <v>0</v>
      </c>
      <c r="AK813" s="282">
        <f ca="1">IF(E813&gt;111,,IF(AND(OP!$D$99=1,T813="F"),AA813,IF(AND(OP!$D$99=2,COUNTIF($T$4:T813,"F")=1),OP!$D$97+IF(F813="F",OP!$D$98,0),"")))</f>
        <v>0</v>
      </c>
      <c r="AL813" s="282">
        <f ca="1">IF(E813&gt;111,,IF(AND(OP!$E$99=1,T813="F"),AB813,IF(AND(OP!$E$99=2,COUNTIF($T$4:T813,"F")=1),OP!$E$97+IF(F813="F",OP!$E$98,0),"")))</f>
        <v>0</v>
      </c>
      <c r="AM813" s="1">
        <f t="shared" ca="1" si="446"/>
        <v>7</v>
      </c>
      <c r="AN813" s="1" t="e">
        <f ca="1">IF(OR(VLOOKUP($A813,MP,5,0)="月繳"),1,"")</f>
        <v>#N/A</v>
      </c>
      <c r="AO813" s="1">
        <f t="shared" ca="1" si="457"/>
        <v>0</v>
      </c>
      <c r="AP813" s="1" t="str">
        <f ca="1">IF(AND(A813&lt;=OP!$C$120,COUNTIF(PAY,C813)=1),1,"")</f>
        <v/>
      </c>
      <c r="AR813" s="301">
        <f ca="1">IF(繳費報酬率資料!$A$1=1,$AY813+$AZ813,$BF813+$BG813)</f>
        <v>0</v>
      </c>
      <c r="AS813" s="1">
        <f ca="1">IF(C813&lt;&gt;IF($C$3=1,12,$C$3-1),0,IF(繳費報酬率資料!$A$1&lt;&gt;1,VLOOKUP($A813,MP,8,0),IF(AND($A813&gt;=OP!$C$79,$A813&lt;=OP!$C$80),OP!$C$78,)))</f>
        <v>0</v>
      </c>
      <c r="AT813" s="298">
        <f t="shared" ca="1" si="458"/>
        <v>0</v>
      </c>
      <c r="AU813" s="298">
        <f ca="1">IF(AND(A813&lt;=OP!$C$120,COUNTIF(PAY,C813)=1),OP!$C$123,0)</f>
        <v>0</v>
      </c>
      <c r="AV813" s="298">
        <f ca="1">IF(AND(A813&gt;=OP!$C$132,A813&lt;=OP!$C$133,$C$3=C813),OP!$C$135,0)</f>
        <v>0</v>
      </c>
      <c r="AW813" s="180">
        <f t="shared" ca="1" si="459"/>
        <v>0.05</v>
      </c>
      <c r="AX813" s="180">
        <f t="shared" ca="1" si="460"/>
        <v>0.05</v>
      </c>
      <c r="AY813" s="286">
        <f t="shared" ca="1" si="461"/>
        <v>0</v>
      </c>
      <c r="AZ813" s="286">
        <f t="shared" ca="1" si="462"/>
        <v>0</v>
      </c>
      <c r="BA813" s="286">
        <f t="shared" ca="1" si="463"/>
        <v>0</v>
      </c>
      <c r="BB813" s="286">
        <f t="shared" ca="1" si="464"/>
        <v>0</v>
      </c>
      <c r="BC813" s="286">
        <f t="shared" ca="1" si="465"/>
        <v>0</v>
      </c>
      <c r="BD813" s="180">
        <f t="shared" ca="1" si="466"/>
        <v>0.05</v>
      </c>
      <c r="BE813" s="180">
        <f t="shared" ca="1" si="467"/>
        <v>0.05</v>
      </c>
      <c r="BF813" s="286">
        <f t="shared" ca="1" si="468"/>
        <v>0</v>
      </c>
      <c r="BG813" s="286">
        <f t="shared" ca="1" si="469"/>
        <v>0</v>
      </c>
    </row>
    <row r="814" spans="1:59">
      <c r="A814" s="1">
        <f t="shared" ca="1" si="448"/>
        <v>68</v>
      </c>
      <c r="B814" s="1">
        <f t="shared" ca="1" si="442"/>
        <v>173</v>
      </c>
      <c r="C814" s="1">
        <f t="shared" ca="1" si="443"/>
        <v>12</v>
      </c>
      <c r="D814" s="1">
        <f ca="1">MIN($D$3,VLOOKUP(C814,OP!$S$30:$T$41,2))</f>
        <v>2</v>
      </c>
      <c r="E814" s="1" t="str">
        <f t="shared" ca="1" si="444"/>
        <v/>
      </c>
      <c r="F814" s="11" t="str">
        <f t="shared" ca="1" si="449"/>
        <v/>
      </c>
      <c r="G814" s="8">
        <f t="shared" ca="1" si="475"/>
        <v>365</v>
      </c>
      <c r="H814" s="8">
        <f t="shared" ca="1" si="451"/>
        <v>31</v>
      </c>
      <c r="I814" s="8" t="str">
        <f t="shared" ca="1" si="447"/>
        <v>6812</v>
      </c>
      <c r="J814" s="13">
        <f>IF(繳費報酬率資料!$A$1=1,VALUE(OP!$C$121),VLOOKUP(A814,MP,2,0))</f>
        <v>0.05</v>
      </c>
      <c r="K814" s="14">
        <f ca="1">IF(SUM($K$4:K813,IF(繳費報酬率資料!$A$1=1,$AU814+$AV814,$BB814+$BC814))&gt;OP!$L$58,0,IF(繳費報酬率資料!$A$1=1,$AU814+$AV814,$BB814+$BC814))</f>
        <v>0</v>
      </c>
      <c r="L814" s="2"/>
      <c r="M814" s="2"/>
      <c r="N814" s="2"/>
      <c r="O814" s="261">
        <f t="shared" ca="1" si="452"/>
        <v>0</v>
      </c>
      <c r="P814" s="261">
        <f t="shared" ca="1" si="470"/>
        <v>0</v>
      </c>
      <c r="Q814" s="3">
        <f ca="1">IF(A814&gt;MAX(OP!$R$17:$R$26),0,VLOOKUP(A814,fees,3,FALSE))</f>
        <v>0</v>
      </c>
      <c r="R814" s="200" t="str">
        <f t="shared" ca="1" si="453"/>
        <v/>
      </c>
      <c r="S814" s="9" t="str">
        <f ca="1">IF(COUNTIF(($T$4:T813),"F")&gt;=1,"",IF(OR(C815&lt;&gt;$C$3,E814=""),"",A814))</f>
        <v/>
      </c>
      <c r="T814" s="20" t="str">
        <f t="shared" ca="1" si="445"/>
        <v/>
      </c>
      <c r="U814" s="2">
        <f ca="1">IF(IF(OP!$C$83=1,$Z813,IF(OP!$C$83=2,$AA813,IF(OP!$C$83=3,$AB813,)))+$K814-$O814-$P814-$AS814&lt;OP!$C$142,0,$AS814)</f>
        <v>0</v>
      </c>
      <c r="V814" s="9"/>
      <c r="W814" s="19">
        <f ca="1">MAX(SUM($K$4:K814),0)</f>
        <v>2000000</v>
      </c>
      <c r="X814" s="19"/>
      <c r="Y814" s="19">
        <f t="shared" ca="1" si="471"/>
        <v>1920000</v>
      </c>
      <c r="Z814" s="2">
        <f ca="1">IF(MIN($Z$4:Z813)=0,0,MAX(0,($Z813+$K814-$O814-$P814)*IF(AND(F814="F",$D$3&lt;&gt;$G$3),((1+(-J814))^(H814/MIN(G814,365))),((1+(-J814))^(1/12)))-$U814))</f>
        <v>59949.866382971515</v>
      </c>
      <c r="AA814" s="2">
        <f ca="1">IF(MIN($AA$4:AA813)=0,0,MAX(0,($AA813+$K814-$O814-$P814)*IF(AND(F814="F",$D$3&lt;&gt;$G$3),((1+$AA$1)^(H814/MIN(G814,365))),((1+$AA$1)^(1/12)))-$U814))</f>
        <v>1920000</v>
      </c>
      <c r="AB814" s="2">
        <f ca="1">IF(MIN($AB$4:AB813)=0,0,MAX(0,($AB813+$K814-$O814-$P814)*IF(AND(F814="F",$D$3&lt;&gt;$G$3),((1+(J814))^(H814/MIN(G814,365))),((1+(J814))^(1/12)))-$U814))</f>
        <v>51921196.359338805</v>
      </c>
      <c r="AC814" s="5"/>
      <c r="AD814" s="5"/>
      <c r="AE814" s="5"/>
      <c r="AF814" s="282">
        <f t="shared" ca="1" si="454"/>
        <v>59950</v>
      </c>
      <c r="AG814" s="282">
        <f t="shared" ca="1" si="455"/>
        <v>1920000</v>
      </c>
      <c r="AH814" s="282">
        <f t="shared" ca="1" si="456"/>
        <v>51921196</v>
      </c>
      <c r="AI814" s="23" t="str">
        <f t="shared" ca="1" si="472"/>
        <v>68-8</v>
      </c>
      <c r="AJ814" s="282">
        <f ca="1">IF(E814&gt;111,,IF(AND(OP!$C$99=1,T814="F"),Z814,IF(AND(OP!$C$99=2,COUNTIF($T$4:T814,"F")=1),OP!$C$97+IF(F814="F",OP!$C$98,0),"")))</f>
        <v>0</v>
      </c>
      <c r="AK814" s="282">
        <f ca="1">IF(E814&gt;111,,IF(AND(OP!$D$99=1,T814="F"),AA814,IF(AND(OP!$D$99=2,COUNTIF($T$4:T814,"F")=1),OP!$D$97+IF(F814="F",OP!$D$98,0),"")))</f>
        <v>0</v>
      </c>
      <c r="AL814" s="282">
        <f ca="1">IF(E814&gt;111,,IF(AND(OP!$E$99=1,T814="F"),AB814,IF(AND(OP!$E$99=2,COUNTIF($T$4:T814,"F")=1),OP!$E$97+IF(F814="F",OP!$E$98,0),"")))</f>
        <v>0</v>
      </c>
      <c r="AM814" s="1">
        <f t="shared" ca="1" si="446"/>
        <v>8</v>
      </c>
      <c r="AN814" s="1" t="e">
        <f ca="1">IF(OR(VLOOKUP($A814,MP,5,0)="半年繳",VLOOKUP($A814,MP,5,0)="季繳",VLOOKUP($A814,MP,5,0)="月繳"),1,"")</f>
        <v>#N/A</v>
      </c>
      <c r="AO814" s="1">
        <f t="shared" ca="1" si="457"/>
        <v>0</v>
      </c>
      <c r="AP814" s="1" t="str">
        <f ca="1">IF(AND(A814&lt;=OP!$C$120,COUNTIF(PAY,C814)=1),1,"")</f>
        <v/>
      </c>
      <c r="AR814" s="301">
        <f ca="1">IF(繳費報酬率資料!$A$1=1,$AY814+$AZ814,$BF814+$BG814)</f>
        <v>0</v>
      </c>
      <c r="AS814" s="1">
        <f ca="1">IF(C814&lt;&gt;IF($C$3=1,12,$C$3-1),0,IF(繳費報酬率資料!$A$1&lt;&gt;1,VLOOKUP($A814,MP,8,0),IF(AND($A814&gt;=OP!$C$79,$A814&lt;=OP!$C$80),OP!$C$78,)))</f>
        <v>0</v>
      </c>
      <c r="AT814" s="298">
        <f t="shared" ca="1" si="458"/>
        <v>0</v>
      </c>
      <c r="AU814" s="298">
        <f ca="1">IF(AND(A814&lt;=OP!$C$120,COUNTIF(PAY,C814)=1),OP!$C$123,0)</f>
        <v>0</v>
      </c>
      <c r="AV814" s="298">
        <f ca="1">IF(AND(A814&gt;=OP!$C$132,A814&lt;=OP!$C$133,$C$3=C814),OP!$C$135,0)</f>
        <v>0</v>
      </c>
      <c r="AW814" s="180">
        <f t="shared" ca="1" si="459"/>
        <v>0.05</v>
      </c>
      <c r="AX814" s="180">
        <f t="shared" ca="1" si="460"/>
        <v>0.05</v>
      </c>
      <c r="AY814" s="286">
        <f t="shared" ca="1" si="461"/>
        <v>0</v>
      </c>
      <c r="AZ814" s="286">
        <f t="shared" ca="1" si="462"/>
        <v>0</v>
      </c>
      <c r="BA814" s="286">
        <f t="shared" ca="1" si="463"/>
        <v>0</v>
      </c>
      <c r="BB814" s="286">
        <f t="shared" ca="1" si="464"/>
        <v>0</v>
      </c>
      <c r="BC814" s="286">
        <f t="shared" ca="1" si="465"/>
        <v>0</v>
      </c>
      <c r="BD814" s="180">
        <f t="shared" ca="1" si="466"/>
        <v>0.05</v>
      </c>
      <c r="BE814" s="180">
        <f t="shared" ca="1" si="467"/>
        <v>0.05</v>
      </c>
      <c r="BF814" s="286">
        <f t="shared" ca="1" si="468"/>
        <v>0</v>
      </c>
      <c r="BG814" s="286">
        <f t="shared" ca="1" si="469"/>
        <v>0</v>
      </c>
    </row>
    <row r="815" spans="1:59">
      <c r="A815" s="1">
        <f t="shared" ca="1" si="448"/>
        <v>68</v>
      </c>
      <c r="B815" s="1">
        <f t="shared" ca="1" si="442"/>
        <v>174</v>
      </c>
      <c r="C815" s="1">
        <f t="shared" ca="1" si="443"/>
        <v>1</v>
      </c>
      <c r="D815" s="1">
        <f ca="1">MIN($D$3,VLOOKUP(C815,OP!$S$30:$T$41,2))</f>
        <v>2</v>
      </c>
      <c r="E815" s="1" t="str">
        <f t="shared" ca="1" si="444"/>
        <v/>
      </c>
      <c r="F815" s="11" t="str">
        <f t="shared" ca="1" si="449"/>
        <v/>
      </c>
      <c r="G815" s="8">
        <f t="shared" ca="1" si="475"/>
        <v>365</v>
      </c>
      <c r="H815" s="8">
        <f t="shared" ca="1" si="451"/>
        <v>31</v>
      </c>
      <c r="I815" s="8" t="str">
        <f t="shared" ca="1" si="447"/>
        <v>681</v>
      </c>
      <c r="J815" s="13">
        <f>IF(繳費報酬率資料!$A$1=1,VALUE(OP!$C$121),VLOOKUP(A815,MP,2,0))</f>
        <v>0.05</v>
      </c>
      <c r="K815" s="14">
        <f ca="1">IF(SUM($K$4:K814,IF(繳費報酬率資料!$A$1=1,$AU815+$AV815,$BB815+$BC815))&gt;OP!$L$58,0,IF(繳費報酬率資料!$A$1=1,$AU815+$AV815,$BB815+$BC815))</f>
        <v>0</v>
      </c>
      <c r="L815" s="2"/>
      <c r="M815" s="2"/>
      <c r="N815" s="2"/>
      <c r="O815" s="261">
        <f t="shared" ca="1" si="452"/>
        <v>0</v>
      </c>
      <c r="P815" s="261">
        <f t="shared" ca="1" si="470"/>
        <v>0</v>
      </c>
      <c r="Q815" s="3">
        <f ca="1">IF(A815&gt;MAX(OP!$R$17:$R$26),0,VLOOKUP(A815,fees,3,FALSE))</f>
        <v>0</v>
      </c>
      <c r="R815" s="200" t="str">
        <f t="shared" ca="1" si="453"/>
        <v/>
      </c>
      <c r="S815" s="9" t="str">
        <f ca="1">IF(COUNTIF(($T$4:T814),"F")&gt;=1,"",IF(OR(C816&lt;&gt;$C$3,E815=""),"",A815))</f>
        <v/>
      </c>
      <c r="T815" s="20" t="str">
        <f t="shared" ca="1" si="445"/>
        <v/>
      </c>
      <c r="U815" s="2">
        <f ca="1">IF(IF(OP!$C$83=1,$Z814,IF(OP!$C$83=2,$AA814,IF(OP!$C$83=3,$AB814,)))+$K815-$O815-$P815-$AS815&lt;OP!$C$142,0,$AS815)</f>
        <v>0</v>
      </c>
      <c r="V815" s="9"/>
      <c r="W815" s="19">
        <f ca="1">MAX(SUM($K$4:K815),0)</f>
        <v>2000000</v>
      </c>
      <c r="X815" s="19"/>
      <c r="Y815" s="19">
        <f t="shared" ca="1" si="471"/>
        <v>1920000</v>
      </c>
      <c r="Z815" s="2">
        <f ca="1">IF(MIN($Z$4:Z814)=0,0,MAX(0,($Z814+$K815-$O815-$P815)*IF(AND(F815="F",$D$3&lt;&gt;$G$3),((1+(-J815))^(H815/MIN(G815,365))),((1+(-J815))^(1/12)))-$U815))</f>
        <v>59694.161092175978</v>
      </c>
      <c r="AA815" s="2">
        <f ca="1">IF(MIN($AA$4:AA814)=0,0,MAX(0,($AA814+$K815-$O815-$P815)*IF(AND(F815="F",$D$3&lt;&gt;$G$3),((1+$AA$1)^(H815/MIN(G815,365))),((1+$AA$1)^(1/12)))-$U815))</f>
        <v>1920000</v>
      </c>
      <c r="AB815" s="2">
        <f ca="1">IF(MIN($AB$4:AB814)=0,0,MAX(0,($AB814+$K815-$O815-$P815)*IF(AND(F815="F",$D$3&lt;&gt;$G$3),((1+(J815))^(H815/MIN(G815,365))),((1+(J815))^(1/12)))-$U815))</f>
        <v>52132729.740301862</v>
      </c>
      <c r="AC815" s="5"/>
      <c r="AD815" s="5"/>
      <c r="AE815" s="5"/>
      <c r="AF815" s="282">
        <f t="shared" ca="1" si="454"/>
        <v>59694</v>
      </c>
      <c r="AG815" s="282">
        <f t="shared" ca="1" si="455"/>
        <v>1920000</v>
      </c>
      <c r="AH815" s="282">
        <f t="shared" ca="1" si="456"/>
        <v>52132730</v>
      </c>
      <c r="AI815" s="23" t="str">
        <f t="shared" ca="1" si="472"/>
        <v>68-9</v>
      </c>
      <c r="AJ815" s="282">
        <f ca="1">IF(E815&gt;111,,IF(AND(OP!$C$99=1,T815="F"),Z815,IF(AND(OP!$C$99=2,COUNTIF($T$4:T815,"F")=1),OP!$C$97+IF(F815="F",OP!$C$98,0),"")))</f>
        <v>0</v>
      </c>
      <c r="AK815" s="282">
        <f ca="1">IF(E815&gt;111,,IF(AND(OP!$D$99=1,T815="F"),AA815,IF(AND(OP!$D$99=2,COUNTIF($T$4:T815,"F")=1),OP!$D$97+IF(F815="F",OP!$D$98,0),"")))</f>
        <v>0</v>
      </c>
      <c r="AL815" s="282">
        <f ca="1">IF(E815&gt;111,,IF(AND(OP!$E$99=1,T815="F"),AB815,IF(AND(OP!$E$99=2,COUNTIF($T$4:T815,"F")=1),OP!$E$97+IF(F815="F",OP!$E$98,0),"")))</f>
        <v>0</v>
      </c>
      <c r="AM815" s="1">
        <f t="shared" ca="1" si="446"/>
        <v>9</v>
      </c>
      <c r="AN815" s="1" t="e">
        <f ca="1">IF(OR(VLOOKUP($A815,MP,5,0)="月繳"),1,"")</f>
        <v>#N/A</v>
      </c>
      <c r="AO815" s="1">
        <f t="shared" ca="1" si="457"/>
        <v>0</v>
      </c>
      <c r="AP815" s="1" t="str">
        <f ca="1">IF(AND(A815&lt;=OP!$C$120,COUNTIF(PAY,C815)=1),1,"")</f>
        <v/>
      </c>
      <c r="AR815" s="301">
        <f ca="1">IF(繳費報酬率資料!$A$1=1,$AY815+$AZ815,$BF815+$BG815)</f>
        <v>0</v>
      </c>
      <c r="AS815" s="1">
        <f ca="1">IF(C815&lt;&gt;IF($C$3=1,12,$C$3-1),0,IF(繳費報酬率資料!$A$1&lt;&gt;1,VLOOKUP($A815,MP,8,0),IF(AND($A815&gt;=OP!$C$79,$A815&lt;=OP!$C$80),OP!$C$78,)))</f>
        <v>0</v>
      </c>
      <c r="AT815" s="298">
        <f t="shared" ca="1" si="458"/>
        <v>0</v>
      </c>
      <c r="AU815" s="298">
        <f ca="1">IF(AND(A815&lt;=OP!$C$120,COUNTIF(PAY,C815)=1),OP!$C$123,0)</f>
        <v>0</v>
      </c>
      <c r="AV815" s="298">
        <f ca="1">IF(AND(A815&gt;=OP!$C$132,A815&lt;=OP!$C$133,$C$3=C815),OP!$C$135,0)</f>
        <v>0</v>
      </c>
      <c r="AW815" s="180">
        <f t="shared" ca="1" si="459"/>
        <v>0.05</v>
      </c>
      <c r="AX815" s="180">
        <f t="shared" ca="1" si="460"/>
        <v>0.05</v>
      </c>
      <c r="AY815" s="286">
        <f t="shared" ca="1" si="461"/>
        <v>0</v>
      </c>
      <c r="AZ815" s="286">
        <f t="shared" ca="1" si="462"/>
        <v>0</v>
      </c>
      <c r="BA815" s="286">
        <f t="shared" ca="1" si="463"/>
        <v>0</v>
      </c>
      <c r="BB815" s="286">
        <f t="shared" ca="1" si="464"/>
        <v>0</v>
      </c>
      <c r="BC815" s="286">
        <f t="shared" ca="1" si="465"/>
        <v>0</v>
      </c>
      <c r="BD815" s="180">
        <f t="shared" ca="1" si="466"/>
        <v>0.05</v>
      </c>
      <c r="BE815" s="180">
        <f t="shared" ca="1" si="467"/>
        <v>0.05</v>
      </c>
      <c r="BF815" s="286">
        <f t="shared" ca="1" si="468"/>
        <v>0</v>
      </c>
      <c r="BG815" s="286">
        <f t="shared" ca="1" si="469"/>
        <v>0</v>
      </c>
    </row>
    <row r="816" spans="1:59">
      <c r="A816" s="1">
        <f t="shared" ca="1" si="448"/>
        <v>68</v>
      </c>
      <c r="B816" s="1">
        <f t="shared" ca="1" si="442"/>
        <v>174</v>
      </c>
      <c r="C816" s="1">
        <f t="shared" ca="1" si="443"/>
        <v>2</v>
      </c>
      <c r="D816" s="1">
        <f ca="1">MIN($D$3,VLOOKUP(C816,OP!$S$30:$T$41,2))</f>
        <v>2</v>
      </c>
      <c r="E816" s="1" t="str">
        <f t="shared" ca="1" si="444"/>
        <v/>
      </c>
      <c r="F816" s="11" t="str">
        <f t="shared" ca="1" si="449"/>
        <v/>
      </c>
      <c r="G816" s="8">
        <f t="shared" ca="1" si="475"/>
        <v>365</v>
      </c>
      <c r="H816" s="8">
        <f t="shared" ca="1" si="451"/>
        <v>28</v>
      </c>
      <c r="I816" s="8" t="str">
        <f t="shared" ca="1" si="447"/>
        <v>682</v>
      </c>
      <c r="J816" s="13">
        <f>IF(繳費報酬率資料!$A$1=1,VALUE(OP!$C$121),VLOOKUP(A816,MP,2,0))</f>
        <v>0.05</v>
      </c>
      <c r="K816" s="14">
        <f ca="1">IF(SUM($K$4:K815,IF(繳費報酬率資料!$A$1=1,$AU816+$AV816,$BB816+$BC816))&gt;OP!$L$58,0,IF(繳費報酬率資料!$A$1=1,$AU816+$AV816,$BB816+$BC816))</f>
        <v>0</v>
      </c>
      <c r="L816" s="2"/>
      <c r="M816" s="2"/>
      <c r="N816" s="2"/>
      <c r="O816" s="261">
        <f t="shared" ca="1" si="452"/>
        <v>0</v>
      </c>
      <c r="P816" s="261">
        <f t="shared" ca="1" si="470"/>
        <v>0</v>
      </c>
      <c r="Q816" s="3">
        <f ca="1">IF(A816&gt;MAX(OP!$R$17:$R$26),0,VLOOKUP(A816,fees,3,FALSE))</f>
        <v>0</v>
      </c>
      <c r="R816" s="200" t="str">
        <f t="shared" ca="1" si="453"/>
        <v/>
      </c>
      <c r="S816" s="9" t="str">
        <f ca="1">IF(COUNTIF(($T$4:T815),"F")&gt;=1,"",IF(OR(C817&lt;&gt;$C$3,E816=""),"",A816))</f>
        <v/>
      </c>
      <c r="T816" s="20" t="str">
        <f t="shared" ca="1" si="445"/>
        <v/>
      </c>
      <c r="U816" s="2">
        <f ca="1">IF(IF(OP!$C$83=1,$Z815,IF(OP!$C$83=2,$AA815,IF(OP!$C$83=3,$AB815,)))+$K816-$O816-$P816-$AS816&lt;OP!$C$142,0,$AS816)</f>
        <v>0</v>
      </c>
      <c r="V816" s="9"/>
      <c r="W816" s="19">
        <f ca="1">MAX(SUM($K$4:K816),0)</f>
        <v>2000000</v>
      </c>
      <c r="X816" s="19"/>
      <c r="Y816" s="19">
        <f t="shared" ca="1" si="471"/>
        <v>1920000</v>
      </c>
      <c r="Z816" s="2">
        <f ca="1">IF(MIN($Z$4:Z815)=0,0,MAX(0,($Z815+$K816-$O816-$P816)*IF(AND(F816="F",$D$3&lt;&gt;$G$3),((1+(-J816))^(H816/MIN(G816,365))),((1+(-J816))^(1/12)))-$U816))</f>
        <v>59439.546465958789</v>
      </c>
      <c r="AA816" s="2">
        <f ca="1">IF(MIN($AA$4:AA815)=0,0,MAX(0,($AA815+$K816-$O816-$P816)*IF(AND(F816="F",$D$3&lt;&gt;$G$3),((1+$AA$1)^(H816/MIN(G816,365))),((1+$AA$1)^(1/12)))-$U816))</f>
        <v>1920000</v>
      </c>
      <c r="AB816" s="2">
        <f ca="1">IF(MIN($AB$4:AB815)=0,0,MAX(0,($AB815+$K816-$O816-$P816)*IF(AND(F816="F",$D$3&lt;&gt;$G$3),((1+(J816))^(H816/MIN(G816,365))),((1+(J816))^(1/12)))-$U816))</f>
        <v>52345124.93444334</v>
      </c>
      <c r="AC816" s="5"/>
      <c r="AD816" s="5"/>
      <c r="AE816" s="5"/>
      <c r="AF816" s="282">
        <f t="shared" ca="1" si="454"/>
        <v>59440</v>
      </c>
      <c r="AG816" s="282">
        <f t="shared" ca="1" si="455"/>
        <v>1920000</v>
      </c>
      <c r="AH816" s="282">
        <f t="shared" ca="1" si="456"/>
        <v>52345125</v>
      </c>
      <c r="AI816" s="23" t="str">
        <f t="shared" ca="1" si="472"/>
        <v>68-10</v>
      </c>
      <c r="AJ816" s="282">
        <f ca="1">IF(E816&gt;111,,IF(AND(OP!$C$99=1,T816="F"),Z816,IF(AND(OP!$C$99=2,COUNTIF($T$4:T816,"F")=1),OP!$C$97+IF(F816="F",OP!$C$98,0),"")))</f>
        <v>0</v>
      </c>
      <c r="AK816" s="282">
        <f ca="1">IF(E816&gt;111,,IF(AND(OP!$D$99=1,T816="F"),AA816,IF(AND(OP!$D$99=2,COUNTIF($T$4:T816,"F")=1),OP!$D$97+IF(F816="F",OP!$D$98,0),"")))</f>
        <v>0</v>
      </c>
      <c r="AL816" s="282">
        <f ca="1">IF(E816&gt;111,,IF(AND(OP!$E$99=1,T816="F"),AB816,IF(AND(OP!$E$99=2,COUNTIF($T$4:T816,"F")=1),OP!$E$97+IF(F816="F",OP!$E$98,0),"")))</f>
        <v>0</v>
      </c>
      <c r="AM816" s="1">
        <f t="shared" ca="1" si="446"/>
        <v>10</v>
      </c>
      <c r="AN816" s="1" t="e">
        <f ca="1">IF(OR(VLOOKUP($A816,MP,5,0)="月繳"),1,"")</f>
        <v>#N/A</v>
      </c>
      <c r="AO816" s="1">
        <f t="shared" ca="1" si="457"/>
        <v>0</v>
      </c>
      <c r="AP816" s="1" t="str">
        <f ca="1">IF(AND(A816&lt;=OP!$C$120,COUNTIF(PAY,C816)=1),1,"")</f>
        <v/>
      </c>
      <c r="AR816" s="301">
        <f ca="1">IF(繳費報酬率資料!$A$1=1,$AY816+$AZ816,$BF816+$BG816)</f>
        <v>0</v>
      </c>
      <c r="AS816" s="1">
        <f ca="1">IF(C816&lt;&gt;IF($C$3=1,12,$C$3-1),0,IF(繳費報酬率資料!$A$1&lt;&gt;1,VLOOKUP($A816,MP,8,0),IF(AND($A816&gt;=OP!$C$79,$A816&lt;=OP!$C$80),OP!$C$78,)))</f>
        <v>0</v>
      </c>
      <c r="AT816" s="298">
        <f t="shared" ca="1" si="458"/>
        <v>0</v>
      </c>
      <c r="AU816" s="298">
        <f ca="1">IF(AND(A816&lt;=OP!$C$120,COUNTIF(PAY,C816)=1),OP!$C$123,0)</f>
        <v>0</v>
      </c>
      <c r="AV816" s="298">
        <f ca="1">IF(AND(A816&gt;=OP!$C$132,A816&lt;=OP!$C$133,$C$3=C816),OP!$C$135,0)</f>
        <v>0</v>
      </c>
      <c r="AW816" s="180">
        <f t="shared" ca="1" si="459"/>
        <v>0.05</v>
      </c>
      <c r="AX816" s="180">
        <f t="shared" ca="1" si="460"/>
        <v>0.05</v>
      </c>
      <c r="AY816" s="286">
        <f t="shared" ca="1" si="461"/>
        <v>0</v>
      </c>
      <c r="AZ816" s="286">
        <f t="shared" ca="1" si="462"/>
        <v>0</v>
      </c>
      <c r="BA816" s="286">
        <f t="shared" ca="1" si="463"/>
        <v>0</v>
      </c>
      <c r="BB816" s="286">
        <f t="shared" ca="1" si="464"/>
        <v>0</v>
      </c>
      <c r="BC816" s="286">
        <f t="shared" ca="1" si="465"/>
        <v>0</v>
      </c>
      <c r="BD816" s="180">
        <f t="shared" ca="1" si="466"/>
        <v>0.05</v>
      </c>
      <c r="BE816" s="180">
        <f t="shared" ca="1" si="467"/>
        <v>0.05</v>
      </c>
      <c r="BF816" s="286">
        <f t="shared" ca="1" si="468"/>
        <v>0</v>
      </c>
      <c r="BG816" s="286">
        <f t="shared" ca="1" si="469"/>
        <v>0</v>
      </c>
    </row>
    <row r="817" spans="1:59">
      <c r="A817" s="1">
        <f t="shared" ca="1" si="448"/>
        <v>68</v>
      </c>
      <c r="B817" s="1">
        <f t="shared" ca="1" si="442"/>
        <v>174</v>
      </c>
      <c r="C817" s="1">
        <f t="shared" ca="1" si="443"/>
        <v>3</v>
      </c>
      <c r="D817" s="1">
        <f ca="1">MIN($D$3,VLOOKUP(C817,OP!$S$30:$T$41,2))</f>
        <v>2</v>
      </c>
      <c r="E817" s="1" t="str">
        <f t="shared" ca="1" si="444"/>
        <v/>
      </c>
      <c r="F817" s="11" t="str">
        <f t="shared" ca="1" si="449"/>
        <v/>
      </c>
      <c r="G817" s="8">
        <f t="shared" ca="1" si="475"/>
        <v>365</v>
      </c>
      <c r="H817" s="8">
        <f t="shared" ca="1" si="451"/>
        <v>31</v>
      </c>
      <c r="I817" s="8" t="str">
        <f t="shared" ca="1" si="447"/>
        <v>683</v>
      </c>
      <c r="J817" s="13">
        <f>IF(繳費報酬率資料!$A$1=1,VALUE(OP!$C$121),VLOOKUP(A817,MP,2,0))</f>
        <v>0.05</v>
      </c>
      <c r="K817" s="14">
        <f ca="1">IF(SUM($K$4:K816,IF(繳費報酬率資料!$A$1=1,$AU817+$AV817,$BB817+$BC817))&gt;OP!$L$58,0,IF(繳費報酬率資料!$A$1=1,$AU817+$AV817,$BB817+$BC817))</f>
        <v>0</v>
      </c>
      <c r="L817" s="2"/>
      <c r="M817" s="2"/>
      <c r="N817" s="2"/>
      <c r="O817" s="261">
        <f t="shared" ca="1" si="452"/>
        <v>0</v>
      </c>
      <c r="P817" s="261">
        <f t="shared" ca="1" si="470"/>
        <v>0</v>
      </c>
      <c r="Q817" s="3">
        <f ca="1">IF(A817&gt;MAX(OP!$R$17:$R$26),0,VLOOKUP(A817,fees,3,FALSE))</f>
        <v>0</v>
      </c>
      <c r="R817" s="200" t="str">
        <f t="shared" ca="1" si="453"/>
        <v/>
      </c>
      <c r="S817" s="9" t="str">
        <f ca="1">IF(COUNTIF(($T$4:T816),"F")&gt;=1,"",IF(OR(C818&lt;&gt;$C$3,E817=""),"",A817))</f>
        <v/>
      </c>
      <c r="T817" s="20" t="str">
        <f t="shared" ca="1" si="445"/>
        <v/>
      </c>
      <c r="U817" s="2">
        <f ca="1">IF(IF(OP!$C$83=1,$Z816,IF(OP!$C$83=2,$AA816,IF(OP!$C$83=3,$AB816,)))+$K817-$O817-$P817-$AS817&lt;OP!$C$142,0,$AS817)</f>
        <v>0</v>
      </c>
      <c r="V817" s="9"/>
      <c r="W817" s="19">
        <f ca="1">MAX(SUM($K$4:K817),0)</f>
        <v>2000000</v>
      </c>
      <c r="X817" s="19"/>
      <c r="Y817" s="19">
        <f t="shared" ca="1" si="471"/>
        <v>1920000</v>
      </c>
      <c r="Z817" s="2">
        <f ca="1">IF(MIN($Z$4:Z816)=0,0,MAX(0,($Z816+$K817-$O817-$P817)*IF(AND(F817="F",$D$3&lt;&gt;$G$3),((1+(-J817))^(H817/MIN(G817,365))),((1+(-J817))^(1/12)))-$U817))</f>
        <v>59186.017852287849</v>
      </c>
      <c r="AA817" s="2">
        <f ca="1">IF(MIN($AA$4:AA816)=0,0,MAX(0,($AA816+$K817-$O817-$P817)*IF(AND(F817="F",$D$3&lt;&gt;$G$3),((1+$AA$1)^(H817/MIN(G817,365))),((1+$AA$1)^(1/12)))-$U817))</f>
        <v>1920000</v>
      </c>
      <c r="AB817" s="2">
        <f ca="1">IF(MIN($AB$4:AB816)=0,0,MAX(0,($AB816+$K817-$O817-$P817)*IF(AND(F817="F",$D$3&lt;&gt;$G$3),((1+(J817))^(H817/MIN(G817,365))),((1+(J817))^(1/12)))-$U817))</f>
        <v>52558385.452896796</v>
      </c>
      <c r="AC817" s="5"/>
      <c r="AD817" s="5"/>
      <c r="AE817" s="5"/>
      <c r="AF817" s="282">
        <f t="shared" ca="1" si="454"/>
        <v>59186</v>
      </c>
      <c r="AG817" s="282">
        <f t="shared" ca="1" si="455"/>
        <v>1920000</v>
      </c>
      <c r="AH817" s="282">
        <f t="shared" ca="1" si="456"/>
        <v>52558385</v>
      </c>
      <c r="AI817" s="23" t="str">
        <f t="shared" ca="1" si="472"/>
        <v>68-11</v>
      </c>
      <c r="AJ817" s="282">
        <f ca="1">IF(E817&gt;111,,IF(AND(OP!$C$99=1,T817="F"),Z817,IF(AND(OP!$C$99=2,COUNTIF($T$4:T817,"F")=1),OP!$C$97+IF(F817="F",OP!$C$98,0),"")))</f>
        <v>0</v>
      </c>
      <c r="AK817" s="282">
        <f ca="1">IF(E817&gt;111,,IF(AND(OP!$D$99=1,T817="F"),AA817,IF(AND(OP!$D$99=2,COUNTIF($T$4:T817,"F")=1),OP!$D$97+IF(F817="F",OP!$D$98,0),"")))</f>
        <v>0</v>
      </c>
      <c r="AL817" s="282">
        <f ca="1">IF(E817&gt;111,,IF(AND(OP!$E$99=1,T817="F"),AB817,IF(AND(OP!$E$99=2,COUNTIF($T$4:T817,"F")=1),OP!$E$97+IF(F817="F",OP!$E$98,0),"")))</f>
        <v>0</v>
      </c>
      <c r="AM817" s="1">
        <f t="shared" ca="1" si="446"/>
        <v>11</v>
      </c>
      <c r="AN817" s="1" t="e">
        <f ca="1">IF(OR(VLOOKUP($A817,MP,5,0)="季繳",VLOOKUP($A817,MP,5,0)="月繳"),1,"")</f>
        <v>#N/A</v>
      </c>
      <c r="AO817" s="1">
        <f t="shared" ca="1" si="457"/>
        <v>0</v>
      </c>
      <c r="AP817" s="1" t="str">
        <f ca="1">IF(AND(A817&lt;=OP!$C$120,COUNTIF(PAY,C817)=1),1,"")</f>
        <v/>
      </c>
      <c r="AR817" s="301">
        <f ca="1">IF(繳費報酬率資料!$A$1=1,$AY817+$AZ817,$BF817+$BG817)</f>
        <v>0</v>
      </c>
      <c r="AS817" s="1">
        <f ca="1">IF(C817&lt;&gt;IF($C$3=1,12,$C$3-1),0,IF(繳費報酬率資料!$A$1&lt;&gt;1,VLOOKUP($A817,MP,8,0),IF(AND($A817&gt;=OP!$C$79,$A817&lt;=OP!$C$80),OP!$C$78,)))</f>
        <v>0</v>
      </c>
      <c r="AT817" s="298">
        <f t="shared" ca="1" si="458"/>
        <v>0</v>
      </c>
      <c r="AU817" s="298">
        <f ca="1">IF(AND(A817&lt;=OP!$C$120,COUNTIF(PAY,C817)=1),OP!$C$123,0)</f>
        <v>0</v>
      </c>
      <c r="AV817" s="298">
        <f ca="1">IF(AND(A817&gt;=OP!$C$132,A817&lt;=OP!$C$133,$C$3=C817),OP!$C$135,0)</f>
        <v>0</v>
      </c>
      <c r="AW817" s="180">
        <f t="shared" ca="1" si="459"/>
        <v>0.05</v>
      </c>
      <c r="AX817" s="180">
        <f t="shared" ca="1" si="460"/>
        <v>0.05</v>
      </c>
      <c r="AY817" s="286">
        <f t="shared" ca="1" si="461"/>
        <v>0</v>
      </c>
      <c r="AZ817" s="286">
        <f t="shared" ca="1" si="462"/>
        <v>0</v>
      </c>
      <c r="BA817" s="286">
        <f t="shared" ca="1" si="463"/>
        <v>0</v>
      </c>
      <c r="BB817" s="286">
        <f t="shared" ca="1" si="464"/>
        <v>0</v>
      </c>
      <c r="BC817" s="286">
        <f t="shared" ca="1" si="465"/>
        <v>0</v>
      </c>
      <c r="BD817" s="180">
        <f t="shared" ca="1" si="466"/>
        <v>0.05</v>
      </c>
      <c r="BE817" s="180">
        <f t="shared" ca="1" si="467"/>
        <v>0.05</v>
      </c>
      <c r="BF817" s="286">
        <f t="shared" ca="1" si="468"/>
        <v>0</v>
      </c>
      <c r="BG817" s="286">
        <f t="shared" ca="1" si="469"/>
        <v>0</v>
      </c>
    </row>
    <row r="818" spans="1:59">
      <c r="A818" s="1">
        <f t="shared" ca="1" si="448"/>
        <v>68</v>
      </c>
      <c r="B818" s="1">
        <f t="shared" ca="1" si="442"/>
        <v>174</v>
      </c>
      <c r="C818" s="1">
        <f t="shared" ca="1" si="443"/>
        <v>4</v>
      </c>
      <c r="D818" s="1">
        <f ca="1">MIN($D$3,VLOOKUP(C818,OP!$S$30:$T$41,2))</f>
        <v>2</v>
      </c>
      <c r="E818" s="1" t="str">
        <f t="shared" ca="1" si="444"/>
        <v/>
      </c>
      <c r="F818" s="11" t="str">
        <f t="shared" ca="1" si="449"/>
        <v/>
      </c>
      <c r="G818" s="8">
        <f t="shared" ca="1" si="475"/>
        <v>365</v>
      </c>
      <c r="H818" s="8">
        <f t="shared" ca="1" si="451"/>
        <v>30</v>
      </c>
      <c r="I818" s="8" t="str">
        <f t="shared" ca="1" si="447"/>
        <v>684</v>
      </c>
      <c r="J818" s="13">
        <f>IF(繳費報酬率資料!$A$1=1,VALUE(OP!$C$121),VLOOKUP(A818,MP,2,0))</f>
        <v>0.05</v>
      </c>
      <c r="K818" s="14">
        <f ca="1">IF(SUM($K$4:K817,IF(繳費報酬率資料!$A$1=1,$AU818+$AV818,$BB818+$BC818))&gt;OP!$L$58,0,IF(繳費報酬率資料!$A$1=1,$AU818+$AV818,$BB818+$BC818))</f>
        <v>0</v>
      </c>
      <c r="L818" s="2"/>
      <c r="M818" s="2"/>
      <c r="N818" s="2"/>
      <c r="O818" s="261">
        <f t="shared" ca="1" si="452"/>
        <v>0</v>
      </c>
      <c r="P818" s="261">
        <f t="shared" ca="1" si="470"/>
        <v>0</v>
      </c>
      <c r="Q818" s="3">
        <f ca="1">IF(A818&gt;MAX(OP!$R$17:$R$26),0,VLOOKUP(A818,fees,3,FALSE))</f>
        <v>0</v>
      </c>
      <c r="R818" s="200" t="str">
        <f t="shared" ca="1" si="453"/>
        <v/>
      </c>
      <c r="S818" s="9" t="str">
        <f ca="1">IF(COUNTIF(($T$4:T817),"F")&gt;=1,"",IF(OR(C819&lt;&gt;$C$3,E818=""),"",A818))</f>
        <v/>
      </c>
      <c r="T818" s="20" t="str">
        <f t="shared" ca="1" si="445"/>
        <v/>
      </c>
      <c r="U818" s="2">
        <f ca="1">IF(IF(OP!$C$83=1,$Z817,IF(OP!$C$83=2,$AA817,IF(OP!$C$83=3,$AB817,)))+$K818-$O818-$P818-$AS818&lt;OP!$C$142,0,$AS818)</f>
        <v>0</v>
      </c>
      <c r="V818" s="9"/>
      <c r="W818" s="19">
        <f ca="1">MAX(SUM($K$4:K818),0)</f>
        <v>2000000</v>
      </c>
      <c r="X818" s="19"/>
      <c r="Y818" s="19">
        <f t="shared" ca="1" si="471"/>
        <v>1920000</v>
      </c>
      <c r="Z818" s="2">
        <f ca="1">IF(MIN($Z$4:Z817)=0,0,MAX(0,($Z817+$K818-$O818-$P818)*IF(AND(F818="F",$D$3&lt;&gt;$G$3),((1+(-J818))^(H818/MIN(G818,365))),((1+(-J818))^(1/12)))-$U818))</f>
        <v>58933.570618973448</v>
      </c>
      <c r="AA818" s="2">
        <f ca="1">IF(MIN($AA$4:AA817)=0,0,MAX(0,($AA817+$K818-$O818-$P818)*IF(AND(F818="F",$D$3&lt;&gt;$G$3),((1+$AA$1)^(H818/MIN(G818,365))),((1+$AA$1)^(1/12)))-$U818))</f>
        <v>1920000</v>
      </c>
      <c r="AB818" s="2">
        <f ca="1">IF(MIN($AB$4:AB817)=0,0,MAX(0,($AB817+$K818-$O818-$P818)*IF(AND(F818="F",$D$3&lt;&gt;$G$3),((1+(J818))^(H818/MIN(G818,365))),((1+(J818))^(1/12)))-$U818))</f>
        <v>52772514.8211006</v>
      </c>
      <c r="AC818" s="5"/>
      <c r="AD818" s="5"/>
      <c r="AE818" s="5"/>
      <c r="AF818" s="282">
        <f t="shared" ca="1" si="454"/>
        <v>58934</v>
      </c>
      <c r="AG818" s="282">
        <f t="shared" ca="1" si="455"/>
        <v>1920000</v>
      </c>
      <c r="AH818" s="282">
        <f t="shared" ca="1" si="456"/>
        <v>52772515</v>
      </c>
      <c r="AI818" s="23" t="str">
        <f t="shared" ca="1" si="472"/>
        <v>68-12</v>
      </c>
      <c r="AJ818" s="282">
        <f ca="1">IF(E818&gt;111,,IF(AND(OP!$C$99=1,T818="F"),Z818,IF(AND(OP!$C$99=2,COUNTIF($T$4:T818,"F")=1),OP!$C$97+IF(F818="F",OP!$C$98,0),"")))</f>
        <v>0</v>
      </c>
      <c r="AK818" s="282">
        <f ca="1">IF(E818&gt;111,,IF(AND(OP!$D$99=1,T818="F"),AA818,IF(AND(OP!$D$99=2,COUNTIF($T$4:T818,"F")=1),OP!$D$97+IF(F818="F",OP!$D$98,0),"")))</f>
        <v>0</v>
      </c>
      <c r="AL818" s="282">
        <f ca="1">IF(E818&gt;111,,IF(AND(OP!$E$99=1,T818="F"),AB818,IF(AND(OP!$E$99=2,COUNTIF($T$4:T818,"F")=1),OP!$E$97+IF(F818="F",OP!$E$98,0),"")))</f>
        <v>0</v>
      </c>
      <c r="AM818" s="1">
        <f t="shared" ca="1" si="446"/>
        <v>12</v>
      </c>
      <c r="AN818" s="1" t="e">
        <f ca="1">IF(OR(VLOOKUP($A818,MP,5,0)="月繳"),1,"")</f>
        <v>#N/A</v>
      </c>
      <c r="AO818" s="1">
        <f t="shared" ca="1" si="457"/>
        <v>0</v>
      </c>
      <c r="AP818" s="1" t="str">
        <f ca="1">IF(AND(A818&lt;=OP!$C$120,COUNTIF(PAY,C818)=1),1,"")</f>
        <v/>
      </c>
      <c r="AR818" s="301">
        <f ca="1">IF(繳費報酬率資料!$A$1=1,$AY818+$AZ818,$BF818+$BG818)</f>
        <v>0</v>
      </c>
      <c r="AS818" s="1">
        <f ca="1">IF(C818&lt;&gt;IF($C$3=1,12,$C$3-1),0,IF(繳費報酬率資料!$A$1&lt;&gt;1,VLOOKUP($A818,MP,8,0),IF(AND($A818&gt;=OP!$C$79,$A818&lt;=OP!$C$80),OP!$C$78,)))</f>
        <v>0</v>
      </c>
      <c r="AT818" s="298">
        <f t="shared" ca="1" si="458"/>
        <v>0</v>
      </c>
      <c r="AU818" s="298">
        <f ca="1">IF(AND(A818&lt;=OP!$C$120,COUNTIF(PAY,C818)=1),OP!$C$123,0)</f>
        <v>0</v>
      </c>
      <c r="AV818" s="298">
        <f ca="1">IF(AND(A818&gt;=OP!$C$132,A818&lt;=OP!$C$133,$C$3=C818),OP!$C$135,0)</f>
        <v>0</v>
      </c>
      <c r="AW818" s="180">
        <f t="shared" ca="1" si="459"/>
        <v>0.05</v>
      </c>
      <c r="AX818" s="180">
        <f t="shared" ca="1" si="460"/>
        <v>0.05</v>
      </c>
      <c r="AY818" s="286">
        <f t="shared" ca="1" si="461"/>
        <v>0</v>
      </c>
      <c r="AZ818" s="286">
        <f t="shared" ca="1" si="462"/>
        <v>0</v>
      </c>
      <c r="BA818" s="286">
        <f t="shared" ca="1" si="463"/>
        <v>0</v>
      </c>
      <c r="BB818" s="286">
        <f t="shared" ca="1" si="464"/>
        <v>0</v>
      </c>
      <c r="BC818" s="286">
        <f t="shared" ca="1" si="465"/>
        <v>0</v>
      </c>
      <c r="BD818" s="180">
        <f t="shared" ca="1" si="466"/>
        <v>0.05</v>
      </c>
      <c r="BE818" s="180">
        <f t="shared" ca="1" si="467"/>
        <v>0.05</v>
      </c>
      <c r="BF818" s="286">
        <f t="shared" ca="1" si="468"/>
        <v>0</v>
      </c>
      <c r="BG818" s="286">
        <f t="shared" ca="1" si="469"/>
        <v>0</v>
      </c>
    </row>
    <row r="819" spans="1:59">
      <c r="A819" s="1">
        <f t="shared" ca="1" si="448"/>
        <v>68</v>
      </c>
      <c r="B819" s="1">
        <f t="shared" ca="1" si="442"/>
        <v>174</v>
      </c>
      <c r="C819" s="1">
        <f t="shared" ca="1" si="443"/>
        <v>5</v>
      </c>
      <c r="D819" s="1">
        <f ca="1">MIN($D$3,VLOOKUP(C819,OP!$S$30:$T$41,2))</f>
        <v>2</v>
      </c>
      <c r="E819" s="1" t="str">
        <f t="shared" ca="1" si="444"/>
        <v/>
      </c>
      <c r="F819" s="11" t="str">
        <f t="shared" ca="1" si="449"/>
        <v/>
      </c>
      <c r="G819" s="8">
        <f t="shared" ca="1" si="475"/>
        <v>365</v>
      </c>
      <c r="H819" s="8">
        <f t="shared" ca="1" si="451"/>
        <v>31</v>
      </c>
      <c r="I819" s="8" t="str">
        <f t="shared" ca="1" si="447"/>
        <v>685</v>
      </c>
      <c r="J819" s="13">
        <f>IF(繳費報酬率資料!$A$1=1,VALUE(OP!$C$121),VLOOKUP(A819,MP,2,0))</f>
        <v>0.05</v>
      </c>
      <c r="K819" s="14">
        <f ca="1">IF(SUM($K$4:K818,IF(繳費報酬率資料!$A$1=1,$AU819+$AV819,$BB819+$BC819))&gt;OP!$L$58,0,IF(繳費報酬率資料!$A$1=1,$AU819+$AV819,$BB819+$BC819))</f>
        <v>0</v>
      </c>
      <c r="L819" s="2">
        <f ca="1">ROUND(IF(OP!$C$78&lt;(IF(OR($T819="F",$E819&gt;=111),0,Z818+$K819-$O819+IF($C$1=1,OP!$C$78,IF($C820=$C$3,SUM(AC808:AC819,0)))))*5%,0,(OP!$C$78-((IF(OR($T819="F",$E819&gt;=111),0,Z818+$K819-$O819+IF($C$1=1,AC819,IF($C820=$C$3,SUM(AC808:AC819,0)))))*5%))*$Q819),0)</f>
        <v>0</v>
      </c>
      <c r="M819" s="2">
        <f ca="1">ROUND(IF(OP!$C$78&lt;(IF(OR($T819="F",$E819&gt;=111),0,AA818+$K819-$O819+IF($C$1=1,AD819,IF($C820=$C$3,SUM(AD808:AD819,0)))))*5%,0,(OP!$C$78-((IF(OR($T819="F",$E819&gt;=111),0,AA818+$K819-$O819+IF($C$1=1,AD819,IF($C820=$C$3,SUM(AD808:AD819,0)))))*5%))*$Q819),0)</f>
        <v>0</v>
      </c>
      <c r="N819" s="2">
        <f ca="1">ROUND(IF(OP!$C$78&lt;(IF(OR($T819="F",$E819&gt;=111),0,AB818+$K819-$O819+IF($C$1=1,AE819,IF($C820=$C$3,SUM(AE808:AE819,0)))))*5%,0,(OP!$C$78-((IF(OR($T819="F",$E819&gt;=111),0,AB818+$K819-$O819+IF($C$1=1,AE819,IF($C820=$C$3,SUM(AE808:AE819,0)))))*5%))*$Q819),0)</f>
        <v>0</v>
      </c>
      <c r="O819" s="261">
        <f t="shared" ca="1" si="452"/>
        <v>0</v>
      </c>
      <c r="P819" s="261">
        <f t="shared" ca="1" si="470"/>
        <v>0</v>
      </c>
      <c r="Q819" s="3">
        <f ca="1">IF(A819&gt;MAX(OP!$R$17:$R$26),0,VLOOKUP(A819,fees,3,FALSE))</f>
        <v>0</v>
      </c>
      <c r="R819" s="200" t="str">
        <f t="shared" ca="1" si="453"/>
        <v/>
      </c>
      <c r="S819" s="9" t="str">
        <f ca="1">IF(COUNTIF(($T$4:T818),"F")&gt;=1,"",IF(OR(C820&lt;&gt;$C$3,E819=""),"",A819))</f>
        <v/>
      </c>
      <c r="T819" s="20" t="str">
        <f t="shared" ca="1" si="445"/>
        <v/>
      </c>
      <c r="U819" s="2">
        <f ca="1">IF(IF(OP!$C$83=1,$Z818,IF(OP!$C$83=2,$AA818,IF(OP!$C$83=3,$AB818,)))+$K819-$O819-$P819-$AS819&lt;OP!$C$142,0,$AS819)</f>
        <v>0</v>
      </c>
      <c r="V819" s="19">
        <f ca="1">SUM(K808:K819)</f>
        <v>0</v>
      </c>
      <c r="W819" s="19">
        <f ca="1">MAX(SUM($K$4:K819),0)</f>
        <v>2000000</v>
      </c>
      <c r="X819" s="19">
        <f ca="1">SUM(O808:P819)</f>
        <v>0</v>
      </c>
      <c r="Y819" s="19">
        <f t="shared" ca="1" si="471"/>
        <v>1920000</v>
      </c>
      <c r="Z819" s="2">
        <f ca="1">IF(MIN($Z$4:Z818)=0,0,MAX(0,($Z818+$K819-$O819-$P819)*IF(AND(F819="F",$D$3&lt;&gt;$G$3),((1+(-J819))^(H819/MIN(G819,365))),((1+(-J819))^(1/12)))-$U819))</f>
        <v>58682.200153583646</v>
      </c>
      <c r="AA819" s="2">
        <f ca="1">IF(MIN($AA$4:AA818)=0,0,MAX(0,($AA818+$K819-$O819-$P819)*IF(AND(F819="F",$D$3&lt;&gt;$G$3),((1+$AA$1)^(H819/MIN(G819,365))),((1+$AA$1)^(1/12)))-$U819))</f>
        <v>1920000</v>
      </c>
      <c r="AB819" s="2">
        <f ca="1">IF(MIN($AB$4:AB818)=0,0,MAX(0,($AB818+$K819-$O819-$P819)*IF(AND(F819="F",$D$3&lt;&gt;$G$3),((1+(J819))^(H819/MIN(G819,365))),((1+(J819))^(1/12)))-$U819))</f>
        <v>52987516.578856178</v>
      </c>
      <c r="AC819" s="5"/>
      <c r="AD819" s="5"/>
      <c r="AE819" s="5"/>
      <c r="AF819" s="282">
        <f t="shared" ca="1" si="454"/>
        <v>58682</v>
      </c>
      <c r="AG819" s="282">
        <f t="shared" ca="1" si="455"/>
        <v>1920000</v>
      </c>
      <c r="AH819" s="282">
        <f t="shared" ca="1" si="456"/>
        <v>52987517</v>
      </c>
      <c r="AI819" s="23" t="str">
        <f t="shared" ca="1" si="472"/>
        <v>69-1</v>
      </c>
      <c r="AJ819" s="282">
        <f ca="1">IF(E819&gt;111,,IF(AND(OP!$C$99=1,T819="F"),Z819,IF(AND(OP!$C$99=2,COUNTIF($T$4:T819,"F")=1),OP!$C$97+IF(F819="F",OP!$C$98,0),"")))</f>
        <v>0</v>
      </c>
      <c r="AK819" s="282">
        <f ca="1">IF(E819&gt;111,,IF(AND(OP!$D$99=1,T819="F"),AA819,IF(AND(OP!$D$99=2,COUNTIF($T$4:T819,"F")=1),OP!$D$97+IF(F819="F",OP!$D$98,0),"")))</f>
        <v>0</v>
      </c>
      <c r="AL819" s="282">
        <f ca="1">IF(E819&gt;111,,IF(AND(OP!$E$99=1,T819="F"),AB819,IF(AND(OP!$E$99=2,COUNTIF($T$4:T819,"F")=1),OP!$E$97+IF(F819="F",OP!$E$98,0),"")))</f>
        <v>0</v>
      </c>
      <c r="AM819" s="1">
        <f t="shared" ca="1" si="446"/>
        <v>1</v>
      </c>
      <c r="AN819" s="1" t="e">
        <f ca="1">IF(OR(VLOOKUP($A819,MP,5,0)="月繳"),1,"")</f>
        <v>#N/A</v>
      </c>
      <c r="AO819" s="1">
        <f t="shared" ca="1" si="457"/>
        <v>0</v>
      </c>
      <c r="AP819" s="1" t="str">
        <f ca="1">IF(AND(A819&lt;=OP!$C$120,COUNTIF(PAY,C819)=1),1,"")</f>
        <v/>
      </c>
      <c r="AR819" s="301">
        <f ca="1">IF(繳費報酬率資料!$A$1=1,$AY819+$AZ819,$BF819+$BG819)</f>
        <v>0</v>
      </c>
      <c r="AS819" s="1">
        <f ca="1">IF(C819&lt;&gt;IF($C$3=1,12,$C$3-1),0,IF(繳費報酬率資料!$A$1&lt;&gt;1,VLOOKUP($A819,MP,8,0),IF(AND($A819&gt;=OP!$C$79,$A819&lt;=OP!$C$80),OP!$C$78,)))</f>
        <v>0</v>
      </c>
      <c r="AT819" s="298">
        <f t="shared" ca="1" si="458"/>
        <v>0</v>
      </c>
      <c r="AU819" s="298">
        <f ca="1">IF(AND(A819&lt;=OP!$C$120,COUNTIF(PAY,C819)=1),OP!$C$123,0)</f>
        <v>0</v>
      </c>
      <c r="AV819" s="298">
        <f ca="1">IF(AND(A819&gt;=OP!$C$132,A819&lt;=OP!$C$133,$C$3=C819),OP!$C$135,0)</f>
        <v>0</v>
      </c>
      <c r="AW819" s="180">
        <f t="shared" ca="1" si="459"/>
        <v>0.05</v>
      </c>
      <c r="AX819" s="180">
        <f t="shared" ca="1" si="460"/>
        <v>0.05</v>
      </c>
      <c r="AY819" s="286">
        <f t="shared" ca="1" si="461"/>
        <v>0</v>
      </c>
      <c r="AZ819" s="286">
        <f t="shared" ca="1" si="462"/>
        <v>0</v>
      </c>
      <c r="BA819" s="286">
        <f t="shared" ca="1" si="463"/>
        <v>0</v>
      </c>
      <c r="BB819" s="286">
        <f t="shared" ca="1" si="464"/>
        <v>0</v>
      </c>
      <c r="BC819" s="286">
        <f t="shared" ca="1" si="465"/>
        <v>0</v>
      </c>
      <c r="BD819" s="180">
        <f t="shared" ca="1" si="466"/>
        <v>0.05</v>
      </c>
      <c r="BE819" s="180">
        <f t="shared" ca="1" si="467"/>
        <v>0.05</v>
      </c>
      <c r="BF819" s="286">
        <f t="shared" ca="1" si="468"/>
        <v>0</v>
      </c>
      <c r="BG819" s="286">
        <f t="shared" ca="1" si="469"/>
        <v>0</v>
      </c>
    </row>
    <row r="820" spans="1:59">
      <c r="A820" s="1">
        <f t="shared" ca="1" si="448"/>
        <v>69</v>
      </c>
      <c r="B820" s="1">
        <f t="shared" ca="1" si="442"/>
        <v>174</v>
      </c>
      <c r="C820" s="1">
        <f t="shared" ca="1" si="443"/>
        <v>6</v>
      </c>
      <c r="D820" s="1">
        <f ca="1">MIN($D$3,VLOOKUP(C820,OP!$S$30:$T$41,2))</f>
        <v>2</v>
      </c>
      <c r="E820" s="1" t="str">
        <f t="shared" ca="1" si="444"/>
        <v/>
      </c>
      <c r="F820" s="11" t="str">
        <f t="shared" ca="1" si="449"/>
        <v/>
      </c>
      <c r="G820" s="6">
        <f ca="1">DATEDIF(DATE(B820+1911,C820,D820),DATE(B832+1911,C832,D832),"d")</f>
        <v>365</v>
      </c>
      <c r="H820" s="8">
        <f t="shared" ca="1" si="451"/>
        <v>30</v>
      </c>
      <c r="I820" s="8" t="str">
        <f t="shared" ca="1" si="447"/>
        <v>696</v>
      </c>
      <c r="J820" s="13">
        <f>IF(繳費報酬率資料!$A$1=1,VALUE(OP!$C$121),VLOOKUP(A820,MP,2,0))</f>
        <v>0.05</v>
      </c>
      <c r="K820" s="14">
        <f ca="1">IF(SUM($K$4:K819,IF(繳費報酬率資料!$A$1=1,$AU820+$AV820,$BB820+$BC820))&gt;OP!$L$58,0,IF(繳費報酬率資料!$A$1=1,$AU820+$AV820,$BB820+$BC820))</f>
        <v>0</v>
      </c>
      <c r="L820" s="2"/>
      <c r="M820" s="2"/>
      <c r="N820" s="2"/>
      <c r="O820" s="261">
        <f t="shared" ca="1" si="452"/>
        <v>0</v>
      </c>
      <c r="P820" s="261">
        <f t="shared" ca="1" si="470"/>
        <v>0</v>
      </c>
      <c r="Q820" s="3">
        <f ca="1">IF(A820&gt;MAX(OP!$R$17:$R$26),0,VLOOKUP(A820,fees,3,FALSE))</f>
        <v>0</v>
      </c>
      <c r="R820" s="200" t="str">
        <f t="shared" ca="1" si="453"/>
        <v/>
      </c>
      <c r="S820" s="9" t="str">
        <f ca="1">IF(COUNTIF(($T$4:T819),"F")&gt;=1,"",IF(OR(C821&lt;&gt;$C$3,E820=""),"",A820))</f>
        <v/>
      </c>
      <c r="T820" s="20" t="str">
        <f t="shared" ca="1" si="445"/>
        <v/>
      </c>
      <c r="U820" s="2">
        <f ca="1">IF(IF(OP!$C$83=1,$Z819,IF(OP!$C$83=2,$AA819,IF(OP!$C$83=3,$AB819,)))+$K820-$O820-$P820-$AS820&lt;OP!$C$142,0,$AS820)</f>
        <v>0</v>
      </c>
      <c r="V820" s="9"/>
      <c r="W820" s="19">
        <f ca="1">MAX(SUM($K$4:K820),0)</f>
        <v>2000000</v>
      </c>
      <c r="X820" s="19"/>
      <c r="Y820" s="19">
        <f t="shared" ca="1" si="471"/>
        <v>1920000</v>
      </c>
      <c r="Z820" s="2">
        <f ca="1">IF(MIN($Z$4:Z819)=0,0,MAX(0,($Z819+$K820-$O820-$P820)*IF(AND(F820="F",$D$3&lt;&gt;$G$3),((1+(-J820))^(H820/MIN(G820,365))),((1+(-J820))^(1/12)))-$U820))</f>
        <v>58431.901863359992</v>
      </c>
      <c r="AA820" s="2">
        <f ca="1">IF(MIN($AA$4:AA819)=0,0,MAX(0,($AA819+$K820-$O820-$P820)*IF(AND(F820="F",$D$3&lt;&gt;$G$3),((1+$AA$1)^(H820/MIN(G820,365))),((1+$AA$1)^(1/12)))-$U820))</f>
        <v>1920000</v>
      </c>
      <c r="AB820" s="2">
        <f ca="1">IF(MIN($AB$4:AB819)=0,0,MAX(0,($AB819+$K820-$O820-$P820)*IF(AND(F820="F",$D$3&lt;&gt;$G$3),((1+(J820))^(H820/MIN(G820,365))),((1+(J820))^(1/12)))-$U820))</f>
        <v>53203394.28038656</v>
      </c>
      <c r="AC820" s="21"/>
      <c r="AD820" s="21"/>
      <c r="AE820" s="21"/>
      <c r="AF820" s="282">
        <f t="shared" ca="1" si="454"/>
        <v>58432</v>
      </c>
      <c r="AG820" s="282">
        <f t="shared" ca="1" si="455"/>
        <v>1920000</v>
      </c>
      <c r="AH820" s="282">
        <f t="shared" ca="1" si="456"/>
        <v>53203394</v>
      </c>
      <c r="AI820" s="23" t="str">
        <f t="shared" ca="1" si="472"/>
        <v>69-2</v>
      </c>
      <c r="AJ820" s="281">
        <f ca="1">IF(E820&gt;111,,IF(AND(OP!$C$99=1,T820="F"),Z820,IF(AND(OP!$C$99=2,COUNTIF($T$4:T820,"F")=1),OP!$C$97+IF(F820="F",OP!$C$98,0),"")))</f>
        <v>0</v>
      </c>
      <c r="AK820" s="281">
        <f ca="1">IF(E820&gt;111,,IF(AND(OP!$D$99=1,T820="F"),AA820,IF(AND(OP!$D$99=2,COUNTIF($T$4:T820,"F")=1),OP!$D$97+IF(F820="F",OP!$D$98,0),"")))</f>
        <v>0</v>
      </c>
      <c r="AL820" s="281">
        <f ca="1">IF(E820&gt;111,,IF(AND(OP!$E$99=1,T820="F"),AB820,IF(AND(OP!$E$99=2,COUNTIF($T$4:T820,"F")=1),OP!$E$97+IF(F820="F",OP!$E$98,0),"")))</f>
        <v>0</v>
      </c>
      <c r="AM820" s="1">
        <f t="shared" ca="1" si="446"/>
        <v>2</v>
      </c>
      <c r="AN820" s="1" t="e">
        <f ca="1">IF(OR(VLOOKUP($A820,MP,5,0)="年繳",VLOOKUP($A820,MP,5,0)="半年繳",VLOOKUP($A820,MP,5,0)="季繳",VLOOKUP($A820,MP,5,0)="月繳"),1,"")</f>
        <v>#N/A</v>
      </c>
      <c r="AO820" s="1">
        <f t="shared" ca="1" si="457"/>
        <v>0</v>
      </c>
      <c r="AP820" s="1" t="str">
        <f ca="1">IF(AND(A820&lt;=OP!$C$120,COUNTIF(PAY,C820)=1),1,"")</f>
        <v/>
      </c>
      <c r="AR820" s="301">
        <f ca="1">IF(繳費報酬率資料!$A$1=1,$AY820+$AZ820,$BF820+$BG820)</f>
        <v>0</v>
      </c>
      <c r="AS820" s="1">
        <f ca="1">IF(C820&lt;&gt;IF($C$3=1,12,$C$3-1),0,IF(繳費報酬率資料!$A$1&lt;&gt;1,VLOOKUP($A820,MP,8,0),IF(AND($A820&gt;=OP!$C$79,$A820&lt;=OP!$C$80),OP!$C$78,)))</f>
        <v>0</v>
      </c>
      <c r="AT820" s="298">
        <f t="shared" ca="1" si="458"/>
        <v>0</v>
      </c>
      <c r="AU820" s="298">
        <f ca="1">IF(AND(A820&lt;=OP!$C$120,COUNTIF(PAY,C820)=1),OP!$C$123,0)</f>
        <v>0</v>
      </c>
      <c r="AV820" s="298">
        <f ca="1">IF(AND(A820&gt;=OP!$C$132,A820&lt;=OP!$C$133,$C$3=C820),OP!$C$135,0)</f>
        <v>0</v>
      </c>
      <c r="AW820" s="180">
        <f t="shared" ca="1" si="459"/>
        <v>0.05</v>
      </c>
      <c r="AX820" s="180">
        <f t="shared" ca="1" si="460"/>
        <v>0.05</v>
      </c>
      <c r="AY820" s="286">
        <f t="shared" ca="1" si="461"/>
        <v>0</v>
      </c>
      <c r="AZ820" s="286">
        <f t="shared" ca="1" si="462"/>
        <v>0</v>
      </c>
      <c r="BA820" s="286">
        <f t="shared" ca="1" si="463"/>
        <v>0</v>
      </c>
      <c r="BB820" s="286">
        <f t="shared" ca="1" si="464"/>
        <v>0</v>
      </c>
      <c r="BC820" s="286">
        <f t="shared" ca="1" si="465"/>
        <v>0</v>
      </c>
      <c r="BD820" s="180">
        <f t="shared" ca="1" si="466"/>
        <v>0.05</v>
      </c>
      <c r="BE820" s="180">
        <f t="shared" ca="1" si="467"/>
        <v>0.05</v>
      </c>
      <c r="BF820" s="286">
        <f t="shared" ca="1" si="468"/>
        <v>0</v>
      </c>
      <c r="BG820" s="286">
        <f t="shared" ca="1" si="469"/>
        <v>0</v>
      </c>
    </row>
    <row r="821" spans="1:59">
      <c r="A821" s="1">
        <f t="shared" ca="1" si="448"/>
        <v>69</v>
      </c>
      <c r="B821" s="1">
        <f t="shared" ca="1" si="442"/>
        <v>174</v>
      </c>
      <c r="C821" s="1">
        <f t="shared" ca="1" si="443"/>
        <v>7</v>
      </c>
      <c r="D821" s="1">
        <f ca="1">MIN($D$3,VLOOKUP(C821,OP!$S$30:$T$41,2))</f>
        <v>2</v>
      </c>
      <c r="E821" s="1" t="str">
        <f t="shared" ca="1" si="444"/>
        <v/>
      </c>
      <c r="F821" s="11" t="str">
        <f t="shared" ca="1" si="449"/>
        <v/>
      </c>
      <c r="G821" s="8">
        <f t="shared" ref="G821:G831" ca="1" si="476">G820</f>
        <v>365</v>
      </c>
      <c r="H821" s="8">
        <f t="shared" ca="1" si="451"/>
        <v>31</v>
      </c>
      <c r="I821" s="8" t="str">
        <f t="shared" ca="1" si="447"/>
        <v>697</v>
      </c>
      <c r="J821" s="13">
        <f>IF(繳費報酬率資料!$A$1=1,VALUE(OP!$C$121),VLOOKUP(A821,MP,2,0))</f>
        <v>0.05</v>
      </c>
      <c r="K821" s="14">
        <f ca="1">IF(SUM($K$4:K820,IF(繳費報酬率資料!$A$1=1,$AU821+$AV821,$BB821+$BC821))&gt;OP!$L$58,0,IF(繳費報酬率資料!$A$1=1,$AU821+$AV821,$BB821+$BC821))</f>
        <v>0</v>
      </c>
      <c r="L821" s="2"/>
      <c r="M821" s="2"/>
      <c r="N821" s="2"/>
      <c r="O821" s="261">
        <f t="shared" ca="1" si="452"/>
        <v>0</v>
      </c>
      <c r="P821" s="261">
        <f t="shared" ca="1" si="470"/>
        <v>0</v>
      </c>
      <c r="Q821" s="3">
        <f ca="1">IF(A821&gt;MAX(OP!$R$17:$R$26),0,VLOOKUP(A821,fees,3,FALSE))</f>
        <v>0</v>
      </c>
      <c r="R821" s="200" t="str">
        <f t="shared" ca="1" si="453"/>
        <v/>
      </c>
      <c r="S821" s="9" t="str">
        <f ca="1">IF(COUNTIF(($T$4:T820),"F")&gt;=1,"",IF(OR(C822&lt;&gt;$C$3,E821=""),"",A821))</f>
        <v/>
      </c>
      <c r="T821" s="20" t="str">
        <f t="shared" ca="1" si="445"/>
        <v/>
      </c>
      <c r="U821" s="2">
        <f ca="1">IF(IF(OP!$C$83=1,$Z820,IF(OP!$C$83=2,$AA820,IF(OP!$C$83=3,$AB820,)))+$K821-$O821-$P821-$AS821&lt;OP!$C$142,0,$AS821)</f>
        <v>0</v>
      </c>
      <c r="V821" s="9"/>
      <c r="W821" s="19">
        <f ca="1">MAX(SUM($K$4:K821),0)</f>
        <v>2000000</v>
      </c>
      <c r="X821" s="19"/>
      <c r="Y821" s="19">
        <f t="shared" ca="1" si="471"/>
        <v>1920000</v>
      </c>
      <c r="Z821" s="2">
        <f ca="1">IF(MIN($Z$4:Z820)=0,0,MAX(0,($Z820+$K821-$O821-$P821)*IF(AND(F821="F",$D$3&lt;&gt;$G$3),((1+(-J821))^(H821/MIN(G821,365))),((1+(-J821))^(1/12)))-$U821))</f>
        <v>58182.671175133619</v>
      </c>
      <c r="AA821" s="2">
        <f ca="1">IF(MIN($AA$4:AA820)=0,0,MAX(0,($AA820+$K821-$O821-$P821)*IF(AND(F821="F",$D$3&lt;&gt;$G$3),((1+$AA$1)^(H821/MIN(G821,365))),((1+$AA$1)^(1/12)))-$U821))</f>
        <v>1920000</v>
      </c>
      <c r="AB821" s="2">
        <f ca="1">IF(MIN($AB$4:AB820)=0,0,MAX(0,($AB820+$K821-$O821-$P821)*IF(AND(F821="F",$D$3&lt;&gt;$G$3),((1+(J821))^(H821/MIN(G821,365))),((1+(J821))^(1/12)))-$U821))</f>
        <v>53420151.494395107</v>
      </c>
      <c r="AC821" s="5"/>
      <c r="AD821" s="5"/>
      <c r="AE821" s="5"/>
      <c r="AF821" s="282">
        <f t="shared" ca="1" si="454"/>
        <v>58183</v>
      </c>
      <c r="AG821" s="282">
        <f t="shared" ca="1" si="455"/>
        <v>1920000</v>
      </c>
      <c r="AH821" s="282">
        <f t="shared" ca="1" si="456"/>
        <v>53420151</v>
      </c>
      <c r="AI821" s="23" t="str">
        <f t="shared" ca="1" si="472"/>
        <v>69-3</v>
      </c>
      <c r="AJ821" s="282">
        <f ca="1">IF(E821&gt;111,,IF(AND(OP!$C$99=1,T821="F"),Z821,IF(AND(OP!$C$99=2,COUNTIF($T$4:T821,"F")=1),OP!$C$97+IF(F821="F",OP!$C$98,0),"")))</f>
        <v>0</v>
      </c>
      <c r="AK821" s="282">
        <f ca="1">IF(E821&gt;111,,IF(AND(OP!$D$99=1,T821="F"),AA821,IF(AND(OP!$D$99=2,COUNTIF($T$4:T821,"F")=1),OP!$D$97+IF(F821="F",OP!$D$98,0),"")))</f>
        <v>0</v>
      </c>
      <c r="AL821" s="282">
        <f ca="1">IF(E821&gt;111,,IF(AND(OP!$E$99=1,T821="F"),AB821,IF(AND(OP!$E$99=2,COUNTIF($T$4:T821,"F")=1),OP!$E$97+IF(F821="F",OP!$E$98,0),"")))</f>
        <v>0</v>
      </c>
      <c r="AM821" s="1">
        <f t="shared" ca="1" si="446"/>
        <v>3</v>
      </c>
      <c r="AN821" s="1" t="e">
        <f ca="1">IF(OR(VLOOKUP($A821,MP,5,0)="月繳"),1,"")</f>
        <v>#N/A</v>
      </c>
      <c r="AO821" s="1">
        <f t="shared" ca="1" si="457"/>
        <v>0</v>
      </c>
      <c r="AP821" s="1" t="str">
        <f ca="1">IF(AND(A821&lt;=OP!$C$120,COUNTIF(PAY,C821)=1),1,"")</f>
        <v/>
      </c>
      <c r="AR821" s="301">
        <f ca="1">IF(繳費報酬率資料!$A$1=1,$AY821+$AZ821,$BF821+$BG821)</f>
        <v>0</v>
      </c>
      <c r="AS821" s="1">
        <f ca="1">IF(C821&lt;&gt;IF($C$3=1,12,$C$3-1),0,IF(繳費報酬率資料!$A$1&lt;&gt;1,VLOOKUP($A821,MP,8,0),IF(AND($A821&gt;=OP!$C$79,$A821&lt;=OP!$C$80),OP!$C$78,)))</f>
        <v>0</v>
      </c>
      <c r="AT821" s="298">
        <f t="shared" ca="1" si="458"/>
        <v>0</v>
      </c>
      <c r="AU821" s="298">
        <f ca="1">IF(AND(A821&lt;=OP!$C$120,COUNTIF(PAY,C821)=1),OP!$C$123,0)</f>
        <v>0</v>
      </c>
      <c r="AV821" s="298">
        <f ca="1">IF(AND(A821&gt;=OP!$C$132,A821&lt;=OP!$C$133,$C$3=C821),OP!$C$135,0)</f>
        <v>0</v>
      </c>
      <c r="AW821" s="180">
        <f t="shared" ca="1" si="459"/>
        <v>0.05</v>
      </c>
      <c r="AX821" s="180">
        <f t="shared" ca="1" si="460"/>
        <v>0.05</v>
      </c>
      <c r="AY821" s="286">
        <f t="shared" ca="1" si="461"/>
        <v>0</v>
      </c>
      <c r="AZ821" s="286">
        <f t="shared" ca="1" si="462"/>
        <v>0</v>
      </c>
      <c r="BA821" s="286">
        <f t="shared" ca="1" si="463"/>
        <v>0</v>
      </c>
      <c r="BB821" s="286">
        <f t="shared" ca="1" si="464"/>
        <v>0</v>
      </c>
      <c r="BC821" s="286">
        <f t="shared" ca="1" si="465"/>
        <v>0</v>
      </c>
      <c r="BD821" s="180">
        <f t="shared" ca="1" si="466"/>
        <v>0.05</v>
      </c>
      <c r="BE821" s="180">
        <f t="shared" ca="1" si="467"/>
        <v>0.05</v>
      </c>
      <c r="BF821" s="286">
        <f t="shared" ca="1" si="468"/>
        <v>0</v>
      </c>
      <c r="BG821" s="286">
        <f t="shared" ca="1" si="469"/>
        <v>0</v>
      </c>
    </row>
    <row r="822" spans="1:59">
      <c r="A822" s="1">
        <f t="shared" ca="1" si="448"/>
        <v>69</v>
      </c>
      <c r="B822" s="1">
        <f t="shared" ca="1" si="442"/>
        <v>174</v>
      </c>
      <c r="C822" s="1">
        <f t="shared" ca="1" si="443"/>
        <v>8</v>
      </c>
      <c r="D822" s="1">
        <f ca="1">MIN($D$3,VLOOKUP(C822,OP!$S$30:$T$41,2))</f>
        <v>2</v>
      </c>
      <c r="E822" s="1" t="str">
        <f t="shared" ca="1" si="444"/>
        <v/>
      </c>
      <c r="F822" s="11" t="str">
        <f t="shared" ca="1" si="449"/>
        <v/>
      </c>
      <c r="G822" s="8">
        <f t="shared" ca="1" si="476"/>
        <v>365</v>
      </c>
      <c r="H822" s="8">
        <f t="shared" ca="1" si="451"/>
        <v>31</v>
      </c>
      <c r="I822" s="8" t="str">
        <f t="shared" ca="1" si="447"/>
        <v>698</v>
      </c>
      <c r="J822" s="13">
        <f>IF(繳費報酬率資料!$A$1=1,VALUE(OP!$C$121),VLOOKUP(A822,MP,2,0))</f>
        <v>0.05</v>
      </c>
      <c r="K822" s="14">
        <f ca="1">IF(SUM($K$4:K821,IF(繳費報酬率資料!$A$1=1,$AU822+$AV822,$BB822+$BC822))&gt;OP!$L$58,0,IF(繳費報酬率資料!$A$1=1,$AU822+$AV822,$BB822+$BC822))</f>
        <v>0</v>
      </c>
      <c r="L822" s="2"/>
      <c r="M822" s="2"/>
      <c r="N822" s="2"/>
      <c r="O822" s="261">
        <f t="shared" ca="1" si="452"/>
        <v>0</v>
      </c>
      <c r="P822" s="261">
        <f t="shared" ca="1" si="470"/>
        <v>0</v>
      </c>
      <c r="Q822" s="3">
        <f ca="1">IF(A822&gt;MAX(OP!$R$17:$R$26),0,VLOOKUP(A822,fees,3,FALSE))</f>
        <v>0</v>
      </c>
      <c r="R822" s="200" t="str">
        <f t="shared" ca="1" si="453"/>
        <v/>
      </c>
      <c r="S822" s="9" t="str">
        <f ca="1">IF(COUNTIF(($T$4:T821),"F")&gt;=1,"",IF(OR(C823&lt;&gt;$C$3,E822=""),"",A822))</f>
        <v/>
      </c>
      <c r="T822" s="20" t="str">
        <f t="shared" ca="1" si="445"/>
        <v/>
      </c>
      <c r="U822" s="2">
        <f ca="1">IF(IF(OP!$C$83=1,$Z821,IF(OP!$C$83=2,$AA821,IF(OP!$C$83=3,$AB821,)))+$K822-$O822-$P822-$AS822&lt;OP!$C$142,0,$AS822)</f>
        <v>0</v>
      </c>
      <c r="V822" s="9"/>
      <c r="W822" s="19">
        <f ca="1">MAX(SUM($K$4:K822),0)</f>
        <v>2000000</v>
      </c>
      <c r="X822" s="19"/>
      <c r="Y822" s="19">
        <f t="shared" ca="1" si="471"/>
        <v>1920000</v>
      </c>
      <c r="Z822" s="2">
        <f ca="1">IF(MIN($Z$4:Z821)=0,0,MAX(0,($Z821+$K822-$O822-$P822)*IF(AND(F822="F",$D$3&lt;&gt;$G$3),((1+(-J822))^(H822/MIN(G822,365))),((1+(-J822))^(1/12)))-$U822))</f>
        <v>57934.503535241682</v>
      </c>
      <c r="AA822" s="2">
        <f ca="1">IF(MIN($AA$4:AA821)=0,0,MAX(0,($AA821+$K822-$O822-$P822)*IF(AND(F822="F",$D$3&lt;&gt;$G$3),((1+$AA$1)^(H822/MIN(G822,365))),((1+$AA$1)^(1/12)))-$U822))</f>
        <v>1920000</v>
      </c>
      <c r="AB822" s="2">
        <f ca="1">IF(MIN($AB$4:AB821)=0,0,MAX(0,($AB821+$K822-$O822-$P822)*IF(AND(F822="F",$D$3&lt;&gt;$G$3),((1+(J822))^(H822/MIN(G822,365))),((1+(J822))^(1/12)))-$U822))</f>
        <v>53637791.804124519</v>
      </c>
      <c r="AC822" s="5"/>
      <c r="AD822" s="5"/>
      <c r="AE822" s="5"/>
      <c r="AF822" s="282">
        <f t="shared" ca="1" si="454"/>
        <v>57935</v>
      </c>
      <c r="AG822" s="282">
        <f t="shared" ca="1" si="455"/>
        <v>1920000</v>
      </c>
      <c r="AH822" s="282">
        <f t="shared" ca="1" si="456"/>
        <v>53637792</v>
      </c>
      <c r="AI822" s="23" t="str">
        <f t="shared" ca="1" si="472"/>
        <v>69-4</v>
      </c>
      <c r="AJ822" s="282">
        <f ca="1">IF(E822&gt;111,,IF(AND(OP!$C$99=1,T822="F"),Z822,IF(AND(OP!$C$99=2,COUNTIF($T$4:T822,"F")=1),OP!$C$97+IF(F822="F",OP!$C$98,0),"")))</f>
        <v>0</v>
      </c>
      <c r="AK822" s="282">
        <f ca="1">IF(E822&gt;111,,IF(AND(OP!$D$99=1,T822="F"),AA822,IF(AND(OP!$D$99=2,COUNTIF($T$4:T822,"F")=1),OP!$D$97+IF(F822="F",OP!$D$98,0),"")))</f>
        <v>0</v>
      </c>
      <c r="AL822" s="282">
        <f ca="1">IF(E822&gt;111,,IF(AND(OP!$E$99=1,T822="F"),AB822,IF(AND(OP!$E$99=2,COUNTIF($T$4:T822,"F")=1),OP!$E$97+IF(F822="F",OP!$E$98,0),"")))</f>
        <v>0</v>
      </c>
      <c r="AM822" s="1">
        <f t="shared" ca="1" si="446"/>
        <v>4</v>
      </c>
      <c r="AN822" s="1" t="e">
        <f ca="1">IF(OR(VLOOKUP($A822,MP,5,0)="月繳"),1,"")</f>
        <v>#N/A</v>
      </c>
      <c r="AO822" s="1">
        <f t="shared" ca="1" si="457"/>
        <v>0</v>
      </c>
      <c r="AP822" s="1" t="str">
        <f ca="1">IF(AND(A822&lt;=OP!$C$120,COUNTIF(PAY,C822)=1),1,"")</f>
        <v/>
      </c>
      <c r="AR822" s="301">
        <f ca="1">IF(繳費報酬率資料!$A$1=1,$AY822+$AZ822,$BF822+$BG822)</f>
        <v>0</v>
      </c>
      <c r="AS822" s="1">
        <f ca="1">IF(C822&lt;&gt;IF($C$3=1,12,$C$3-1),0,IF(繳費報酬率資料!$A$1&lt;&gt;1,VLOOKUP($A822,MP,8,0),IF(AND($A822&gt;=OP!$C$79,$A822&lt;=OP!$C$80),OP!$C$78,)))</f>
        <v>0</v>
      </c>
      <c r="AT822" s="298">
        <f t="shared" ca="1" si="458"/>
        <v>0</v>
      </c>
      <c r="AU822" s="298">
        <f ca="1">IF(AND(A822&lt;=OP!$C$120,COUNTIF(PAY,C822)=1),OP!$C$123,0)</f>
        <v>0</v>
      </c>
      <c r="AV822" s="298">
        <f ca="1">IF(AND(A822&gt;=OP!$C$132,A822&lt;=OP!$C$133,$C$3=C822),OP!$C$135,0)</f>
        <v>0</v>
      </c>
      <c r="AW822" s="180">
        <f t="shared" ca="1" si="459"/>
        <v>0.05</v>
      </c>
      <c r="AX822" s="180">
        <f t="shared" ca="1" si="460"/>
        <v>0.05</v>
      </c>
      <c r="AY822" s="286">
        <f t="shared" ca="1" si="461"/>
        <v>0</v>
      </c>
      <c r="AZ822" s="286">
        <f t="shared" ca="1" si="462"/>
        <v>0</v>
      </c>
      <c r="BA822" s="286">
        <f t="shared" ca="1" si="463"/>
        <v>0</v>
      </c>
      <c r="BB822" s="286">
        <f t="shared" ca="1" si="464"/>
        <v>0</v>
      </c>
      <c r="BC822" s="286">
        <f t="shared" ca="1" si="465"/>
        <v>0</v>
      </c>
      <c r="BD822" s="180">
        <f t="shared" ca="1" si="466"/>
        <v>0.05</v>
      </c>
      <c r="BE822" s="180">
        <f t="shared" ca="1" si="467"/>
        <v>0.05</v>
      </c>
      <c r="BF822" s="286">
        <f t="shared" ca="1" si="468"/>
        <v>0</v>
      </c>
      <c r="BG822" s="286">
        <f t="shared" ca="1" si="469"/>
        <v>0</v>
      </c>
    </row>
    <row r="823" spans="1:59">
      <c r="A823" s="1">
        <f t="shared" ca="1" si="448"/>
        <v>69</v>
      </c>
      <c r="B823" s="1">
        <f t="shared" ca="1" si="442"/>
        <v>174</v>
      </c>
      <c r="C823" s="1">
        <f t="shared" ca="1" si="443"/>
        <v>9</v>
      </c>
      <c r="D823" s="1">
        <f ca="1">MIN($D$3,VLOOKUP(C823,OP!$S$30:$T$41,2))</f>
        <v>2</v>
      </c>
      <c r="E823" s="1" t="str">
        <f t="shared" ca="1" si="444"/>
        <v/>
      </c>
      <c r="F823" s="11" t="str">
        <f t="shared" ca="1" si="449"/>
        <v/>
      </c>
      <c r="G823" s="8">
        <f t="shared" ca="1" si="476"/>
        <v>365</v>
      </c>
      <c r="H823" s="8">
        <f t="shared" ca="1" si="451"/>
        <v>30</v>
      </c>
      <c r="I823" s="8" t="str">
        <f t="shared" ca="1" si="447"/>
        <v>699</v>
      </c>
      <c r="J823" s="13">
        <f>IF(繳費報酬率資料!$A$1=1,VALUE(OP!$C$121),VLOOKUP(A823,MP,2,0))</f>
        <v>0.05</v>
      </c>
      <c r="K823" s="14">
        <f ca="1">IF(SUM($K$4:K822,IF(繳費報酬率資料!$A$1=1,$AU823+$AV823,$BB823+$BC823))&gt;OP!$L$58,0,IF(繳費報酬率資料!$A$1=1,$AU823+$AV823,$BB823+$BC823))</f>
        <v>0</v>
      </c>
      <c r="L823" s="2"/>
      <c r="M823" s="2"/>
      <c r="N823" s="2"/>
      <c r="O823" s="261">
        <f t="shared" ca="1" si="452"/>
        <v>0</v>
      </c>
      <c r="P823" s="261">
        <f t="shared" ca="1" si="470"/>
        <v>0</v>
      </c>
      <c r="Q823" s="3">
        <f ca="1">IF(A823&gt;MAX(OP!$R$17:$R$26),0,VLOOKUP(A823,fees,3,FALSE))</f>
        <v>0</v>
      </c>
      <c r="R823" s="200" t="str">
        <f t="shared" ca="1" si="453"/>
        <v/>
      </c>
      <c r="S823" s="9" t="str">
        <f ca="1">IF(COUNTIF(($T$4:T822),"F")&gt;=1,"",IF(OR(C824&lt;&gt;$C$3,E823=""),"",A823))</f>
        <v/>
      </c>
      <c r="T823" s="20" t="str">
        <f t="shared" ca="1" si="445"/>
        <v/>
      </c>
      <c r="U823" s="2">
        <f ca="1">IF(IF(OP!$C$83=1,$Z822,IF(OP!$C$83=2,$AA822,IF(OP!$C$83=3,$AB822,)))+$K823-$O823-$P823-$AS823&lt;OP!$C$142,0,$AS823)</f>
        <v>0</v>
      </c>
      <c r="V823" s="9"/>
      <c r="W823" s="19">
        <f ca="1">MAX(SUM($K$4:K823),0)</f>
        <v>2000000</v>
      </c>
      <c r="X823" s="19"/>
      <c r="Y823" s="19">
        <f t="shared" ca="1" si="471"/>
        <v>1920000</v>
      </c>
      <c r="Z823" s="2">
        <f ca="1">IF(MIN($Z$4:Z822)=0,0,MAX(0,($Z822+$K823-$O823-$P823)*IF(AND(F823="F",$D$3&lt;&gt;$G$3),((1+(-J823))^(H823/MIN(G823,365))),((1+(-J823))^(1/12)))-$U823))</f>
        <v>57687.394409444161</v>
      </c>
      <c r="AA823" s="2">
        <f ca="1">IF(MIN($AA$4:AA822)=0,0,MAX(0,($AA822+$K823-$O823-$P823)*IF(AND(F823="F",$D$3&lt;&gt;$G$3),((1+$AA$1)^(H823/MIN(G823,365))),((1+$AA$1)^(1/12)))-$U823))</f>
        <v>1920000</v>
      </c>
      <c r="AB823" s="2">
        <f ca="1">IF(MIN($AB$4:AB822)=0,0,MAX(0,($AB822+$K823-$O823-$P823)*IF(AND(F823="F",$D$3&lt;&gt;$G$3),((1+(J823))^(H823/MIN(G823,365))),((1+(J823))^(1/12)))-$U823))</f>
        <v>53856318.807416081</v>
      </c>
      <c r="AC823" s="5"/>
      <c r="AD823" s="5"/>
      <c r="AE823" s="5"/>
      <c r="AF823" s="282">
        <f t="shared" ca="1" si="454"/>
        <v>57687</v>
      </c>
      <c r="AG823" s="282">
        <f t="shared" ca="1" si="455"/>
        <v>1920000</v>
      </c>
      <c r="AH823" s="282">
        <f t="shared" ca="1" si="456"/>
        <v>53856319</v>
      </c>
      <c r="AI823" s="23" t="str">
        <f t="shared" ca="1" si="472"/>
        <v>69-5</v>
      </c>
      <c r="AJ823" s="282">
        <f ca="1">IF(E823&gt;111,,IF(AND(OP!$C$99=1,T823="F"),Z823,IF(AND(OP!$C$99=2,COUNTIF($T$4:T823,"F")=1),OP!$C$97+IF(F823="F",OP!$C$98,0),"")))</f>
        <v>0</v>
      </c>
      <c r="AK823" s="282">
        <f ca="1">IF(E823&gt;111,,IF(AND(OP!$D$99=1,T823="F"),AA823,IF(AND(OP!$D$99=2,COUNTIF($T$4:T823,"F")=1),OP!$D$97+IF(F823="F",OP!$D$98,0),"")))</f>
        <v>0</v>
      </c>
      <c r="AL823" s="282">
        <f ca="1">IF(E823&gt;111,,IF(AND(OP!$E$99=1,T823="F"),AB823,IF(AND(OP!$E$99=2,COUNTIF($T$4:T823,"F")=1),OP!$E$97+IF(F823="F",OP!$E$98,0),"")))</f>
        <v>0</v>
      </c>
      <c r="AM823" s="1">
        <f t="shared" ca="1" si="446"/>
        <v>5</v>
      </c>
      <c r="AN823" s="1" t="e">
        <f ca="1">IF(OR(VLOOKUP($A823,MP,5,0)="季繳",VLOOKUP($A823,MP,5,0)="月繳"),1,"")</f>
        <v>#N/A</v>
      </c>
      <c r="AO823" s="1">
        <f t="shared" ca="1" si="457"/>
        <v>0</v>
      </c>
      <c r="AP823" s="1" t="str">
        <f ca="1">IF(AND(A823&lt;=OP!$C$120,COUNTIF(PAY,C823)=1),1,"")</f>
        <v/>
      </c>
      <c r="AR823" s="301">
        <f ca="1">IF(繳費報酬率資料!$A$1=1,$AY823+$AZ823,$BF823+$BG823)</f>
        <v>0</v>
      </c>
      <c r="AS823" s="1">
        <f ca="1">IF(C823&lt;&gt;IF($C$3=1,12,$C$3-1),0,IF(繳費報酬率資料!$A$1&lt;&gt;1,VLOOKUP($A823,MP,8,0),IF(AND($A823&gt;=OP!$C$79,$A823&lt;=OP!$C$80),OP!$C$78,)))</f>
        <v>0</v>
      </c>
      <c r="AT823" s="298">
        <f t="shared" ca="1" si="458"/>
        <v>0</v>
      </c>
      <c r="AU823" s="298">
        <f ca="1">IF(AND(A823&lt;=OP!$C$120,COUNTIF(PAY,C823)=1),OP!$C$123,0)</f>
        <v>0</v>
      </c>
      <c r="AV823" s="298">
        <f ca="1">IF(AND(A823&gt;=OP!$C$132,A823&lt;=OP!$C$133,$C$3=C823),OP!$C$135,0)</f>
        <v>0</v>
      </c>
      <c r="AW823" s="180">
        <f t="shared" ca="1" si="459"/>
        <v>0.05</v>
      </c>
      <c r="AX823" s="180">
        <f t="shared" ca="1" si="460"/>
        <v>0.05</v>
      </c>
      <c r="AY823" s="286">
        <f t="shared" ca="1" si="461"/>
        <v>0</v>
      </c>
      <c r="AZ823" s="286">
        <f t="shared" ca="1" si="462"/>
        <v>0</v>
      </c>
      <c r="BA823" s="286">
        <f t="shared" ca="1" si="463"/>
        <v>0</v>
      </c>
      <c r="BB823" s="286">
        <f t="shared" ca="1" si="464"/>
        <v>0</v>
      </c>
      <c r="BC823" s="286">
        <f t="shared" ca="1" si="465"/>
        <v>0</v>
      </c>
      <c r="BD823" s="180">
        <f t="shared" ca="1" si="466"/>
        <v>0.05</v>
      </c>
      <c r="BE823" s="180">
        <f t="shared" ca="1" si="467"/>
        <v>0.05</v>
      </c>
      <c r="BF823" s="286">
        <f t="shared" ca="1" si="468"/>
        <v>0</v>
      </c>
      <c r="BG823" s="286">
        <f t="shared" ca="1" si="469"/>
        <v>0</v>
      </c>
    </row>
    <row r="824" spans="1:59">
      <c r="A824" s="1">
        <f t="shared" ca="1" si="448"/>
        <v>69</v>
      </c>
      <c r="B824" s="1">
        <f t="shared" ca="1" si="442"/>
        <v>174</v>
      </c>
      <c r="C824" s="1">
        <f t="shared" ca="1" si="443"/>
        <v>10</v>
      </c>
      <c r="D824" s="1">
        <f ca="1">MIN($D$3,VLOOKUP(C824,OP!$S$30:$T$41,2))</f>
        <v>2</v>
      </c>
      <c r="E824" s="1" t="str">
        <f t="shared" ca="1" si="444"/>
        <v/>
      </c>
      <c r="F824" s="11" t="str">
        <f t="shared" ca="1" si="449"/>
        <v/>
      </c>
      <c r="G824" s="8">
        <f t="shared" ca="1" si="476"/>
        <v>365</v>
      </c>
      <c r="H824" s="8">
        <f t="shared" ca="1" si="451"/>
        <v>31</v>
      </c>
      <c r="I824" s="8" t="str">
        <f t="shared" ca="1" si="447"/>
        <v>6910</v>
      </c>
      <c r="J824" s="13">
        <f>IF(繳費報酬率資料!$A$1=1,VALUE(OP!$C$121),VLOOKUP(A824,MP,2,0))</f>
        <v>0.05</v>
      </c>
      <c r="K824" s="14">
        <f ca="1">IF(SUM($K$4:K823,IF(繳費報酬率資料!$A$1=1,$AU824+$AV824,$BB824+$BC824))&gt;OP!$L$58,0,IF(繳費報酬率資料!$A$1=1,$AU824+$AV824,$BB824+$BC824))</f>
        <v>0</v>
      </c>
      <c r="L824" s="2"/>
      <c r="M824" s="2"/>
      <c r="N824" s="2"/>
      <c r="O824" s="261">
        <f t="shared" ca="1" si="452"/>
        <v>0</v>
      </c>
      <c r="P824" s="261">
        <f t="shared" ca="1" si="470"/>
        <v>0</v>
      </c>
      <c r="Q824" s="3">
        <f ca="1">IF(A824&gt;MAX(OP!$R$17:$R$26),0,VLOOKUP(A824,fees,3,FALSE))</f>
        <v>0</v>
      </c>
      <c r="R824" s="200" t="str">
        <f t="shared" ca="1" si="453"/>
        <v/>
      </c>
      <c r="S824" s="9" t="str">
        <f ca="1">IF(COUNTIF(($T$4:T823),"F")&gt;=1,"",IF(OR(C825&lt;&gt;$C$3,E824=""),"",A824))</f>
        <v/>
      </c>
      <c r="T824" s="20" t="str">
        <f t="shared" ca="1" si="445"/>
        <v/>
      </c>
      <c r="U824" s="2">
        <f ca="1">IF(IF(OP!$C$83=1,$Z823,IF(OP!$C$83=2,$AA823,IF(OP!$C$83=3,$AB823,)))+$K824-$O824-$P824-$AS824&lt;OP!$C$142,0,$AS824)</f>
        <v>0</v>
      </c>
      <c r="V824" s="9"/>
      <c r="W824" s="19">
        <f ca="1">MAX(SUM($K$4:K824),0)</f>
        <v>2000000</v>
      </c>
      <c r="X824" s="19"/>
      <c r="Y824" s="19">
        <f t="shared" ca="1" si="471"/>
        <v>1920000</v>
      </c>
      <c r="Z824" s="2">
        <f ca="1">IF(MIN($Z$4:Z823)=0,0,MAX(0,($Z823+$K824-$O824-$P824)*IF(AND(F824="F",$D$3&lt;&gt;$G$3),((1+(-J824))^(H824/MIN(G824,365))),((1+(-J824))^(1/12)))-$U824))</f>
        <v>57441.339282841014</v>
      </c>
      <c r="AA824" s="2">
        <f ca="1">IF(MIN($AA$4:AA823)=0,0,MAX(0,($AA823+$K824-$O824-$P824)*IF(AND(F824="F",$D$3&lt;&gt;$G$3),((1+$AA$1)^(H824/MIN(G824,365))),((1+$AA$1)^(1/12)))-$U824))</f>
        <v>1920000</v>
      </c>
      <c r="AB824" s="2">
        <f ca="1">IF(MIN($AB$4:AB823)=0,0,MAX(0,($AB823+$K824-$O824-$P824)*IF(AND(F824="F",$D$3&lt;&gt;$G$3),((1+(J824))^(H824/MIN(G824,365))),((1+(J824))^(1/12)))-$U824))</f>
        <v>54075736.11676912</v>
      </c>
      <c r="AC824" s="5"/>
      <c r="AD824" s="5"/>
      <c r="AE824" s="5"/>
      <c r="AF824" s="282">
        <f t="shared" ca="1" si="454"/>
        <v>57441</v>
      </c>
      <c r="AG824" s="282">
        <f t="shared" ca="1" si="455"/>
        <v>1920000</v>
      </c>
      <c r="AH824" s="282">
        <f t="shared" ca="1" si="456"/>
        <v>54075736</v>
      </c>
      <c r="AI824" s="23" t="str">
        <f t="shared" ca="1" si="472"/>
        <v>69-6</v>
      </c>
      <c r="AJ824" s="282">
        <f ca="1">IF(E824&gt;111,,IF(AND(OP!$C$99=1,T824="F"),Z824,IF(AND(OP!$C$99=2,COUNTIF($T$4:T824,"F")=1),OP!$C$97+IF(F824="F",OP!$C$98,0),"")))</f>
        <v>0</v>
      </c>
      <c r="AK824" s="282">
        <f ca="1">IF(E824&gt;111,,IF(AND(OP!$D$99=1,T824="F"),AA824,IF(AND(OP!$D$99=2,COUNTIF($T$4:T824,"F")=1),OP!$D$97+IF(F824="F",OP!$D$98,0),"")))</f>
        <v>0</v>
      </c>
      <c r="AL824" s="282">
        <f ca="1">IF(E824&gt;111,,IF(AND(OP!$E$99=1,T824="F"),AB824,IF(AND(OP!$E$99=2,COUNTIF($T$4:T824,"F")=1),OP!$E$97+IF(F824="F",OP!$E$98,0),"")))</f>
        <v>0</v>
      </c>
      <c r="AM824" s="1">
        <f t="shared" ca="1" si="446"/>
        <v>6</v>
      </c>
      <c r="AN824" s="1" t="e">
        <f ca="1">IF(OR(VLOOKUP($A824,MP,5,0)="月繳"),1,"")</f>
        <v>#N/A</v>
      </c>
      <c r="AO824" s="1">
        <f t="shared" ca="1" si="457"/>
        <v>0</v>
      </c>
      <c r="AP824" s="1" t="str">
        <f ca="1">IF(AND(A824&lt;=OP!$C$120,COUNTIF(PAY,C824)=1),1,"")</f>
        <v/>
      </c>
      <c r="AR824" s="301">
        <f ca="1">IF(繳費報酬率資料!$A$1=1,$AY824+$AZ824,$BF824+$BG824)</f>
        <v>0</v>
      </c>
      <c r="AS824" s="1">
        <f ca="1">IF(C824&lt;&gt;IF($C$3=1,12,$C$3-1),0,IF(繳費報酬率資料!$A$1&lt;&gt;1,VLOOKUP($A824,MP,8,0),IF(AND($A824&gt;=OP!$C$79,$A824&lt;=OP!$C$80),OP!$C$78,)))</f>
        <v>0</v>
      </c>
      <c r="AT824" s="298">
        <f t="shared" ca="1" si="458"/>
        <v>0</v>
      </c>
      <c r="AU824" s="298">
        <f ca="1">IF(AND(A824&lt;=OP!$C$120,COUNTIF(PAY,C824)=1),OP!$C$123,0)</f>
        <v>0</v>
      </c>
      <c r="AV824" s="298">
        <f ca="1">IF(AND(A824&gt;=OP!$C$132,A824&lt;=OP!$C$133,$C$3=C824),OP!$C$135,0)</f>
        <v>0</v>
      </c>
      <c r="AW824" s="180">
        <f t="shared" ca="1" si="459"/>
        <v>0.05</v>
      </c>
      <c r="AX824" s="180">
        <f t="shared" ca="1" si="460"/>
        <v>0.05</v>
      </c>
      <c r="AY824" s="286">
        <f t="shared" ca="1" si="461"/>
        <v>0</v>
      </c>
      <c r="AZ824" s="286">
        <f t="shared" ca="1" si="462"/>
        <v>0</v>
      </c>
      <c r="BA824" s="286">
        <f t="shared" ca="1" si="463"/>
        <v>0</v>
      </c>
      <c r="BB824" s="286">
        <f t="shared" ca="1" si="464"/>
        <v>0</v>
      </c>
      <c r="BC824" s="286">
        <f t="shared" ca="1" si="465"/>
        <v>0</v>
      </c>
      <c r="BD824" s="180">
        <f t="shared" ca="1" si="466"/>
        <v>0.05</v>
      </c>
      <c r="BE824" s="180">
        <f t="shared" ca="1" si="467"/>
        <v>0.05</v>
      </c>
      <c r="BF824" s="286">
        <f t="shared" ca="1" si="468"/>
        <v>0</v>
      </c>
      <c r="BG824" s="286">
        <f t="shared" ca="1" si="469"/>
        <v>0</v>
      </c>
    </row>
    <row r="825" spans="1:59">
      <c r="A825" s="1">
        <f t="shared" ca="1" si="448"/>
        <v>69</v>
      </c>
      <c r="B825" s="1">
        <f t="shared" ca="1" si="442"/>
        <v>174</v>
      </c>
      <c r="C825" s="1">
        <f t="shared" ca="1" si="443"/>
        <v>11</v>
      </c>
      <c r="D825" s="1">
        <f ca="1">MIN($D$3,VLOOKUP(C825,OP!$S$30:$T$41,2))</f>
        <v>2</v>
      </c>
      <c r="E825" s="1" t="str">
        <f t="shared" ca="1" si="444"/>
        <v/>
      </c>
      <c r="F825" s="11" t="str">
        <f t="shared" ca="1" si="449"/>
        <v/>
      </c>
      <c r="G825" s="8">
        <f t="shared" ca="1" si="476"/>
        <v>365</v>
      </c>
      <c r="H825" s="8">
        <f t="shared" ca="1" si="451"/>
        <v>30</v>
      </c>
      <c r="I825" s="8" t="str">
        <f t="shared" ca="1" si="447"/>
        <v>6911</v>
      </c>
      <c r="J825" s="13">
        <f>IF(繳費報酬率資料!$A$1=1,VALUE(OP!$C$121),VLOOKUP(A825,MP,2,0))</f>
        <v>0.05</v>
      </c>
      <c r="K825" s="14">
        <f ca="1">IF(SUM($K$4:K824,IF(繳費報酬率資料!$A$1=1,$AU825+$AV825,$BB825+$BC825))&gt;OP!$L$58,0,IF(繳費報酬率資料!$A$1=1,$AU825+$AV825,$BB825+$BC825))</f>
        <v>0</v>
      </c>
      <c r="L825" s="2"/>
      <c r="M825" s="2"/>
      <c r="N825" s="2"/>
      <c r="O825" s="261">
        <f t="shared" ca="1" si="452"/>
        <v>0</v>
      </c>
      <c r="P825" s="261">
        <f t="shared" ca="1" si="470"/>
        <v>0</v>
      </c>
      <c r="Q825" s="3">
        <f ca="1">IF(A825&gt;MAX(OP!$R$17:$R$26),0,VLOOKUP(A825,fees,3,FALSE))</f>
        <v>0</v>
      </c>
      <c r="R825" s="200" t="str">
        <f t="shared" ca="1" si="453"/>
        <v/>
      </c>
      <c r="S825" s="9" t="str">
        <f ca="1">IF(COUNTIF(($T$4:T824),"F")&gt;=1,"",IF(OR(C826&lt;&gt;$C$3,E825=""),"",A825))</f>
        <v/>
      </c>
      <c r="T825" s="20" t="str">
        <f t="shared" ca="1" si="445"/>
        <v/>
      </c>
      <c r="U825" s="2">
        <f ca="1">IF(IF(OP!$C$83=1,$Z824,IF(OP!$C$83=2,$AA824,IF(OP!$C$83=3,$AB824,)))+$K825-$O825-$P825-$AS825&lt;OP!$C$142,0,$AS825)</f>
        <v>0</v>
      </c>
      <c r="V825" s="9"/>
      <c r="W825" s="19">
        <f ca="1">MAX(SUM($K$4:K825),0)</f>
        <v>2000000</v>
      </c>
      <c r="X825" s="19"/>
      <c r="Y825" s="19">
        <f t="shared" ca="1" si="471"/>
        <v>1920000</v>
      </c>
      <c r="Z825" s="2">
        <f ca="1">IF(MIN($Z$4:Z824)=0,0,MAX(0,($Z824+$K825-$O825-$P825)*IF(AND(F825="F",$D$3&lt;&gt;$G$3),((1+(-J825))^(H825/MIN(G825,365))),((1+(-J825))^(1/12)))-$U825))</f>
        <v>57196.333659789678</v>
      </c>
      <c r="AA825" s="2">
        <f ca="1">IF(MIN($AA$4:AA824)=0,0,MAX(0,($AA824+$K825-$O825-$P825)*IF(AND(F825="F",$D$3&lt;&gt;$G$3),((1+$AA$1)^(H825/MIN(G825,365))),((1+$AA$1)^(1/12)))-$U825))</f>
        <v>1920000</v>
      </c>
      <c r="AB825" s="2">
        <f ca="1">IF(MIN($AB$4:AB824)=0,0,MAX(0,($AB824+$K825-$O825-$P825)*IF(AND(F825="F",$D$3&lt;&gt;$G$3),((1+(J825))^(H825/MIN(G825,365))),((1+(J825))^(1/12)))-$U825))</f>
        <v>54296047.359400742</v>
      </c>
      <c r="AC825" s="5"/>
      <c r="AD825" s="5"/>
      <c r="AE825" s="5"/>
      <c r="AF825" s="282">
        <f t="shared" ca="1" si="454"/>
        <v>57196</v>
      </c>
      <c r="AG825" s="282">
        <f t="shared" ca="1" si="455"/>
        <v>1920000</v>
      </c>
      <c r="AH825" s="282">
        <f t="shared" ca="1" si="456"/>
        <v>54296047</v>
      </c>
      <c r="AI825" s="23" t="str">
        <f t="shared" ca="1" si="472"/>
        <v>69-7</v>
      </c>
      <c r="AJ825" s="282">
        <f ca="1">IF(E825&gt;111,,IF(AND(OP!$C$99=1,T825="F"),Z825,IF(AND(OP!$C$99=2,COUNTIF($T$4:T825,"F")=1),OP!$C$97+IF(F825="F",OP!$C$98,0),"")))</f>
        <v>0</v>
      </c>
      <c r="AK825" s="282">
        <f ca="1">IF(E825&gt;111,,IF(AND(OP!$D$99=1,T825="F"),AA825,IF(AND(OP!$D$99=2,COUNTIF($T$4:T825,"F")=1),OP!$D$97+IF(F825="F",OP!$D$98,0),"")))</f>
        <v>0</v>
      </c>
      <c r="AL825" s="282">
        <f ca="1">IF(E825&gt;111,,IF(AND(OP!$E$99=1,T825="F"),AB825,IF(AND(OP!$E$99=2,COUNTIF($T$4:T825,"F")=1),OP!$E$97+IF(F825="F",OP!$E$98,0),"")))</f>
        <v>0</v>
      </c>
      <c r="AM825" s="1">
        <f t="shared" ca="1" si="446"/>
        <v>7</v>
      </c>
      <c r="AN825" s="1" t="e">
        <f ca="1">IF(OR(VLOOKUP($A825,MP,5,0)="月繳"),1,"")</f>
        <v>#N/A</v>
      </c>
      <c r="AO825" s="1">
        <f t="shared" ca="1" si="457"/>
        <v>0</v>
      </c>
      <c r="AP825" s="1" t="str">
        <f ca="1">IF(AND(A825&lt;=OP!$C$120,COUNTIF(PAY,C825)=1),1,"")</f>
        <v/>
      </c>
      <c r="AR825" s="301">
        <f ca="1">IF(繳費報酬率資料!$A$1=1,$AY825+$AZ825,$BF825+$BG825)</f>
        <v>0</v>
      </c>
      <c r="AS825" s="1">
        <f ca="1">IF(C825&lt;&gt;IF($C$3=1,12,$C$3-1),0,IF(繳費報酬率資料!$A$1&lt;&gt;1,VLOOKUP($A825,MP,8,0),IF(AND($A825&gt;=OP!$C$79,$A825&lt;=OP!$C$80),OP!$C$78,)))</f>
        <v>0</v>
      </c>
      <c r="AT825" s="298">
        <f t="shared" ca="1" si="458"/>
        <v>0</v>
      </c>
      <c r="AU825" s="298">
        <f ca="1">IF(AND(A825&lt;=OP!$C$120,COUNTIF(PAY,C825)=1),OP!$C$123,0)</f>
        <v>0</v>
      </c>
      <c r="AV825" s="298">
        <f ca="1">IF(AND(A825&gt;=OP!$C$132,A825&lt;=OP!$C$133,$C$3=C825),OP!$C$135,0)</f>
        <v>0</v>
      </c>
      <c r="AW825" s="180">
        <f t="shared" ca="1" si="459"/>
        <v>0.05</v>
      </c>
      <c r="AX825" s="180">
        <f t="shared" ca="1" si="460"/>
        <v>0.05</v>
      </c>
      <c r="AY825" s="286">
        <f t="shared" ca="1" si="461"/>
        <v>0</v>
      </c>
      <c r="AZ825" s="286">
        <f t="shared" ca="1" si="462"/>
        <v>0</v>
      </c>
      <c r="BA825" s="286">
        <f t="shared" ca="1" si="463"/>
        <v>0</v>
      </c>
      <c r="BB825" s="286">
        <f t="shared" ca="1" si="464"/>
        <v>0</v>
      </c>
      <c r="BC825" s="286">
        <f t="shared" ca="1" si="465"/>
        <v>0</v>
      </c>
      <c r="BD825" s="180">
        <f t="shared" ca="1" si="466"/>
        <v>0.05</v>
      </c>
      <c r="BE825" s="180">
        <f t="shared" ca="1" si="467"/>
        <v>0.05</v>
      </c>
      <c r="BF825" s="286">
        <f t="shared" ca="1" si="468"/>
        <v>0</v>
      </c>
      <c r="BG825" s="286">
        <f t="shared" ca="1" si="469"/>
        <v>0</v>
      </c>
    </row>
    <row r="826" spans="1:59">
      <c r="A826" s="1">
        <f t="shared" ca="1" si="448"/>
        <v>69</v>
      </c>
      <c r="B826" s="1">
        <f t="shared" ca="1" si="442"/>
        <v>174</v>
      </c>
      <c r="C826" s="1">
        <f t="shared" ca="1" si="443"/>
        <v>12</v>
      </c>
      <c r="D826" s="1">
        <f ca="1">MIN($D$3,VLOOKUP(C826,OP!$S$30:$T$41,2))</f>
        <v>2</v>
      </c>
      <c r="E826" s="1" t="str">
        <f t="shared" ca="1" si="444"/>
        <v/>
      </c>
      <c r="F826" s="11" t="str">
        <f t="shared" ca="1" si="449"/>
        <v/>
      </c>
      <c r="G826" s="8">
        <f t="shared" ca="1" si="476"/>
        <v>365</v>
      </c>
      <c r="H826" s="8">
        <f t="shared" ca="1" si="451"/>
        <v>31</v>
      </c>
      <c r="I826" s="8" t="str">
        <f t="shared" ca="1" si="447"/>
        <v>6912</v>
      </c>
      <c r="J826" s="13">
        <f>IF(繳費報酬率資料!$A$1=1,VALUE(OP!$C$121),VLOOKUP(A826,MP,2,0))</f>
        <v>0.05</v>
      </c>
      <c r="K826" s="14">
        <f ca="1">IF(SUM($K$4:K825,IF(繳費報酬率資料!$A$1=1,$AU826+$AV826,$BB826+$BC826))&gt;OP!$L$58,0,IF(繳費報酬率資料!$A$1=1,$AU826+$AV826,$BB826+$BC826))</f>
        <v>0</v>
      </c>
      <c r="L826" s="2"/>
      <c r="M826" s="2"/>
      <c r="N826" s="2"/>
      <c r="O826" s="261">
        <f t="shared" ca="1" si="452"/>
        <v>0</v>
      </c>
      <c r="P826" s="261">
        <f t="shared" ca="1" si="470"/>
        <v>0</v>
      </c>
      <c r="Q826" s="3">
        <f ca="1">IF(A826&gt;MAX(OP!$R$17:$R$26),0,VLOOKUP(A826,fees,3,FALSE))</f>
        <v>0</v>
      </c>
      <c r="R826" s="200" t="str">
        <f t="shared" ca="1" si="453"/>
        <v/>
      </c>
      <c r="S826" s="9" t="str">
        <f ca="1">IF(COUNTIF(($T$4:T825),"F")&gt;=1,"",IF(OR(C827&lt;&gt;$C$3,E826=""),"",A826))</f>
        <v/>
      </c>
      <c r="T826" s="20" t="str">
        <f t="shared" ca="1" si="445"/>
        <v/>
      </c>
      <c r="U826" s="2">
        <f ca="1">IF(IF(OP!$C$83=1,$Z825,IF(OP!$C$83=2,$AA825,IF(OP!$C$83=3,$AB825,)))+$K826-$O826-$P826-$AS826&lt;OP!$C$142,0,$AS826)</f>
        <v>0</v>
      </c>
      <c r="V826" s="9"/>
      <c r="W826" s="19">
        <f ca="1">MAX(SUM($K$4:K826),0)</f>
        <v>2000000</v>
      </c>
      <c r="X826" s="19"/>
      <c r="Y826" s="19">
        <f t="shared" ca="1" si="471"/>
        <v>1920000</v>
      </c>
      <c r="Z826" s="2">
        <f ca="1">IF(MIN($Z$4:Z825)=0,0,MAX(0,($Z825+$K826-$O826-$P826)*IF(AND(F826="F",$D$3&lt;&gt;$G$3),((1+(-J826))^(H826/MIN(G826,365))),((1+(-J826))^(1/12)))-$U826))</f>
        <v>56952.373063822954</v>
      </c>
      <c r="AA826" s="2">
        <f ca="1">IF(MIN($AA$4:AA825)=0,0,MAX(0,($AA825+$K826-$O826-$P826)*IF(AND(F826="F",$D$3&lt;&gt;$G$3),((1+$AA$1)^(H826/MIN(G826,365))),((1+$AA$1)^(1/12)))-$U826))</f>
        <v>1920000</v>
      </c>
      <c r="AB826" s="2">
        <f ca="1">IF(MIN($AB$4:AB825)=0,0,MAX(0,($AB825+$K826-$O826-$P826)*IF(AND(F826="F",$D$3&lt;&gt;$G$3),((1+(J826))^(H826/MIN(G826,365))),((1+(J826))^(1/12)))-$U826))</f>
        <v>54517256.177305773</v>
      </c>
      <c r="AC826" s="5"/>
      <c r="AD826" s="5"/>
      <c r="AE826" s="5"/>
      <c r="AF826" s="282">
        <f t="shared" ca="1" si="454"/>
        <v>56952</v>
      </c>
      <c r="AG826" s="282">
        <f t="shared" ca="1" si="455"/>
        <v>1920000</v>
      </c>
      <c r="AH826" s="282">
        <f t="shared" ca="1" si="456"/>
        <v>54517256</v>
      </c>
      <c r="AI826" s="23" t="str">
        <f t="shared" ca="1" si="472"/>
        <v>69-8</v>
      </c>
      <c r="AJ826" s="282">
        <f ca="1">IF(E826&gt;111,,IF(AND(OP!$C$99=1,T826="F"),Z826,IF(AND(OP!$C$99=2,COUNTIF($T$4:T826,"F")=1),OP!$C$97+IF(F826="F",OP!$C$98,0),"")))</f>
        <v>0</v>
      </c>
      <c r="AK826" s="282">
        <f ca="1">IF(E826&gt;111,,IF(AND(OP!$D$99=1,T826="F"),AA826,IF(AND(OP!$D$99=2,COUNTIF($T$4:T826,"F")=1),OP!$D$97+IF(F826="F",OP!$D$98,0),"")))</f>
        <v>0</v>
      </c>
      <c r="AL826" s="282">
        <f ca="1">IF(E826&gt;111,,IF(AND(OP!$E$99=1,T826="F"),AB826,IF(AND(OP!$E$99=2,COUNTIF($T$4:T826,"F")=1),OP!$E$97+IF(F826="F",OP!$E$98,0),"")))</f>
        <v>0</v>
      </c>
      <c r="AM826" s="1">
        <f t="shared" ca="1" si="446"/>
        <v>8</v>
      </c>
      <c r="AN826" s="1" t="e">
        <f ca="1">IF(OR(VLOOKUP($A826,MP,5,0)="半年繳",VLOOKUP($A826,MP,5,0)="季繳",VLOOKUP($A826,MP,5,0)="月繳"),1,"")</f>
        <v>#N/A</v>
      </c>
      <c r="AO826" s="1">
        <f t="shared" ca="1" si="457"/>
        <v>0</v>
      </c>
      <c r="AP826" s="1" t="str">
        <f ca="1">IF(AND(A826&lt;=OP!$C$120,COUNTIF(PAY,C826)=1),1,"")</f>
        <v/>
      </c>
      <c r="AR826" s="301">
        <f ca="1">IF(繳費報酬率資料!$A$1=1,$AY826+$AZ826,$BF826+$BG826)</f>
        <v>0</v>
      </c>
      <c r="AS826" s="1">
        <f ca="1">IF(C826&lt;&gt;IF($C$3=1,12,$C$3-1),0,IF(繳費報酬率資料!$A$1&lt;&gt;1,VLOOKUP($A826,MP,8,0),IF(AND($A826&gt;=OP!$C$79,$A826&lt;=OP!$C$80),OP!$C$78,)))</f>
        <v>0</v>
      </c>
      <c r="AT826" s="298">
        <f t="shared" ca="1" si="458"/>
        <v>0</v>
      </c>
      <c r="AU826" s="298">
        <f ca="1">IF(AND(A826&lt;=OP!$C$120,COUNTIF(PAY,C826)=1),OP!$C$123,0)</f>
        <v>0</v>
      </c>
      <c r="AV826" s="298">
        <f ca="1">IF(AND(A826&gt;=OP!$C$132,A826&lt;=OP!$C$133,$C$3=C826),OP!$C$135,0)</f>
        <v>0</v>
      </c>
      <c r="AW826" s="180">
        <f t="shared" ca="1" si="459"/>
        <v>0.05</v>
      </c>
      <c r="AX826" s="180">
        <f t="shared" ca="1" si="460"/>
        <v>0.05</v>
      </c>
      <c r="AY826" s="286">
        <f t="shared" ca="1" si="461"/>
        <v>0</v>
      </c>
      <c r="AZ826" s="286">
        <f t="shared" ca="1" si="462"/>
        <v>0</v>
      </c>
      <c r="BA826" s="286">
        <f t="shared" ca="1" si="463"/>
        <v>0</v>
      </c>
      <c r="BB826" s="286">
        <f t="shared" ca="1" si="464"/>
        <v>0</v>
      </c>
      <c r="BC826" s="286">
        <f t="shared" ca="1" si="465"/>
        <v>0</v>
      </c>
      <c r="BD826" s="180">
        <f t="shared" ca="1" si="466"/>
        <v>0.05</v>
      </c>
      <c r="BE826" s="180">
        <f t="shared" ca="1" si="467"/>
        <v>0.05</v>
      </c>
      <c r="BF826" s="286">
        <f t="shared" ca="1" si="468"/>
        <v>0</v>
      </c>
      <c r="BG826" s="286">
        <f t="shared" ca="1" si="469"/>
        <v>0</v>
      </c>
    </row>
    <row r="827" spans="1:59">
      <c r="A827" s="1">
        <f t="shared" ca="1" si="448"/>
        <v>69</v>
      </c>
      <c r="B827" s="1">
        <f t="shared" ca="1" si="442"/>
        <v>175</v>
      </c>
      <c r="C827" s="1">
        <f t="shared" ca="1" si="443"/>
        <v>1</v>
      </c>
      <c r="D827" s="1">
        <f ca="1">MIN($D$3,VLOOKUP(C827,OP!$S$30:$T$41,2))</f>
        <v>2</v>
      </c>
      <c r="E827" s="1" t="str">
        <f t="shared" ca="1" si="444"/>
        <v/>
      </c>
      <c r="F827" s="11" t="str">
        <f t="shared" ca="1" si="449"/>
        <v/>
      </c>
      <c r="G827" s="8">
        <f t="shared" ca="1" si="476"/>
        <v>365</v>
      </c>
      <c r="H827" s="8">
        <f t="shared" ca="1" si="451"/>
        <v>31</v>
      </c>
      <c r="I827" s="8" t="str">
        <f t="shared" ca="1" si="447"/>
        <v>691</v>
      </c>
      <c r="J827" s="13">
        <f>IF(繳費報酬率資料!$A$1=1,VALUE(OP!$C$121),VLOOKUP(A827,MP,2,0))</f>
        <v>0.05</v>
      </c>
      <c r="K827" s="14">
        <f ca="1">IF(SUM($K$4:K826,IF(繳費報酬率資料!$A$1=1,$AU827+$AV827,$BB827+$BC827))&gt;OP!$L$58,0,IF(繳費報酬率資料!$A$1=1,$AU827+$AV827,$BB827+$BC827))</f>
        <v>0</v>
      </c>
      <c r="L827" s="2"/>
      <c r="M827" s="2"/>
      <c r="N827" s="2"/>
      <c r="O827" s="261">
        <f t="shared" ca="1" si="452"/>
        <v>0</v>
      </c>
      <c r="P827" s="261">
        <f t="shared" ca="1" si="470"/>
        <v>0</v>
      </c>
      <c r="Q827" s="3">
        <f ca="1">IF(A827&gt;MAX(OP!$R$17:$R$26),0,VLOOKUP(A827,fees,3,FALSE))</f>
        <v>0</v>
      </c>
      <c r="R827" s="200" t="str">
        <f t="shared" ca="1" si="453"/>
        <v/>
      </c>
      <c r="S827" s="9" t="str">
        <f ca="1">IF(COUNTIF(($T$4:T826),"F")&gt;=1,"",IF(OR(C828&lt;&gt;$C$3,E827=""),"",A827))</f>
        <v/>
      </c>
      <c r="T827" s="20" t="str">
        <f t="shared" ca="1" si="445"/>
        <v/>
      </c>
      <c r="U827" s="2">
        <f ca="1">IF(IF(OP!$C$83=1,$Z826,IF(OP!$C$83=2,$AA826,IF(OP!$C$83=3,$AB826,)))+$K827-$O827-$P827-$AS827&lt;OP!$C$142,0,$AS827)</f>
        <v>0</v>
      </c>
      <c r="V827" s="9"/>
      <c r="W827" s="19">
        <f ca="1">MAX(SUM($K$4:K827),0)</f>
        <v>2000000</v>
      </c>
      <c r="X827" s="19"/>
      <c r="Y827" s="19">
        <f t="shared" ca="1" si="471"/>
        <v>1920000</v>
      </c>
      <c r="Z827" s="2">
        <f ca="1">IF(MIN($Z$4:Z826)=0,0,MAX(0,($Z826+$K827-$O827-$P827)*IF(AND(F827="F",$D$3&lt;&gt;$G$3),((1+(-J827))^(H827/MIN(G827,365))),((1+(-J827))^(1/12)))-$U827))</f>
        <v>56709.453037567189</v>
      </c>
      <c r="AA827" s="2">
        <f ca="1">IF(MIN($AA$4:AA826)=0,0,MAX(0,($AA826+$K827-$O827-$P827)*IF(AND(F827="F",$D$3&lt;&gt;$G$3),((1+$AA$1)^(H827/MIN(G827,365))),((1+$AA$1)^(1/12)))-$U827))</f>
        <v>1920000</v>
      </c>
      <c r="AB827" s="2">
        <f ca="1">IF(MIN($AB$4:AB826)=0,0,MAX(0,($AB826+$K827-$O827-$P827)*IF(AND(F827="F",$D$3&lt;&gt;$G$3),((1+(J827))^(H827/MIN(G827,365))),((1+(J827))^(1/12)))-$U827))</f>
        <v>54739366.227316983</v>
      </c>
      <c r="AC827" s="5"/>
      <c r="AD827" s="5"/>
      <c r="AE827" s="5"/>
      <c r="AF827" s="282">
        <f t="shared" ca="1" si="454"/>
        <v>56709</v>
      </c>
      <c r="AG827" s="282">
        <f t="shared" ca="1" si="455"/>
        <v>1920000</v>
      </c>
      <c r="AH827" s="282">
        <f t="shared" ca="1" si="456"/>
        <v>54739366</v>
      </c>
      <c r="AI827" s="23" t="str">
        <f t="shared" ca="1" si="472"/>
        <v>69-9</v>
      </c>
      <c r="AJ827" s="282">
        <f ca="1">IF(E827&gt;111,,IF(AND(OP!$C$99=1,T827="F"),Z827,IF(AND(OP!$C$99=2,COUNTIF($T$4:T827,"F")=1),OP!$C$97+IF(F827="F",OP!$C$98,0),"")))</f>
        <v>0</v>
      </c>
      <c r="AK827" s="282">
        <f ca="1">IF(E827&gt;111,,IF(AND(OP!$D$99=1,T827="F"),AA827,IF(AND(OP!$D$99=2,COUNTIF($T$4:T827,"F")=1),OP!$D$97+IF(F827="F",OP!$D$98,0),"")))</f>
        <v>0</v>
      </c>
      <c r="AL827" s="282">
        <f ca="1">IF(E827&gt;111,,IF(AND(OP!$E$99=1,T827="F"),AB827,IF(AND(OP!$E$99=2,COUNTIF($T$4:T827,"F")=1),OP!$E$97+IF(F827="F",OP!$E$98,0),"")))</f>
        <v>0</v>
      </c>
      <c r="AM827" s="1">
        <f t="shared" ca="1" si="446"/>
        <v>9</v>
      </c>
      <c r="AN827" s="1" t="e">
        <f ca="1">IF(OR(VLOOKUP($A827,MP,5,0)="月繳"),1,"")</f>
        <v>#N/A</v>
      </c>
      <c r="AO827" s="1">
        <f t="shared" ca="1" si="457"/>
        <v>0</v>
      </c>
      <c r="AP827" s="1" t="str">
        <f ca="1">IF(AND(A827&lt;=OP!$C$120,COUNTIF(PAY,C827)=1),1,"")</f>
        <v/>
      </c>
      <c r="AR827" s="301">
        <f ca="1">IF(繳費報酬率資料!$A$1=1,$AY827+$AZ827,$BF827+$BG827)</f>
        <v>0</v>
      </c>
      <c r="AS827" s="1">
        <f ca="1">IF(C827&lt;&gt;IF($C$3=1,12,$C$3-1),0,IF(繳費報酬率資料!$A$1&lt;&gt;1,VLOOKUP($A827,MP,8,0),IF(AND($A827&gt;=OP!$C$79,$A827&lt;=OP!$C$80),OP!$C$78,)))</f>
        <v>0</v>
      </c>
      <c r="AT827" s="298">
        <f t="shared" ca="1" si="458"/>
        <v>0</v>
      </c>
      <c r="AU827" s="298">
        <f ca="1">IF(AND(A827&lt;=OP!$C$120,COUNTIF(PAY,C827)=1),OP!$C$123,0)</f>
        <v>0</v>
      </c>
      <c r="AV827" s="298">
        <f ca="1">IF(AND(A827&gt;=OP!$C$132,A827&lt;=OP!$C$133,$C$3=C827),OP!$C$135,0)</f>
        <v>0</v>
      </c>
      <c r="AW827" s="180">
        <f t="shared" ca="1" si="459"/>
        <v>0.05</v>
      </c>
      <c r="AX827" s="180">
        <f t="shared" ca="1" si="460"/>
        <v>0.05</v>
      </c>
      <c r="AY827" s="286">
        <f t="shared" ca="1" si="461"/>
        <v>0</v>
      </c>
      <c r="AZ827" s="286">
        <f t="shared" ca="1" si="462"/>
        <v>0</v>
      </c>
      <c r="BA827" s="286">
        <f t="shared" ca="1" si="463"/>
        <v>0</v>
      </c>
      <c r="BB827" s="286">
        <f t="shared" ca="1" si="464"/>
        <v>0</v>
      </c>
      <c r="BC827" s="286">
        <f t="shared" ca="1" si="465"/>
        <v>0</v>
      </c>
      <c r="BD827" s="180">
        <f t="shared" ca="1" si="466"/>
        <v>0.05</v>
      </c>
      <c r="BE827" s="180">
        <f t="shared" ca="1" si="467"/>
        <v>0.05</v>
      </c>
      <c r="BF827" s="286">
        <f t="shared" ca="1" si="468"/>
        <v>0</v>
      </c>
      <c r="BG827" s="286">
        <f t="shared" ca="1" si="469"/>
        <v>0</v>
      </c>
    </row>
    <row r="828" spans="1:59">
      <c r="A828" s="1">
        <f t="shared" ca="1" si="448"/>
        <v>69</v>
      </c>
      <c r="B828" s="1">
        <f t="shared" ref="B828:B891" ca="1" si="477">IF(C828=1,B827+1,B827)</f>
        <v>175</v>
      </c>
      <c r="C828" s="1">
        <f t="shared" ref="C828:C891" ca="1" si="478">IF(C827=12,1,C827+1)</f>
        <v>2</v>
      </c>
      <c r="D828" s="1">
        <f ca="1">MIN($D$3,VLOOKUP(C828,OP!$S$30:$T$41,2))</f>
        <v>2</v>
      </c>
      <c r="E828" s="1" t="str">
        <f t="shared" ref="E828:E891" ca="1" si="479">IF($K$1+A828-1&gt;$D$1,"",$K$1+A828-1)</f>
        <v/>
      </c>
      <c r="F828" s="11" t="str">
        <f t="shared" ca="1" si="449"/>
        <v/>
      </c>
      <c r="G828" s="8">
        <f t="shared" ca="1" si="476"/>
        <v>365</v>
      </c>
      <c r="H828" s="8">
        <f t="shared" ca="1" si="451"/>
        <v>28</v>
      </c>
      <c r="I828" s="8" t="str">
        <f t="shared" ca="1" si="447"/>
        <v>692</v>
      </c>
      <c r="J828" s="13">
        <f>IF(繳費報酬率資料!$A$1=1,VALUE(OP!$C$121),VLOOKUP(A828,MP,2,0))</f>
        <v>0.05</v>
      </c>
      <c r="K828" s="14">
        <f ca="1">IF(SUM($K$4:K827,IF(繳費報酬率資料!$A$1=1,$AU828+$AV828,$BB828+$BC828))&gt;OP!$L$58,0,IF(繳費報酬率資料!$A$1=1,$AU828+$AV828,$BB828+$BC828))</f>
        <v>0</v>
      </c>
      <c r="L828" s="2"/>
      <c r="M828" s="2"/>
      <c r="N828" s="2"/>
      <c r="O828" s="261">
        <f t="shared" ca="1" si="452"/>
        <v>0</v>
      </c>
      <c r="P828" s="261">
        <f t="shared" ca="1" si="470"/>
        <v>0</v>
      </c>
      <c r="Q828" s="3">
        <f ca="1">IF(A828&gt;MAX(OP!$R$17:$R$26),0,VLOOKUP(A828,fees,3,FALSE))</f>
        <v>0</v>
      </c>
      <c r="R828" s="200" t="str">
        <f t="shared" ca="1" si="453"/>
        <v/>
      </c>
      <c r="S828" s="9" t="str">
        <f ca="1">IF(COUNTIF(($T$4:T827),"F")&gt;=1,"",IF(OR(C829&lt;&gt;$C$3,E828=""),"",A828))</f>
        <v/>
      </c>
      <c r="T828" s="20" t="str">
        <f t="shared" ref="T828:T891" ca="1" si="480">IF(F828&lt;&gt;"","F","")</f>
        <v/>
      </c>
      <c r="U828" s="2">
        <f ca="1">IF(IF(OP!$C$83=1,$Z827,IF(OP!$C$83=2,$AA827,IF(OP!$C$83=3,$AB827,)))+$K828-$O828-$P828-$AS828&lt;OP!$C$142,0,$AS828)</f>
        <v>0</v>
      </c>
      <c r="V828" s="9"/>
      <c r="W828" s="19">
        <f ca="1">MAX(SUM($K$4:K828),0)</f>
        <v>2000000</v>
      </c>
      <c r="X828" s="19"/>
      <c r="Y828" s="19">
        <f t="shared" ca="1" si="471"/>
        <v>1920000</v>
      </c>
      <c r="Z828" s="2">
        <f ca="1">IF(MIN($Z$4:Z827)=0,0,MAX(0,($Z827+$K828-$O828-$P828)*IF(AND(F828="F",$D$3&lt;&gt;$G$3),((1+(-J828))^(H828/MIN(G828,365))),((1+(-J828))^(1/12)))-$U828))</f>
        <v>56467.569142660861</v>
      </c>
      <c r="AA828" s="2">
        <f ca="1">IF(MIN($AA$4:AA827)=0,0,MAX(0,($AA827+$K828-$O828-$P828)*IF(AND(F828="F",$D$3&lt;&gt;$G$3),((1+$AA$1)^(H828/MIN(G828,365))),((1+$AA$1)^(1/12)))-$U828))</f>
        <v>1920000</v>
      </c>
      <c r="AB828" s="2">
        <f ca="1">IF(MIN($AB$4:AB827)=0,0,MAX(0,($AB827+$K828-$O828-$P828)*IF(AND(F828="F",$D$3&lt;&gt;$G$3),((1+(J828))^(H828/MIN(G828,365))),((1+(J828))^(1/12)))-$U828))</f>
        <v>54962381.181165531</v>
      </c>
      <c r="AC828" s="5"/>
      <c r="AD828" s="5"/>
      <c r="AE828" s="5"/>
      <c r="AF828" s="282">
        <f t="shared" ca="1" si="454"/>
        <v>56468</v>
      </c>
      <c r="AG828" s="282">
        <f t="shared" ca="1" si="455"/>
        <v>1920000</v>
      </c>
      <c r="AH828" s="282">
        <f t="shared" ca="1" si="456"/>
        <v>54962381</v>
      </c>
      <c r="AI828" s="23" t="str">
        <f t="shared" ca="1" si="472"/>
        <v>69-10</v>
      </c>
      <c r="AJ828" s="282">
        <f ca="1">IF(E828&gt;111,,IF(AND(OP!$C$99=1,T828="F"),Z828,IF(AND(OP!$C$99=2,COUNTIF($T$4:T828,"F")=1),OP!$C$97+IF(F828="F",OP!$C$98,0),"")))</f>
        <v>0</v>
      </c>
      <c r="AK828" s="282">
        <f ca="1">IF(E828&gt;111,,IF(AND(OP!$D$99=1,T828="F"),AA828,IF(AND(OP!$D$99=2,COUNTIF($T$4:T828,"F")=1),OP!$D$97+IF(F828="F",OP!$D$98,0),"")))</f>
        <v>0</v>
      </c>
      <c r="AL828" s="282">
        <f ca="1">IF(E828&gt;111,,IF(AND(OP!$E$99=1,T828="F"),AB828,IF(AND(OP!$E$99=2,COUNTIF($T$4:T828,"F")=1),OP!$E$97+IF(F828="F",OP!$E$98,0),"")))</f>
        <v>0</v>
      </c>
      <c r="AM828" s="1">
        <f t="shared" ref="AM828:AM891" ca="1" si="481">IF(AND(AK828&lt;&gt;"",AM827=""),1,IF(AND(AK828&lt;&gt;"",AM827&gt;0),IF(AM827=12,1,AM827+1),""))</f>
        <v>10</v>
      </c>
      <c r="AN828" s="1" t="e">
        <f ca="1">IF(OR(VLOOKUP($A828,MP,5,0)="月繳"),1,"")</f>
        <v>#N/A</v>
      </c>
      <c r="AO828" s="1">
        <f t="shared" ca="1" si="457"/>
        <v>0</v>
      </c>
      <c r="AP828" s="1" t="str">
        <f ca="1">IF(AND(A828&lt;=OP!$C$120,COUNTIF(PAY,C828)=1),1,"")</f>
        <v/>
      </c>
      <c r="AR828" s="301">
        <f ca="1">IF(繳費報酬率資料!$A$1=1,$AY828+$AZ828,$BF828+$BG828)</f>
        <v>0</v>
      </c>
      <c r="AS828" s="1">
        <f ca="1">IF(C828&lt;&gt;IF($C$3=1,12,$C$3-1),0,IF(繳費報酬率資料!$A$1&lt;&gt;1,VLOOKUP($A828,MP,8,0),IF(AND($A828&gt;=OP!$C$79,$A828&lt;=OP!$C$80),OP!$C$78,)))</f>
        <v>0</v>
      </c>
      <c r="AT828" s="298">
        <f t="shared" ca="1" si="458"/>
        <v>0</v>
      </c>
      <c r="AU828" s="298">
        <f ca="1">IF(AND(A828&lt;=OP!$C$120,COUNTIF(PAY,C828)=1),OP!$C$123,0)</f>
        <v>0</v>
      </c>
      <c r="AV828" s="298">
        <f ca="1">IF(AND(A828&gt;=OP!$C$132,A828&lt;=OP!$C$133,$C$3=C828),OP!$C$135,0)</f>
        <v>0</v>
      </c>
      <c r="AW828" s="180">
        <f t="shared" ca="1" si="459"/>
        <v>0.05</v>
      </c>
      <c r="AX828" s="180">
        <f t="shared" ca="1" si="460"/>
        <v>0.05</v>
      </c>
      <c r="AY828" s="286">
        <f t="shared" ca="1" si="461"/>
        <v>0</v>
      </c>
      <c r="AZ828" s="286">
        <f t="shared" ca="1" si="462"/>
        <v>0</v>
      </c>
      <c r="BA828" s="286">
        <f t="shared" ca="1" si="463"/>
        <v>0</v>
      </c>
      <c r="BB828" s="286">
        <f t="shared" ca="1" si="464"/>
        <v>0</v>
      </c>
      <c r="BC828" s="286">
        <f t="shared" ca="1" si="465"/>
        <v>0</v>
      </c>
      <c r="BD828" s="180">
        <f t="shared" ca="1" si="466"/>
        <v>0.05</v>
      </c>
      <c r="BE828" s="180">
        <f t="shared" ca="1" si="467"/>
        <v>0.05</v>
      </c>
      <c r="BF828" s="286">
        <f t="shared" ca="1" si="468"/>
        <v>0</v>
      </c>
      <c r="BG828" s="286">
        <f t="shared" ca="1" si="469"/>
        <v>0</v>
      </c>
    </row>
    <row r="829" spans="1:59">
      <c r="A829" s="1">
        <f t="shared" ca="1" si="448"/>
        <v>69</v>
      </c>
      <c r="B829" s="1">
        <f t="shared" ca="1" si="477"/>
        <v>175</v>
      </c>
      <c r="C829" s="1">
        <f t="shared" ca="1" si="478"/>
        <v>3</v>
      </c>
      <c r="D829" s="1">
        <f ca="1">MIN($D$3,VLOOKUP(C829,OP!$S$30:$T$41,2))</f>
        <v>2</v>
      </c>
      <c r="E829" s="1" t="str">
        <f t="shared" ca="1" si="479"/>
        <v/>
      </c>
      <c r="F829" s="11" t="str">
        <f t="shared" ca="1" si="449"/>
        <v/>
      </c>
      <c r="G829" s="8">
        <f t="shared" ca="1" si="476"/>
        <v>365</v>
      </c>
      <c r="H829" s="8">
        <f t="shared" ca="1" si="451"/>
        <v>31</v>
      </c>
      <c r="I829" s="8" t="str">
        <f t="shared" ca="1" si="447"/>
        <v>693</v>
      </c>
      <c r="J829" s="13">
        <f>IF(繳費報酬率資料!$A$1=1,VALUE(OP!$C$121),VLOOKUP(A829,MP,2,0))</f>
        <v>0.05</v>
      </c>
      <c r="K829" s="14">
        <f ca="1">IF(SUM($K$4:K828,IF(繳費報酬率資料!$A$1=1,$AU829+$AV829,$BB829+$BC829))&gt;OP!$L$58,0,IF(繳費報酬率資料!$A$1=1,$AU829+$AV829,$BB829+$BC829))</f>
        <v>0</v>
      </c>
      <c r="L829" s="2"/>
      <c r="M829" s="2"/>
      <c r="N829" s="2"/>
      <c r="O829" s="261">
        <f t="shared" ca="1" si="452"/>
        <v>0</v>
      </c>
      <c r="P829" s="261">
        <f t="shared" ca="1" si="470"/>
        <v>0</v>
      </c>
      <c r="Q829" s="3">
        <f ca="1">IF(A829&gt;MAX(OP!$R$17:$R$26),0,VLOOKUP(A829,fees,3,FALSE))</f>
        <v>0</v>
      </c>
      <c r="R829" s="200" t="str">
        <f t="shared" ca="1" si="453"/>
        <v/>
      </c>
      <c r="S829" s="9" t="str">
        <f ca="1">IF(COUNTIF(($T$4:T828),"F")&gt;=1,"",IF(OR(C830&lt;&gt;$C$3,E829=""),"",A829))</f>
        <v/>
      </c>
      <c r="T829" s="20" t="str">
        <f t="shared" ca="1" si="480"/>
        <v/>
      </c>
      <c r="U829" s="2">
        <f ca="1">IF(IF(OP!$C$83=1,$Z828,IF(OP!$C$83=2,$AA828,IF(OP!$C$83=3,$AB828,)))+$K829-$O829-$P829-$AS829&lt;OP!$C$142,0,$AS829)</f>
        <v>0</v>
      </c>
      <c r="V829" s="9"/>
      <c r="W829" s="19">
        <f ca="1">MAX(SUM($K$4:K829),0)</f>
        <v>2000000</v>
      </c>
      <c r="X829" s="19"/>
      <c r="Y829" s="19">
        <f t="shared" ca="1" si="471"/>
        <v>1920000</v>
      </c>
      <c r="Z829" s="2">
        <f ca="1">IF(MIN($Z$4:Z828)=0,0,MAX(0,($Z828+$K829-$O829-$P829)*IF(AND(F829="F",$D$3&lt;&gt;$G$3),((1+(-J829))^(H829/MIN(G829,365))),((1+(-J829))^(1/12)))-$U829))</f>
        <v>56226.716959673467</v>
      </c>
      <c r="AA829" s="2">
        <f ca="1">IF(MIN($AA$4:AA828)=0,0,MAX(0,($AA828+$K829-$O829-$P829)*IF(AND(F829="F",$D$3&lt;&gt;$G$3),((1+$AA$1)^(H829/MIN(G829,365))),((1+$AA$1)^(1/12)))-$U829))</f>
        <v>1920000</v>
      </c>
      <c r="AB829" s="2">
        <f ca="1">IF(MIN($AB$4:AB828)=0,0,MAX(0,($AB828+$K829-$O829-$P829)*IF(AND(F829="F",$D$3&lt;&gt;$G$3),((1+(J829))^(H829/MIN(G829,365))),((1+(J829))^(1/12)))-$U829))</f>
        <v>55186304.725541666</v>
      </c>
      <c r="AC829" s="5"/>
      <c r="AD829" s="5"/>
      <c r="AE829" s="5"/>
      <c r="AF829" s="282">
        <f t="shared" ca="1" si="454"/>
        <v>56227</v>
      </c>
      <c r="AG829" s="282">
        <f t="shared" ca="1" si="455"/>
        <v>1920000</v>
      </c>
      <c r="AH829" s="282">
        <f t="shared" ca="1" si="456"/>
        <v>55186305</v>
      </c>
      <c r="AI829" s="23" t="str">
        <f t="shared" ca="1" si="472"/>
        <v>69-11</v>
      </c>
      <c r="AJ829" s="282">
        <f ca="1">IF(E829&gt;111,,IF(AND(OP!$C$99=1,T829="F"),Z829,IF(AND(OP!$C$99=2,COUNTIF($T$4:T829,"F")=1),OP!$C$97+IF(F829="F",OP!$C$98,0),"")))</f>
        <v>0</v>
      </c>
      <c r="AK829" s="282">
        <f ca="1">IF(E829&gt;111,,IF(AND(OP!$D$99=1,T829="F"),AA829,IF(AND(OP!$D$99=2,COUNTIF($T$4:T829,"F")=1),OP!$D$97+IF(F829="F",OP!$D$98,0),"")))</f>
        <v>0</v>
      </c>
      <c r="AL829" s="282">
        <f ca="1">IF(E829&gt;111,,IF(AND(OP!$E$99=1,T829="F"),AB829,IF(AND(OP!$E$99=2,COUNTIF($T$4:T829,"F")=1),OP!$E$97+IF(F829="F",OP!$E$98,0),"")))</f>
        <v>0</v>
      </c>
      <c r="AM829" s="1">
        <f t="shared" ca="1" si="481"/>
        <v>11</v>
      </c>
      <c r="AN829" s="1" t="e">
        <f ca="1">IF(OR(VLOOKUP($A829,MP,5,0)="季繳",VLOOKUP($A829,MP,5,0)="月繳"),1,"")</f>
        <v>#N/A</v>
      </c>
      <c r="AO829" s="1">
        <f t="shared" ca="1" si="457"/>
        <v>0</v>
      </c>
      <c r="AP829" s="1" t="str">
        <f ca="1">IF(AND(A829&lt;=OP!$C$120,COUNTIF(PAY,C829)=1),1,"")</f>
        <v/>
      </c>
      <c r="AR829" s="301">
        <f ca="1">IF(繳費報酬率資料!$A$1=1,$AY829+$AZ829,$BF829+$BG829)</f>
        <v>0</v>
      </c>
      <c r="AS829" s="1">
        <f ca="1">IF(C829&lt;&gt;IF($C$3=1,12,$C$3-1),0,IF(繳費報酬率資料!$A$1&lt;&gt;1,VLOOKUP($A829,MP,8,0),IF(AND($A829&gt;=OP!$C$79,$A829&lt;=OP!$C$80),OP!$C$78,)))</f>
        <v>0</v>
      </c>
      <c r="AT829" s="298">
        <f t="shared" ca="1" si="458"/>
        <v>0</v>
      </c>
      <c r="AU829" s="298">
        <f ca="1">IF(AND(A829&lt;=OP!$C$120,COUNTIF(PAY,C829)=1),OP!$C$123,0)</f>
        <v>0</v>
      </c>
      <c r="AV829" s="298">
        <f ca="1">IF(AND(A829&gt;=OP!$C$132,A829&lt;=OP!$C$133,$C$3=C829),OP!$C$135,0)</f>
        <v>0</v>
      </c>
      <c r="AW829" s="180">
        <f t="shared" ca="1" si="459"/>
        <v>0.05</v>
      </c>
      <c r="AX829" s="180">
        <f t="shared" ca="1" si="460"/>
        <v>0.05</v>
      </c>
      <c r="AY829" s="286">
        <f t="shared" ca="1" si="461"/>
        <v>0</v>
      </c>
      <c r="AZ829" s="286">
        <f t="shared" ca="1" si="462"/>
        <v>0</v>
      </c>
      <c r="BA829" s="286">
        <f t="shared" ca="1" si="463"/>
        <v>0</v>
      </c>
      <c r="BB829" s="286">
        <f t="shared" ca="1" si="464"/>
        <v>0</v>
      </c>
      <c r="BC829" s="286">
        <f t="shared" ca="1" si="465"/>
        <v>0</v>
      </c>
      <c r="BD829" s="180">
        <f t="shared" ca="1" si="466"/>
        <v>0.05</v>
      </c>
      <c r="BE829" s="180">
        <f t="shared" ca="1" si="467"/>
        <v>0.05</v>
      </c>
      <c r="BF829" s="286">
        <f t="shared" ca="1" si="468"/>
        <v>0</v>
      </c>
      <c r="BG829" s="286">
        <f t="shared" ca="1" si="469"/>
        <v>0</v>
      </c>
    </row>
    <row r="830" spans="1:59">
      <c r="A830" s="1">
        <f t="shared" ca="1" si="448"/>
        <v>69</v>
      </c>
      <c r="B830" s="1">
        <f t="shared" ca="1" si="477"/>
        <v>175</v>
      </c>
      <c r="C830" s="1">
        <f t="shared" ca="1" si="478"/>
        <v>4</v>
      </c>
      <c r="D830" s="1">
        <f ca="1">MIN($D$3,VLOOKUP(C830,OP!$S$30:$T$41,2))</f>
        <v>2</v>
      </c>
      <c r="E830" s="1" t="str">
        <f t="shared" ca="1" si="479"/>
        <v/>
      </c>
      <c r="F830" s="11" t="str">
        <f t="shared" ca="1" si="449"/>
        <v/>
      </c>
      <c r="G830" s="8">
        <f t="shared" ca="1" si="476"/>
        <v>365</v>
      </c>
      <c r="H830" s="8">
        <f t="shared" ca="1" si="451"/>
        <v>30</v>
      </c>
      <c r="I830" s="8" t="str">
        <f t="shared" ca="1" si="447"/>
        <v>694</v>
      </c>
      <c r="J830" s="13">
        <f>IF(繳費報酬率資料!$A$1=1,VALUE(OP!$C$121),VLOOKUP(A830,MP,2,0))</f>
        <v>0.05</v>
      </c>
      <c r="K830" s="14">
        <f ca="1">IF(SUM($K$4:K829,IF(繳費報酬率資料!$A$1=1,$AU830+$AV830,$BB830+$BC830))&gt;OP!$L$58,0,IF(繳費報酬率資料!$A$1=1,$AU830+$AV830,$BB830+$BC830))</f>
        <v>0</v>
      </c>
      <c r="L830" s="2"/>
      <c r="M830" s="2"/>
      <c r="N830" s="2"/>
      <c r="O830" s="261">
        <f t="shared" ca="1" si="452"/>
        <v>0</v>
      </c>
      <c r="P830" s="261">
        <f t="shared" ca="1" si="470"/>
        <v>0</v>
      </c>
      <c r="Q830" s="3">
        <f ca="1">IF(A830&gt;MAX(OP!$R$17:$R$26),0,VLOOKUP(A830,fees,3,FALSE))</f>
        <v>0</v>
      </c>
      <c r="R830" s="200" t="str">
        <f t="shared" ca="1" si="453"/>
        <v/>
      </c>
      <c r="S830" s="9" t="str">
        <f ca="1">IF(COUNTIF(($T$4:T829),"F")&gt;=1,"",IF(OR(C831&lt;&gt;$C$3,E830=""),"",A830))</f>
        <v/>
      </c>
      <c r="T830" s="20" t="str">
        <f t="shared" ca="1" si="480"/>
        <v/>
      </c>
      <c r="U830" s="2">
        <f ca="1">IF(IF(OP!$C$83=1,$Z829,IF(OP!$C$83=2,$AA829,IF(OP!$C$83=3,$AB829,)))+$K830-$O830-$P830-$AS830&lt;OP!$C$142,0,$AS830)</f>
        <v>0</v>
      </c>
      <c r="V830" s="9"/>
      <c r="W830" s="19">
        <f ca="1">MAX(SUM($K$4:K830),0)</f>
        <v>2000000</v>
      </c>
      <c r="X830" s="19"/>
      <c r="Y830" s="19">
        <f t="shared" ca="1" si="471"/>
        <v>1920000</v>
      </c>
      <c r="Z830" s="2">
        <f ca="1">IF(MIN($Z$4:Z829)=0,0,MAX(0,($Z829+$K830-$O830-$P830)*IF(AND(F830="F",$D$3&lt;&gt;$G$3),((1+(-J830))^(H830/MIN(G830,365))),((1+(-J830))^(1/12)))-$U830))</f>
        <v>55986.892088024782</v>
      </c>
      <c r="AA830" s="2">
        <f ca="1">IF(MIN($AA$4:AA829)=0,0,MAX(0,($AA829+$K830-$O830-$P830)*IF(AND(F830="F",$D$3&lt;&gt;$G$3),((1+$AA$1)^(H830/MIN(G830,365))),((1+$AA$1)^(1/12)))-$U830))</f>
        <v>1920000</v>
      </c>
      <c r="AB830" s="2">
        <f ca="1">IF(MIN($AB$4:AB829)=0,0,MAX(0,($AB829+$K830-$O830-$P830)*IF(AND(F830="F",$D$3&lt;&gt;$G$3),((1+(J830))^(H830/MIN(G830,365))),((1+(J830))^(1/12)))-$U830))</f>
        <v>55411140.562155664</v>
      </c>
      <c r="AC830" s="5"/>
      <c r="AD830" s="5"/>
      <c r="AE830" s="5"/>
      <c r="AF830" s="282">
        <f t="shared" ca="1" si="454"/>
        <v>55987</v>
      </c>
      <c r="AG830" s="282">
        <f t="shared" ca="1" si="455"/>
        <v>1920000</v>
      </c>
      <c r="AH830" s="282">
        <f t="shared" ca="1" si="456"/>
        <v>55411141</v>
      </c>
      <c r="AI830" s="23" t="str">
        <f t="shared" ca="1" si="472"/>
        <v>69-12</v>
      </c>
      <c r="AJ830" s="282">
        <f ca="1">IF(E830&gt;111,,IF(AND(OP!$C$99=1,T830="F"),Z830,IF(AND(OP!$C$99=2,COUNTIF($T$4:T830,"F")=1),OP!$C$97+IF(F830="F",OP!$C$98,0),"")))</f>
        <v>0</v>
      </c>
      <c r="AK830" s="282">
        <f ca="1">IF(E830&gt;111,,IF(AND(OP!$D$99=1,T830="F"),AA830,IF(AND(OP!$D$99=2,COUNTIF($T$4:T830,"F")=1),OP!$D$97+IF(F830="F",OP!$D$98,0),"")))</f>
        <v>0</v>
      </c>
      <c r="AL830" s="282">
        <f ca="1">IF(E830&gt;111,,IF(AND(OP!$E$99=1,T830="F"),AB830,IF(AND(OP!$E$99=2,COUNTIF($T$4:T830,"F")=1),OP!$E$97+IF(F830="F",OP!$E$98,0),"")))</f>
        <v>0</v>
      </c>
      <c r="AM830" s="1">
        <f t="shared" ca="1" si="481"/>
        <v>12</v>
      </c>
      <c r="AN830" s="1" t="e">
        <f ca="1">IF(OR(VLOOKUP($A830,MP,5,0)="月繳"),1,"")</f>
        <v>#N/A</v>
      </c>
      <c r="AO830" s="1">
        <f t="shared" ca="1" si="457"/>
        <v>0</v>
      </c>
      <c r="AP830" s="1" t="str">
        <f ca="1">IF(AND(A830&lt;=OP!$C$120,COUNTIF(PAY,C830)=1),1,"")</f>
        <v/>
      </c>
      <c r="AR830" s="301">
        <f ca="1">IF(繳費報酬率資料!$A$1=1,$AY830+$AZ830,$BF830+$BG830)</f>
        <v>0</v>
      </c>
      <c r="AS830" s="1">
        <f ca="1">IF(C830&lt;&gt;IF($C$3=1,12,$C$3-1),0,IF(繳費報酬率資料!$A$1&lt;&gt;1,VLOOKUP($A830,MP,8,0),IF(AND($A830&gt;=OP!$C$79,$A830&lt;=OP!$C$80),OP!$C$78,)))</f>
        <v>0</v>
      </c>
      <c r="AT830" s="298">
        <f t="shared" ca="1" si="458"/>
        <v>0</v>
      </c>
      <c r="AU830" s="298">
        <f ca="1">IF(AND(A830&lt;=OP!$C$120,COUNTIF(PAY,C830)=1),OP!$C$123,0)</f>
        <v>0</v>
      </c>
      <c r="AV830" s="298">
        <f ca="1">IF(AND(A830&gt;=OP!$C$132,A830&lt;=OP!$C$133,$C$3=C830),OP!$C$135,0)</f>
        <v>0</v>
      </c>
      <c r="AW830" s="180">
        <f t="shared" ca="1" si="459"/>
        <v>0.05</v>
      </c>
      <c r="AX830" s="180">
        <f t="shared" ca="1" si="460"/>
        <v>0.05</v>
      </c>
      <c r="AY830" s="286">
        <f t="shared" ca="1" si="461"/>
        <v>0</v>
      </c>
      <c r="AZ830" s="286">
        <f t="shared" ca="1" si="462"/>
        <v>0</v>
      </c>
      <c r="BA830" s="286">
        <f t="shared" ca="1" si="463"/>
        <v>0</v>
      </c>
      <c r="BB830" s="286">
        <f t="shared" ca="1" si="464"/>
        <v>0</v>
      </c>
      <c r="BC830" s="286">
        <f t="shared" ca="1" si="465"/>
        <v>0</v>
      </c>
      <c r="BD830" s="180">
        <f t="shared" ca="1" si="466"/>
        <v>0.05</v>
      </c>
      <c r="BE830" s="180">
        <f t="shared" ca="1" si="467"/>
        <v>0.05</v>
      </c>
      <c r="BF830" s="286">
        <f t="shared" ca="1" si="468"/>
        <v>0</v>
      </c>
      <c r="BG830" s="286">
        <f t="shared" ca="1" si="469"/>
        <v>0</v>
      </c>
    </row>
    <row r="831" spans="1:59">
      <c r="A831" s="1">
        <f t="shared" ca="1" si="448"/>
        <v>69</v>
      </c>
      <c r="B831" s="1">
        <f t="shared" ca="1" si="477"/>
        <v>175</v>
      </c>
      <c r="C831" s="1">
        <f t="shared" ca="1" si="478"/>
        <v>5</v>
      </c>
      <c r="D831" s="1">
        <f ca="1">MIN($D$3,VLOOKUP(C831,OP!$S$30:$T$41,2))</f>
        <v>2</v>
      </c>
      <c r="E831" s="1" t="str">
        <f t="shared" ca="1" si="479"/>
        <v/>
      </c>
      <c r="F831" s="11" t="str">
        <f t="shared" ca="1" si="449"/>
        <v/>
      </c>
      <c r="G831" s="8">
        <f t="shared" ca="1" si="476"/>
        <v>365</v>
      </c>
      <c r="H831" s="8">
        <f t="shared" ca="1" si="451"/>
        <v>31</v>
      </c>
      <c r="I831" s="8" t="str">
        <f t="shared" ca="1" si="447"/>
        <v>695</v>
      </c>
      <c r="J831" s="13">
        <f>IF(繳費報酬率資料!$A$1=1,VALUE(OP!$C$121),VLOOKUP(A831,MP,2,0))</f>
        <v>0.05</v>
      </c>
      <c r="K831" s="14">
        <f ca="1">IF(SUM($K$4:K830,IF(繳費報酬率資料!$A$1=1,$AU831+$AV831,$BB831+$BC831))&gt;OP!$L$58,0,IF(繳費報酬率資料!$A$1=1,$AU831+$AV831,$BB831+$BC831))</f>
        <v>0</v>
      </c>
      <c r="L831" s="2">
        <f ca="1">ROUND(IF(OP!$C$78&lt;(IF(OR($T831="F",$E831&gt;=111),0,Z830+$K831-$O831+IF($C$1=1,OP!$C$78,IF($C832=$C$3,SUM(AC820:AC831,0)))))*5%,0,(OP!$C$78-((IF(OR($T831="F",$E831&gt;=111),0,Z830+$K831-$O831+IF($C$1=1,AC831,IF($C832=$C$3,SUM(AC820:AC831,0)))))*5%))*$Q831),0)</f>
        <v>0</v>
      </c>
      <c r="M831" s="2">
        <f ca="1">ROUND(IF(OP!$C$78&lt;(IF(OR($T831="F",$E831&gt;=111),0,AA830+$K831-$O831+IF($C$1=1,AD831,IF($C832=$C$3,SUM(AD820:AD831,0)))))*5%,0,(OP!$C$78-((IF(OR($T831="F",$E831&gt;=111),0,AA830+$K831-$O831+IF($C$1=1,AD831,IF($C832=$C$3,SUM(AD820:AD831,0)))))*5%))*$Q831),0)</f>
        <v>0</v>
      </c>
      <c r="N831" s="2">
        <f ca="1">ROUND(IF(OP!$C$78&lt;(IF(OR($T831="F",$E831&gt;=111),0,AB830+$K831-$O831+IF($C$1=1,AE831,IF($C832=$C$3,SUM(AE820:AE831,0)))))*5%,0,(OP!$C$78-((IF(OR($T831="F",$E831&gt;=111),0,AB830+$K831-$O831+IF($C$1=1,AE831,IF($C832=$C$3,SUM(AE820:AE831,0)))))*5%))*$Q831),0)</f>
        <v>0</v>
      </c>
      <c r="O831" s="261">
        <f t="shared" ca="1" si="452"/>
        <v>0</v>
      </c>
      <c r="P831" s="261">
        <f t="shared" ca="1" si="470"/>
        <v>0</v>
      </c>
      <c r="Q831" s="3">
        <f ca="1">IF(A831&gt;MAX(OP!$R$17:$R$26),0,VLOOKUP(A831,fees,3,FALSE))</f>
        <v>0</v>
      </c>
      <c r="R831" s="200" t="str">
        <f t="shared" ca="1" si="453"/>
        <v/>
      </c>
      <c r="S831" s="9" t="str">
        <f ca="1">IF(COUNTIF(($T$4:T830),"F")&gt;=1,"",IF(OR(C832&lt;&gt;$C$3,E831=""),"",A831))</f>
        <v/>
      </c>
      <c r="T831" s="20" t="str">
        <f t="shared" ca="1" si="480"/>
        <v/>
      </c>
      <c r="U831" s="2">
        <f ca="1">IF(IF(OP!$C$83=1,$Z830,IF(OP!$C$83=2,$AA830,IF(OP!$C$83=3,$AB830,)))+$K831-$O831-$P831-$AS831&lt;OP!$C$142,0,$AS831)</f>
        <v>0</v>
      </c>
      <c r="V831" s="19">
        <f ca="1">SUM(K820:K831)</f>
        <v>0</v>
      </c>
      <c r="W831" s="19">
        <f ca="1">MAX(SUM($K$4:K831),0)</f>
        <v>2000000</v>
      </c>
      <c r="X831" s="19">
        <f ca="1">SUM(O820:P831)</f>
        <v>0</v>
      </c>
      <c r="Y831" s="19">
        <f t="shared" ca="1" si="471"/>
        <v>1920000</v>
      </c>
      <c r="Z831" s="2">
        <f ca="1">IF(MIN($Z$4:Z830)=0,0,MAX(0,($Z830+$K831-$O831-$P831)*IF(AND(F831="F",$D$3&lt;&gt;$G$3),((1+(-J831))^(H831/MIN(G831,365))),((1+(-J831))^(1/12)))-$U831))</f>
        <v>55748.090145904469</v>
      </c>
      <c r="AA831" s="2">
        <f ca="1">IF(MIN($AA$4:AA830)=0,0,MAX(0,($AA830+$K831-$O831-$P831)*IF(AND(F831="F",$D$3&lt;&gt;$G$3),((1+$AA$1)^(H831/MIN(G831,365))),((1+$AA$1)^(1/12)))-$U831))</f>
        <v>1920000</v>
      </c>
      <c r="AB831" s="2">
        <f ca="1">IF(MIN($AB$4:AB830)=0,0,MAX(0,($AB830+$K831-$O831-$P831)*IF(AND(F831="F",$D$3&lt;&gt;$G$3),((1+(J831))^(H831/MIN(G831,365))),((1+(J831))^(1/12)))-$U831))</f>
        <v>55636892.407799028</v>
      </c>
      <c r="AC831" s="5"/>
      <c r="AD831" s="5"/>
      <c r="AE831" s="5"/>
      <c r="AF831" s="282">
        <f t="shared" ca="1" si="454"/>
        <v>55748</v>
      </c>
      <c r="AG831" s="282">
        <f t="shared" ca="1" si="455"/>
        <v>1920000</v>
      </c>
      <c r="AH831" s="282">
        <f t="shared" ca="1" si="456"/>
        <v>55636892</v>
      </c>
      <c r="AI831" s="23" t="str">
        <f t="shared" ca="1" si="472"/>
        <v>70-1</v>
      </c>
      <c r="AJ831" s="282">
        <f ca="1">IF(E831&gt;111,,IF(AND(OP!$C$99=1,T831="F"),Z831,IF(AND(OP!$C$99=2,COUNTIF($T$4:T831,"F")=1),OP!$C$97+IF(F831="F",OP!$C$98,0),"")))</f>
        <v>0</v>
      </c>
      <c r="AK831" s="282">
        <f ca="1">IF(E831&gt;111,,IF(AND(OP!$D$99=1,T831="F"),AA831,IF(AND(OP!$D$99=2,COUNTIF($T$4:T831,"F")=1),OP!$D$97+IF(F831="F",OP!$D$98,0),"")))</f>
        <v>0</v>
      </c>
      <c r="AL831" s="282">
        <f ca="1">IF(E831&gt;111,,IF(AND(OP!$E$99=1,T831="F"),AB831,IF(AND(OP!$E$99=2,COUNTIF($T$4:T831,"F")=1),OP!$E$97+IF(F831="F",OP!$E$98,0),"")))</f>
        <v>0</v>
      </c>
      <c r="AM831" s="1">
        <f t="shared" ca="1" si="481"/>
        <v>1</v>
      </c>
      <c r="AN831" s="1" t="e">
        <f ca="1">IF(OR(VLOOKUP($A831,MP,5,0)="月繳"),1,"")</f>
        <v>#N/A</v>
      </c>
      <c r="AO831" s="1">
        <f t="shared" ca="1" si="457"/>
        <v>0</v>
      </c>
      <c r="AP831" s="1" t="str">
        <f ca="1">IF(AND(A831&lt;=OP!$C$120,COUNTIF(PAY,C831)=1),1,"")</f>
        <v/>
      </c>
      <c r="AR831" s="301">
        <f ca="1">IF(繳費報酬率資料!$A$1=1,$AY831+$AZ831,$BF831+$BG831)</f>
        <v>0</v>
      </c>
      <c r="AS831" s="1">
        <f ca="1">IF(C831&lt;&gt;IF($C$3=1,12,$C$3-1),0,IF(繳費報酬率資料!$A$1&lt;&gt;1,VLOOKUP($A831,MP,8,0),IF(AND($A831&gt;=OP!$C$79,$A831&lt;=OP!$C$80),OP!$C$78,)))</f>
        <v>0</v>
      </c>
      <c r="AT831" s="298">
        <f t="shared" ca="1" si="458"/>
        <v>0</v>
      </c>
      <c r="AU831" s="298">
        <f ca="1">IF(AND(A831&lt;=OP!$C$120,COUNTIF(PAY,C831)=1),OP!$C$123,0)</f>
        <v>0</v>
      </c>
      <c r="AV831" s="298">
        <f ca="1">IF(AND(A831&gt;=OP!$C$132,A831&lt;=OP!$C$133,$C$3=C831),OP!$C$135,0)</f>
        <v>0</v>
      </c>
      <c r="AW831" s="180">
        <f t="shared" ca="1" si="459"/>
        <v>0.05</v>
      </c>
      <c r="AX831" s="180">
        <f t="shared" ca="1" si="460"/>
        <v>0.05</v>
      </c>
      <c r="AY831" s="286">
        <f t="shared" ca="1" si="461"/>
        <v>0</v>
      </c>
      <c r="AZ831" s="286">
        <f t="shared" ca="1" si="462"/>
        <v>0</v>
      </c>
      <c r="BA831" s="286">
        <f t="shared" ca="1" si="463"/>
        <v>0</v>
      </c>
      <c r="BB831" s="286">
        <f t="shared" ca="1" si="464"/>
        <v>0</v>
      </c>
      <c r="BC831" s="286">
        <f t="shared" ca="1" si="465"/>
        <v>0</v>
      </c>
      <c r="BD831" s="180">
        <f t="shared" ca="1" si="466"/>
        <v>0.05</v>
      </c>
      <c r="BE831" s="180">
        <f t="shared" ca="1" si="467"/>
        <v>0.05</v>
      </c>
      <c r="BF831" s="286">
        <f t="shared" ca="1" si="468"/>
        <v>0</v>
      </c>
      <c r="BG831" s="286">
        <f t="shared" ca="1" si="469"/>
        <v>0</v>
      </c>
    </row>
    <row r="832" spans="1:59">
      <c r="A832" s="1">
        <f t="shared" ca="1" si="448"/>
        <v>70</v>
      </c>
      <c r="B832" s="1">
        <f t="shared" ca="1" si="477"/>
        <v>175</v>
      </c>
      <c r="C832" s="1">
        <f t="shared" ca="1" si="478"/>
        <v>6</v>
      </c>
      <c r="D832" s="1">
        <f ca="1">MIN($D$3,VLOOKUP(C832,OP!$S$30:$T$41,2))</f>
        <v>2</v>
      </c>
      <c r="E832" s="1" t="str">
        <f t="shared" ca="1" si="479"/>
        <v/>
      </c>
      <c r="F832" s="11" t="str">
        <f t="shared" ca="1" si="449"/>
        <v/>
      </c>
      <c r="G832" s="6">
        <f ca="1">DATEDIF(DATE(B832+1911,C832,D832),DATE(B844+1911,C844,D844),"d")</f>
        <v>365</v>
      </c>
      <c r="H832" s="8">
        <f t="shared" ca="1" si="451"/>
        <v>30</v>
      </c>
      <c r="I832" s="8" t="str">
        <f t="shared" ca="1" si="447"/>
        <v>706</v>
      </c>
      <c r="J832" s="13">
        <f>IF(繳費報酬率資料!$A$1=1,VALUE(OP!$C$121),VLOOKUP(A832,MP,2,0))</f>
        <v>0.05</v>
      </c>
      <c r="K832" s="14">
        <f ca="1">IF(SUM($K$4:K831,IF(繳費報酬率資料!$A$1=1,$AU832+$AV832,$BB832+$BC832))&gt;OP!$L$58,0,IF(繳費報酬率資料!$A$1=1,$AU832+$AV832,$BB832+$BC832))</f>
        <v>0</v>
      </c>
      <c r="L832" s="2"/>
      <c r="M832" s="2"/>
      <c r="N832" s="2"/>
      <c r="O832" s="261">
        <f t="shared" ca="1" si="452"/>
        <v>0</v>
      </c>
      <c r="P832" s="261">
        <f t="shared" ca="1" si="470"/>
        <v>0</v>
      </c>
      <c r="Q832" s="3">
        <f ca="1">IF(A832&gt;MAX(OP!$R$17:$R$26),0,VLOOKUP(A832,fees,3,FALSE))</f>
        <v>0</v>
      </c>
      <c r="R832" s="200" t="str">
        <f t="shared" ca="1" si="453"/>
        <v/>
      </c>
      <c r="S832" s="9" t="str">
        <f ca="1">IF(COUNTIF(($T$4:T831),"F")&gt;=1,"",IF(OR(C833&lt;&gt;$C$3,E832=""),"",A832))</f>
        <v/>
      </c>
      <c r="T832" s="20" t="str">
        <f t="shared" ca="1" si="480"/>
        <v/>
      </c>
      <c r="U832" s="2">
        <f ca="1">IF(IF(OP!$C$83=1,$Z831,IF(OP!$C$83=2,$AA831,IF(OP!$C$83=3,$AB831,)))+$K832-$O832-$P832-$AS832&lt;OP!$C$142,0,$AS832)</f>
        <v>0</v>
      </c>
      <c r="V832" s="9"/>
      <c r="W832" s="19">
        <f ca="1">MAX(SUM($K$4:K832),0)</f>
        <v>2000000</v>
      </c>
      <c r="X832" s="19"/>
      <c r="Y832" s="19">
        <f t="shared" ca="1" si="471"/>
        <v>1920000</v>
      </c>
      <c r="Z832" s="2">
        <f ca="1">IF(MIN($Z$4:Z831)=0,0,MAX(0,($Z831+$K832-$O832-$P832)*IF(AND(F832="F",$D$3&lt;&gt;$G$3),((1+(-J832))^(H832/MIN(G832,365))),((1+(-J832))^(1/12)))-$U832))</f>
        <v>55510.306770192001</v>
      </c>
      <c r="AA832" s="2">
        <f ca="1">IF(MIN($AA$4:AA831)=0,0,MAX(0,($AA831+$K832-$O832-$P832)*IF(AND(F832="F",$D$3&lt;&gt;$G$3),((1+$AA$1)^(H832/MIN(G832,365))),((1+$AA$1)^(1/12)))-$U832))</f>
        <v>1920000</v>
      </c>
      <c r="AB832" s="2">
        <f ca="1">IF(MIN($AB$4:AB831)=0,0,MAX(0,($AB831+$K832-$O832-$P832)*IF(AND(F832="F",$D$3&lt;&gt;$G$3),((1+(J832))^(H832/MIN(G832,365))),((1+(J832))^(1/12)))-$U832))</f>
        <v>55863563.994405925</v>
      </c>
      <c r="AC832" s="21"/>
      <c r="AD832" s="21"/>
      <c r="AE832" s="21"/>
      <c r="AF832" s="282">
        <f t="shared" ca="1" si="454"/>
        <v>55510</v>
      </c>
      <c r="AG832" s="282">
        <f t="shared" ca="1" si="455"/>
        <v>1920000</v>
      </c>
      <c r="AH832" s="282">
        <f t="shared" ca="1" si="456"/>
        <v>55863564</v>
      </c>
      <c r="AI832" s="23" t="str">
        <f t="shared" ca="1" si="472"/>
        <v>70-2</v>
      </c>
      <c r="AJ832" s="281">
        <f ca="1">IF(E832&gt;111,,IF(AND(OP!$C$99=1,T832="F"),Z832,IF(AND(OP!$C$99=2,COUNTIF($T$4:T832,"F")=1),OP!$C$97+IF(F832="F",OP!$C$98,0),"")))</f>
        <v>0</v>
      </c>
      <c r="AK832" s="281">
        <f ca="1">IF(E832&gt;111,,IF(AND(OP!$D$99=1,T832="F"),AA832,IF(AND(OP!$D$99=2,COUNTIF($T$4:T832,"F")=1),OP!$D$97+IF(F832="F",OP!$D$98,0),"")))</f>
        <v>0</v>
      </c>
      <c r="AL832" s="281">
        <f ca="1">IF(E832&gt;111,,IF(AND(OP!$E$99=1,T832="F"),AB832,IF(AND(OP!$E$99=2,COUNTIF($T$4:T832,"F")=1),OP!$E$97+IF(F832="F",OP!$E$98,0),"")))</f>
        <v>0</v>
      </c>
      <c r="AM832" s="1">
        <f t="shared" ca="1" si="481"/>
        <v>2</v>
      </c>
      <c r="AN832" s="1" t="e">
        <f ca="1">IF(OR(VLOOKUP($A832,MP,5,0)="年繳",VLOOKUP($A832,MP,5,0)="半年繳",VLOOKUP($A832,MP,5,0)="季繳",VLOOKUP($A832,MP,5,0)="月繳"),1,"")</f>
        <v>#N/A</v>
      </c>
      <c r="AO832" s="1">
        <f t="shared" ca="1" si="457"/>
        <v>0</v>
      </c>
      <c r="AP832" s="1" t="str">
        <f ca="1">IF(AND(A832&lt;=OP!$C$120,COUNTIF(PAY,C832)=1),1,"")</f>
        <v/>
      </c>
      <c r="AR832" s="301">
        <f ca="1">IF(繳費報酬率資料!$A$1=1,$AY832+$AZ832,$BF832+$BG832)</f>
        <v>0</v>
      </c>
      <c r="AS832" s="1">
        <f ca="1">IF(C832&lt;&gt;IF($C$3=1,12,$C$3-1),0,IF(繳費報酬率資料!$A$1&lt;&gt;1,VLOOKUP($A832,MP,8,0),IF(AND($A832&gt;=OP!$C$79,$A832&lt;=OP!$C$80),OP!$C$78,)))</f>
        <v>0</v>
      </c>
      <c r="AT832" s="298">
        <f t="shared" ca="1" si="458"/>
        <v>0</v>
      </c>
      <c r="AU832" s="298">
        <f ca="1">IF(AND(A832&lt;=OP!$C$120,COUNTIF(PAY,C832)=1),OP!$C$123,0)</f>
        <v>0</v>
      </c>
      <c r="AV832" s="298">
        <f ca="1">IF(AND(A832&gt;=OP!$C$132,A832&lt;=OP!$C$133,$C$3=C832),OP!$C$135,0)</f>
        <v>0</v>
      </c>
      <c r="AW832" s="180">
        <f t="shared" ca="1" si="459"/>
        <v>0.05</v>
      </c>
      <c r="AX832" s="180">
        <f t="shared" ca="1" si="460"/>
        <v>0.05</v>
      </c>
      <c r="AY832" s="286">
        <f t="shared" ca="1" si="461"/>
        <v>0</v>
      </c>
      <c r="AZ832" s="286">
        <f t="shared" ca="1" si="462"/>
        <v>0</v>
      </c>
      <c r="BA832" s="286">
        <f t="shared" ca="1" si="463"/>
        <v>0</v>
      </c>
      <c r="BB832" s="286">
        <f t="shared" ca="1" si="464"/>
        <v>0</v>
      </c>
      <c r="BC832" s="286">
        <f t="shared" ca="1" si="465"/>
        <v>0</v>
      </c>
      <c r="BD832" s="180">
        <f t="shared" ca="1" si="466"/>
        <v>0.05</v>
      </c>
      <c r="BE832" s="180">
        <f t="shared" ca="1" si="467"/>
        <v>0.05</v>
      </c>
      <c r="BF832" s="286">
        <f t="shared" ca="1" si="468"/>
        <v>0</v>
      </c>
      <c r="BG832" s="286">
        <f t="shared" ca="1" si="469"/>
        <v>0</v>
      </c>
    </row>
    <row r="833" spans="1:59">
      <c r="A833" s="1">
        <f t="shared" ca="1" si="448"/>
        <v>70</v>
      </c>
      <c r="B833" s="1">
        <f t="shared" ca="1" si="477"/>
        <v>175</v>
      </c>
      <c r="C833" s="1">
        <f t="shared" ca="1" si="478"/>
        <v>7</v>
      </c>
      <c r="D833" s="1">
        <f ca="1">MIN($D$3,VLOOKUP(C833,OP!$S$30:$T$41,2))</f>
        <v>2</v>
      </c>
      <c r="E833" s="1" t="str">
        <f t="shared" ca="1" si="479"/>
        <v/>
      </c>
      <c r="F833" s="11" t="str">
        <f t="shared" ca="1" si="449"/>
        <v/>
      </c>
      <c r="G833" s="8">
        <f t="shared" ref="G833:G843" ca="1" si="482">G832</f>
        <v>365</v>
      </c>
      <c r="H833" s="8">
        <f t="shared" ca="1" si="451"/>
        <v>31</v>
      </c>
      <c r="I833" s="8" t="str">
        <f t="shared" ca="1" si="447"/>
        <v>707</v>
      </c>
      <c r="J833" s="13">
        <f>IF(繳費報酬率資料!$A$1=1,VALUE(OP!$C$121),VLOOKUP(A833,MP,2,0))</f>
        <v>0.05</v>
      </c>
      <c r="K833" s="14">
        <f ca="1">IF(SUM($K$4:K832,IF(繳費報酬率資料!$A$1=1,$AU833+$AV833,$BB833+$BC833))&gt;OP!$L$58,0,IF(繳費報酬率資料!$A$1=1,$AU833+$AV833,$BB833+$BC833))</f>
        <v>0</v>
      </c>
      <c r="L833" s="2"/>
      <c r="M833" s="2"/>
      <c r="N833" s="2"/>
      <c r="O833" s="261">
        <f t="shared" ca="1" si="452"/>
        <v>0</v>
      </c>
      <c r="P833" s="261">
        <f t="shared" ca="1" si="470"/>
        <v>0</v>
      </c>
      <c r="Q833" s="3">
        <f ca="1">IF(A833&gt;MAX(OP!$R$17:$R$26),0,VLOOKUP(A833,fees,3,FALSE))</f>
        <v>0</v>
      </c>
      <c r="R833" s="200" t="str">
        <f t="shared" ca="1" si="453"/>
        <v/>
      </c>
      <c r="S833" s="9" t="str">
        <f ca="1">IF(COUNTIF(($T$4:T832),"F")&gt;=1,"",IF(OR(C834&lt;&gt;$C$3,E833=""),"",A833))</f>
        <v/>
      </c>
      <c r="T833" s="20" t="str">
        <f t="shared" ca="1" si="480"/>
        <v/>
      </c>
      <c r="U833" s="2">
        <f ca="1">IF(IF(OP!$C$83=1,$Z832,IF(OP!$C$83=2,$AA832,IF(OP!$C$83=3,$AB832,)))+$K833-$O833-$P833-$AS833&lt;OP!$C$142,0,$AS833)</f>
        <v>0</v>
      </c>
      <c r="V833" s="9"/>
      <c r="W833" s="19">
        <f ca="1">MAX(SUM($K$4:K833),0)</f>
        <v>2000000</v>
      </c>
      <c r="X833" s="19"/>
      <c r="Y833" s="19">
        <f t="shared" ca="1" si="471"/>
        <v>1920000</v>
      </c>
      <c r="Z833" s="2">
        <f ca="1">IF(MIN($Z$4:Z832)=0,0,MAX(0,($Z832+$K833-$O833-$P833)*IF(AND(F833="F",$D$3&lt;&gt;$G$3),((1+(-J833))^(H833/MIN(G833,365))),((1+(-J833))^(1/12)))-$U833))</f>
        <v>55273.537616376947</v>
      </c>
      <c r="AA833" s="2">
        <f ca="1">IF(MIN($AA$4:AA832)=0,0,MAX(0,($AA832+$K833-$O833-$P833)*IF(AND(F833="F",$D$3&lt;&gt;$G$3),((1+$AA$1)^(H833/MIN(G833,365))),((1+$AA$1)^(1/12)))-$U833))</f>
        <v>1920000</v>
      </c>
      <c r="AB833" s="2">
        <f ca="1">IF(MIN($AB$4:AB832)=0,0,MAX(0,($AB832+$K833-$O833-$P833)*IF(AND(F833="F",$D$3&lt;&gt;$G$3),((1+(J833))^(H833/MIN(G833,365))),((1+(J833))^(1/12)))-$U833))</f>
        <v>56091159.069114894</v>
      </c>
      <c r="AC833" s="5"/>
      <c r="AD833" s="5"/>
      <c r="AE833" s="5"/>
      <c r="AF833" s="282">
        <f t="shared" ca="1" si="454"/>
        <v>55274</v>
      </c>
      <c r="AG833" s="282">
        <f t="shared" ca="1" si="455"/>
        <v>1920000</v>
      </c>
      <c r="AH833" s="282">
        <f t="shared" ca="1" si="456"/>
        <v>56091159</v>
      </c>
      <c r="AI833" s="23" t="str">
        <f t="shared" ca="1" si="472"/>
        <v>70-3</v>
      </c>
      <c r="AJ833" s="282">
        <f ca="1">IF(E833&gt;111,,IF(AND(OP!$C$99=1,T833="F"),Z833,IF(AND(OP!$C$99=2,COUNTIF($T$4:T833,"F")=1),OP!$C$97+IF(F833="F",OP!$C$98,0),"")))</f>
        <v>0</v>
      </c>
      <c r="AK833" s="282">
        <f ca="1">IF(E833&gt;111,,IF(AND(OP!$D$99=1,T833="F"),AA833,IF(AND(OP!$D$99=2,COUNTIF($T$4:T833,"F")=1),OP!$D$97+IF(F833="F",OP!$D$98,0),"")))</f>
        <v>0</v>
      </c>
      <c r="AL833" s="282">
        <f ca="1">IF(E833&gt;111,,IF(AND(OP!$E$99=1,T833="F"),AB833,IF(AND(OP!$E$99=2,COUNTIF($T$4:T833,"F")=1),OP!$E$97+IF(F833="F",OP!$E$98,0),"")))</f>
        <v>0</v>
      </c>
      <c r="AM833" s="1">
        <f t="shared" ca="1" si="481"/>
        <v>3</v>
      </c>
      <c r="AN833" s="1" t="e">
        <f ca="1">IF(OR(VLOOKUP($A833,MP,5,0)="月繳"),1,"")</f>
        <v>#N/A</v>
      </c>
      <c r="AO833" s="1">
        <f t="shared" ca="1" si="457"/>
        <v>0</v>
      </c>
      <c r="AP833" s="1" t="str">
        <f ca="1">IF(AND(A833&lt;=OP!$C$120,COUNTIF(PAY,C833)=1),1,"")</f>
        <v/>
      </c>
      <c r="AR833" s="301">
        <f ca="1">IF(繳費報酬率資料!$A$1=1,$AY833+$AZ833,$BF833+$BG833)</f>
        <v>0</v>
      </c>
      <c r="AS833" s="1">
        <f ca="1">IF(C833&lt;&gt;IF($C$3=1,12,$C$3-1),0,IF(繳費報酬率資料!$A$1&lt;&gt;1,VLOOKUP($A833,MP,8,0),IF(AND($A833&gt;=OP!$C$79,$A833&lt;=OP!$C$80),OP!$C$78,)))</f>
        <v>0</v>
      </c>
      <c r="AT833" s="298">
        <f t="shared" ca="1" si="458"/>
        <v>0</v>
      </c>
      <c r="AU833" s="298">
        <f ca="1">IF(AND(A833&lt;=OP!$C$120,COUNTIF(PAY,C833)=1),OP!$C$123,0)</f>
        <v>0</v>
      </c>
      <c r="AV833" s="298">
        <f ca="1">IF(AND(A833&gt;=OP!$C$132,A833&lt;=OP!$C$133,$C$3=C833),OP!$C$135,0)</f>
        <v>0</v>
      </c>
      <c r="AW833" s="180">
        <f t="shared" ca="1" si="459"/>
        <v>0.05</v>
      </c>
      <c r="AX833" s="180">
        <f t="shared" ca="1" si="460"/>
        <v>0.05</v>
      </c>
      <c r="AY833" s="286">
        <f t="shared" ca="1" si="461"/>
        <v>0</v>
      </c>
      <c r="AZ833" s="286">
        <f t="shared" ca="1" si="462"/>
        <v>0</v>
      </c>
      <c r="BA833" s="286">
        <f t="shared" ca="1" si="463"/>
        <v>0</v>
      </c>
      <c r="BB833" s="286">
        <f t="shared" ca="1" si="464"/>
        <v>0</v>
      </c>
      <c r="BC833" s="286">
        <f t="shared" ca="1" si="465"/>
        <v>0</v>
      </c>
      <c r="BD833" s="180">
        <f t="shared" ca="1" si="466"/>
        <v>0.05</v>
      </c>
      <c r="BE833" s="180">
        <f t="shared" ca="1" si="467"/>
        <v>0.05</v>
      </c>
      <c r="BF833" s="286">
        <f t="shared" ca="1" si="468"/>
        <v>0</v>
      </c>
      <c r="BG833" s="286">
        <f t="shared" ca="1" si="469"/>
        <v>0</v>
      </c>
    </row>
    <row r="834" spans="1:59">
      <c r="A834" s="1">
        <f t="shared" ca="1" si="448"/>
        <v>70</v>
      </c>
      <c r="B834" s="1">
        <f t="shared" ca="1" si="477"/>
        <v>175</v>
      </c>
      <c r="C834" s="1">
        <f t="shared" ca="1" si="478"/>
        <v>8</v>
      </c>
      <c r="D834" s="1">
        <f ca="1">MIN($D$3,VLOOKUP(C834,OP!$S$30:$T$41,2))</f>
        <v>2</v>
      </c>
      <c r="E834" s="1" t="str">
        <f t="shared" ca="1" si="479"/>
        <v/>
      </c>
      <c r="F834" s="11" t="str">
        <f t="shared" ca="1" si="449"/>
        <v/>
      </c>
      <c r="G834" s="8">
        <f t="shared" ca="1" si="482"/>
        <v>365</v>
      </c>
      <c r="H834" s="8">
        <f t="shared" ca="1" si="451"/>
        <v>31</v>
      </c>
      <c r="I834" s="8" t="str">
        <f t="shared" ca="1" si="447"/>
        <v>708</v>
      </c>
      <c r="J834" s="13">
        <f>IF(繳費報酬率資料!$A$1=1,VALUE(OP!$C$121),VLOOKUP(A834,MP,2,0))</f>
        <v>0.05</v>
      </c>
      <c r="K834" s="14">
        <f ca="1">IF(SUM($K$4:K833,IF(繳費報酬率資料!$A$1=1,$AU834+$AV834,$BB834+$BC834))&gt;OP!$L$58,0,IF(繳費報酬率資料!$A$1=1,$AU834+$AV834,$BB834+$BC834))</f>
        <v>0</v>
      </c>
      <c r="L834" s="2"/>
      <c r="M834" s="2"/>
      <c r="N834" s="2"/>
      <c r="O834" s="261">
        <f t="shared" ca="1" si="452"/>
        <v>0</v>
      </c>
      <c r="P834" s="261">
        <f t="shared" ca="1" si="470"/>
        <v>0</v>
      </c>
      <c r="Q834" s="3">
        <f ca="1">IF(A834&gt;MAX(OP!$R$17:$R$26),0,VLOOKUP(A834,fees,3,FALSE))</f>
        <v>0</v>
      </c>
      <c r="R834" s="200" t="str">
        <f t="shared" ca="1" si="453"/>
        <v/>
      </c>
      <c r="S834" s="9" t="str">
        <f ca="1">IF(COUNTIF(($T$4:T833),"F")&gt;=1,"",IF(OR(C835&lt;&gt;$C$3,E834=""),"",A834))</f>
        <v/>
      </c>
      <c r="T834" s="20" t="str">
        <f t="shared" ca="1" si="480"/>
        <v/>
      </c>
      <c r="U834" s="2">
        <f ca="1">IF(IF(OP!$C$83=1,$Z833,IF(OP!$C$83=2,$AA833,IF(OP!$C$83=3,$AB833,)))+$K834-$O834-$P834-$AS834&lt;OP!$C$142,0,$AS834)</f>
        <v>0</v>
      </c>
      <c r="V834" s="9"/>
      <c r="W834" s="19">
        <f ca="1">MAX(SUM($K$4:K834),0)</f>
        <v>2000000</v>
      </c>
      <c r="X834" s="19"/>
      <c r="Y834" s="19">
        <f t="shared" ca="1" si="471"/>
        <v>1920000</v>
      </c>
      <c r="Z834" s="2">
        <f ca="1">IF(MIN($Z$4:Z833)=0,0,MAX(0,($Z833+$K834-$O834-$P834)*IF(AND(F834="F",$D$3&lt;&gt;$G$3),((1+(-J834))^(H834/MIN(G834,365))),((1+(-J834))^(1/12)))-$U834))</f>
        <v>55037.778358479613</v>
      </c>
      <c r="AA834" s="2">
        <f ca="1">IF(MIN($AA$4:AA833)=0,0,MAX(0,($AA833+$K834-$O834-$P834)*IF(AND(F834="F",$D$3&lt;&gt;$G$3),((1+$AA$1)^(H834/MIN(G834,365))),((1+$AA$1)^(1/12)))-$U834))</f>
        <v>1920000</v>
      </c>
      <c r="AB834" s="2">
        <f ca="1">IF(MIN($AB$4:AB833)=0,0,MAX(0,($AB833+$K834-$O834-$P834)*IF(AND(F834="F",$D$3&lt;&gt;$G$3),((1+(J834))^(H834/MIN(G834,365))),((1+(J834))^(1/12)))-$U834))</f>
        <v>56319681.394330777</v>
      </c>
      <c r="AC834" s="5"/>
      <c r="AD834" s="5"/>
      <c r="AE834" s="5"/>
      <c r="AF834" s="282">
        <f t="shared" ca="1" si="454"/>
        <v>55038</v>
      </c>
      <c r="AG834" s="282">
        <f t="shared" ca="1" si="455"/>
        <v>1920000</v>
      </c>
      <c r="AH834" s="282">
        <f t="shared" ca="1" si="456"/>
        <v>56319681</v>
      </c>
      <c r="AI834" s="23" t="str">
        <f t="shared" ca="1" si="472"/>
        <v>70-4</v>
      </c>
      <c r="AJ834" s="282">
        <f ca="1">IF(E834&gt;111,,IF(AND(OP!$C$99=1,T834="F"),Z834,IF(AND(OP!$C$99=2,COUNTIF($T$4:T834,"F")=1),OP!$C$97+IF(F834="F",OP!$C$98,0),"")))</f>
        <v>0</v>
      </c>
      <c r="AK834" s="282">
        <f ca="1">IF(E834&gt;111,,IF(AND(OP!$D$99=1,T834="F"),AA834,IF(AND(OP!$D$99=2,COUNTIF($T$4:T834,"F")=1),OP!$D$97+IF(F834="F",OP!$D$98,0),"")))</f>
        <v>0</v>
      </c>
      <c r="AL834" s="282">
        <f ca="1">IF(E834&gt;111,,IF(AND(OP!$E$99=1,T834="F"),AB834,IF(AND(OP!$E$99=2,COUNTIF($T$4:T834,"F")=1),OP!$E$97+IF(F834="F",OP!$E$98,0),"")))</f>
        <v>0</v>
      </c>
      <c r="AM834" s="1">
        <f t="shared" ca="1" si="481"/>
        <v>4</v>
      </c>
      <c r="AN834" s="1" t="e">
        <f ca="1">IF(OR(VLOOKUP($A834,MP,5,0)="月繳"),1,"")</f>
        <v>#N/A</v>
      </c>
      <c r="AO834" s="1">
        <f t="shared" ca="1" si="457"/>
        <v>0</v>
      </c>
      <c r="AP834" s="1" t="str">
        <f ca="1">IF(AND(A834&lt;=OP!$C$120,COUNTIF(PAY,C834)=1),1,"")</f>
        <v/>
      </c>
      <c r="AR834" s="301">
        <f ca="1">IF(繳費報酬率資料!$A$1=1,$AY834+$AZ834,$BF834+$BG834)</f>
        <v>0</v>
      </c>
      <c r="AS834" s="1">
        <f ca="1">IF(C834&lt;&gt;IF($C$3=1,12,$C$3-1),0,IF(繳費報酬率資料!$A$1&lt;&gt;1,VLOOKUP($A834,MP,8,0),IF(AND($A834&gt;=OP!$C$79,$A834&lt;=OP!$C$80),OP!$C$78,)))</f>
        <v>0</v>
      </c>
      <c r="AT834" s="298">
        <f t="shared" ca="1" si="458"/>
        <v>0</v>
      </c>
      <c r="AU834" s="298">
        <f ca="1">IF(AND(A834&lt;=OP!$C$120,COUNTIF(PAY,C834)=1),OP!$C$123,0)</f>
        <v>0</v>
      </c>
      <c r="AV834" s="298">
        <f ca="1">IF(AND(A834&gt;=OP!$C$132,A834&lt;=OP!$C$133,$C$3=C834),OP!$C$135,0)</f>
        <v>0</v>
      </c>
      <c r="AW834" s="180">
        <f t="shared" ca="1" si="459"/>
        <v>0.05</v>
      </c>
      <c r="AX834" s="180">
        <f t="shared" ca="1" si="460"/>
        <v>0.05</v>
      </c>
      <c r="AY834" s="286">
        <f t="shared" ca="1" si="461"/>
        <v>0</v>
      </c>
      <c r="AZ834" s="286">
        <f t="shared" ca="1" si="462"/>
        <v>0</v>
      </c>
      <c r="BA834" s="286">
        <f t="shared" ca="1" si="463"/>
        <v>0</v>
      </c>
      <c r="BB834" s="286">
        <f t="shared" ca="1" si="464"/>
        <v>0</v>
      </c>
      <c r="BC834" s="286">
        <f t="shared" ca="1" si="465"/>
        <v>0</v>
      </c>
      <c r="BD834" s="180">
        <f t="shared" ca="1" si="466"/>
        <v>0.05</v>
      </c>
      <c r="BE834" s="180">
        <f t="shared" ca="1" si="467"/>
        <v>0.05</v>
      </c>
      <c r="BF834" s="286">
        <f t="shared" ca="1" si="468"/>
        <v>0</v>
      </c>
      <c r="BG834" s="286">
        <f t="shared" ca="1" si="469"/>
        <v>0</v>
      </c>
    </row>
    <row r="835" spans="1:59">
      <c r="A835" s="1">
        <f t="shared" ca="1" si="448"/>
        <v>70</v>
      </c>
      <c r="B835" s="1">
        <f t="shared" ca="1" si="477"/>
        <v>175</v>
      </c>
      <c r="C835" s="1">
        <f t="shared" ca="1" si="478"/>
        <v>9</v>
      </c>
      <c r="D835" s="1">
        <f ca="1">MIN($D$3,VLOOKUP(C835,OP!$S$30:$T$41,2))</f>
        <v>2</v>
      </c>
      <c r="E835" s="1" t="str">
        <f t="shared" ca="1" si="479"/>
        <v/>
      </c>
      <c r="F835" s="11" t="str">
        <f t="shared" ca="1" si="449"/>
        <v/>
      </c>
      <c r="G835" s="8">
        <f t="shared" ca="1" si="482"/>
        <v>365</v>
      </c>
      <c r="H835" s="8">
        <f t="shared" ca="1" si="451"/>
        <v>30</v>
      </c>
      <c r="I835" s="8" t="str">
        <f t="shared" ca="1" si="447"/>
        <v>709</v>
      </c>
      <c r="J835" s="13">
        <f>IF(繳費報酬率資料!$A$1=1,VALUE(OP!$C$121),VLOOKUP(A835,MP,2,0))</f>
        <v>0.05</v>
      </c>
      <c r="K835" s="14">
        <f ca="1">IF(SUM($K$4:K834,IF(繳費報酬率資料!$A$1=1,$AU835+$AV835,$BB835+$BC835))&gt;OP!$L$58,0,IF(繳費報酬率資料!$A$1=1,$AU835+$AV835,$BB835+$BC835))</f>
        <v>0</v>
      </c>
      <c r="L835" s="2"/>
      <c r="M835" s="2"/>
      <c r="N835" s="2"/>
      <c r="O835" s="261">
        <f t="shared" ca="1" si="452"/>
        <v>0</v>
      </c>
      <c r="P835" s="261">
        <f t="shared" ca="1" si="470"/>
        <v>0</v>
      </c>
      <c r="Q835" s="3">
        <f ca="1">IF(A835&gt;MAX(OP!$R$17:$R$26),0,VLOOKUP(A835,fees,3,FALSE))</f>
        <v>0</v>
      </c>
      <c r="R835" s="200" t="str">
        <f t="shared" ca="1" si="453"/>
        <v/>
      </c>
      <c r="S835" s="9" t="str">
        <f ca="1">IF(COUNTIF(($T$4:T834),"F")&gt;=1,"",IF(OR(C836&lt;&gt;$C$3,E835=""),"",A835))</f>
        <v/>
      </c>
      <c r="T835" s="20" t="str">
        <f t="shared" ca="1" si="480"/>
        <v/>
      </c>
      <c r="U835" s="2">
        <f ca="1">IF(IF(OP!$C$83=1,$Z834,IF(OP!$C$83=2,$AA834,IF(OP!$C$83=3,$AB834,)))+$K835-$O835-$P835-$AS835&lt;OP!$C$142,0,$AS835)</f>
        <v>0</v>
      </c>
      <c r="V835" s="9"/>
      <c r="W835" s="19">
        <f ca="1">MAX(SUM($K$4:K835),0)</f>
        <v>2000000</v>
      </c>
      <c r="X835" s="19"/>
      <c r="Y835" s="19">
        <f t="shared" ca="1" si="471"/>
        <v>1920000</v>
      </c>
      <c r="Z835" s="2">
        <f ca="1">IF(MIN($Z$4:Z834)=0,0,MAX(0,($Z834+$K835-$O835-$P835)*IF(AND(F835="F",$D$3&lt;&gt;$G$3),((1+(-J835))^(H835/MIN(G835,365))),((1+(-J835))^(1/12)))-$U835))</f>
        <v>54803.024688971971</v>
      </c>
      <c r="AA835" s="2">
        <f ca="1">IF(MIN($AA$4:AA834)=0,0,MAX(0,($AA834+$K835-$O835-$P835)*IF(AND(F835="F",$D$3&lt;&gt;$G$3),((1+$AA$1)^(H835/MIN(G835,365))),((1+$AA$1)^(1/12)))-$U835))</f>
        <v>1920000</v>
      </c>
      <c r="AB835" s="2">
        <f ca="1">IF(MIN($AB$4:AB834)=0,0,MAX(0,($AB834+$K835-$O835-$P835)*IF(AND(F835="F",$D$3&lt;&gt;$G$3),((1+(J835))^(H835/MIN(G835,365))),((1+(J835))^(1/12)))-$U835))</f>
        <v>56549134.747786917</v>
      </c>
      <c r="AC835" s="5"/>
      <c r="AD835" s="5"/>
      <c r="AE835" s="5"/>
      <c r="AF835" s="282">
        <f t="shared" ca="1" si="454"/>
        <v>54803</v>
      </c>
      <c r="AG835" s="282">
        <f t="shared" ca="1" si="455"/>
        <v>1920000</v>
      </c>
      <c r="AH835" s="282">
        <f t="shared" ca="1" si="456"/>
        <v>56549135</v>
      </c>
      <c r="AI835" s="23" t="str">
        <f t="shared" ca="1" si="472"/>
        <v>70-5</v>
      </c>
      <c r="AJ835" s="282">
        <f ca="1">IF(E835&gt;111,,IF(AND(OP!$C$99=1,T835="F"),Z835,IF(AND(OP!$C$99=2,COUNTIF($T$4:T835,"F")=1),OP!$C$97+IF(F835="F",OP!$C$98,0),"")))</f>
        <v>0</v>
      </c>
      <c r="AK835" s="282">
        <f ca="1">IF(E835&gt;111,,IF(AND(OP!$D$99=1,T835="F"),AA835,IF(AND(OP!$D$99=2,COUNTIF($T$4:T835,"F")=1),OP!$D$97+IF(F835="F",OP!$D$98,0),"")))</f>
        <v>0</v>
      </c>
      <c r="AL835" s="282">
        <f ca="1">IF(E835&gt;111,,IF(AND(OP!$E$99=1,T835="F"),AB835,IF(AND(OP!$E$99=2,COUNTIF($T$4:T835,"F")=1),OP!$E$97+IF(F835="F",OP!$E$98,0),"")))</f>
        <v>0</v>
      </c>
      <c r="AM835" s="1">
        <f t="shared" ca="1" si="481"/>
        <v>5</v>
      </c>
      <c r="AN835" s="1" t="e">
        <f ca="1">IF(OR(VLOOKUP($A835,MP,5,0)="季繳",VLOOKUP($A835,MP,5,0)="月繳"),1,"")</f>
        <v>#N/A</v>
      </c>
      <c r="AO835" s="1">
        <f t="shared" ca="1" si="457"/>
        <v>0</v>
      </c>
      <c r="AP835" s="1" t="str">
        <f ca="1">IF(AND(A835&lt;=OP!$C$120,COUNTIF(PAY,C835)=1),1,"")</f>
        <v/>
      </c>
      <c r="AR835" s="301">
        <f ca="1">IF(繳費報酬率資料!$A$1=1,$AY835+$AZ835,$BF835+$BG835)</f>
        <v>0</v>
      </c>
      <c r="AS835" s="1">
        <f ca="1">IF(C835&lt;&gt;IF($C$3=1,12,$C$3-1),0,IF(繳費報酬率資料!$A$1&lt;&gt;1,VLOOKUP($A835,MP,8,0),IF(AND($A835&gt;=OP!$C$79,$A835&lt;=OP!$C$80),OP!$C$78,)))</f>
        <v>0</v>
      </c>
      <c r="AT835" s="298">
        <f t="shared" ca="1" si="458"/>
        <v>0</v>
      </c>
      <c r="AU835" s="298">
        <f ca="1">IF(AND(A835&lt;=OP!$C$120,COUNTIF(PAY,C835)=1),OP!$C$123,0)</f>
        <v>0</v>
      </c>
      <c r="AV835" s="298">
        <f ca="1">IF(AND(A835&gt;=OP!$C$132,A835&lt;=OP!$C$133,$C$3=C835),OP!$C$135,0)</f>
        <v>0</v>
      </c>
      <c r="AW835" s="180">
        <f t="shared" ca="1" si="459"/>
        <v>0.05</v>
      </c>
      <c r="AX835" s="180">
        <f t="shared" ca="1" si="460"/>
        <v>0.05</v>
      </c>
      <c r="AY835" s="286">
        <f t="shared" ca="1" si="461"/>
        <v>0</v>
      </c>
      <c r="AZ835" s="286">
        <f t="shared" ca="1" si="462"/>
        <v>0</v>
      </c>
      <c r="BA835" s="286">
        <f t="shared" ca="1" si="463"/>
        <v>0</v>
      </c>
      <c r="BB835" s="286">
        <f t="shared" ca="1" si="464"/>
        <v>0</v>
      </c>
      <c r="BC835" s="286">
        <f t="shared" ca="1" si="465"/>
        <v>0</v>
      </c>
      <c r="BD835" s="180">
        <f t="shared" ca="1" si="466"/>
        <v>0.05</v>
      </c>
      <c r="BE835" s="180">
        <f t="shared" ca="1" si="467"/>
        <v>0.05</v>
      </c>
      <c r="BF835" s="286">
        <f t="shared" ca="1" si="468"/>
        <v>0</v>
      </c>
      <c r="BG835" s="286">
        <f t="shared" ca="1" si="469"/>
        <v>0</v>
      </c>
    </row>
    <row r="836" spans="1:59">
      <c r="A836" s="1">
        <f t="shared" ca="1" si="448"/>
        <v>70</v>
      </c>
      <c r="B836" s="1">
        <f t="shared" ca="1" si="477"/>
        <v>175</v>
      </c>
      <c r="C836" s="1">
        <f t="shared" ca="1" si="478"/>
        <v>10</v>
      </c>
      <c r="D836" s="1">
        <f ca="1">MIN($D$3,VLOOKUP(C836,OP!$S$30:$T$41,2))</f>
        <v>2</v>
      </c>
      <c r="E836" s="1" t="str">
        <f t="shared" ca="1" si="479"/>
        <v/>
      </c>
      <c r="F836" s="11" t="str">
        <f t="shared" ca="1" si="449"/>
        <v/>
      </c>
      <c r="G836" s="8">
        <f t="shared" ca="1" si="482"/>
        <v>365</v>
      </c>
      <c r="H836" s="8">
        <f t="shared" ca="1" si="451"/>
        <v>31</v>
      </c>
      <c r="I836" s="8" t="str">
        <f t="shared" ref="I836:I899" ca="1" si="483">A836&amp;C836</f>
        <v>7010</v>
      </c>
      <c r="J836" s="13">
        <f>IF(繳費報酬率資料!$A$1=1,VALUE(OP!$C$121),VLOOKUP(A836,MP,2,0))</f>
        <v>0.05</v>
      </c>
      <c r="K836" s="14">
        <f ca="1">IF(SUM($K$4:K835,IF(繳費報酬率資料!$A$1=1,$AU836+$AV836,$BB836+$BC836))&gt;OP!$L$58,0,IF(繳費報酬率資料!$A$1=1,$AU836+$AV836,$BB836+$BC836))</f>
        <v>0</v>
      </c>
      <c r="L836" s="2"/>
      <c r="M836" s="2"/>
      <c r="N836" s="2"/>
      <c r="O836" s="261">
        <f t="shared" ca="1" si="452"/>
        <v>0</v>
      </c>
      <c r="P836" s="261">
        <f t="shared" ca="1" si="470"/>
        <v>0</v>
      </c>
      <c r="Q836" s="3">
        <f ca="1">IF(A836&gt;MAX(OP!$R$17:$R$26),0,VLOOKUP(A836,fees,3,FALSE))</f>
        <v>0</v>
      </c>
      <c r="R836" s="200" t="str">
        <f t="shared" ca="1" si="453"/>
        <v/>
      </c>
      <c r="S836" s="9" t="str">
        <f ca="1">IF(COUNTIF(($T$4:T835),"F")&gt;=1,"",IF(OR(C837&lt;&gt;$C$3,E836=""),"",A836))</f>
        <v/>
      </c>
      <c r="T836" s="20" t="str">
        <f t="shared" ca="1" si="480"/>
        <v/>
      </c>
      <c r="U836" s="2">
        <f ca="1">IF(IF(OP!$C$83=1,$Z835,IF(OP!$C$83=2,$AA835,IF(OP!$C$83=3,$AB835,)))+$K836-$O836-$P836-$AS836&lt;OP!$C$142,0,$AS836)</f>
        <v>0</v>
      </c>
      <c r="V836" s="9"/>
      <c r="W836" s="19">
        <f ca="1">MAX(SUM($K$4:K836),0)</f>
        <v>2000000</v>
      </c>
      <c r="X836" s="19"/>
      <c r="Y836" s="19">
        <f t="shared" ca="1" si="471"/>
        <v>1920000</v>
      </c>
      <c r="Z836" s="2">
        <f ca="1">IF(MIN($Z$4:Z835)=0,0,MAX(0,($Z835+$K836-$O836-$P836)*IF(AND(F836="F",$D$3&lt;&gt;$G$3),((1+(-J836))^(H836/MIN(G836,365))),((1+(-J836))^(1/12)))-$U836))</f>
        <v>54569.272318698982</v>
      </c>
      <c r="AA836" s="2">
        <f ca="1">IF(MIN($AA$4:AA835)=0,0,MAX(0,($AA835+$K836-$O836-$P836)*IF(AND(F836="F",$D$3&lt;&gt;$G$3),((1+$AA$1)^(H836/MIN(G836,365))),((1+$AA$1)^(1/12)))-$U836))</f>
        <v>1920000</v>
      </c>
      <c r="AB836" s="2">
        <f ca="1">IF(MIN($AB$4:AB835)=0,0,MAX(0,($AB835+$K836-$O836-$P836)*IF(AND(F836="F",$D$3&lt;&gt;$G$3),((1+(J836))^(H836/MIN(G836,365))),((1+(J836))^(1/12)))-$U836))</f>
        <v>56779522.922607608</v>
      </c>
      <c r="AC836" s="5"/>
      <c r="AD836" s="5"/>
      <c r="AE836" s="5"/>
      <c r="AF836" s="282">
        <f t="shared" ca="1" si="454"/>
        <v>54569</v>
      </c>
      <c r="AG836" s="282">
        <f t="shared" ca="1" si="455"/>
        <v>1920000</v>
      </c>
      <c r="AH836" s="282">
        <f t="shared" ca="1" si="456"/>
        <v>56779523</v>
      </c>
      <c r="AI836" s="23" t="str">
        <f t="shared" ca="1" si="472"/>
        <v>70-6</v>
      </c>
      <c r="AJ836" s="282">
        <f ca="1">IF(E836&gt;111,,IF(AND(OP!$C$99=1,T836="F"),Z836,IF(AND(OP!$C$99=2,COUNTIF($T$4:T836,"F")=1),OP!$C$97+IF(F836="F",OP!$C$98,0),"")))</f>
        <v>0</v>
      </c>
      <c r="AK836" s="282">
        <f ca="1">IF(E836&gt;111,,IF(AND(OP!$D$99=1,T836="F"),AA836,IF(AND(OP!$D$99=2,COUNTIF($T$4:T836,"F")=1),OP!$D$97+IF(F836="F",OP!$D$98,0),"")))</f>
        <v>0</v>
      </c>
      <c r="AL836" s="282">
        <f ca="1">IF(E836&gt;111,,IF(AND(OP!$E$99=1,T836="F"),AB836,IF(AND(OP!$E$99=2,COUNTIF($T$4:T836,"F")=1),OP!$E$97+IF(F836="F",OP!$E$98,0),"")))</f>
        <v>0</v>
      </c>
      <c r="AM836" s="1">
        <f t="shared" ca="1" si="481"/>
        <v>6</v>
      </c>
      <c r="AN836" s="1" t="e">
        <f ca="1">IF(OR(VLOOKUP($A836,MP,5,0)="月繳"),1,"")</f>
        <v>#N/A</v>
      </c>
      <c r="AO836" s="1">
        <f t="shared" ca="1" si="457"/>
        <v>0</v>
      </c>
      <c r="AP836" s="1" t="str">
        <f ca="1">IF(AND(A836&lt;=OP!$C$120,COUNTIF(PAY,C836)=1),1,"")</f>
        <v/>
      </c>
      <c r="AR836" s="301">
        <f ca="1">IF(繳費報酬率資料!$A$1=1,$AY836+$AZ836,$BF836+$BG836)</f>
        <v>0</v>
      </c>
      <c r="AS836" s="1">
        <f ca="1">IF(C836&lt;&gt;IF($C$3=1,12,$C$3-1),0,IF(繳費報酬率資料!$A$1&lt;&gt;1,VLOOKUP($A836,MP,8,0),IF(AND($A836&gt;=OP!$C$79,$A836&lt;=OP!$C$80),OP!$C$78,)))</f>
        <v>0</v>
      </c>
      <c r="AT836" s="298">
        <f t="shared" ca="1" si="458"/>
        <v>0</v>
      </c>
      <c r="AU836" s="298">
        <f ca="1">IF(AND(A836&lt;=OP!$C$120,COUNTIF(PAY,C836)=1),OP!$C$123,0)</f>
        <v>0</v>
      </c>
      <c r="AV836" s="298">
        <f ca="1">IF(AND(A836&gt;=OP!$C$132,A836&lt;=OP!$C$133,$C$3=C836),OP!$C$135,0)</f>
        <v>0</v>
      </c>
      <c r="AW836" s="180">
        <f t="shared" ca="1" si="459"/>
        <v>0.05</v>
      </c>
      <c r="AX836" s="180">
        <f t="shared" ca="1" si="460"/>
        <v>0.05</v>
      </c>
      <c r="AY836" s="286">
        <f t="shared" ca="1" si="461"/>
        <v>0</v>
      </c>
      <c r="AZ836" s="286">
        <f t="shared" ca="1" si="462"/>
        <v>0</v>
      </c>
      <c r="BA836" s="286">
        <f t="shared" ca="1" si="463"/>
        <v>0</v>
      </c>
      <c r="BB836" s="286">
        <f t="shared" ca="1" si="464"/>
        <v>0</v>
      </c>
      <c r="BC836" s="286">
        <f t="shared" ca="1" si="465"/>
        <v>0</v>
      </c>
      <c r="BD836" s="180">
        <f t="shared" ca="1" si="466"/>
        <v>0.05</v>
      </c>
      <c r="BE836" s="180">
        <f t="shared" ca="1" si="467"/>
        <v>0.05</v>
      </c>
      <c r="BF836" s="286">
        <f t="shared" ca="1" si="468"/>
        <v>0</v>
      </c>
      <c r="BG836" s="286">
        <f t="shared" ca="1" si="469"/>
        <v>0</v>
      </c>
    </row>
    <row r="837" spans="1:59">
      <c r="A837" s="1">
        <f t="shared" ref="A837:A900" ca="1" si="484">IF(C837=$C$4,A836+1,A836)</f>
        <v>70</v>
      </c>
      <c r="B837" s="1">
        <f t="shared" ca="1" si="477"/>
        <v>175</v>
      </c>
      <c r="C837" s="1">
        <f t="shared" ca="1" si="478"/>
        <v>11</v>
      </c>
      <c r="D837" s="1">
        <f ca="1">MIN($D$3,VLOOKUP(C837,OP!$S$30:$T$41,2))</f>
        <v>2</v>
      </c>
      <c r="E837" s="1" t="str">
        <f t="shared" ca="1" si="479"/>
        <v/>
      </c>
      <c r="F837" s="11" t="str">
        <f t="shared" ref="F837:F900" ca="1" si="485">IF(AND(DATE($E$3+1911,$F$3,$G$3)&gt;DATE(B837+1911,C837,D837),DATE($E$3+1911,$F$3,$G$3)&lt;=DATE(B838+1911,C838,D838)),"F","")</f>
        <v/>
      </c>
      <c r="G837" s="8">
        <f t="shared" ca="1" si="482"/>
        <v>365</v>
      </c>
      <c r="H837" s="8">
        <f t="shared" ref="H837:H900" ca="1" si="486">DATEDIF(DATE(B837+1911,C837,D837),IF(F837="F",DATE($E$3+1911,$F$3,$G$3),DATE(B838+1911,C838,D838)),"d")</f>
        <v>30</v>
      </c>
      <c r="I837" s="8" t="str">
        <f t="shared" ca="1" si="483"/>
        <v>7011</v>
      </c>
      <c r="J837" s="13">
        <f>IF(繳費報酬率資料!$A$1=1,VALUE(OP!$C$121),VLOOKUP(A837,MP,2,0))</f>
        <v>0.05</v>
      </c>
      <c r="K837" s="14">
        <f ca="1">IF(SUM($K$4:K836,IF(繳費報酬率資料!$A$1=1,$AU837+$AV837,$BB837+$BC837))&gt;OP!$L$58,0,IF(繳費報酬率資料!$A$1=1,$AU837+$AV837,$BB837+$BC837))</f>
        <v>0</v>
      </c>
      <c r="L837" s="2"/>
      <c r="M837" s="2"/>
      <c r="N837" s="2"/>
      <c r="O837" s="261">
        <f t="shared" ref="O837:O900" ca="1" si="487">IF(K837=0,0,$AR837)</f>
        <v>0</v>
      </c>
      <c r="P837" s="261">
        <f t="shared" ca="1" si="470"/>
        <v>0</v>
      </c>
      <c r="Q837" s="3">
        <f ca="1">IF(A837&gt;MAX(OP!$R$17:$R$26),0,VLOOKUP(A837,fees,3,FALSE))</f>
        <v>0</v>
      </c>
      <c r="R837" s="200" t="str">
        <f t="shared" ref="R837:R900" ca="1" si="488">IF(OR(C838&lt;&gt;$C$3,E837=""),"",A837)</f>
        <v/>
      </c>
      <c r="S837" s="9" t="str">
        <f ca="1">IF(COUNTIF(($T$4:T836),"F")&gt;=1,"",IF(OR(C838&lt;&gt;$C$3,E837=""),"",A837))</f>
        <v/>
      </c>
      <c r="T837" s="20" t="str">
        <f t="shared" ca="1" si="480"/>
        <v/>
      </c>
      <c r="U837" s="2">
        <f ca="1">IF(IF(OP!$C$83=1,$Z836,IF(OP!$C$83=2,$AA836,IF(OP!$C$83=3,$AB836,)))+$K837-$O837-$P837-$AS837&lt;OP!$C$142,0,$AS837)</f>
        <v>0</v>
      </c>
      <c r="V837" s="9"/>
      <c r="W837" s="19">
        <f ca="1">MAX(SUM($K$4:K837),0)</f>
        <v>2000000</v>
      </c>
      <c r="X837" s="19"/>
      <c r="Y837" s="19">
        <f t="shared" ca="1" si="471"/>
        <v>1920000</v>
      </c>
      <c r="Z837" s="2">
        <f ca="1">IF(MIN($Z$4:Z836)=0,0,MAX(0,($Z836+$K837-$O837-$P837)*IF(AND(F837="F",$D$3&lt;&gt;$G$3),((1+(-J837))^(H837/MIN(G837,365))),((1+(-J837))^(1/12)))-$U837))</f>
        <v>54336.516976800216</v>
      </c>
      <c r="AA837" s="2">
        <f ca="1">IF(MIN($AA$4:AA836)=0,0,MAX(0,($AA836+$K837-$O837-$P837)*IF(AND(F837="F",$D$3&lt;&gt;$G$3),((1+$AA$1)^(H837/MIN(G837,365))),((1+$AA$1)^(1/12)))-$U837))</f>
        <v>1920000</v>
      </c>
      <c r="AB837" s="2">
        <f ca="1">IF(MIN($AB$4:AB836)=0,0,MAX(0,($AB836+$K837-$O837-$P837)*IF(AND(F837="F",$D$3&lt;&gt;$G$3),((1+(J837))^(H837/MIN(G837,365))),((1+(J837))^(1/12)))-$U837))</f>
        <v>57010849.727370813</v>
      </c>
      <c r="AC837" s="5"/>
      <c r="AD837" s="5"/>
      <c r="AE837" s="5"/>
      <c r="AF837" s="282">
        <f t="shared" ref="AF837:AF900" ca="1" si="489">ROUND(Z837*(1-$Q837),$AF$1)</f>
        <v>54337</v>
      </c>
      <c r="AG837" s="282">
        <f t="shared" ref="AG837:AG900" ca="1" si="490">ROUND(AA837*(1-$Q837),$AF$1)</f>
        <v>1920000</v>
      </c>
      <c r="AH837" s="282">
        <f t="shared" ref="AH837:AH900" ca="1" si="491">ROUND(AB837*(1-$Q837),$AF$1)</f>
        <v>57010850</v>
      </c>
      <c r="AI837" s="23" t="str">
        <f t="shared" ca="1" si="472"/>
        <v>70-7</v>
      </c>
      <c r="AJ837" s="282">
        <f ca="1">IF(E837&gt;111,,IF(AND(OP!$C$99=1,T837="F"),Z837,IF(AND(OP!$C$99=2,COUNTIF($T$4:T837,"F")=1),OP!$C$97+IF(F837="F",OP!$C$98,0),"")))</f>
        <v>0</v>
      </c>
      <c r="AK837" s="282">
        <f ca="1">IF(E837&gt;111,,IF(AND(OP!$D$99=1,T837="F"),AA837,IF(AND(OP!$D$99=2,COUNTIF($T$4:T837,"F")=1),OP!$D$97+IF(F837="F",OP!$D$98,0),"")))</f>
        <v>0</v>
      </c>
      <c r="AL837" s="282">
        <f ca="1">IF(E837&gt;111,,IF(AND(OP!$E$99=1,T837="F"),AB837,IF(AND(OP!$E$99=2,COUNTIF($T$4:T837,"F")=1),OP!$E$97+IF(F837="F",OP!$E$98,0),"")))</f>
        <v>0</v>
      </c>
      <c r="AM837" s="1">
        <f t="shared" ca="1" si="481"/>
        <v>7</v>
      </c>
      <c r="AN837" s="1" t="e">
        <f ca="1">IF(OR(VLOOKUP($A837,MP,5,0)="月繳"),1,"")</f>
        <v>#N/A</v>
      </c>
      <c r="AO837" s="1">
        <f t="shared" ref="AO837:AO900" ca="1" si="492">IF(ISNA(VLOOKUP(A837,MP,2,0)),,IF(C837=$C$3,ROUND(VLOOKUP(A837,MP,4,0),0),0)+IF(AN837=1,ROUND(VLOOKUP(A837,MP,6,0),0),0))</f>
        <v>0</v>
      </c>
      <c r="AP837" s="1" t="str">
        <f ca="1">IF(AND(A837&lt;=OP!$C$120,COUNTIF(PAY,C837)=1),1,"")</f>
        <v/>
      </c>
      <c r="AR837" s="301">
        <f ca="1">IF(繳費報酬率資料!$A$1=1,$AY837+$AZ837,$BF837+$BG837)</f>
        <v>0</v>
      </c>
      <c r="AS837" s="1">
        <f ca="1">IF(C837&lt;&gt;IF($C$3=1,12,$C$3-1),0,IF(繳費報酬率資料!$A$1&lt;&gt;1,VLOOKUP($A837,MP,8,0),IF(AND($A837&gt;=OP!$C$79,$A837&lt;=OP!$C$80),OP!$C$78,)))</f>
        <v>0</v>
      </c>
      <c r="AT837" s="298">
        <f t="shared" ref="AT837:AT900" ca="1" si="493">AU837+AV837</f>
        <v>0</v>
      </c>
      <c r="AU837" s="298">
        <f ca="1">IF(AND(A837&lt;=OP!$C$120,COUNTIF(PAY,C837)=1),OP!$C$123,0)</f>
        <v>0</v>
      </c>
      <c r="AV837" s="298">
        <f ca="1">IF(AND(A837&gt;=OP!$C$132,A837&lt;=OP!$C$133,$C$3=C837),OP!$C$135,0)</f>
        <v>0</v>
      </c>
      <c r="AW837" s="180">
        <f t="shared" ref="AW837:AW900" ca="1" si="494">HLOOKUP(IF($AU837&lt;$AY$1,1,IF(AND($AU837&gt;=$AY$1,$AU837&lt;$AZ$1),2,IF(AND($AU837&gt;=$AZ$1,$AU837&lt;$BA$1),3,IF(AND($AU837&gt;=$BA$1),4,1)))),PR,2,0)</f>
        <v>0.05</v>
      </c>
      <c r="AX837" s="180">
        <f t="shared" ref="AX837:AX900" ca="1" si="495">HLOOKUP(IF($AV837&lt;$AY$1,1,IF(AND($AV837&gt;=$AY$1,$AV837&lt;$AZ$1),2,IF(AND($AV837&gt;=$AZ$1,$AV837&lt;$BA$1),3,IF(AND($AV837&gt;=$BA$1),4,1)))),PR,2,0)</f>
        <v>0.05</v>
      </c>
      <c r="AY837" s="286">
        <f t="shared" ref="AY837:AY900" ca="1" si="496">ROUND(AU837*AW837,0)</f>
        <v>0</v>
      </c>
      <c r="AZ837" s="286">
        <f t="shared" ref="AZ837:AZ900" ca="1" si="497">ROUND(AV837*AX837,0)</f>
        <v>0</v>
      </c>
      <c r="BA837" s="286">
        <f t="shared" ref="BA837:BA900" ca="1" si="498">BB837+BC837</f>
        <v>0</v>
      </c>
      <c r="BB837" s="286">
        <f t="shared" ref="BB837:BB900" ca="1" si="499">IF(ISNA(VLOOKUP(A837,MP,2,0)),,IF(C837=$C$3,ROUND(VLOOKUP(A837,MP,6,0),0),0))</f>
        <v>0</v>
      </c>
      <c r="BC837" s="286">
        <f t="shared" ref="BC837:BC900" ca="1" si="500">IF(ISNA(VLOOKUP(A837,MP,4,0)),,IF(AND(C837=$C$3,AN837=1),ROUND(VLOOKUP(A837,MP,4,0),0),0))</f>
        <v>0</v>
      </c>
      <c r="BD837" s="180">
        <f t="shared" ref="BD837:BD900" ca="1" si="501">HLOOKUP(IF($BB837&lt;$AY$1,1,IF(AND($BB837&gt;=$AY$1,$BB837&lt;$AZ$1),2,IF(AND($BB837&gt;=$AZ$1,$BB837&lt;$BA$1),3,IF(AND($BB837&gt;=$BA$1),4,1)))),PR,2,0)</f>
        <v>0.05</v>
      </c>
      <c r="BE837" s="180">
        <f t="shared" ref="BE837:BE900" ca="1" si="502">HLOOKUP(IF($BC837&lt;$AY$1,1,IF(AND($BC837&gt;=$AY$1,$BC837&lt;$AZ$1),2,IF(AND($BC837&gt;=$AZ$1,$BC837&lt;$BA$1),3,IF(AND($BC837&gt;=$BA$1),4,1)))),PR,2,0)</f>
        <v>0.05</v>
      </c>
      <c r="BF837" s="286">
        <f t="shared" ref="BF837:BF900" ca="1" si="503">ROUND(BB837*BD837,0)</f>
        <v>0</v>
      </c>
      <c r="BG837" s="286">
        <f t="shared" ref="BG837:BG900" ca="1" si="504">ROUND(BC837*BE837,0)</f>
        <v>0</v>
      </c>
    </row>
    <row r="838" spans="1:59">
      <c r="A838" s="1">
        <f t="shared" ca="1" si="484"/>
        <v>70</v>
      </c>
      <c r="B838" s="1">
        <f t="shared" ca="1" si="477"/>
        <v>175</v>
      </c>
      <c r="C838" s="1">
        <f t="shared" ca="1" si="478"/>
        <v>12</v>
      </c>
      <c r="D838" s="1">
        <f ca="1">MIN($D$3,VLOOKUP(C838,OP!$S$30:$T$41,2))</f>
        <v>2</v>
      </c>
      <c r="E838" s="1" t="str">
        <f t="shared" ca="1" si="479"/>
        <v/>
      </c>
      <c r="F838" s="11" t="str">
        <f t="shared" ca="1" si="485"/>
        <v/>
      </c>
      <c r="G838" s="8">
        <f t="shared" ca="1" si="482"/>
        <v>365</v>
      </c>
      <c r="H838" s="8">
        <f t="shared" ca="1" si="486"/>
        <v>31</v>
      </c>
      <c r="I838" s="8" t="str">
        <f t="shared" ca="1" si="483"/>
        <v>7012</v>
      </c>
      <c r="J838" s="13">
        <f>IF(繳費報酬率資料!$A$1=1,VALUE(OP!$C$121),VLOOKUP(A838,MP,2,0))</f>
        <v>0.05</v>
      </c>
      <c r="K838" s="14">
        <f ca="1">IF(SUM($K$4:K837,IF(繳費報酬率資料!$A$1=1,$AU838+$AV838,$BB838+$BC838))&gt;OP!$L$58,0,IF(繳費報酬率資料!$A$1=1,$AU838+$AV838,$BB838+$BC838))</f>
        <v>0</v>
      </c>
      <c r="L838" s="2"/>
      <c r="M838" s="2"/>
      <c r="N838" s="2"/>
      <c r="O838" s="261">
        <f t="shared" ca="1" si="487"/>
        <v>0</v>
      </c>
      <c r="P838" s="261">
        <f t="shared" ref="P838:P901" ca="1" si="505">IF(MAX(Z837:AB837)=0,0,P837)</f>
        <v>0</v>
      </c>
      <c r="Q838" s="3">
        <f ca="1">IF(A838&gt;MAX(OP!$R$17:$R$26),0,VLOOKUP(A838,fees,3,FALSE))</f>
        <v>0</v>
      </c>
      <c r="R838" s="200" t="str">
        <f t="shared" ca="1" si="488"/>
        <v/>
      </c>
      <c r="S838" s="9" t="str">
        <f ca="1">IF(COUNTIF(($T$4:T837),"F")&gt;=1,"",IF(OR(C839&lt;&gt;$C$3,E838=""),"",A838))</f>
        <v/>
      </c>
      <c r="T838" s="20" t="str">
        <f t="shared" ca="1" si="480"/>
        <v/>
      </c>
      <c r="U838" s="2">
        <f ca="1">IF(IF(OP!$C$83=1,$Z837,IF(OP!$C$83=2,$AA837,IF(OP!$C$83=3,$AB837,)))+$K838-$O838-$P838-$AS838&lt;OP!$C$142,0,$AS838)</f>
        <v>0</v>
      </c>
      <c r="V838" s="9"/>
      <c r="W838" s="19">
        <f ca="1">MAX(SUM($K$4:K838),0)</f>
        <v>2000000</v>
      </c>
      <c r="X838" s="19"/>
      <c r="Y838" s="19">
        <f t="shared" ref="Y838:Y901" ca="1" si="506">Y837+K838-O838</f>
        <v>1920000</v>
      </c>
      <c r="Z838" s="2">
        <f ca="1">IF(MIN($Z$4:Z837)=0,0,MAX(0,($Z837+$K838-$O838-$P838)*IF(AND(F838="F",$D$3&lt;&gt;$G$3),((1+(-J838))^(H838/MIN(G838,365))),((1+(-J838))^(1/12)))-$U838))</f>
        <v>54104.754410631831</v>
      </c>
      <c r="AA838" s="2">
        <f ca="1">IF(MIN($AA$4:AA837)=0,0,MAX(0,($AA837+$K838-$O838-$P838)*IF(AND(F838="F",$D$3&lt;&gt;$G$3),((1+$AA$1)^(H838/MIN(G838,365))),((1+$AA$1)^(1/12)))-$U838))</f>
        <v>1920000</v>
      </c>
      <c r="AB838" s="2">
        <f ca="1">IF(MIN($AB$4:AB837)=0,0,MAX(0,($AB837+$K838-$O838-$P838)*IF(AND(F838="F",$D$3&lt;&gt;$G$3),((1+(J838))^(H838/MIN(G838,365))),((1+(J838))^(1/12)))-$U838))</f>
        <v>57243118.986171097</v>
      </c>
      <c r="AC838" s="5"/>
      <c r="AD838" s="5"/>
      <c r="AE838" s="5"/>
      <c r="AF838" s="282">
        <f t="shared" ca="1" si="489"/>
        <v>54105</v>
      </c>
      <c r="AG838" s="282">
        <f t="shared" ca="1" si="490"/>
        <v>1920000</v>
      </c>
      <c r="AH838" s="282">
        <f t="shared" ca="1" si="491"/>
        <v>57243119</v>
      </c>
      <c r="AI838" s="23" t="str">
        <f t="shared" ca="1" si="472"/>
        <v>70-8</v>
      </c>
      <c r="AJ838" s="282">
        <f ca="1">IF(E838&gt;111,,IF(AND(OP!$C$99=1,T838="F"),Z838,IF(AND(OP!$C$99=2,COUNTIF($T$4:T838,"F")=1),OP!$C$97+IF(F838="F",OP!$C$98,0),"")))</f>
        <v>0</v>
      </c>
      <c r="AK838" s="282">
        <f ca="1">IF(E838&gt;111,,IF(AND(OP!$D$99=1,T838="F"),AA838,IF(AND(OP!$D$99=2,COUNTIF($T$4:T838,"F")=1),OP!$D$97+IF(F838="F",OP!$D$98,0),"")))</f>
        <v>0</v>
      </c>
      <c r="AL838" s="282">
        <f ca="1">IF(E838&gt;111,,IF(AND(OP!$E$99=1,T838="F"),AB838,IF(AND(OP!$E$99=2,COUNTIF($T$4:T838,"F")=1),OP!$E$97+IF(F838="F",OP!$E$98,0),"")))</f>
        <v>0</v>
      </c>
      <c r="AM838" s="1">
        <f t="shared" ca="1" si="481"/>
        <v>8</v>
      </c>
      <c r="AN838" s="1" t="e">
        <f ca="1">IF(OR(VLOOKUP($A838,MP,5,0)="半年繳",VLOOKUP($A838,MP,5,0)="季繳",VLOOKUP($A838,MP,5,0)="月繳"),1,"")</f>
        <v>#N/A</v>
      </c>
      <c r="AO838" s="1">
        <f t="shared" ca="1" si="492"/>
        <v>0</v>
      </c>
      <c r="AP838" s="1" t="str">
        <f ca="1">IF(AND(A838&lt;=OP!$C$120,COUNTIF(PAY,C838)=1),1,"")</f>
        <v/>
      </c>
      <c r="AR838" s="301">
        <f ca="1">IF(繳費報酬率資料!$A$1=1,$AY838+$AZ838,$BF838+$BG838)</f>
        <v>0</v>
      </c>
      <c r="AS838" s="1">
        <f ca="1">IF(C838&lt;&gt;IF($C$3=1,12,$C$3-1),0,IF(繳費報酬率資料!$A$1&lt;&gt;1,VLOOKUP($A838,MP,8,0),IF(AND($A838&gt;=OP!$C$79,$A838&lt;=OP!$C$80),OP!$C$78,)))</f>
        <v>0</v>
      </c>
      <c r="AT838" s="298">
        <f t="shared" ca="1" si="493"/>
        <v>0</v>
      </c>
      <c r="AU838" s="298">
        <f ca="1">IF(AND(A838&lt;=OP!$C$120,COUNTIF(PAY,C838)=1),OP!$C$123,0)</f>
        <v>0</v>
      </c>
      <c r="AV838" s="298">
        <f ca="1">IF(AND(A838&gt;=OP!$C$132,A838&lt;=OP!$C$133,$C$3=C838),OP!$C$135,0)</f>
        <v>0</v>
      </c>
      <c r="AW838" s="180">
        <f t="shared" ca="1" si="494"/>
        <v>0.05</v>
      </c>
      <c r="AX838" s="180">
        <f t="shared" ca="1" si="495"/>
        <v>0.05</v>
      </c>
      <c r="AY838" s="286">
        <f t="shared" ca="1" si="496"/>
        <v>0</v>
      </c>
      <c r="AZ838" s="286">
        <f t="shared" ca="1" si="497"/>
        <v>0</v>
      </c>
      <c r="BA838" s="286">
        <f t="shared" ca="1" si="498"/>
        <v>0</v>
      </c>
      <c r="BB838" s="286">
        <f t="shared" ca="1" si="499"/>
        <v>0</v>
      </c>
      <c r="BC838" s="286">
        <f t="shared" ca="1" si="500"/>
        <v>0</v>
      </c>
      <c r="BD838" s="180">
        <f t="shared" ca="1" si="501"/>
        <v>0.05</v>
      </c>
      <c r="BE838" s="180">
        <f t="shared" ca="1" si="502"/>
        <v>0.05</v>
      </c>
      <c r="BF838" s="286">
        <f t="shared" ca="1" si="503"/>
        <v>0</v>
      </c>
      <c r="BG838" s="286">
        <f t="shared" ca="1" si="504"/>
        <v>0</v>
      </c>
    </row>
    <row r="839" spans="1:59">
      <c r="A839" s="1">
        <f t="shared" ca="1" si="484"/>
        <v>70</v>
      </c>
      <c r="B839" s="1">
        <f t="shared" ca="1" si="477"/>
        <v>176</v>
      </c>
      <c r="C839" s="1">
        <f t="shared" ca="1" si="478"/>
        <v>1</v>
      </c>
      <c r="D839" s="1">
        <f ca="1">MIN($D$3,VLOOKUP(C839,OP!$S$30:$T$41,2))</f>
        <v>2</v>
      </c>
      <c r="E839" s="1" t="str">
        <f t="shared" ca="1" si="479"/>
        <v/>
      </c>
      <c r="F839" s="11" t="str">
        <f t="shared" ca="1" si="485"/>
        <v/>
      </c>
      <c r="G839" s="8">
        <f t="shared" ca="1" si="482"/>
        <v>365</v>
      </c>
      <c r="H839" s="8">
        <f t="shared" ca="1" si="486"/>
        <v>31</v>
      </c>
      <c r="I839" s="8" t="str">
        <f t="shared" ca="1" si="483"/>
        <v>701</v>
      </c>
      <c r="J839" s="13">
        <f>IF(繳費報酬率資料!$A$1=1,VALUE(OP!$C$121),VLOOKUP(A839,MP,2,0))</f>
        <v>0.05</v>
      </c>
      <c r="K839" s="14">
        <f ca="1">IF(SUM($K$4:K838,IF(繳費報酬率資料!$A$1=1,$AU839+$AV839,$BB839+$BC839))&gt;OP!$L$58,0,IF(繳費報酬率資料!$A$1=1,$AU839+$AV839,$BB839+$BC839))</f>
        <v>0</v>
      </c>
      <c r="L839" s="2"/>
      <c r="M839" s="2"/>
      <c r="N839" s="2"/>
      <c r="O839" s="261">
        <f t="shared" ca="1" si="487"/>
        <v>0</v>
      </c>
      <c r="P839" s="261">
        <f t="shared" ca="1" si="505"/>
        <v>0</v>
      </c>
      <c r="Q839" s="3">
        <f ca="1">IF(A839&gt;MAX(OP!$R$17:$R$26),0,VLOOKUP(A839,fees,3,FALSE))</f>
        <v>0</v>
      </c>
      <c r="R839" s="200" t="str">
        <f t="shared" ca="1" si="488"/>
        <v/>
      </c>
      <c r="S839" s="9" t="str">
        <f ca="1">IF(COUNTIF(($T$4:T838),"F")&gt;=1,"",IF(OR(C840&lt;&gt;$C$3,E839=""),"",A839))</f>
        <v/>
      </c>
      <c r="T839" s="20" t="str">
        <f t="shared" ca="1" si="480"/>
        <v/>
      </c>
      <c r="U839" s="2">
        <f ca="1">IF(IF(OP!$C$83=1,$Z838,IF(OP!$C$83=2,$AA838,IF(OP!$C$83=3,$AB838,)))+$K839-$O839-$P839-$AS839&lt;OP!$C$142,0,$AS839)</f>
        <v>0</v>
      </c>
      <c r="V839" s="9"/>
      <c r="W839" s="19">
        <f ca="1">MAX(SUM($K$4:K839),0)</f>
        <v>2000000</v>
      </c>
      <c r="X839" s="19"/>
      <c r="Y839" s="19">
        <f t="shared" ca="1" si="506"/>
        <v>1920000</v>
      </c>
      <c r="Z839" s="2">
        <f ca="1">IF(MIN($Z$4:Z838)=0,0,MAX(0,($Z838+$K839-$O839-$P839)*IF(AND(F839="F",$D$3&lt;&gt;$G$3),((1+(-J839))^(H839/MIN(G839,365))),((1+(-J839))^(1/12)))-$U839))</f>
        <v>53873.980385688854</v>
      </c>
      <c r="AA839" s="2">
        <f ca="1">IF(MIN($AA$4:AA838)=0,0,MAX(0,($AA838+$K839-$O839-$P839)*IF(AND(F839="F",$D$3&lt;&gt;$G$3),((1+$AA$1)^(H839/MIN(G839,365))),((1+$AA$1)^(1/12)))-$U839))</f>
        <v>1920000</v>
      </c>
      <c r="AB839" s="2">
        <f ca="1">IF(MIN($AB$4:AB838)=0,0,MAX(0,($AB838+$K839-$O839-$P839)*IF(AND(F839="F",$D$3&lt;&gt;$G$3),((1+(J839))^(H839/MIN(G839,365))),((1+(J839))^(1/12)))-$U839))</f>
        <v>57476334.538682871</v>
      </c>
      <c r="AC839" s="5"/>
      <c r="AD839" s="5"/>
      <c r="AE839" s="5"/>
      <c r="AF839" s="282">
        <f t="shared" ca="1" si="489"/>
        <v>53874</v>
      </c>
      <c r="AG839" s="282">
        <f t="shared" ca="1" si="490"/>
        <v>1920000</v>
      </c>
      <c r="AH839" s="282">
        <f t="shared" ca="1" si="491"/>
        <v>57476335</v>
      </c>
      <c r="AI839" s="23" t="str">
        <f t="shared" ca="1" si="472"/>
        <v>70-9</v>
      </c>
      <c r="AJ839" s="282">
        <f ca="1">IF(E839&gt;111,,IF(AND(OP!$C$99=1,T839="F"),Z839,IF(AND(OP!$C$99=2,COUNTIF($T$4:T839,"F")=1),OP!$C$97+IF(F839="F",OP!$C$98,0),"")))</f>
        <v>0</v>
      </c>
      <c r="AK839" s="282">
        <f ca="1">IF(E839&gt;111,,IF(AND(OP!$D$99=1,T839="F"),AA839,IF(AND(OP!$D$99=2,COUNTIF($T$4:T839,"F")=1),OP!$D$97+IF(F839="F",OP!$D$98,0),"")))</f>
        <v>0</v>
      </c>
      <c r="AL839" s="282">
        <f ca="1">IF(E839&gt;111,,IF(AND(OP!$E$99=1,T839="F"),AB839,IF(AND(OP!$E$99=2,COUNTIF($T$4:T839,"F")=1),OP!$E$97+IF(F839="F",OP!$E$98,0),"")))</f>
        <v>0</v>
      </c>
      <c r="AM839" s="1">
        <f t="shared" ca="1" si="481"/>
        <v>9</v>
      </c>
      <c r="AN839" s="1" t="e">
        <f ca="1">IF(OR(VLOOKUP($A839,MP,5,0)="月繳"),1,"")</f>
        <v>#N/A</v>
      </c>
      <c r="AO839" s="1">
        <f t="shared" ca="1" si="492"/>
        <v>0</v>
      </c>
      <c r="AP839" s="1" t="str">
        <f ca="1">IF(AND(A839&lt;=OP!$C$120,COUNTIF(PAY,C839)=1),1,"")</f>
        <v/>
      </c>
      <c r="AR839" s="301">
        <f ca="1">IF(繳費報酬率資料!$A$1=1,$AY839+$AZ839,$BF839+$BG839)</f>
        <v>0</v>
      </c>
      <c r="AS839" s="1">
        <f ca="1">IF(C839&lt;&gt;IF($C$3=1,12,$C$3-1),0,IF(繳費報酬率資料!$A$1&lt;&gt;1,VLOOKUP($A839,MP,8,0),IF(AND($A839&gt;=OP!$C$79,$A839&lt;=OP!$C$80),OP!$C$78,)))</f>
        <v>0</v>
      </c>
      <c r="AT839" s="298">
        <f t="shared" ca="1" si="493"/>
        <v>0</v>
      </c>
      <c r="AU839" s="298">
        <f ca="1">IF(AND(A839&lt;=OP!$C$120,COUNTIF(PAY,C839)=1),OP!$C$123,0)</f>
        <v>0</v>
      </c>
      <c r="AV839" s="298">
        <f ca="1">IF(AND(A839&gt;=OP!$C$132,A839&lt;=OP!$C$133,$C$3=C839),OP!$C$135,0)</f>
        <v>0</v>
      </c>
      <c r="AW839" s="180">
        <f t="shared" ca="1" si="494"/>
        <v>0.05</v>
      </c>
      <c r="AX839" s="180">
        <f t="shared" ca="1" si="495"/>
        <v>0.05</v>
      </c>
      <c r="AY839" s="286">
        <f t="shared" ca="1" si="496"/>
        <v>0</v>
      </c>
      <c r="AZ839" s="286">
        <f t="shared" ca="1" si="497"/>
        <v>0</v>
      </c>
      <c r="BA839" s="286">
        <f t="shared" ca="1" si="498"/>
        <v>0</v>
      </c>
      <c r="BB839" s="286">
        <f t="shared" ca="1" si="499"/>
        <v>0</v>
      </c>
      <c r="BC839" s="286">
        <f t="shared" ca="1" si="500"/>
        <v>0</v>
      </c>
      <c r="BD839" s="180">
        <f t="shared" ca="1" si="501"/>
        <v>0.05</v>
      </c>
      <c r="BE839" s="180">
        <f t="shared" ca="1" si="502"/>
        <v>0.05</v>
      </c>
      <c r="BF839" s="286">
        <f t="shared" ca="1" si="503"/>
        <v>0</v>
      </c>
      <c r="BG839" s="286">
        <f t="shared" ca="1" si="504"/>
        <v>0</v>
      </c>
    </row>
    <row r="840" spans="1:59">
      <c r="A840" s="1">
        <f t="shared" ca="1" si="484"/>
        <v>70</v>
      </c>
      <c r="B840" s="1">
        <f t="shared" ca="1" si="477"/>
        <v>176</v>
      </c>
      <c r="C840" s="1">
        <f t="shared" ca="1" si="478"/>
        <v>2</v>
      </c>
      <c r="D840" s="1">
        <f ca="1">MIN($D$3,VLOOKUP(C840,OP!$S$30:$T$41,2))</f>
        <v>2</v>
      </c>
      <c r="E840" s="1" t="str">
        <f t="shared" ca="1" si="479"/>
        <v/>
      </c>
      <c r="F840" s="11" t="str">
        <f t="shared" ca="1" si="485"/>
        <v/>
      </c>
      <c r="G840" s="8">
        <f t="shared" ca="1" si="482"/>
        <v>365</v>
      </c>
      <c r="H840" s="8">
        <f t="shared" ca="1" si="486"/>
        <v>28</v>
      </c>
      <c r="I840" s="8" t="str">
        <f t="shared" ca="1" si="483"/>
        <v>702</v>
      </c>
      <c r="J840" s="13">
        <f>IF(繳費報酬率資料!$A$1=1,VALUE(OP!$C$121),VLOOKUP(A840,MP,2,0))</f>
        <v>0.05</v>
      </c>
      <c r="K840" s="14">
        <f ca="1">IF(SUM($K$4:K839,IF(繳費報酬率資料!$A$1=1,$AU840+$AV840,$BB840+$BC840))&gt;OP!$L$58,0,IF(繳費報酬率資料!$A$1=1,$AU840+$AV840,$BB840+$BC840))</f>
        <v>0</v>
      </c>
      <c r="L840" s="2"/>
      <c r="M840" s="2"/>
      <c r="N840" s="2"/>
      <c r="O840" s="261">
        <f t="shared" ca="1" si="487"/>
        <v>0</v>
      </c>
      <c r="P840" s="261">
        <f t="shared" ca="1" si="505"/>
        <v>0</v>
      </c>
      <c r="Q840" s="3">
        <f ca="1">IF(A840&gt;MAX(OP!$R$17:$R$26),0,VLOOKUP(A840,fees,3,FALSE))</f>
        <v>0</v>
      </c>
      <c r="R840" s="200" t="str">
        <f t="shared" ca="1" si="488"/>
        <v/>
      </c>
      <c r="S840" s="9" t="str">
        <f ca="1">IF(COUNTIF(($T$4:T839),"F")&gt;=1,"",IF(OR(C841&lt;&gt;$C$3,E840=""),"",A840))</f>
        <v/>
      </c>
      <c r="T840" s="20" t="str">
        <f t="shared" ca="1" si="480"/>
        <v/>
      </c>
      <c r="U840" s="2">
        <f ca="1">IF(IF(OP!$C$83=1,$Z839,IF(OP!$C$83=2,$AA839,IF(OP!$C$83=3,$AB839,)))+$K840-$O840-$P840-$AS840&lt;OP!$C$142,0,$AS840)</f>
        <v>0</v>
      </c>
      <c r="V840" s="9"/>
      <c r="W840" s="19">
        <f ca="1">MAX(SUM($K$4:K840),0)</f>
        <v>2000000</v>
      </c>
      <c r="X840" s="19"/>
      <c r="Y840" s="19">
        <f t="shared" ca="1" si="506"/>
        <v>1920000</v>
      </c>
      <c r="Z840" s="2">
        <f ca="1">IF(MIN($Z$4:Z839)=0,0,MAX(0,($Z839+$K840-$O840-$P840)*IF(AND(F840="F",$D$3&lt;&gt;$G$3),((1+(-J840))^(H840/MIN(G840,365))),((1+(-J840))^(1/12)))-$U840))</f>
        <v>53644.190685527843</v>
      </c>
      <c r="AA840" s="2">
        <f ca="1">IF(MIN($AA$4:AA839)=0,0,MAX(0,($AA839+$K840-$O840-$P840)*IF(AND(F840="F",$D$3&lt;&gt;$G$3),((1+$AA$1)^(H840/MIN(G840,365))),((1+$AA$1)^(1/12)))-$U840))</f>
        <v>1920000</v>
      </c>
      <c r="AB840" s="2">
        <f ca="1">IF(MIN($AB$4:AB839)=0,0,MAX(0,($AB839+$K840-$O840-$P840)*IF(AND(F840="F",$D$3&lt;&gt;$G$3),((1+(J840))^(H840/MIN(G840,365))),((1+(J840))^(1/12)))-$U840))</f>
        <v>57710500.240223847</v>
      </c>
      <c r="AC840" s="5"/>
      <c r="AD840" s="5"/>
      <c r="AE840" s="5"/>
      <c r="AF840" s="282">
        <f t="shared" ca="1" si="489"/>
        <v>53644</v>
      </c>
      <c r="AG840" s="282">
        <f t="shared" ca="1" si="490"/>
        <v>1920000</v>
      </c>
      <c r="AH840" s="282">
        <f t="shared" ca="1" si="491"/>
        <v>57710500</v>
      </c>
      <c r="AI840" s="23" t="str">
        <f t="shared" ca="1" si="472"/>
        <v>70-10</v>
      </c>
      <c r="AJ840" s="282">
        <f ca="1">IF(E840&gt;111,,IF(AND(OP!$C$99=1,T840="F"),Z840,IF(AND(OP!$C$99=2,COUNTIF($T$4:T840,"F")=1),OP!$C$97+IF(F840="F",OP!$C$98,0),"")))</f>
        <v>0</v>
      </c>
      <c r="AK840" s="282">
        <f ca="1">IF(E840&gt;111,,IF(AND(OP!$D$99=1,T840="F"),AA840,IF(AND(OP!$D$99=2,COUNTIF($T$4:T840,"F")=1),OP!$D$97+IF(F840="F",OP!$D$98,0),"")))</f>
        <v>0</v>
      </c>
      <c r="AL840" s="282">
        <f ca="1">IF(E840&gt;111,,IF(AND(OP!$E$99=1,T840="F"),AB840,IF(AND(OP!$E$99=2,COUNTIF($T$4:T840,"F")=1),OP!$E$97+IF(F840="F",OP!$E$98,0),"")))</f>
        <v>0</v>
      </c>
      <c r="AM840" s="1">
        <f t="shared" ca="1" si="481"/>
        <v>10</v>
      </c>
      <c r="AN840" s="1" t="e">
        <f ca="1">IF(OR(VLOOKUP($A840,MP,5,0)="月繳"),1,"")</f>
        <v>#N/A</v>
      </c>
      <c r="AO840" s="1">
        <f t="shared" ca="1" si="492"/>
        <v>0</v>
      </c>
      <c r="AP840" s="1" t="str">
        <f ca="1">IF(AND(A840&lt;=OP!$C$120,COUNTIF(PAY,C840)=1),1,"")</f>
        <v/>
      </c>
      <c r="AR840" s="301">
        <f ca="1">IF(繳費報酬率資料!$A$1=1,$AY840+$AZ840,$BF840+$BG840)</f>
        <v>0</v>
      </c>
      <c r="AS840" s="1">
        <f ca="1">IF(C840&lt;&gt;IF($C$3=1,12,$C$3-1),0,IF(繳費報酬率資料!$A$1&lt;&gt;1,VLOOKUP($A840,MP,8,0),IF(AND($A840&gt;=OP!$C$79,$A840&lt;=OP!$C$80),OP!$C$78,)))</f>
        <v>0</v>
      </c>
      <c r="AT840" s="298">
        <f t="shared" ca="1" si="493"/>
        <v>0</v>
      </c>
      <c r="AU840" s="298">
        <f ca="1">IF(AND(A840&lt;=OP!$C$120,COUNTIF(PAY,C840)=1),OP!$C$123,0)</f>
        <v>0</v>
      </c>
      <c r="AV840" s="298">
        <f ca="1">IF(AND(A840&gt;=OP!$C$132,A840&lt;=OP!$C$133,$C$3=C840),OP!$C$135,0)</f>
        <v>0</v>
      </c>
      <c r="AW840" s="180">
        <f t="shared" ca="1" si="494"/>
        <v>0.05</v>
      </c>
      <c r="AX840" s="180">
        <f t="shared" ca="1" si="495"/>
        <v>0.05</v>
      </c>
      <c r="AY840" s="286">
        <f t="shared" ca="1" si="496"/>
        <v>0</v>
      </c>
      <c r="AZ840" s="286">
        <f t="shared" ca="1" si="497"/>
        <v>0</v>
      </c>
      <c r="BA840" s="286">
        <f t="shared" ca="1" si="498"/>
        <v>0</v>
      </c>
      <c r="BB840" s="286">
        <f t="shared" ca="1" si="499"/>
        <v>0</v>
      </c>
      <c r="BC840" s="286">
        <f t="shared" ca="1" si="500"/>
        <v>0</v>
      </c>
      <c r="BD840" s="180">
        <f t="shared" ca="1" si="501"/>
        <v>0.05</v>
      </c>
      <c r="BE840" s="180">
        <f t="shared" ca="1" si="502"/>
        <v>0.05</v>
      </c>
      <c r="BF840" s="286">
        <f t="shared" ca="1" si="503"/>
        <v>0</v>
      </c>
      <c r="BG840" s="286">
        <f t="shared" ca="1" si="504"/>
        <v>0</v>
      </c>
    </row>
    <row r="841" spans="1:59">
      <c r="A841" s="1">
        <f t="shared" ca="1" si="484"/>
        <v>70</v>
      </c>
      <c r="B841" s="1">
        <f t="shared" ca="1" si="477"/>
        <v>176</v>
      </c>
      <c r="C841" s="1">
        <f t="shared" ca="1" si="478"/>
        <v>3</v>
      </c>
      <c r="D841" s="1">
        <f ca="1">MIN($D$3,VLOOKUP(C841,OP!$S$30:$T$41,2))</f>
        <v>2</v>
      </c>
      <c r="E841" s="1" t="str">
        <f t="shared" ca="1" si="479"/>
        <v/>
      </c>
      <c r="F841" s="11" t="str">
        <f t="shared" ca="1" si="485"/>
        <v/>
      </c>
      <c r="G841" s="8">
        <f t="shared" ca="1" si="482"/>
        <v>365</v>
      </c>
      <c r="H841" s="8">
        <f t="shared" ca="1" si="486"/>
        <v>31</v>
      </c>
      <c r="I841" s="8" t="str">
        <f t="shared" ca="1" si="483"/>
        <v>703</v>
      </c>
      <c r="J841" s="13">
        <f>IF(繳費報酬率資料!$A$1=1,VALUE(OP!$C$121),VLOOKUP(A841,MP,2,0))</f>
        <v>0.05</v>
      </c>
      <c r="K841" s="14">
        <f ca="1">IF(SUM($K$4:K840,IF(繳費報酬率資料!$A$1=1,$AU841+$AV841,$BB841+$BC841))&gt;OP!$L$58,0,IF(繳費報酬率資料!$A$1=1,$AU841+$AV841,$BB841+$BC841))</f>
        <v>0</v>
      </c>
      <c r="L841" s="2"/>
      <c r="M841" s="2"/>
      <c r="N841" s="2"/>
      <c r="O841" s="261">
        <f t="shared" ca="1" si="487"/>
        <v>0</v>
      </c>
      <c r="P841" s="261">
        <f t="shared" ca="1" si="505"/>
        <v>0</v>
      </c>
      <c r="Q841" s="3">
        <f ca="1">IF(A841&gt;MAX(OP!$R$17:$R$26),0,VLOOKUP(A841,fees,3,FALSE))</f>
        <v>0</v>
      </c>
      <c r="R841" s="200" t="str">
        <f t="shared" ca="1" si="488"/>
        <v/>
      </c>
      <c r="S841" s="9" t="str">
        <f ca="1">IF(COUNTIF(($T$4:T840),"F")&gt;=1,"",IF(OR(C842&lt;&gt;$C$3,E841=""),"",A841))</f>
        <v/>
      </c>
      <c r="T841" s="20" t="str">
        <f t="shared" ca="1" si="480"/>
        <v/>
      </c>
      <c r="U841" s="2">
        <f ca="1">IF(IF(OP!$C$83=1,$Z840,IF(OP!$C$83=2,$AA840,IF(OP!$C$83=3,$AB840,)))+$K841-$O841-$P841-$AS841&lt;OP!$C$142,0,$AS841)</f>
        <v>0</v>
      </c>
      <c r="V841" s="9"/>
      <c r="W841" s="19">
        <f ca="1">MAX(SUM($K$4:K841),0)</f>
        <v>2000000</v>
      </c>
      <c r="X841" s="19"/>
      <c r="Y841" s="19">
        <f t="shared" ca="1" si="506"/>
        <v>1920000</v>
      </c>
      <c r="Z841" s="2">
        <f ca="1">IF(MIN($Z$4:Z840)=0,0,MAX(0,($Z840+$K841-$O841-$P841)*IF(AND(F841="F",$D$3&lt;&gt;$G$3),((1+(-J841))^(H841/MIN(G841,365))),((1+(-J841))^(1/12)))-$U841))</f>
        <v>53415.381111689814</v>
      </c>
      <c r="AA841" s="2">
        <f ca="1">IF(MIN($AA$4:AA840)=0,0,MAX(0,($AA840+$K841-$O841-$P841)*IF(AND(F841="F",$D$3&lt;&gt;$G$3),((1+$AA$1)^(H841/MIN(G841,365))),((1+$AA$1)^(1/12)))-$U841))</f>
        <v>1920000</v>
      </c>
      <c r="AB841" s="2">
        <f ca="1">IF(MIN($AB$4:AB840)=0,0,MAX(0,($AB840+$K841-$O841-$P841)*IF(AND(F841="F",$D$3&lt;&gt;$G$3),((1+(J841))^(H841/MIN(G841,365))),((1+(J841))^(1/12)))-$U841))</f>
        <v>57945619.961818784</v>
      </c>
      <c r="AC841" s="5"/>
      <c r="AD841" s="5"/>
      <c r="AE841" s="5"/>
      <c r="AF841" s="282">
        <f t="shared" ca="1" si="489"/>
        <v>53415</v>
      </c>
      <c r="AG841" s="282">
        <f t="shared" ca="1" si="490"/>
        <v>1920000</v>
      </c>
      <c r="AH841" s="282">
        <f t="shared" ca="1" si="491"/>
        <v>57945620</v>
      </c>
      <c r="AI841" s="23" t="str">
        <f t="shared" ca="1" si="472"/>
        <v>70-11</v>
      </c>
      <c r="AJ841" s="282">
        <f ca="1">IF(E841&gt;111,,IF(AND(OP!$C$99=1,T841="F"),Z841,IF(AND(OP!$C$99=2,COUNTIF($T$4:T841,"F")=1),OP!$C$97+IF(F841="F",OP!$C$98,0),"")))</f>
        <v>0</v>
      </c>
      <c r="AK841" s="282">
        <f ca="1">IF(E841&gt;111,,IF(AND(OP!$D$99=1,T841="F"),AA841,IF(AND(OP!$D$99=2,COUNTIF($T$4:T841,"F")=1),OP!$D$97+IF(F841="F",OP!$D$98,0),"")))</f>
        <v>0</v>
      </c>
      <c r="AL841" s="282">
        <f ca="1">IF(E841&gt;111,,IF(AND(OP!$E$99=1,T841="F"),AB841,IF(AND(OP!$E$99=2,COUNTIF($T$4:T841,"F")=1),OP!$E$97+IF(F841="F",OP!$E$98,0),"")))</f>
        <v>0</v>
      </c>
      <c r="AM841" s="1">
        <f t="shared" ca="1" si="481"/>
        <v>11</v>
      </c>
      <c r="AN841" s="1" t="e">
        <f ca="1">IF(OR(VLOOKUP($A841,MP,5,0)="季繳",VLOOKUP($A841,MP,5,0)="月繳"),1,"")</f>
        <v>#N/A</v>
      </c>
      <c r="AO841" s="1">
        <f t="shared" ca="1" si="492"/>
        <v>0</v>
      </c>
      <c r="AP841" s="1" t="str">
        <f ca="1">IF(AND(A841&lt;=OP!$C$120,COUNTIF(PAY,C841)=1),1,"")</f>
        <v/>
      </c>
      <c r="AR841" s="301">
        <f ca="1">IF(繳費報酬率資料!$A$1=1,$AY841+$AZ841,$BF841+$BG841)</f>
        <v>0</v>
      </c>
      <c r="AS841" s="1">
        <f ca="1">IF(C841&lt;&gt;IF($C$3=1,12,$C$3-1),0,IF(繳費報酬率資料!$A$1&lt;&gt;1,VLOOKUP($A841,MP,8,0),IF(AND($A841&gt;=OP!$C$79,$A841&lt;=OP!$C$80),OP!$C$78,)))</f>
        <v>0</v>
      </c>
      <c r="AT841" s="298">
        <f t="shared" ca="1" si="493"/>
        <v>0</v>
      </c>
      <c r="AU841" s="298">
        <f ca="1">IF(AND(A841&lt;=OP!$C$120,COUNTIF(PAY,C841)=1),OP!$C$123,0)</f>
        <v>0</v>
      </c>
      <c r="AV841" s="298">
        <f ca="1">IF(AND(A841&gt;=OP!$C$132,A841&lt;=OP!$C$133,$C$3=C841),OP!$C$135,0)</f>
        <v>0</v>
      </c>
      <c r="AW841" s="180">
        <f t="shared" ca="1" si="494"/>
        <v>0.05</v>
      </c>
      <c r="AX841" s="180">
        <f t="shared" ca="1" si="495"/>
        <v>0.05</v>
      </c>
      <c r="AY841" s="286">
        <f t="shared" ca="1" si="496"/>
        <v>0</v>
      </c>
      <c r="AZ841" s="286">
        <f t="shared" ca="1" si="497"/>
        <v>0</v>
      </c>
      <c r="BA841" s="286">
        <f t="shared" ca="1" si="498"/>
        <v>0</v>
      </c>
      <c r="BB841" s="286">
        <f t="shared" ca="1" si="499"/>
        <v>0</v>
      </c>
      <c r="BC841" s="286">
        <f t="shared" ca="1" si="500"/>
        <v>0</v>
      </c>
      <c r="BD841" s="180">
        <f t="shared" ca="1" si="501"/>
        <v>0.05</v>
      </c>
      <c r="BE841" s="180">
        <f t="shared" ca="1" si="502"/>
        <v>0.05</v>
      </c>
      <c r="BF841" s="286">
        <f t="shared" ca="1" si="503"/>
        <v>0</v>
      </c>
      <c r="BG841" s="286">
        <f t="shared" ca="1" si="504"/>
        <v>0</v>
      </c>
    </row>
    <row r="842" spans="1:59">
      <c r="A842" s="1">
        <f t="shared" ca="1" si="484"/>
        <v>70</v>
      </c>
      <c r="B842" s="1">
        <f t="shared" ca="1" si="477"/>
        <v>176</v>
      </c>
      <c r="C842" s="1">
        <f t="shared" ca="1" si="478"/>
        <v>4</v>
      </c>
      <c r="D842" s="1">
        <f ca="1">MIN($D$3,VLOOKUP(C842,OP!$S$30:$T$41,2))</f>
        <v>2</v>
      </c>
      <c r="E842" s="1" t="str">
        <f t="shared" ca="1" si="479"/>
        <v/>
      </c>
      <c r="F842" s="11" t="str">
        <f t="shared" ca="1" si="485"/>
        <v/>
      </c>
      <c r="G842" s="8">
        <f t="shared" ca="1" si="482"/>
        <v>365</v>
      </c>
      <c r="H842" s="8">
        <f t="shared" ca="1" si="486"/>
        <v>30</v>
      </c>
      <c r="I842" s="8" t="str">
        <f t="shared" ca="1" si="483"/>
        <v>704</v>
      </c>
      <c r="J842" s="13">
        <f>IF(繳費報酬率資料!$A$1=1,VALUE(OP!$C$121),VLOOKUP(A842,MP,2,0))</f>
        <v>0.05</v>
      </c>
      <c r="K842" s="14">
        <f ca="1">IF(SUM($K$4:K841,IF(繳費報酬率資料!$A$1=1,$AU842+$AV842,$BB842+$BC842))&gt;OP!$L$58,0,IF(繳費報酬率資料!$A$1=1,$AU842+$AV842,$BB842+$BC842))</f>
        <v>0</v>
      </c>
      <c r="L842" s="2"/>
      <c r="M842" s="2"/>
      <c r="N842" s="2"/>
      <c r="O842" s="261">
        <f t="shared" ca="1" si="487"/>
        <v>0</v>
      </c>
      <c r="P842" s="261">
        <f t="shared" ca="1" si="505"/>
        <v>0</v>
      </c>
      <c r="Q842" s="3">
        <f ca="1">IF(A842&gt;MAX(OP!$R$17:$R$26),0,VLOOKUP(A842,fees,3,FALSE))</f>
        <v>0</v>
      </c>
      <c r="R842" s="200" t="str">
        <f t="shared" ca="1" si="488"/>
        <v/>
      </c>
      <c r="S842" s="9" t="str">
        <f ca="1">IF(COUNTIF(($T$4:T841),"F")&gt;=1,"",IF(OR(C843&lt;&gt;$C$3,E842=""),"",A842))</f>
        <v/>
      </c>
      <c r="T842" s="20" t="str">
        <f t="shared" ca="1" si="480"/>
        <v/>
      </c>
      <c r="U842" s="2">
        <f ca="1">IF(IF(OP!$C$83=1,$Z841,IF(OP!$C$83=2,$AA841,IF(OP!$C$83=3,$AB841,)))+$K842-$O842-$P842-$AS842&lt;OP!$C$142,0,$AS842)</f>
        <v>0</v>
      </c>
      <c r="V842" s="9"/>
      <c r="W842" s="19">
        <f ca="1">MAX(SUM($K$4:K842),0)</f>
        <v>2000000</v>
      </c>
      <c r="X842" s="19"/>
      <c r="Y842" s="19">
        <f t="shared" ca="1" si="506"/>
        <v>1920000</v>
      </c>
      <c r="Z842" s="2">
        <f ca="1">IF(MIN($Z$4:Z841)=0,0,MAX(0,($Z841+$K842-$O842-$P842)*IF(AND(F842="F",$D$3&lt;&gt;$G$3),((1+(-J842))^(H842/MIN(G842,365))),((1+(-J842))^(1/12)))-$U842))</f>
        <v>53187.547483623566</v>
      </c>
      <c r="AA842" s="2">
        <f ca="1">IF(MIN($AA$4:AA841)=0,0,MAX(0,($AA841+$K842-$O842-$P842)*IF(AND(F842="F",$D$3&lt;&gt;$G$3),((1+$AA$1)^(H842/MIN(G842,365))),((1+$AA$1)^(1/12)))-$U842))</f>
        <v>1920000</v>
      </c>
      <c r="AB842" s="2">
        <f ca="1">IF(MIN($AB$4:AB841)=0,0,MAX(0,($AB841+$K842-$O842-$P842)*IF(AND(F842="F",$D$3&lt;&gt;$G$3),((1+(J842))^(H842/MIN(G842,365))),((1+(J842))^(1/12)))-$U842))</f>
        <v>58181697.590263478</v>
      </c>
      <c r="AC842" s="5"/>
      <c r="AD842" s="5"/>
      <c r="AE842" s="5"/>
      <c r="AF842" s="282">
        <f t="shared" ca="1" si="489"/>
        <v>53188</v>
      </c>
      <c r="AG842" s="282">
        <f t="shared" ca="1" si="490"/>
        <v>1920000</v>
      </c>
      <c r="AH842" s="282">
        <f t="shared" ca="1" si="491"/>
        <v>58181698</v>
      </c>
      <c r="AI842" s="23" t="str">
        <f t="shared" ca="1" si="472"/>
        <v>70-12</v>
      </c>
      <c r="AJ842" s="282">
        <f ca="1">IF(E842&gt;111,,IF(AND(OP!$C$99=1,T842="F"),Z842,IF(AND(OP!$C$99=2,COUNTIF($T$4:T842,"F")=1),OP!$C$97+IF(F842="F",OP!$C$98,0),"")))</f>
        <v>0</v>
      </c>
      <c r="AK842" s="282">
        <f ca="1">IF(E842&gt;111,,IF(AND(OP!$D$99=1,T842="F"),AA842,IF(AND(OP!$D$99=2,COUNTIF($T$4:T842,"F")=1),OP!$D$97+IF(F842="F",OP!$D$98,0),"")))</f>
        <v>0</v>
      </c>
      <c r="AL842" s="282">
        <f ca="1">IF(E842&gt;111,,IF(AND(OP!$E$99=1,T842="F"),AB842,IF(AND(OP!$E$99=2,COUNTIF($T$4:T842,"F")=1),OP!$E$97+IF(F842="F",OP!$E$98,0),"")))</f>
        <v>0</v>
      </c>
      <c r="AM842" s="1">
        <f t="shared" ca="1" si="481"/>
        <v>12</v>
      </c>
      <c r="AN842" s="1" t="e">
        <f ca="1">IF(OR(VLOOKUP($A842,MP,5,0)="月繳"),1,"")</f>
        <v>#N/A</v>
      </c>
      <c r="AO842" s="1">
        <f t="shared" ca="1" si="492"/>
        <v>0</v>
      </c>
      <c r="AP842" s="1" t="str">
        <f ca="1">IF(AND(A842&lt;=OP!$C$120,COUNTIF(PAY,C842)=1),1,"")</f>
        <v/>
      </c>
      <c r="AR842" s="301">
        <f ca="1">IF(繳費報酬率資料!$A$1=1,$AY842+$AZ842,$BF842+$BG842)</f>
        <v>0</v>
      </c>
      <c r="AS842" s="1">
        <f ca="1">IF(C842&lt;&gt;IF($C$3=1,12,$C$3-1),0,IF(繳費報酬率資料!$A$1&lt;&gt;1,VLOOKUP($A842,MP,8,0),IF(AND($A842&gt;=OP!$C$79,$A842&lt;=OP!$C$80),OP!$C$78,)))</f>
        <v>0</v>
      </c>
      <c r="AT842" s="298">
        <f t="shared" ca="1" si="493"/>
        <v>0</v>
      </c>
      <c r="AU842" s="298">
        <f ca="1">IF(AND(A842&lt;=OP!$C$120,COUNTIF(PAY,C842)=1),OP!$C$123,0)</f>
        <v>0</v>
      </c>
      <c r="AV842" s="298">
        <f ca="1">IF(AND(A842&gt;=OP!$C$132,A842&lt;=OP!$C$133,$C$3=C842),OP!$C$135,0)</f>
        <v>0</v>
      </c>
      <c r="AW842" s="180">
        <f t="shared" ca="1" si="494"/>
        <v>0.05</v>
      </c>
      <c r="AX842" s="180">
        <f t="shared" ca="1" si="495"/>
        <v>0.05</v>
      </c>
      <c r="AY842" s="286">
        <f t="shared" ca="1" si="496"/>
        <v>0</v>
      </c>
      <c r="AZ842" s="286">
        <f t="shared" ca="1" si="497"/>
        <v>0</v>
      </c>
      <c r="BA842" s="286">
        <f t="shared" ca="1" si="498"/>
        <v>0</v>
      </c>
      <c r="BB842" s="286">
        <f t="shared" ca="1" si="499"/>
        <v>0</v>
      </c>
      <c r="BC842" s="286">
        <f t="shared" ca="1" si="500"/>
        <v>0</v>
      </c>
      <c r="BD842" s="180">
        <f t="shared" ca="1" si="501"/>
        <v>0.05</v>
      </c>
      <c r="BE842" s="180">
        <f t="shared" ca="1" si="502"/>
        <v>0.05</v>
      </c>
      <c r="BF842" s="286">
        <f t="shared" ca="1" si="503"/>
        <v>0</v>
      </c>
      <c r="BG842" s="286">
        <f t="shared" ca="1" si="504"/>
        <v>0</v>
      </c>
    </row>
    <row r="843" spans="1:59">
      <c r="A843" s="1">
        <f t="shared" ca="1" si="484"/>
        <v>70</v>
      </c>
      <c r="B843" s="1">
        <f t="shared" ca="1" si="477"/>
        <v>176</v>
      </c>
      <c r="C843" s="1">
        <f t="shared" ca="1" si="478"/>
        <v>5</v>
      </c>
      <c r="D843" s="1">
        <f ca="1">MIN($D$3,VLOOKUP(C843,OP!$S$30:$T$41,2))</f>
        <v>2</v>
      </c>
      <c r="E843" s="1" t="str">
        <f t="shared" ca="1" si="479"/>
        <v/>
      </c>
      <c r="F843" s="11" t="str">
        <f t="shared" ca="1" si="485"/>
        <v/>
      </c>
      <c r="G843" s="8">
        <f t="shared" ca="1" si="482"/>
        <v>365</v>
      </c>
      <c r="H843" s="8">
        <f t="shared" ca="1" si="486"/>
        <v>31</v>
      </c>
      <c r="I843" s="8" t="str">
        <f t="shared" ca="1" si="483"/>
        <v>705</v>
      </c>
      <c r="J843" s="13">
        <f>IF(繳費報酬率資料!$A$1=1,VALUE(OP!$C$121),VLOOKUP(A843,MP,2,0))</f>
        <v>0.05</v>
      </c>
      <c r="K843" s="14">
        <f ca="1">IF(SUM($K$4:K842,IF(繳費報酬率資料!$A$1=1,$AU843+$AV843,$BB843+$BC843))&gt;OP!$L$58,0,IF(繳費報酬率資料!$A$1=1,$AU843+$AV843,$BB843+$BC843))</f>
        <v>0</v>
      </c>
      <c r="L843" s="2">
        <f ca="1">ROUND(IF(OP!$C$78&lt;(IF(OR($T843="F",$E843&gt;=111),0,Z842+$K843-$O843+IF($C$1=1,OP!$C$78,IF($C844=$C$3,SUM(AC832:AC843,0)))))*5%,0,(OP!$C$78-((IF(OR($T843="F",$E843&gt;=111),0,Z842+$K843-$O843+IF($C$1=1,AC843,IF($C844=$C$3,SUM(AC832:AC843,0)))))*5%))*$Q843),0)</f>
        <v>0</v>
      </c>
      <c r="M843" s="2">
        <f ca="1">ROUND(IF(OP!$C$78&lt;(IF(OR($T843="F",$E843&gt;=111),0,AA842+$K843-$O843+IF($C$1=1,AD843,IF($C844=$C$3,SUM(AD832:AD843,0)))))*5%,0,(OP!$C$78-((IF(OR($T843="F",$E843&gt;=111),0,AA842+$K843-$O843+IF($C$1=1,AD843,IF($C844=$C$3,SUM(AD832:AD843,0)))))*5%))*$Q843),0)</f>
        <v>0</v>
      </c>
      <c r="N843" s="2">
        <f ca="1">ROUND(IF(OP!$C$78&lt;(IF(OR($T843="F",$E843&gt;=111),0,AB842+$K843-$O843+IF($C$1=1,AE843,IF($C844=$C$3,SUM(AE832:AE843,0)))))*5%,0,(OP!$C$78-((IF(OR($T843="F",$E843&gt;=111),0,AB842+$K843-$O843+IF($C$1=1,AE843,IF($C844=$C$3,SUM(AE832:AE843,0)))))*5%))*$Q843),0)</f>
        <v>0</v>
      </c>
      <c r="O843" s="261">
        <f t="shared" ca="1" si="487"/>
        <v>0</v>
      </c>
      <c r="P843" s="261">
        <f t="shared" ca="1" si="505"/>
        <v>0</v>
      </c>
      <c r="Q843" s="3">
        <f ca="1">IF(A843&gt;MAX(OP!$R$17:$R$26),0,VLOOKUP(A843,fees,3,FALSE))</f>
        <v>0</v>
      </c>
      <c r="R843" s="200" t="str">
        <f t="shared" ca="1" si="488"/>
        <v/>
      </c>
      <c r="S843" s="9" t="str">
        <f ca="1">IF(COUNTIF(($T$4:T842),"F")&gt;=1,"",IF(OR(C844&lt;&gt;$C$3,E843=""),"",A843))</f>
        <v/>
      </c>
      <c r="T843" s="20" t="str">
        <f t="shared" ca="1" si="480"/>
        <v/>
      </c>
      <c r="U843" s="2">
        <f ca="1">IF(IF(OP!$C$83=1,$Z842,IF(OP!$C$83=2,$AA842,IF(OP!$C$83=3,$AB842,)))+$K843-$O843-$P843-$AS843&lt;OP!$C$142,0,$AS843)</f>
        <v>0</v>
      </c>
      <c r="V843" s="19">
        <f ca="1">SUM(K832:K843)</f>
        <v>0</v>
      </c>
      <c r="W843" s="19">
        <f ca="1">MAX(SUM($K$4:K843),0)</f>
        <v>2000000</v>
      </c>
      <c r="X843" s="19">
        <f ca="1">SUM(O832:P843)</f>
        <v>0</v>
      </c>
      <c r="Y843" s="19">
        <f t="shared" ca="1" si="506"/>
        <v>1920000</v>
      </c>
      <c r="Z843" s="2">
        <f ca="1">IF(MIN($Z$4:Z842)=0,0,MAX(0,($Z842+$K843-$O843-$P843)*IF(AND(F843="F",$D$3&lt;&gt;$G$3),((1+(-J843))^(H843/MIN(G843,365))),((1+(-J843))^(1/12)))-$U843))</f>
        <v>52960.68563860927</v>
      </c>
      <c r="AA843" s="2">
        <f ca="1">IF(MIN($AA$4:AA842)=0,0,MAX(0,($AA842+$K843-$O843-$P843)*IF(AND(F843="F",$D$3&lt;&gt;$G$3),((1+$AA$1)^(H843/MIN(G843,365))),((1+$AA$1)^(1/12)))-$U843))</f>
        <v>1920000</v>
      </c>
      <c r="AB843" s="2">
        <f ca="1">IF(MIN($AB$4:AB842)=0,0,MAX(0,($AB842+$K843-$O843-$P843)*IF(AND(F843="F",$D$3&lt;&gt;$G$3),((1+(J843))^(H843/MIN(G843,365))),((1+(J843))^(1/12)))-$U843))</f>
        <v>58418737.028189003</v>
      </c>
      <c r="AC843" s="5"/>
      <c r="AD843" s="5"/>
      <c r="AE843" s="5"/>
      <c r="AF843" s="282">
        <f t="shared" ca="1" si="489"/>
        <v>52961</v>
      </c>
      <c r="AG843" s="282">
        <f t="shared" ca="1" si="490"/>
        <v>1920000</v>
      </c>
      <c r="AH843" s="282">
        <f t="shared" ca="1" si="491"/>
        <v>58418737</v>
      </c>
      <c r="AI843" s="23" t="str">
        <f t="shared" ca="1" si="472"/>
        <v>71-1</v>
      </c>
      <c r="AJ843" s="282">
        <f ca="1">IF(E843&gt;111,,IF(AND(OP!$C$99=1,T843="F"),Z843,IF(AND(OP!$C$99=2,COUNTIF($T$4:T843,"F")=1),OP!$C$97+IF(F843="F",OP!$C$98,0),"")))</f>
        <v>0</v>
      </c>
      <c r="AK843" s="282">
        <f ca="1">IF(E843&gt;111,,IF(AND(OP!$D$99=1,T843="F"),AA843,IF(AND(OP!$D$99=2,COUNTIF($T$4:T843,"F")=1),OP!$D$97+IF(F843="F",OP!$D$98,0),"")))</f>
        <v>0</v>
      </c>
      <c r="AL843" s="282">
        <f ca="1">IF(E843&gt;111,,IF(AND(OP!$E$99=1,T843="F"),AB843,IF(AND(OP!$E$99=2,COUNTIF($T$4:T843,"F")=1),OP!$E$97+IF(F843="F",OP!$E$98,0),"")))</f>
        <v>0</v>
      </c>
      <c r="AM843" s="1">
        <f t="shared" ca="1" si="481"/>
        <v>1</v>
      </c>
      <c r="AN843" s="1" t="e">
        <f ca="1">IF(OR(VLOOKUP($A843,MP,5,0)="月繳"),1,"")</f>
        <v>#N/A</v>
      </c>
      <c r="AO843" s="1">
        <f t="shared" ca="1" si="492"/>
        <v>0</v>
      </c>
      <c r="AP843" s="1" t="str">
        <f ca="1">IF(AND(A843&lt;=OP!$C$120,COUNTIF(PAY,C843)=1),1,"")</f>
        <v/>
      </c>
      <c r="AR843" s="301">
        <f ca="1">IF(繳費報酬率資料!$A$1=1,$AY843+$AZ843,$BF843+$BG843)</f>
        <v>0</v>
      </c>
      <c r="AS843" s="1">
        <f ca="1">IF(C843&lt;&gt;IF($C$3=1,12,$C$3-1),0,IF(繳費報酬率資料!$A$1&lt;&gt;1,VLOOKUP($A843,MP,8,0),IF(AND($A843&gt;=OP!$C$79,$A843&lt;=OP!$C$80),OP!$C$78,)))</f>
        <v>0</v>
      </c>
      <c r="AT843" s="298">
        <f t="shared" ca="1" si="493"/>
        <v>0</v>
      </c>
      <c r="AU843" s="298">
        <f ca="1">IF(AND(A843&lt;=OP!$C$120,COUNTIF(PAY,C843)=1),OP!$C$123,0)</f>
        <v>0</v>
      </c>
      <c r="AV843" s="298">
        <f ca="1">IF(AND(A843&gt;=OP!$C$132,A843&lt;=OP!$C$133,$C$3=C843),OP!$C$135,0)</f>
        <v>0</v>
      </c>
      <c r="AW843" s="180">
        <f t="shared" ca="1" si="494"/>
        <v>0.05</v>
      </c>
      <c r="AX843" s="180">
        <f t="shared" ca="1" si="495"/>
        <v>0.05</v>
      </c>
      <c r="AY843" s="286">
        <f t="shared" ca="1" si="496"/>
        <v>0</v>
      </c>
      <c r="AZ843" s="286">
        <f t="shared" ca="1" si="497"/>
        <v>0</v>
      </c>
      <c r="BA843" s="286">
        <f t="shared" ca="1" si="498"/>
        <v>0</v>
      </c>
      <c r="BB843" s="286">
        <f t="shared" ca="1" si="499"/>
        <v>0</v>
      </c>
      <c r="BC843" s="286">
        <f t="shared" ca="1" si="500"/>
        <v>0</v>
      </c>
      <c r="BD843" s="180">
        <f t="shared" ca="1" si="501"/>
        <v>0.05</v>
      </c>
      <c r="BE843" s="180">
        <f t="shared" ca="1" si="502"/>
        <v>0.05</v>
      </c>
      <c r="BF843" s="286">
        <f t="shared" ca="1" si="503"/>
        <v>0</v>
      </c>
      <c r="BG843" s="286">
        <f t="shared" ca="1" si="504"/>
        <v>0</v>
      </c>
    </row>
    <row r="844" spans="1:59">
      <c r="A844" s="1">
        <f t="shared" ca="1" si="484"/>
        <v>71</v>
      </c>
      <c r="B844" s="1">
        <f t="shared" ca="1" si="477"/>
        <v>176</v>
      </c>
      <c r="C844" s="1">
        <f t="shared" ca="1" si="478"/>
        <v>6</v>
      </c>
      <c r="D844" s="1">
        <f ca="1">MIN($D$3,VLOOKUP(C844,OP!$S$30:$T$41,2))</f>
        <v>2</v>
      </c>
      <c r="E844" s="1" t="str">
        <f t="shared" ca="1" si="479"/>
        <v/>
      </c>
      <c r="F844" s="11" t="str">
        <f t="shared" ca="1" si="485"/>
        <v/>
      </c>
      <c r="G844" s="6">
        <f ca="1">DATEDIF(DATE(B844+1911,C844,D844),DATE(B856+1911,C856,D856),"d")</f>
        <v>366</v>
      </c>
      <c r="H844" s="8">
        <f t="shared" ca="1" si="486"/>
        <v>30</v>
      </c>
      <c r="I844" s="8" t="str">
        <f t="shared" ca="1" si="483"/>
        <v>716</v>
      </c>
      <c r="J844" s="13">
        <f>IF(繳費報酬率資料!$A$1=1,VALUE(OP!$C$121),VLOOKUP(A844,MP,2,0))</f>
        <v>0.05</v>
      </c>
      <c r="K844" s="14">
        <f ca="1">IF(SUM($K$4:K843,IF(繳費報酬率資料!$A$1=1,$AU844+$AV844,$BB844+$BC844))&gt;OP!$L$58,0,IF(繳費報酬率資料!$A$1=1,$AU844+$AV844,$BB844+$BC844))</f>
        <v>0</v>
      </c>
      <c r="L844" s="2"/>
      <c r="M844" s="2"/>
      <c r="N844" s="2"/>
      <c r="O844" s="261">
        <f t="shared" ca="1" si="487"/>
        <v>0</v>
      </c>
      <c r="P844" s="261">
        <f t="shared" ca="1" si="505"/>
        <v>0</v>
      </c>
      <c r="Q844" s="3">
        <f ca="1">IF(A844&gt;MAX(OP!$R$17:$R$26),0,VLOOKUP(A844,fees,3,FALSE))</f>
        <v>0</v>
      </c>
      <c r="R844" s="200" t="str">
        <f t="shared" ca="1" si="488"/>
        <v/>
      </c>
      <c r="S844" s="9" t="str">
        <f ca="1">IF(COUNTIF(($T$4:T843),"F")&gt;=1,"",IF(OR(C845&lt;&gt;$C$3,E844=""),"",A844))</f>
        <v/>
      </c>
      <c r="T844" s="20" t="str">
        <f t="shared" ca="1" si="480"/>
        <v/>
      </c>
      <c r="U844" s="2">
        <f ca="1">IF(IF(OP!$C$83=1,$Z843,IF(OP!$C$83=2,$AA843,IF(OP!$C$83=3,$AB843,)))+$K844-$O844-$P844-$AS844&lt;OP!$C$142,0,$AS844)</f>
        <v>0</v>
      </c>
      <c r="V844" s="9"/>
      <c r="W844" s="19">
        <f ca="1">MAX(SUM($K$4:K844),0)</f>
        <v>2000000</v>
      </c>
      <c r="X844" s="19"/>
      <c r="Y844" s="19">
        <f t="shared" ca="1" si="506"/>
        <v>1920000</v>
      </c>
      <c r="Z844" s="2">
        <f ca="1">IF(MIN($Z$4:Z843)=0,0,MAX(0,($Z843+$K844-$O844-$P844)*IF(AND(F844="F",$D$3&lt;&gt;$G$3),((1+(-J844))^(H844/MIN(G844,365))),((1+(-J844))^(1/12)))-$U844))</f>
        <v>52734.791431682424</v>
      </c>
      <c r="AA844" s="2">
        <f ca="1">IF(MIN($AA$4:AA843)=0,0,MAX(0,($AA843+$K844-$O844-$P844)*IF(AND(F844="F",$D$3&lt;&gt;$G$3),((1+$AA$1)^(H844/MIN(G844,365))),((1+$AA$1)^(1/12)))-$U844))</f>
        <v>1920000</v>
      </c>
      <c r="AB844" s="2">
        <f ca="1">IF(MIN($AB$4:AB843)=0,0,MAX(0,($AB843+$K844-$O844-$P844)*IF(AND(F844="F",$D$3&lt;&gt;$G$3),((1+(J844))^(H844/MIN(G844,365))),((1+(J844))^(1/12)))-$U844))</f>
        <v>58656742.194126248</v>
      </c>
      <c r="AC844" s="21"/>
      <c r="AD844" s="21"/>
      <c r="AE844" s="21"/>
      <c r="AF844" s="282">
        <f t="shared" ca="1" si="489"/>
        <v>52735</v>
      </c>
      <c r="AG844" s="282">
        <f t="shared" ca="1" si="490"/>
        <v>1920000</v>
      </c>
      <c r="AH844" s="282">
        <f t="shared" ca="1" si="491"/>
        <v>58656742</v>
      </c>
      <c r="AI844" s="23" t="str">
        <f t="shared" ref="AI844:AI907" ca="1" si="507">IF($G$3=D845,A845,A844)&amp;"-"&amp;AM844</f>
        <v>71-2</v>
      </c>
      <c r="AJ844" s="281">
        <f ca="1">IF(E844&gt;111,,IF(AND(OP!$C$99=1,T844="F"),Z844,IF(AND(OP!$C$99=2,COUNTIF($T$4:T844,"F")=1),OP!$C$97+IF(F844="F",OP!$C$98,0),"")))</f>
        <v>0</v>
      </c>
      <c r="AK844" s="281">
        <f ca="1">IF(E844&gt;111,,IF(AND(OP!$D$99=1,T844="F"),AA844,IF(AND(OP!$D$99=2,COUNTIF($T$4:T844,"F")=1),OP!$D$97+IF(F844="F",OP!$D$98,0),"")))</f>
        <v>0</v>
      </c>
      <c r="AL844" s="281">
        <f ca="1">IF(E844&gt;111,,IF(AND(OP!$E$99=1,T844="F"),AB844,IF(AND(OP!$E$99=2,COUNTIF($T$4:T844,"F")=1),OP!$E$97+IF(F844="F",OP!$E$98,0),"")))</f>
        <v>0</v>
      </c>
      <c r="AM844" s="1">
        <f t="shared" ca="1" si="481"/>
        <v>2</v>
      </c>
      <c r="AN844" s="1" t="e">
        <f ca="1">IF(OR(VLOOKUP($A844,MP,5,0)="年繳",VLOOKUP($A844,MP,5,0)="半年繳",VLOOKUP($A844,MP,5,0)="季繳",VLOOKUP($A844,MP,5,0)="月繳"),1,"")</f>
        <v>#N/A</v>
      </c>
      <c r="AO844" s="1">
        <f t="shared" ca="1" si="492"/>
        <v>0</v>
      </c>
      <c r="AP844" s="1" t="str">
        <f ca="1">IF(AND(A844&lt;=OP!$C$120,COUNTIF(PAY,C844)=1),1,"")</f>
        <v/>
      </c>
      <c r="AR844" s="301">
        <f ca="1">IF(繳費報酬率資料!$A$1=1,$AY844+$AZ844,$BF844+$BG844)</f>
        <v>0</v>
      </c>
      <c r="AS844" s="1">
        <f ca="1">IF(C844&lt;&gt;IF($C$3=1,12,$C$3-1),0,IF(繳費報酬率資料!$A$1&lt;&gt;1,VLOOKUP($A844,MP,8,0),IF(AND($A844&gt;=OP!$C$79,$A844&lt;=OP!$C$80),OP!$C$78,)))</f>
        <v>0</v>
      </c>
      <c r="AT844" s="298">
        <f t="shared" ca="1" si="493"/>
        <v>0</v>
      </c>
      <c r="AU844" s="298">
        <f ca="1">IF(AND(A844&lt;=OP!$C$120,COUNTIF(PAY,C844)=1),OP!$C$123,0)</f>
        <v>0</v>
      </c>
      <c r="AV844" s="298">
        <f ca="1">IF(AND(A844&gt;=OP!$C$132,A844&lt;=OP!$C$133,$C$3=C844),OP!$C$135,0)</f>
        <v>0</v>
      </c>
      <c r="AW844" s="180">
        <f t="shared" ca="1" si="494"/>
        <v>0.05</v>
      </c>
      <c r="AX844" s="180">
        <f t="shared" ca="1" si="495"/>
        <v>0.05</v>
      </c>
      <c r="AY844" s="286">
        <f t="shared" ca="1" si="496"/>
        <v>0</v>
      </c>
      <c r="AZ844" s="286">
        <f t="shared" ca="1" si="497"/>
        <v>0</v>
      </c>
      <c r="BA844" s="286">
        <f t="shared" ca="1" si="498"/>
        <v>0</v>
      </c>
      <c r="BB844" s="286">
        <f t="shared" ca="1" si="499"/>
        <v>0</v>
      </c>
      <c r="BC844" s="286">
        <f t="shared" ca="1" si="500"/>
        <v>0</v>
      </c>
      <c r="BD844" s="180">
        <f t="shared" ca="1" si="501"/>
        <v>0.05</v>
      </c>
      <c r="BE844" s="180">
        <f t="shared" ca="1" si="502"/>
        <v>0.05</v>
      </c>
      <c r="BF844" s="286">
        <f t="shared" ca="1" si="503"/>
        <v>0</v>
      </c>
      <c r="BG844" s="286">
        <f t="shared" ca="1" si="504"/>
        <v>0</v>
      </c>
    </row>
    <row r="845" spans="1:59">
      <c r="A845" s="1">
        <f t="shared" ca="1" si="484"/>
        <v>71</v>
      </c>
      <c r="B845" s="1">
        <f t="shared" ca="1" si="477"/>
        <v>176</v>
      </c>
      <c r="C845" s="1">
        <f t="shared" ca="1" si="478"/>
        <v>7</v>
      </c>
      <c r="D845" s="1">
        <f ca="1">MIN($D$3,VLOOKUP(C845,OP!$S$30:$T$41,2))</f>
        <v>2</v>
      </c>
      <c r="E845" s="1" t="str">
        <f t="shared" ca="1" si="479"/>
        <v/>
      </c>
      <c r="F845" s="11" t="str">
        <f t="shared" ca="1" si="485"/>
        <v/>
      </c>
      <c r="G845" s="8">
        <f t="shared" ref="G845:G855" ca="1" si="508">G844</f>
        <v>366</v>
      </c>
      <c r="H845" s="8">
        <f t="shared" ca="1" si="486"/>
        <v>31</v>
      </c>
      <c r="I845" s="8" t="str">
        <f t="shared" ca="1" si="483"/>
        <v>717</v>
      </c>
      <c r="J845" s="13">
        <f>IF(繳費報酬率資料!$A$1=1,VALUE(OP!$C$121),VLOOKUP(A845,MP,2,0))</f>
        <v>0.05</v>
      </c>
      <c r="K845" s="14">
        <f ca="1">IF(SUM($K$4:K844,IF(繳費報酬率資料!$A$1=1,$AU845+$AV845,$BB845+$BC845))&gt;OP!$L$58,0,IF(繳費報酬率資料!$A$1=1,$AU845+$AV845,$BB845+$BC845))</f>
        <v>0</v>
      </c>
      <c r="L845" s="2"/>
      <c r="M845" s="2"/>
      <c r="N845" s="2"/>
      <c r="O845" s="261">
        <f t="shared" ca="1" si="487"/>
        <v>0</v>
      </c>
      <c r="P845" s="261">
        <f t="shared" ca="1" si="505"/>
        <v>0</v>
      </c>
      <c r="Q845" s="3">
        <f ca="1">IF(A845&gt;MAX(OP!$R$17:$R$26),0,VLOOKUP(A845,fees,3,FALSE))</f>
        <v>0</v>
      </c>
      <c r="R845" s="200" t="str">
        <f t="shared" ca="1" si="488"/>
        <v/>
      </c>
      <c r="S845" s="9" t="str">
        <f ca="1">IF(COUNTIF(($T$4:T844),"F")&gt;=1,"",IF(OR(C846&lt;&gt;$C$3,E845=""),"",A845))</f>
        <v/>
      </c>
      <c r="T845" s="20" t="str">
        <f t="shared" ca="1" si="480"/>
        <v/>
      </c>
      <c r="U845" s="2">
        <f ca="1">IF(IF(OP!$C$83=1,$Z844,IF(OP!$C$83=2,$AA844,IF(OP!$C$83=3,$AB844,)))+$K845-$O845-$P845-$AS845&lt;OP!$C$142,0,$AS845)</f>
        <v>0</v>
      </c>
      <c r="V845" s="9"/>
      <c r="W845" s="19">
        <f ca="1">MAX(SUM($K$4:K845),0)</f>
        <v>2000000</v>
      </c>
      <c r="X845" s="19"/>
      <c r="Y845" s="19">
        <f t="shared" ca="1" si="506"/>
        <v>1920000</v>
      </c>
      <c r="Z845" s="2">
        <f ca="1">IF(MIN($Z$4:Z844)=0,0,MAX(0,($Z844+$K845-$O845-$P845)*IF(AND(F845="F",$D$3&lt;&gt;$G$3),((1+(-J845))^(H845/MIN(G845,365))),((1+(-J845))^(1/12)))-$U845))</f>
        <v>52509.860735558126</v>
      </c>
      <c r="AA845" s="2">
        <f ca="1">IF(MIN($AA$4:AA844)=0,0,MAX(0,($AA844+$K845-$O845-$P845)*IF(AND(F845="F",$D$3&lt;&gt;$G$3),((1+$AA$1)^(H845/MIN(G845,365))),((1+$AA$1)^(1/12)))-$U845))</f>
        <v>1920000</v>
      </c>
      <c r="AB845" s="2">
        <f ca="1">IF(MIN($AB$4:AB844)=0,0,MAX(0,($AB844+$K845-$O845-$P845)*IF(AND(F845="F",$D$3&lt;&gt;$G$3),((1+(J845))^(H845/MIN(G845,365))),((1+(J845))^(1/12)))-$U845))</f>
        <v>58895717.02257067</v>
      </c>
      <c r="AC845" s="5"/>
      <c r="AD845" s="5"/>
      <c r="AE845" s="5"/>
      <c r="AF845" s="282">
        <f t="shared" ca="1" si="489"/>
        <v>52510</v>
      </c>
      <c r="AG845" s="282">
        <f t="shared" ca="1" si="490"/>
        <v>1920000</v>
      </c>
      <c r="AH845" s="282">
        <f t="shared" ca="1" si="491"/>
        <v>58895717</v>
      </c>
      <c r="AI845" s="23" t="str">
        <f t="shared" ca="1" si="507"/>
        <v>71-3</v>
      </c>
      <c r="AJ845" s="282">
        <f ca="1">IF(E845&gt;111,,IF(AND(OP!$C$99=1,T845="F"),Z845,IF(AND(OP!$C$99=2,COUNTIF($T$4:T845,"F")=1),OP!$C$97+IF(F845="F",OP!$C$98,0),"")))</f>
        <v>0</v>
      </c>
      <c r="AK845" s="282">
        <f ca="1">IF(E845&gt;111,,IF(AND(OP!$D$99=1,T845="F"),AA845,IF(AND(OP!$D$99=2,COUNTIF($T$4:T845,"F")=1),OP!$D$97+IF(F845="F",OP!$D$98,0),"")))</f>
        <v>0</v>
      </c>
      <c r="AL845" s="282">
        <f ca="1">IF(E845&gt;111,,IF(AND(OP!$E$99=1,T845="F"),AB845,IF(AND(OP!$E$99=2,COUNTIF($T$4:T845,"F")=1),OP!$E$97+IF(F845="F",OP!$E$98,0),"")))</f>
        <v>0</v>
      </c>
      <c r="AM845" s="1">
        <f t="shared" ca="1" si="481"/>
        <v>3</v>
      </c>
      <c r="AN845" s="1" t="e">
        <f ca="1">IF(OR(VLOOKUP($A845,MP,5,0)="月繳"),1,"")</f>
        <v>#N/A</v>
      </c>
      <c r="AO845" s="1">
        <f t="shared" ca="1" si="492"/>
        <v>0</v>
      </c>
      <c r="AP845" s="1" t="str">
        <f ca="1">IF(AND(A845&lt;=OP!$C$120,COUNTIF(PAY,C845)=1),1,"")</f>
        <v/>
      </c>
      <c r="AR845" s="301">
        <f ca="1">IF(繳費報酬率資料!$A$1=1,$AY845+$AZ845,$BF845+$BG845)</f>
        <v>0</v>
      </c>
      <c r="AS845" s="1">
        <f ca="1">IF(C845&lt;&gt;IF($C$3=1,12,$C$3-1),0,IF(繳費報酬率資料!$A$1&lt;&gt;1,VLOOKUP($A845,MP,8,0),IF(AND($A845&gt;=OP!$C$79,$A845&lt;=OP!$C$80),OP!$C$78,)))</f>
        <v>0</v>
      </c>
      <c r="AT845" s="298">
        <f t="shared" ca="1" si="493"/>
        <v>0</v>
      </c>
      <c r="AU845" s="298">
        <f ca="1">IF(AND(A845&lt;=OP!$C$120,COUNTIF(PAY,C845)=1),OP!$C$123,0)</f>
        <v>0</v>
      </c>
      <c r="AV845" s="298">
        <f ca="1">IF(AND(A845&gt;=OP!$C$132,A845&lt;=OP!$C$133,$C$3=C845),OP!$C$135,0)</f>
        <v>0</v>
      </c>
      <c r="AW845" s="180">
        <f t="shared" ca="1" si="494"/>
        <v>0.05</v>
      </c>
      <c r="AX845" s="180">
        <f t="shared" ca="1" si="495"/>
        <v>0.05</v>
      </c>
      <c r="AY845" s="286">
        <f t="shared" ca="1" si="496"/>
        <v>0</v>
      </c>
      <c r="AZ845" s="286">
        <f t="shared" ca="1" si="497"/>
        <v>0</v>
      </c>
      <c r="BA845" s="286">
        <f t="shared" ca="1" si="498"/>
        <v>0</v>
      </c>
      <c r="BB845" s="286">
        <f t="shared" ca="1" si="499"/>
        <v>0</v>
      </c>
      <c r="BC845" s="286">
        <f t="shared" ca="1" si="500"/>
        <v>0</v>
      </c>
      <c r="BD845" s="180">
        <f t="shared" ca="1" si="501"/>
        <v>0.05</v>
      </c>
      <c r="BE845" s="180">
        <f t="shared" ca="1" si="502"/>
        <v>0.05</v>
      </c>
      <c r="BF845" s="286">
        <f t="shared" ca="1" si="503"/>
        <v>0</v>
      </c>
      <c r="BG845" s="286">
        <f t="shared" ca="1" si="504"/>
        <v>0</v>
      </c>
    </row>
    <row r="846" spans="1:59">
      <c r="A846" s="1">
        <f t="shared" ca="1" si="484"/>
        <v>71</v>
      </c>
      <c r="B846" s="1">
        <f t="shared" ca="1" si="477"/>
        <v>176</v>
      </c>
      <c r="C846" s="1">
        <f t="shared" ca="1" si="478"/>
        <v>8</v>
      </c>
      <c r="D846" s="1">
        <f ca="1">MIN($D$3,VLOOKUP(C846,OP!$S$30:$T$41,2))</f>
        <v>2</v>
      </c>
      <c r="E846" s="1" t="str">
        <f t="shared" ca="1" si="479"/>
        <v/>
      </c>
      <c r="F846" s="11" t="str">
        <f t="shared" ca="1" si="485"/>
        <v/>
      </c>
      <c r="G846" s="8">
        <f t="shared" ca="1" si="508"/>
        <v>366</v>
      </c>
      <c r="H846" s="8">
        <f t="shared" ca="1" si="486"/>
        <v>31</v>
      </c>
      <c r="I846" s="8" t="str">
        <f t="shared" ca="1" si="483"/>
        <v>718</v>
      </c>
      <c r="J846" s="13">
        <f>IF(繳費報酬率資料!$A$1=1,VALUE(OP!$C$121),VLOOKUP(A846,MP,2,0))</f>
        <v>0.05</v>
      </c>
      <c r="K846" s="14">
        <f ca="1">IF(SUM($K$4:K845,IF(繳費報酬率資料!$A$1=1,$AU846+$AV846,$BB846+$BC846))&gt;OP!$L$58,0,IF(繳費報酬率資料!$A$1=1,$AU846+$AV846,$BB846+$BC846))</f>
        <v>0</v>
      </c>
      <c r="L846" s="2"/>
      <c r="M846" s="2"/>
      <c r="N846" s="2"/>
      <c r="O846" s="261">
        <f t="shared" ca="1" si="487"/>
        <v>0</v>
      </c>
      <c r="P846" s="261">
        <f t="shared" ca="1" si="505"/>
        <v>0</v>
      </c>
      <c r="Q846" s="3">
        <f ca="1">IF(A846&gt;MAX(OP!$R$17:$R$26),0,VLOOKUP(A846,fees,3,FALSE))</f>
        <v>0</v>
      </c>
      <c r="R846" s="200" t="str">
        <f t="shared" ca="1" si="488"/>
        <v/>
      </c>
      <c r="S846" s="9" t="str">
        <f ca="1">IF(COUNTIF(($T$4:T845),"F")&gt;=1,"",IF(OR(C847&lt;&gt;$C$3,E846=""),"",A846))</f>
        <v/>
      </c>
      <c r="T846" s="20" t="str">
        <f t="shared" ca="1" si="480"/>
        <v/>
      </c>
      <c r="U846" s="2">
        <f ca="1">IF(IF(OP!$C$83=1,$Z845,IF(OP!$C$83=2,$AA845,IF(OP!$C$83=3,$AB845,)))+$K846-$O846-$P846-$AS846&lt;OP!$C$142,0,$AS846)</f>
        <v>0</v>
      </c>
      <c r="V846" s="9"/>
      <c r="W846" s="19">
        <f ca="1">MAX(SUM($K$4:K846),0)</f>
        <v>2000000</v>
      </c>
      <c r="X846" s="19"/>
      <c r="Y846" s="19">
        <f t="shared" ca="1" si="506"/>
        <v>1920000</v>
      </c>
      <c r="Z846" s="2">
        <f ca="1">IF(MIN($Z$4:Z845)=0,0,MAX(0,($Z845+$K846-$O846-$P846)*IF(AND(F846="F",$D$3&lt;&gt;$G$3),((1+(-J846))^(H846/MIN(G846,365))),((1+(-J846))^(1/12)))-$U846))</f>
        <v>52285.889440555657</v>
      </c>
      <c r="AA846" s="2">
        <f ca="1">IF(MIN($AA$4:AA845)=0,0,MAX(0,($AA845+$K846-$O846-$P846)*IF(AND(F846="F",$D$3&lt;&gt;$G$3),((1+$AA$1)^(H846/MIN(G846,365))),((1+$AA$1)^(1/12)))-$U846))</f>
        <v>1920000</v>
      </c>
      <c r="AB846" s="2">
        <f ca="1">IF(MIN($AB$4:AB845)=0,0,MAX(0,($AB845+$K846-$O846-$P846)*IF(AND(F846="F",$D$3&lt;&gt;$G$3),((1+(J846))^(H846/MIN(G846,365))),((1+(J846))^(1/12)))-$U846))</f>
        <v>59135665.46404735</v>
      </c>
      <c r="AC846" s="5"/>
      <c r="AD846" s="5"/>
      <c r="AE846" s="5"/>
      <c r="AF846" s="282">
        <f t="shared" ca="1" si="489"/>
        <v>52286</v>
      </c>
      <c r="AG846" s="282">
        <f t="shared" ca="1" si="490"/>
        <v>1920000</v>
      </c>
      <c r="AH846" s="282">
        <f t="shared" ca="1" si="491"/>
        <v>59135665</v>
      </c>
      <c r="AI846" s="23" t="str">
        <f t="shared" ca="1" si="507"/>
        <v>71-4</v>
      </c>
      <c r="AJ846" s="282">
        <f ca="1">IF(E846&gt;111,,IF(AND(OP!$C$99=1,T846="F"),Z846,IF(AND(OP!$C$99=2,COUNTIF($T$4:T846,"F")=1),OP!$C$97+IF(F846="F",OP!$C$98,0),"")))</f>
        <v>0</v>
      </c>
      <c r="AK846" s="282">
        <f ca="1">IF(E846&gt;111,,IF(AND(OP!$D$99=1,T846="F"),AA846,IF(AND(OP!$D$99=2,COUNTIF($T$4:T846,"F")=1),OP!$D$97+IF(F846="F",OP!$D$98,0),"")))</f>
        <v>0</v>
      </c>
      <c r="AL846" s="282">
        <f ca="1">IF(E846&gt;111,,IF(AND(OP!$E$99=1,T846="F"),AB846,IF(AND(OP!$E$99=2,COUNTIF($T$4:T846,"F")=1),OP!$E$97+IF(F846="F",OP!$E$98,0),"")))</f>
        <v>0</v>
      </c>
      <c r="AM846" s="1">
        <f t="shared" ca="1" si="481"/>
        <v>4</v>
      </c>
      <c r="AN846" s="1" t="e">
        <f ca="1">IF(OR(VLOOKUP($A846,MP,5,0)="月繳"),1,"")</f>
        <v>#N/A</v>
      </c>
      <c r="AO846" s="1">
        <f t="shared" ca="1" si="492"/>
        <v>0</v>
      </c>
      <c r="AP846" s="1" t="str">
        <f ca="1">IF(AND(A846&lt;=OP!$C$120,COUNTIF(PAY,C846)=1),1,"")</f>
        <v/>
      </c>
      <c r="AR846" s="301">
        <f ca="1">IF(繳費報酬率資料!$A$1=1,$AY846+$AZ846,$BF846+$BG846)</f>
        <v>0</v>
      </c>
      <c r="AS846" s="1">
        <f ca="1">IF(C846&lt;&gt;IF($C$3=1,12,$C$3-1),0,IF(繳費報酬率資料!$A$1&lt;&gt;1,VLOOKUP($A846,MP,8,0),IF(AND($A846&gt;=OP!$C$79,$A846&lt;=OP!$C$80),OP!$C$78,)))</f>
        <v>0</v>
      </c>
      <c r="AT846" s="298">
        <f t="shared" ca="1" si="493"/>
        <v>0</v>
      </c>
      <c r="AU846" s="298">
        <f ca="1">IF(AND(A846&lt;=OP!$C$120,COUNTIF(PAY,C846)=1),OP!$C$123,0)</f>
        <v>0</v>
      </c>
      <c r="AV846" s="298">
        <f ca="1">IF(AND(A846&gt;=OP!$C$132,A846&lt;=OP!$C$133,$C$3=C846),OP!$C$135,0)</f>
        <v>0</v>
      </c>
      <c r="AW846" s="180">
        <f t="shared" ca="1" si="494"/>
        <v>0.05</v>
      </c>
      <c r="AX846" s="180">
        <f t="shared" ca="1" si="495"/>
        <v>0.05</v>
      </c>
      <c r="AY846" s="286">
        <f t="shared" ca="1" si="496"/>
        <v>0</v>
      </c>
      <c r="AZ846" s="286">
        <f t="shared" ca="1" si="497"/>
        <v>0</v>
      </c>
      <c r="BA846" s="286">
        <f t="shared" ca="1" si="498"/>
        <v>0</v>
      </c>
      <c r="BB846" s="286">
        <f t="shared" ca="1" si="499"/>
        <v>0</v>
      </c>
      <c r="BC846" s="286">
        <f t="shared" ca="1" si="500"/>
        <v>0</v>
      </c>
      <c r="BD846" s="180">
        <f t="shared" ca="1" si="501"/>
        <v>0.05</v>
      </c>
      <c r="BE846" s="180">
        <f t="shared" ca="1" si="502"/>
        <v>0.05</v>
      </c>
      <c r="BF846" s="286">
        <f t="shared" ca="1" si="503"/>
        <v>0</v>
      </c>
      <c r="BG846" s="286">
        <f t="shared" ca="1" si="504"/>
        <v>0</v>
      </c>
    </row>
    <row r="847" spans="1:59">
      <c r="A847" s="1">
        <f t="shared" ca="1" si="484"/>
        <v>71</v>
      </c>
      <c r="B847" s="1">
        <f t="shared" ca="1" si="477"/>
        <v>176</v>
      </c>
      <c r="C847" s="1">
        <f t="shared" ca="1" si="478"/>
        <v>9</v>
      </c>
      <c r="D847" s="1">
        <f ca="1">MIN($D$3,VLOOKUP(C847,OP!$S$30:$T$41,2))</f>
        <v>2</v>
      </c>
      <c r="E847" s="1" t="str">
        <f t="shared" ca="1" si="479"/>
        <v/>
      </c>
      <c r="F847" s="11" t="str">
        <f t="shared" ca="1" si="485"/>
        <v/>
      </c>
      <c r="G847" s="8">
        <f t="shared" ca="1" si="508"/>
        <v>366</v>
      </c>
      <c r="H847" s="8">
        <f t="shared" ca="1" si="486"/>
        <v>30</v>
      </c>
      <c r="I847" s="8" t="str">
        <f t="shared" ca="1" si="483"/>
        <v>719</v>
      </c>
      <c r="J847" s="13">
        <f>IF(繳費報酬率資料!$A$1=1,VALUE(OP!$C$121),VLOOKUP(A847,MP,2,0))</f>
        <v>0.05</v>
      </c>
      <c r="K847" s="14">
        <f ca="1">IF(SUM($K$4:K846,IF(繳費報酬率資料!$A$1=1,$AU847+$AV847,$BB847+$BC847))&gt;OP!$L$58,0,IF(繳費報酬率資料!$A$1=1,$AU847+$AV847,$BB847+$BC847))</f>
        <v>0</v>
      </c>
      <c r="L847" s="2"/>
      <c r="M847" s="2"/>
      <c r="N847" s="2"/>
      <c r="O847" s="261">
        <f t="shared" ca="1" si="487"/>
        <v>0</v>
      </c>
      <c r="P847" s="261">
        <f t="shared" ca="1" si="505"/>
        <v>0</v>
      </c>
      <c r="Q847" s="3">
        <f ca="1">IF(A847&gt;MAX(OP!$R$17:$R$26),0,VLOOKUP(A847,fees,3,FALSE))</f>
        <v>0</v>
      </c>
      <c r="R847" s="200" t="str">
        <f t="shared" ca="1" si="488"/>
        <v/>
      </c>
      <c r="S847" s="9" t="str">
        <f ca="1">IF(COUNTIF(($T$4:T846),"F")&gt;=1,"",IF(OR(C848&lt;&gt;$C$3,E847=""),"",A847))</f>
        <v/>
      </c>
      <c r="T847" s="20" t="str">
        <f t="shared" ca="1" si="480"/>
        <v/>
      </c>
      <c r="U847" s="2">
        <f ca="1">IF(IF(OP!$C$83=1,$Z846,IF(OP!$C$83=2,$AA846,IF(OP!$C$83=3,$AB846,)))+$K847-$O847-$P847-$AS847&lt;OP!$C$142,0,$AS847)</f>
        <v>0</v>
      </c>
      <c r="V847" s="9"/>
      <c r="W847" s="19">
        <f ca="1">MAX(SUM($K$4:K847),0)</f>
        <v>2000000</v>
      </c>
      <c r="X847" s="19"/>
      <c r="Y847" s="19">
        <f t="shared" ca="1" si="506"/>
        <v>1920000</v>
      </c>
      <c r="Z847" s="2">
        <f ca="1">IF(MIN($Z$4:Z846)=0,0,MAX(0,($Z846+$K847-$O847-$P847)*IF(AND(F847="F",$D$3&lt;&gt;$G$3),((1+(-J847))^(H847/MIN(G847,365))),((1+(-J847))^(1/12)))-$U847))</f>
        <v>52062.873454523397</v>
      </c>
      <c r="AA847" s="2">
        <f ca="1">IF(MIN($AA$4:AA846)=0,0,MAX(0,($AA846+$K847-$O847-$P847)*IF(AND(F847="F",$D$3&lt;&gt;$G$3),((1+$AA$1)^(H847/MIN(G847,365))),((1+$AA$1)^(1/12)))-$U847))</f>
        <v>1920000</v>
      </c>
      <c r="AB847" s="2">
        <f ca="1">IF(MIN($AB$4:AB846)=0,0,MAX(0,($AB846+$K847-$O847-$P847)*IF(AND(F847="F",$D$3&lt;&gt;$G$3),((1+(J847))^(H847/MIN(G847,365))),((1+(J847))^(1/12)))-$U847))</f>
        <v>59376591.485176295</v>
      </c>
      <c r="AC847" s="5"/>
      <c r="AD847" s="5"/>
      <c r="AE847" s="5"/>
      <c r="AF847" s="282">
        <f t="shared" ca="1" si="489"/>
        <v>52063</v>
      </c>
      <c r="AG847" s="282">
        <f t="shared" ca="1" si="490"/>
        <v>1920000</v>
      </c>
      <c r="AH847" s="282">
        <f t="shared" ca="1" si="491"/>
        <v>59376591</v>
      </c>
      <c r="AI847" s="23" t="str">
        <f t="shared" ca="1" si="507"/>
        <v>71-5</v>
      </c>
      <c r="AJ847" s="282">
        <f ca="1">IF(E847&gt;111,,IF(AND(OP!$C$99=1,T847="F"),Z847,IF(AND(OP!$C$99=2,COUNTIF($T$4:T847,"F")=1),OP!$C$97+IF(F847="F",OP!$C$98,0),"")))</f>
        <v>0</v>
      </c>
      <c r="AK847" s="282">
        <f ca="1">IF(E847&gt;111,,IF(AND(OP!$D$99=1,T847="F"),AA847,IF(AND(OP!$D$99=2,COUNTIF($T$4:T847,"F")=1),OP!$D$97+IF(F847="F",OP!$D$98,0),"")))</f>
        <v>0</v>
      </c>
      <c r="AL847" s="282">
        <f ca="1">IF(E847&gt;111,,IF(AND(OP!$E$99=1,T847="F"),AB847,IF(AND(OP!$E$99=2,COUNTIF($T$4:T847,"F")=1),OP!$E$97+IF(F847="F",OP!$E$98,0),"")))</f>
        <v>0</v>
      </c>
      <c r="AM847" s="1">
        <f t="shared" ca="1" si="481"/>
        <v>5</v>
      </c>
      <c r="AN847" s="1" t="e">
        <f ca="1">IF(OR(VLOOKUP($A847,MP,5,0)="季繳",VLOOKUP($A847,MP,5,0)="月繳"),1,"")</f>
        <v>#N/A</v>
      </c>
      <c r="AO847" s="1">
        <f t="shared" ca="1" si="492"/>
        <v>0</v>
      </c>
      <c r="AP847" s="1" t="str">
        <f ca="1">IF(AND(A847&lt;=OP!$C$120,COUNTIF(PAY,C847)=1),1,"")</f>
        <v/>
      </c>
      <c r="AR847" s="301">
        <f ca="1">IF(繳費報酬率資料!$A$1=1,$AY847+$AZ847,$BF847+$BG847)</f>
        <v>0</v>
      </c>
      <c r="AS847" s="1">
        <f ca="1">IF(C847&lt;&gt;IF($C$3=1,12,$C$3-1),0,IF(繳費報酬率資料!$A$1&lt;&gt;1,VLOOKUP($A847,MP,8,0),IF(AND($A847&gt;=OP!$C$79,$A847&lt;=OP!$C$80),OP!$C$78,)))</f>
        <v>0</v>
      </c>
      <c r="AT847" s="298">
        <f t="shared" ca="1" si="493"/>
        <v>0</v>
      </c>
      <c r="AU847" s="298">
        <f ca="1">IF(AND(A847&lt;=OP!$C$120,COUNTIF(PAY,C847)=1),OP!$C$123,0)</f>
        <v>0</v>
      </c>
      <c r="AV847" s="298">
        <f ca="1">IF(AND(A847&gt;=OP!$C$132,A847&lt;=OP!$C$133,$C$3=C847),OP!$C$135,0)</f>
        <v>0</v>
      </c>
      <c r="AW847" s="180">
        <f t="shared" ca="1" si="494"/>
        <v>0.05</v>
      </c>
      <c r="AX847" s="180">
        <f t="shared" ca="1" si="495"/>
        <v>0.05</v>
      </c>
      <c r="AY847" s="286">
        <f t="shared" ca="1" si="496"/>
        <v>0</v>
      </c>
      <c r="AZ847" s="286">
        <f t="shared" ca="1" si="497"/>
        <v>0</v>
      </c>
      <c r="BA847" s="286">
        <f t="shared" ca="1" si="498"/>
        <v>0</v>
      </c>
      <c r="BB847" s="286">
        <f t="shared" ca="1" si="499"/>
        <v>0</v>
      </c>
      <c r="BC847" s="286">
        <f t="shared" ca="1" si="500"/>
        <v>0</v>
      </c>
      <c r="BD847" s="180">
        <f t="shared" ca="1" si="501"/>
        <v>0.05</v>
      </c>
      <c r="BE847" s="180">
        <f t="shared" ca="1" si="502"/>
        <v>0.05</v>
      </c>
      <c r="BF847" s="286">
        <f t="shared" ca="1" si="503"/>
        <v>0</v>
      </c>
      <c r="BG847" s="286">
        <f t="shared" ca="1" si="504"/>
        <v>0</v>
      </c>
    </row>
    <row r="848" spans="1:59">
      <c r="A848" s="1">
        <f t="shared" ca="1" si="484"/>
        <v>71</v>
      </c>
      <c r="B848" s="1">
        <f t="shared" ca="1" si="477"/>
        <v>176</v>
      </c>
      <c r="C848" s="1">
        <f t="shared" ca="1" si="478"/>
        <v>10</v>
      </c>
      <c r="D848" s="1">
        <f ca="1">MIN($D$3,VLOOKUP(C848,OP!$S$30:$T$41,2))</f>
        <v>2</v>
      </c>
      <c r="E848" s="1" t="str">
        <f t="shared" ca="1" si="479"/>
        <v/>
      </c>
      <c r="F848" s="11" t="str">
        <f t="shared" ca="1" si="485"/>
        <v/>
      </c>
      <c r="G848" s="8">
        <f t="shared" ca="1" si="508"/>
        <v>366</v>
      </c>
      <c r="H848" s="8">
        <f t="shared" ca="1" si="486"/>
        <v>31</v>
      </c>
      <c r="I848" s="8" t="str">
        <f t="shared" ca="1" si="483"/>
        <v>7110</v>
      </c>
      <c r="J848" s="13">
        <f>IF(繳費報酬率資料!$A$1=1,VALUE(OP!$C$121),VLOOKUP(A848,MP,2,0))</f>
        <v>0.05</v>
      </c>
      <c r="K848" s="14">
        <f ca="1">IF(SUM($K$4:K847,IF(繳費報酬率資料!$A$1=1,$AU848+$AV848,$BB848+$BC848))&gt;OP!$L$58,0,IF(繳費報酬率資料!$A$1=1,$AU848+$AV848,$BB848+$BC848))</f>
        <v>0</v>
      </c>
      <c r="L848" s="2"/>
      <c r="M848" s="2"/>
      <c r="N848" s="2"/>
      <c r="O848" s="261">
        <f t="shared" ca="1" si="487"/>
        <v>0</v>
      </c>
      <c r="P848" s="261">
        <f t="shared" ca="1" si="505"/>
        <v>0</v>
      </c>
      <c r="Q848" s="3">
        <f ca="1">IF(A848&gt;MAX(OP!$R$17:$R$26),0,VLOOKUP(A848,fees,3,FALSE))</f>
        <v>0</v>
      </c>
      <c r="R848" s="200" t="str">
        <f t="shared" ca="1" si="488"/>
        <v/>
      </c>
      <c r="S848" s="9" t="str">
        <f ca="1">IF(COUNTIF(($T$4:T847),"F")&gt;=1,"",IF(OR(C849&lt;&gt;$C$3,E848=""),"",A848))</f>
        <v/>
      </c>
      <c r="T848" s="20" t="str">
        <f t="shared" ca="1" si="480"/>
        <v/>
      </c>
      <c r="U848" s="2">
        <f ca="1">IF(IF(OP!$C$83=1,$Z847,IF(OP!$C$83=2,$AA847,IF(OP!$C$83=3,$AB847,)))+$K848-$O848-$P848-$AS848&lt;OP!$C$142,0,$AS848)</f>
        <v>0</v>
      </c>
      <c r="V848" s="9"/>
      <c r="W848" s="19">
        <f ca="1">MAX(SUM($K$4:K848),0)</f>
        <v>2000000</v>
      </c>
      <c r="X848" s="19"/>
      <c r="Y848" s="19">
        <f t="shared" ca="1" si="506"/>
        <v>1920000</v>
      </c>
      <c r="Z848" s="2">
        <f ca="1">IF(MIN($Z$4:Z847)=0,0,MAX(0,($Z847+$K848-$O848-$P848)*IF(AND(F848="F",$D$3&lt;&gt;$G$3),((1+(-J848))^(H848/MIN(G848,365))),((1+(-J848))^(1/12)))-$U848))</f>
        <v>51840.808702764058</v>
      </c>
      <c r="AA848" s="2">
        <f ca="1">IF(MIN($AA$4:AA847)=0,0,MAX(0,($AA847+$K848-$O848-$P848)*IF(AND(F848="F",$D$3&lt;&gt;$G$3),((1+$AA$1)^(H848/MIN(G848,365))),((1+$AA$1)^(1/12)))-$U848))</f>
        <v>1920000</v>
      </c>
      <c r="AB848" s="2">
        <f ca="1">IF(MIN($AB$4:AB847)=0,0,MAX(0,($AB847+$K848-$O848-$P848)*IF(AND(F848="F",$D$3&lt;&gt;$G$3),((1+(J848))^(H848/MIN(G848,365))),((1+(J848))^(1/12)))-$U848))</f>
        <v>59618499.068738021</v>
      </c>
      <c r="AC848" s="5"/>
      <c r="AD848" s="5"/>
      <c r="AE848" s="5"/>
      <c r="AF848" s="282">
        <f t="shared" ca="1" si="489"/>
        <v>51841</v>
      </c>
      <c r="AG848" s="282">
        <f t="shared" ca="1" si="490"/>
        <v>1920000</v>
      </c>
      <c r="AH848" s="282">
        <f t="shared" ca="1" si="491"/>
        <v>59618499</v>
      </c>
      <c r="AI848" s="23" t="str">
        <f t="shared" ca="1" si="507"/>
        <v>71-6</v>
      </c>
      <c r="AJ848" s="282">
        <f ca="1">IF(E848&gt;111,,IF(AND(OP!$C$99=1,T848="F"),Z848,IF(AND(OP!$C$99=2,COUNTIF($T$4:T848,"F")=1),OP!$C$97+IF(F848="F",OP!$C$98,0),"")))</f>
        <v>0</v>
      </c>
      <c r="AK848" s="282">
        <f ca="1">IF(E848&gt;111,,IF(AND(OP!$D$99=1,T848="F"),AA848,IF(AND(OP!$D$99=2,COUNTIF($T$4:T848,"F")=1),OP!$D$97+IF(F848="F",OP!$D$98,0),"")))</f>
        <v>0</v>
      </c>
      <c r="AL848" s="282">
        <f ca="1">IF(E848&gt;111,,IF(AND(OP!$E$99=1,T848="F"),AB848,IF(AND(OP!$E$99=2,COUNTIF($T$4:T848,"F")=1),OP!$E$97+IF(F848="F",OP!$E$98,0),"")))</f>
        <v>0</v>
      </c>
      <c r="AM848" s="1">
        <f t="shared" ca="1" si="481"/>
        <v>6</v>
      </c>
      <c r="AN848" s="1" t="e">
        <f ca="1">IF(OR(VLOOKUP($A848,MP,5,0)="月繳"),1,"")</f>
        <v>#N/A</v>
      </c>
      <c r="AO848" s="1">
        <f t="shared" ca="1" si="492"/>
        <v>0</v>
      </c>
      <c r="AP848" s="1" t="str">
        <f ca="1">IF(AND(A848&lt;=OP!$C$120,COUNTIF(PAY,C848)=1),1,"")</f>
        <v/>
      </c>
      <c r="AR848" s="301">
        <f ca="1">IF(繳費報酬率資料!$A$1=1,$AY848+$AZ848,$BF848+$BG848)</f>
        <v>0</v>
      </c>
      <c r="AS848" s="1">
        <f ca="1">IF(C848&lt;&gt;IF($C$3=1,12,$C$3-1),0,IF(繳費報酬率資料!$A$1&lt;&gt;1,VLOOKUP($A848,MP,8,0),IF(AND($A848&gt;=OP!$C$79,$A848&lt;=OP!$C$80),OP!$C$78,)))</f>
        <v>0</v>
      </c>
      <c r="AT848" s="298">
        <f t="shared" ca="1" si="493"/>
        <v>0</v>
      </c>
      <c r="AU848" s="298">
        <f ca="1">IF(AND(A848&lt;=OP!$C$120,COUNTIF(PAY,C848)=1),OP!$C$123,0)</f>
        <v>0</v>
      </c>
      <c r="AV848" s="298">
        <f ca="1">IF(AND(A848&gt;=OP!$C$132,A848&lt;=OP!$C$133,$C$3=C848),OP!$C$135,0)</f>
        <v>0</v>
      </c>
      <c r="AW848" s="180">
        <f t="shared" ca="1" si="494"/>
        <v>0.05</v>
      </c>
      <c r="AX848" s="180">
        <f t="shared" ca="1" si="495"/>
        <v>0.05</v>
      </c>
      <c r="AY848" s="286">
        <f t="shared" ca="1" si="496"/>
        <v>0</v>
      </c>
      <c r="AZ848" s="286">
        <f t="shared" ca="1" si="497"/>
        <v>0</v>
      </c>
      <c r="BA848" s="286">
        <f t="shared" ca="1" si="498"/>
        <v>0</v>
      </c>
      <c r="BB848" s="286">
        <f t="shared" ca="1" si="499"/>
        <v>0</v>
      </c>
      <c r="BC848" s="286">
        <f t="shared" ca="1" si="500"/>
        <v>0</v>
      </c>
      <c r="BD848" s="180">
        <f t="shared" ca="1" si="501"/>
        <v>0.05</v>
      </c>
      <c r="BE848" s="180">
        <f t="shared" ca="1" si="502"/>
        <v>0.05</v>
      </c>
      <c r="BF848" s="286">
        <f t="shared" ca="1" si="503"/>
        <v>0</v>
      </c>
      <c r="BG848" s="286">
        <f t="shared" ca="1" si="504"/>
        <v>0</v>
      </c>
    </row>
    <row r="849" spans="1:59">
      <c r="A849" s="1">
        <f t="shared" ca="1" si="484"/>
        <v>71</v>
      </c>
      <c r="B849" s="1">
        <f t="shared" ca="1" si="477"/>
        <v>176</v>
      </c>
      <c r="C849" s="1">
        <f t="shared" ca="1" si="478"/>
        <v>11</v>
      </c>
      <c r="D849" s="1">
        <f ca="1">MIN($D$3,VLOOKUP(C849,OP!$S$30:$T$41,2))</f>
        <v>2</v>
      </c>
      <c r="E849" s="1" t="str">
        <f t="shared" ca="1" si="479"/>
        <v/>
      </c>
      <c r="F849" s="11" t="str">
        <f t="shared" ca="1" si="485"/>
        <v/>
      </c>
      <c r="G849" s="8">
        <f t="shared" ca="1" si="508"/>
        <v>366</v>
      </c>
      <c r="H849" s="8">
        <f t="shared" ca="1" si="486"/>
        <v>30</v>
      </c>
      <c r="I849" s="8" t="str">
        <f t="shared" ca="1" si="483"/>
        <v>7111</v>
      </c>
      <c r="J849" s="13">
        <f>IF(繳費報酬率資料!$A$1=1,VALUE(OP!$C$121),VLOOKUP(A849,MP,2,0))</f>
        <v>0.05</v>
      </c>
      <c r="K849" s="14">
        <f ca="1">IF(SUM($K$4:K848,IF(繳費報酬率資料!$A$1=1,$AU849+$AV849,$BB849+$BC849))&gt;OP!$L$58,0,IF(繳費報酬率資料!$A$1=1,$AU849+$AV849,$BB849+$BC849))</f>
        <v>0</v>
      </c>
      <c r="L849" s="2"/>
      <c r="M849" s="2"/>
      <c r="N849" s="2"/>
      <c r="O849" s="261">
        <f t="shared" ca="1" si="487"/>
        <v>0</v>
      </c>
      <c r="P849" s="261">
        <f t="shared" ca="1" si="505"/>
        <v>0</v>
      </c>
      <c r="Q849" s="3">
        <f ca="1">IF(A849&gt;MAX(OP!$R$17:$R$26),0,VLOOKUP(A849,fees,3,FALSE))</f>
        <v>0</v>
      </c>
      <c r="R849" s="200" t="str">
        <f t="shared" ca="1" si="488"/>
        <v/>
      </c>
      <c r="S849" s="9" t="str">
        <f ca="1">IF(COUNTIF(($T$4:T848),"F")&gt;=1,"",IF(OR(C850&lt;&gt;$C$3,E849=""),"",A849))</f>
        <v/>
      </c>
      <c r="T849" s="20" t="str">
        <f t="shared" ca="1" si="480"/>
        <v/>
      </c>
      <c r="U849" s="2">
        <f ca="1">IF(IF(OP!$C$83=1,$Z848,IF(OP!$C$83=2,$AA848,IF(OP!$C$83=3,$AB848,)))+$K849-$O849-$P849-$AS849&lt;OP!$C$142,0,$AS849)</f>
        <v>0</v>
      </c>
      <c r="V849" s="9"/>
      <c r="W849" s="19">
        <f ca="1">MAX(SUM($K$4:K849),0)</f>
        <v>2000000</v>
      </c>
      <c r="X849" s="19"/>
      <c r="Y849" s="19">
        <f t="shared" ca="1" si="506"/>
        <v>1920000</v>
      </c>
      <c r="Z849" s="2">
        <f ca="1">IF(MIN($Z$4:Z848)=0,0,MAX(0,($Z848+$K849-$O849-$P849)*IF(AND(F849="F",$D$3&lt;&gt;$G$3),((1+(-J849))^(H849/MIN(G849,365))),((1+(-J849))^(1/12)))-$U849))</f>
        <v>51619.691127960228</v>
      </c>
      <c r="AA849" s="2">
        <f ca="1">IF(MIN($AA$4:AA848)=0,0,MAX(0,($AA848+$K849-$O849-$P849)*IF(AND(F849="F",$D$3&lt;&gt;$G$3),((1+$AA$1)^(H849/MIN(G849,365))),((1+$AA$1)^(1/12)))-$U849))</f>
        <v>1920000</v>
      </c>
      <c r="AB849" s="2">
        <f ca="1">IF(MIN($AB$4:AB848)=0,0,MAX(0,($AB848+$K849-$O849-$P849)*IF(AND(F849="F",$D$3&lt;&gt;$G$3),((1+(J849))^(H849/MIN(G849,365))),((1+(J849))^(1/12)))-$U849))</f>
        <v>59861392.21373938</v>
      </c>
      <c r="AC849" s="5"/>
      <c r="AD849" s="5"/>
      <c r="AE849" s="5"/>
      <c r="AF849" s="282">
        <f t="shared" ca="1" si="489"/>
        <v>51620</v>
      </c>
      <c r="AG849" s="282">
        <f t="shared" ca="1" si="490"/>
        <v>1920000</v>
      </c>
      <c r="AH849" s="282">
        <f t="shared" ca="1" si="491"/>
        <v>59861392</v>
      </c>
      <c r="AI849" s="23" t="str">
        <f t="shared" ca="1" si="507"/>
        <v>71-7</v>
      </c>
      <c r="AJ849" s="282">
        <f ca="1">IF(E849&gt;111,,IF(AND(OP!$C$99=1,T849="F"),Z849,IF(AND(OP!$C$99=2,COUNTIF($T$4:T849,"F")=1),OP!$C$97+IF(F849="F",OP!$C$98,0),"")))</f>
        <v>0</v>
      </c>
      <c r="AK849" s="282">
        <f ca="1">IF(E849&gt;111,,IF(AND(OP!$D$99=1,T849="F"),AA849,IF(AND(OP!$D$99=2,COUNTIF($T$4:T849,"F")=1),OP!$D$97+IF(F849="F",OP!$D$98,0),"")))</f>
        <v>0</v>
      </c>
      <c r="AL849" s="282">
        <f ca="1">IF(E849&gt;111,,IF(AND(OP!$E$99=1,T849="F"),AB849,IF(AND(OP!$E$99=2,COUNTIF($T$4:T849,"F")=1),OP!$E$97+IF(F849="F",OP!$E$98,0),"")))</f>
        <v>0</v>
      </c>
      <c r="AM849" s="1">
        <f t="shared" ca="1" si="481"/>
        <v>7</v>
      </c>
      <c r="AN849" s="1" t="e">
        <f ca="1">IF(OR(VLOOKUP($A849,MP,5,0)="月繳"),1,"")</f>
        <v>#N/A</v>
      </c>
      <c r="AO849" s="1">
        <f t="shared" ca="1" si="492"/>
        <v>0</v>
      </c>
      <c r="AP849" s="1" t="str">
        <f ca="1">IF(AND(A849&lt;=OP!$C$120,COUNTIF(PAY,C849)=1),1,"")</f>
        <v/>
      </c>
      <c r="AR849" s="301">
        <f ca="1">IF(繳費報酬率資料!$A$1=1,$AY849+$AZ849,$BF849+$BG849)</f>
        <v>0</v>
      </c>
      <c r="AS849" s="1">
        <f ca="1">IF(C849&lt;&gt;IF($C$3=1,12,$C$3-1),0,IF(繳費報酬率資料!$A$1&lt;&gt;1,VLOOKUP($A849,MP,8,0),IF(AND($A849&gt;=OP!$C$79,$A849&lt;=OP!$C$80),OP!$C$78,)))</f>
        <v>0</v>
      </c>
      <c r="AT849" s="298">
        <f t="shared" ca="1" si="493"/>
        <v>0</v>
      </c>
      <c r="AU849" s="298">
        <f ca="1">IF(AND(A849&lt;=OP!$C$120,COUNTIF(PAY,C849)=1),OP!$C$123,0)</f>
        <v>0</v>
      </c>
      <c r="AV849" s="298">
        <f ca="1">IF(AND(A849&gt;=OP!$C$132,A849&lt;=OP!$C$133,$C$3=C849),OP!$C$135,0)</f>
        <v>0</v>
      </c>
      <c r="AW849" s="180">
        <f t="shared" ca="1" si="494"/>
        <v>0.05</v>
      </c>
      <c r="AX849" s="180">
        <f t="shared" ca="1" si="495"/>
        <v>0.05</v>
      </c>
      <c r="AY849" s="286">
        <f t="shared" ca="1" si="496"/>
        <v>0</v>
      </c>
      <c r="AZ849" s="286">
        <f t="shared" ca="1" si="497"/>
        <v>0</v>
      </c>
      <c r="BA849" s="286">
        <f t="shared" ca="1" si="498"/>
        <v>0</v>
      </c>
      <c r="BB849" s="286">
        <f t="shared" ca="1" si="499"/>
        <v>0</v>
      </c>
      <c r="BC849" s="286">
        <f t="shared" ca="1" si="500"/>
        <v>0</v>
      </c>
      <c r="BD849" s="180">
        <f t="shared" ca="1" si="501"/>
        <v>0.05</v>
      </c>
      <c r="BE849" s="180">
        <f t="shared" ca="1" si="502"/>
        <v>0.05</v>
      </c>
      <c r="BF849" s="286">
        <f t="shared" ca="1" si="503"/>
        <v>0</v>
      </c>
      <c r="BG849" s="286">
        <f t="shared" ca="1" si="504"/>
        <v>0</v>
      </c>
    </row>
    <row r="850" spans="1:59">
      <c r="A850" s="1">
        <f t="shared" ca="1" si="484"/>
        <v>71</v>
      </c>
      <c r="B850" s="1">
        <f t="shared" ca="1" si="477"/>
        <v>176</v>
      </c>
      <c r="C850" s="1">
        <f t="shared" ca="1" si="478"/>
        <v>12</v>
      </c>
      <c r="D850" s="1">
        <f ca="1">MIN($D$3,VLOOKUP(C850,OP!$S$30:$T$41,2))</f>
        <v>2</v>
      </c>
      <c r="E850" s="1" t="str">
        <f t="shared" ca="1" si="479"/>
        <v/>
      </c>
      <c r="F850" s="11" t="str">
        <f t="shared" ca="1" si="485"/>
        <v/>
      </c>
      <c r="G850" s="8">
        <f t="shared" ca="1" si="508"/>
        <v>366</v>
      </c>
      <c r="H850" s="8">
        <f t="shared" ca="1" si="486"/>
        <v>31</v>
      </c>
      <c r="I850" s="8" t="str">
        <f t="shared" ca="1" si="483"/>
        <v>7112</v>
      </c>
      <c r="J850" s="13">
        <f>IF(繳費報酬率資料!$A$1=1,VALUE(OP!$C$121),VLOOKUP(A850,MP,2,0))</f>
        <v>0.05</v>
      </c>
      <c r="K850" s="14">
        <f ca="1">IF(SUM($K$4:K849,IF(繳費報酬率資料!$A$1=1,$AU850+$AV850,$BB850+$BC850))&gt;OP!$L$58,0,IF(繳費報酬率資料!$A$1=1,$AU850+$AV850,$BB850+$BC850))</f>
        <v>0</v>
      </c>
      <c r="L850" s="2"/>
      <c r="M850" s="2"/>
      <c r="N850" s="2"/>
      <c r="O850" s="261">
        <f t="shared" ca="1" si="487"/>
        <v>0</v>
      </c>
      <c r="P850" s="261">
        <f t="shared" ca="1" si="505"/>
        <v>0</v>
      </c>
      <c r="Q850" s="3">
        <f ca="1">IF(A850&gt;MAX(OP!$R$17:$R$26),0,VLOOKUP(A850,fees,3,FALSE))</f>
        <v>0</v>
      </c>
      <c r="R850" s="200" t="str">
        <f t="shared" ca="1" si="488"/>
        <v/>
      </c>
      <c r="S850" s="9" t="str">
        <f ca="1">IF(COUNTIF(($T$4:T849),"F")&gt;=1,"",IF(OR(C851&lt;&gt;$C$3,E850=""),"",A850))</f>
        <v/>
      </c>
      <c r="T850" s="20" t="str">
        <f t="shared" ca="1" si="480"/>
        <v/>
      </c>
      <c r="U850" s="2">
        <f ca="1">IF(IF(OP!$C$83=1,$Z849,IF(OP!$C$83=2,$AA849,IF(OP!$C$83=3,$AB849,)))+$K850-$O850-$P850-$AS850&lt;OP!$C$142,0,$AS850)</f>
        <v>0</v>
      </c>
      <c r="V850" s="9"/>
      <c r="W850" s="19">
        <f ca="1">MAX(SUM($K$4:K850),0)</f>
        <v>2000000</v>
      </c>
      <c r="X850" s="19"/>
      <c r="Y850" s="19">
        <f t="shared" ca="1" si="506"/>
        <v>1920000</v>
      </c>
      <c r="Z850" s="2">
        <f ca="1">IF(MIN($Z$4:Z849)=0,0,MAX(0,($Z849+$K850-$O850-$P850)*IF(AND(F850="F",$D$3&lt;&gt;$G$3),((1+(-J850))^(H850/MIN(G850,365))),((1+(-J850))^(1/12)))-$U850))</f>
        <v>51399.516690100259</v>
      </c>
      <c r="AA850" s="2">
        <f ca="1">IF(MIN($AA$4:AA849)=0,0,MAX(0,($AA849+$K850-$O850-$P850)*IF(AND(F850="F",$D$3&lt;&gt;$G$3),((1+$AA$1)^(H850/MIN(G850,365))),((1+$AA$1)^(1/12)))-$U850))</f>
        <v>1920000</v>
      </c>
      <c r="AB850" s="2">
        <f ca="1">IF(MIN($AB$4:AB849)=0,0,MAX(0,($AB849+$K850-$O850-$P850)*IF(AND(F850="F",$D$3&lt;&gt;$G$3),((1+(J850))^(H850/MIN(G850,365))),((1+(J850))^(1/12)))-$U850))</f>
        <v>60105274.935479678</v>
      </c>
      <c r="AC850" s="5"/>
      <c r="AD850" s="5"/>
      <c r="AE850" s="5"/>
      <c r="AF850" s="282">
        <f t="shared" ca="1" si="489"/>
        <v>51400</v>
      </c>
      <c r="AG850" s="282">
        <f t="shared" ca="1" si="490"/>
        <v>1920000</v>
      </c>
      <c r="AH850" s="282">
        <f t="shared" ca="1" si="491"/>
        <v>60105275</v>
      </c>
      <c r="AI850" s="23" t="str">
        <f t="shared" ca="1" si="507"/>
        <v>71-8</v>
      </c>
      <c r="AJ850" s="282">
        <f ca="1">IF(E850&gt;111,,IF(AND(OP!$C$99=1,T850="F"),Z850,IF(AND(OP!$C$99=2,COUNTIF($T$4:T850,"F")=1),OP!$C$97+IF(F850="F",OP!$C$98,0),"")))</f>
        <v>0</v>
      </c>
      <c r="AK850" s="282">
        <f ca="1">IF(E850&gt;111,,IF(AND(OP!$D$99=1,T850="F"),AA850,IF(AND(OP!$D$99=2,COUNTIF($T$4:T850,"F")=1),OP!$D$97+IF(F850="F",OP!$D$98,0),"")))</f>
        <v>0</v>
      </c>
      <c r="AL850" s="282">
        <f ca="1">IF(E850&gt;111,,IF(AND(OP!$E$99=1,T850="F"),AB850,IF(AND(OP!$E$99=2,COUNTIF($T$4:T850,"F")=1),OP!$E$97+IF(F850="F",OP!$E$98,0),"")))</f>
        <v>0</v>
      </c>
      <c r="AM850" s="1">
        <f t="shared" ca="1" si="481"/>
        <v>8</v>
      </c>
      <c r="AN850" s="1" t="e">
        <f ca="1">IF(OR(VLOOKUP($A850,MP,5,0)="半年繳",VLOOKUP($A850,MP,5,0)="季繳",VLOOKUP($A850,MP,5,0)="月繳"),1,"")</f>
        <v>#N/A</v>
      </c>
      <c r="AO850" s="1">
        <f t="shared" ca="1" si="492"/>
        <v>0</v>
      </c>
      <c r="AP850" s="1" t="str">
        <f ca="1">IF(AND(A850&lt;=OP!$C$120,COUNTIF(PAY,C850)=1),1,"")</f>
        <v/>
      </c>
      <c r="AR850" s="301">
        <f ca="1">IF(繳費報酬率資料!$A$1=1,$AY850+$AZ850,$BF850+$BG850)</f>
        <v>0</v>
      </c>
      <c r="AS850" s="1">
        <f ca="1">IF(C850&lt;&gt;IF($C$3=1,12,$C$3-1),0,IF(繳費報酬率資料!$A$1&lt;&gt;1,VLOOKUP($A850,MP,8,0),IF(AND($A850&gt;=OP!$C$79,$A850&lt;=OP!$C$80),OP!$C$78,)))</f>
        <v>0</v>
      </c>
      <c r="AT850" s="298">
        <f t="shared" ca="1" si="493"/>
        <v>0</v>
      </c>
      <c r="AU850" s="298">
        <f ca="1">IF(AND(A850&lt;=OP!$C$120,COUNTIF(PAY,C850)=1),OP!$C$123,0)</f>
        <v>0</v>
      </c>
      <c r="AV850" s="298">
        <f ca="1">IF(AND(A850&gt;=OP!$C$132,A850&lt;=OP!$C$133,$C$3=C850),OP!$C$135,0)</f>
        <v>0</v>
      </c>
      <c r="AW850" s="180">
        <f t="shared" ca="1" si="494"/>
        <v>0.05</v>
      </c>
      <c r="AX850" s="180">
        <f t="shared" ca="1" si="495"/>
        <v>0.05</v>
      </c>
      <c r="AY850" s="286">
        <f t="shared" ca="1" si="496"/>
        <v>0</v>
      </c>
      <c r="AZ850" s="286">
        <f t="shared" ca="1" si="497"/>
        <v>0</v>
      </c>
      <c r="BA850" s="286">
        <f t="shared" ca="1" si="498"/>
        <v>0</v>
      </c>
      <c r="BB850" s="286">
        <f t="shared" ca="1" si="499"/>
        <v>0</v>
      </c>
      <c r="BC850" s="286">
        <f t="shared" ca="1" si="500"/>
        <v>0</v>
      </c>
      <c r="BD850" s="180">
        <f t="shared" ca="1" si="501"/>
        <v>0.05</v>
      </c>
      <c r="BE850" s="180">
        <f t="shared" ca="1" si="502"/>
        <v>0.05</v>
      </c>
      <c r="BF850" s="286">
        <f t="shared" ca="1" si="503"/>
        <v>0</v>
      </c>
      <c r="BG850" s="286">
        <f t="shared" ca="1" si="504"/>
        <v>0</v>
      </c>
    </row>
    <row r="851" spans="1:59">
      <c r="A851" s="1">
        <f t="shared" ca="1" si="484"/>
        <v>71</v>
      </c>
      <c r="B851" s="1">
        <f t="shared" ca="1" si="477"/>
        <v>177</v>
      </c>
      <c r="C851" s="1">
        <f t="shared" ca="1" si="478"/>
        <v>1</v>
      </c>
      <c r="D851" s="1">
        <f ca="1">MIN($D$3,VLOOKUP(C851,OP!$S$30:$T$41,2))</f>
        <v>2</v>
      </c>
      <c r="E851" s="1" t="str">
        <f t="shared" ca="1" si="479"/>
        <v/>
      </c>
      <c r="F851" s="11" t="str">
        <f t="shared" ca="1" si="485"/>
        <v/>
      </c>
      <c r="G851" s="8">
        <f t="shared" ca="1" si="508"/>
        <v>366</v>
      </c>
      <c r="H851" s="8">
        <f t="shared" ca="1" si="486"/>
        <v>31</v>
      </c>
      <c r="I851" s="8" t="str">
        <f t="shared" ca="1" si="483"/>
        <v>711</v>
      </c>
      <c r="J851" s="13">
        <f>IF(繳費報酬率資料!$A$1=1,VALUE(OP!$C$121),VLOOKUP(A851,MP,2,0))</f>
        <v>0.05</v>
      </c>
      <c r="K851" s="14">
        <f ca="1">IF(SUM($K$4:K850,IF(繳費報酬率資料!$A$1=1,$AU851+$AV851,$BB851+$BC851))&gt;OP!$L$58,0,IF(繳費報酬率資料!$A$1=1,$AU851+$AV851,$BB851+$BC851))</f>
        <v>0</v>
      </c>
      <c r="L851" s="2"/>
      <c r="M851" s="2"/>
      <c r="N851" s="2"/>
      <c r="O851" s="261">
        <f t="shared" ca="1" si="487"/>
        <v>0</v>
      </c>
      <c r="P851" s="261">
        <f t="shared" ca="1" si="505"/>
        <v>0</v>
      </c>
      <c r="Q851" s="3">
        <f ca="1">IF(A851&gt;MAX(OP!$R$17:$R$26),0,VLOOKUP(A851,fees,3,FALSE))</f>
        <v>0</v>
      </c>
      <c r="R851" s="200" t="str">
        <f t="shared" ca="1" si="488"/>
        <v/>
      </c>
      <c r="S851" s="9" t="str">
        <f ca="1">IF(COUNTIF(($T$4:T850),"F")&gt;=1,"",IF(OR(C852&lt;&gt;$C$3,E851=""),"",A851))</f>
        <v/>
      </c>
      <c r="T851" s="20" t="str">
        <f t="shared" ca="1" si="480"/>
        <v/>
      </c>
      <c r="U851" s="2">
        <f ca="1">IF(IF(OP!$C$83=1,$Z850,IF(OP!$C$83=2,$AA850,IF(OP!$C$83=3,$AB850,)))+$K851-$O851-$P851-$AS851&lt;OP!$C$142,0,$AS851)</f>
        <v>0</v>
      </c>
      <c r="V851" s="9"/>
      <c r="W851" s="19">
        <f ca="1">MAX(SUM($K$4:K851),0)</f>
        <v>2000000</v>
      </c>
      <c r="X851" s="19"/>
      <c r="Y851" s="19">
        <f t="shared" ca="1" si="506"/>
        <v>1920000</v>
      </c>
      <c r="Z851" s="2">
        <f ca="1">IF(MIN($Z$4:Z850)=0,0,MAX(0,($Z850+$K851-$O851-$P851)*IF(AND(F851="F",$D$3&lt;&gt;$G$3),((1+(-J851))^(H851/MIN(G851,365))),((1+(-J851))^(1/12)))-$U851))</f>
        <v>51180.28136640443</v>
      </c>
      <c r="AA851" s="2">
        <f ca="1">IF(MIN($AA$4:AA850)=0,0,MAX(0,($AA850+$K851-$O851-$P851)*IF(AND(F851="F",$D$3&lt;&gt;$G$3),((1+$AA$1)^(H851/MIN(G851,365))),((1+$AA$1)^(1/12)))-$U851))</f>
        <v>1920000</v>
      </c>
      <c r="AB851" s="2">
        <f ca="1">IF(MIN($AB$4:AB850)=0,0,MAX(0,($AB850+$K851-$O851-$P851)*IF(AND(F851="F",$D$3&lt;&gt;$G$3),((1+(J851))^(H851/MIN(G851,365))),((1+(J851))^(1/12)))-$U851))</f>
        <v>60350151.265617043</v>
      </c>
      <c r="AC851" s="5"/>
      <c r="AD851" s="5"/>
      <c r="AE851" s="5"/>
      <c r="AF851" s="282">
        <f t="shared" ca="1" si="489"/>
        <v>51180</v>
      </c>
      <c r="AG851" s="282">
        <f t="shared" ca="1" si="490"/>
        <v>1920000</v>
      </c>
      <c r="AH851" s="282">
        <f t="shared" ca="1" si="491"/>
        <v>60350151</v>
      </c>
      <c r="AI851" s="23" t="str">
        <f t="shared" ca="1" si="507"/>
        <v>71-9</v>
      </c>
      <c r="AJ851" s="282">
        <f ca="1">IF(E851&gt;111,,IF(AND(OP!$C$99=1,T851="F"),Z851,IF(AND(OP!$C$99=2,COUNTIF($T$4:T851,"F")=1),OP!$C$97+IF(F851="F",OP!$C$98,0),"")))</f>
        <v>0</v>
      </c>
      <c r="AK851" s="282">
        <f ca="1">IF(E851&gt;111,,IF(AND(OP!$D$99=1,T851="F"),AA851,IF(AND(OP!$D$99=2,COUNTIF($T$4:T851,"F")=1),OP!$D$97+IF(F851="F",OP!$D$98,0),"")))</f>
        <v>0</v>
      </c>
      <c r="AL851" s="282">
        <f ca="1">IF(E851&gt;111,,IF(AND(OP!$E$99=1,T851="F"),AB851,IF(AND(OP!$E$99=2,COUNTIF($T$4:T851,"F")=1),OP!$E$97+IF(F851="F",OP!$E$98,0),"")))</f>
        <v>0</v>
      </c>
      <c r="AM851" s="1">
        <f t="shared" ca="1" si="481"/>
        <v>9</v>
      </c>
      <c r="AN851" s="1" t="e">
        <f ca="1">IF(OR(VLOOKUP($A851,MP,5,0)="月繳"),1,"")</f>
        <v>#N/A</v>
      </c>
      <c r="AO851" s="1">
        <f t="shared" ca="1" si="492"/>
        <v>0</v>
      </c>
      <c r="AP851" s="1" t="str">
        <f ca="1">IF(AND(A851&lt;=OP!$C$120,COUNTIF(PAY,C851)=1),1,"")</f>
        <v/>
      </c>
      <c r="AR851" s="301">
        <f ca="1">IF(繳費報酬率資料!$A$1=1,$AY851+$AZ851,$BF851+$BG851)</f>
        <v>0</v>
      </c>
      <c r="AS851" s="1">
        <f ca="1">IF(C851&lt;&gt;IF($C$3=1,12,$C$3-1),0,IF(繳費報酬率資料!$A$1&lt;&gt;1,VLOOKUP($A851,MP,8,0),IF(AND($A851&gt;=OP!$C$79,$A851&lt;=OP!$C$80),OP!$C$78,)))</f>
        <v>0</v>
      </c>
      <c r="AT851" s="298">
        <f t="shared" ca="1" si="493"/>
        <v>0</v>
      </c>
      <c r="AU851" s="298">
        <f ca="1">IF(AND(A851&lt;=OP!$C$120,COUNTIF(PAY,C851)=1),OP!$C$123,0)</f>
        <v>0</v>
      </c>
      <c r="AV851" s="298">
        <f ca="1">IF(AND(A851&gt;=OP!$C$132,A851&lt;=OP!$C$133,$C$3=C851),OP!$C$135,0)</f>
        <v>0</v>
      </c>
      <c r="AW851" s="180">
        <f t="shared" ca="1" si="494"/>
        <v>0.05</v>
      </c>
      <c r="AX851" s="180">
        <f t="shared" ca="1" si="495"/>
        <v>0.05</v>
      </c>
      <c r="AY851" s="286">
        <f t="shared" ca="1" si="496"/>
        <v>0</v>
      </c>
      <c r="AZ851" s="286">
        <f t="shared" ca="1" si="497"/>
        <v>0</v>
      </c>
      <c r="BA851" s="286">
        <f t="shared" ca="1" si="498"/>
        <v>0</v>
      </c>
      <c r="BB851" s="286">
        <f t="shared" ca="1" si="499"/>
        <v>0</v>
      </c>
      <c r="BC851" s="286">
        <f t="shared" ca="1" si="500"/>
        <v>0</v>
      </c>
      <c r="BD851" s="180">
        <f t="shared" ca="1" si="501"/>
        <v>0.05</v>
      </c>
      <c r="BE851" s="180">
        <f t="shared" ca="1" si="502"/>
        <v>0.05</v>
      </c>
      <c r="BF851" s="286">
        <f t="shared" ca="1" si="503"/>
        <v>0</v>
      </c>
      <c r="BG851" s="286">
        <f t="shared" ca="1" si="504"/>
        <v>0</v>
      </c>
    </row>
    <row r="852" spans="1:59">
      <c r="A852" s="1">
        <f t="shared" ca="1" si="484"/>
        <v>71</v>
      </c>
      <c r="B852" s="1">
        <f t="shared" ca="1" si="477"/>
        <v>177</v>
      </c>
      <c r="C852" s="1">
        <f t="shared" ca="1" si="478"/>
        <v>2</v>
      </c>
      <c r="D852" s="1">
        <f ca="1">MIN($D$3,VLOOKUP(C852,OP!$S$30:$T$41,2))</f>
        <v>2</v>
      </c>
      <c r="E852" s="1" t="str">
        <f t="shared" ca="1" si="479"/>
        <v/>
      </c>
      <c r="F852" s="11" t="str">
        <f t="shared" ca="1" si="485"/>
        <v/>
      </c>
      <c r="G852" s="8">
        <f t="shared" ca="1" si="508"/>
        <v>366</v>
      </c>
      <c r="H852" s="8">
        <f t="shared" ca="1" si="486"/>
        <v>29</v>
      </c>
      <c r="I852" s="8" t="str">
        <f t="shared" ca="1" si="483"/>
        <v>712</v>
      </c>
      <c r="J852" s="13">
        <f>IF(繳費報酬率資料!$A$1=1,VALUE(OP!$C$121),VLOOKUP(A852,MP,2,0))</f>
        <v>0.05</v>
      </c>
      <c r="K852" s="14">
        <f ca="1">IF(SUM($K$4:K851,IF(繳費報酬率資料!$A$1=1,$AU852+$AV852,$BB852+$BC852))&gt;OP!$L$58,0,IF(繳費報酬率資料!$A$1=1,$AU852+$AV852,$BB852+$BC852))</f>
        <v>0</v>
      </c>
      <c r="L852" s="2"/>
      <c r="M852" s="2"/>
      <c r="N852" s="2"/>
      <c r="O852" s="261">
        <f t="shared" ca="1" si="487"/>
        <v>0</v>
      </c>
      <c r="P852" s="261">
        <f t="shared" ca="1" si="505"/>
        <v>0</v>
      </c>
      <c r="Q852" s="3">
        <f ca="1">IF(A852&gt;MAX(OP!$R$17:$R$26),0,VLOOKUP(A852,fees,3,FALSE))</f>
        <v>0</v>
      </c>
      <c r="R852" s="200" t="str">
        <f t="shared" ca="1" si="488"/>
        <v/>
      </c>
      <c r="S852" s="9" t="str">
        <f ca="1">IF(COUNTIF(($T$4:T851),"F")&gt;=1,"",IF(OR(C853&lt;&gt;$C$3,E852=""),"",A852))</f>
        <v/>
      </c>
      <c r="T852" s="20" t="str">
        <f t="shared" ca="1" si="480"/>
        <v/>
      </c>
      <c r="U852" s="2">
        <f ca="1">IF(IF(OP!$C$83=1,$Z851,IF(OP!$C$83=2,$AA851,IF(OP!$C$83=3,$AB851,)))+$K852-$O852-$P852-$AS852&lt;OP!$C$142,0,$AS852)</f>
        <v>0</v>
      </c>
      <c r="V852" s="9"/>
      <c r="W852" s="19">
        <f ca="1">MAX(SUM($K$4:K852),0)</f>
        <v>2000000</v>
      </c>
      <c r="X852" s="19"/>
      <c r="Y852" s="19">
        <f t="shared" ca="1" si="506"/>
        <v>1920000</v>
      </c>
      <c r="Z852" s="2">
        <f ca="1">IF(MIN($Z$4:Z851)=0,0,MAX(0,($Z851+$K852-$O852-$P852)*IF(AND(F852="F",$D$3&lt;&gt;$G$3),((1+(-J852))^(H852/MIN(G852,365))),((1+(-J852))^(1/12)))-$U852))</f>
        <v>50961.981151251464</v>
      </c>
      <c r="AA852" s="2">
        <f ca="1">IF(MIN($AA$4:AA851)=0,0,MAX(0,($AA851+$K852-$O852-$P852)*IF(AND(F852="F",$D$3&lt;&gt;$G$3),((1+$AA$1)^(H852/MIN(G852,365))),((1+$AA$1)^(1/12)))-$U852))</f>
        <v>1920000</v>
      </c>
      <c r="AB852" s="2">
        <f ca="1">IF(MIN($AB$4:AB851)=0,0,MAX(0,($AB851+$K852-$O852-$P852)*IF(AND(F852="F",$D$3&lt;&gt;$G$3),((1+(J852))^(H852/MIN(G852,365))),((1+(J852))^(1/12)))-$U852))</f>
        <v>60596025.25223507</v>
      </c>
      <c r="AC852" s="5"/>
      <c r="AD852" s="5"/>
      <c r="AE852" s="5"/>
      <c r="AF852" s="282">
        <f t="shared" ca="1" si="489"/>
        <v>50962</v>
      </c>
      <c r="AG852" s="282">
        <f t="shared" ca="1" si="490"/>
        <v>1920000</v>
      </c>
      <c r="AH852" s="282">
        <f t="shared" ca="1" si="491"/>
        <v>60596025</v>
      </c>
      <c r="AI852" s="23" t="str">
        <f t="shared" ca="1" si="507"/>
        <v>71-10</v>
      </c>
      <c r="AJ852" s="282">
        <f ca="1">IF(E852&gt;111,,IF(AND(OP!$C$99=1,T852="F"),Z852,IF(AND(OP!$C$99=2,COUNTIF($T$4:T852,"F")=1),OP!$C$97+IF(F852="F",OP!$C$98,0),"")))</f>
        <v>0</v>
      </c>
      <c r="AK852" s="282">
        <f ca="1">IF(E852&gt;111,,IF(AND(OP!$D$99=1,T852="F"),AA852,IF(AND(OP!$D$99=2,COUNTIF($T$4:T852,"F")=1),OP!$D$97+IF(F852="F",OP!$D$98,0),"")))</f>
        <v>0</v>
      </c>
      <c r="AL852" s="282">
        <f ca="1">IF(E852&gt;111,,IF(AND(OP!$E$99=1,T852="F"),AB852,IF(AND(OP!$E$99=2,COUNTIF($T$4:T852,"F")=1),OP!$E$97+IF(F852="F",OP!$E$98,0),"")))</f>
        <v>0</v>
      </c>
      <c r="AM852" s="1">
        <f t="shared" ca="1" si="481"/>
        <v>10</v>
      </c>
      <c r="AN852" s="1" t="e">
        <f ca="1">IF(OR(VLOOKUP($A852,MP,5,0)="月繳"),1,"")</f>
        <v>#N/A</v>
      </c>
      <c r="AO852" s="1">
        <f t="shared" ca="1" si="492"/>
        <v>0</v>
      </c>
      <c r="AP852" s="1" t="str">
        <f ca="1">IF(AND(A852&lt;=OP!$C$120,COUNTIF(PAY,C852)=1),1,"")</f>
        <v/>
      </c>
      <c r="AR852" s="301">
        <f ca="1">IF(繳費報酬率資料!$A$1=1,$AY852+$AZ852,$BF852+$BG852)</f>
        <v>0</v>
      </c>
      <c r="AS852" s="1">
        <f ca="1">IF(C852&lt;&gt;IF($C$3=1,12,$C$3-1),0,IF(繳費報酬率資料!$A$1&lt;&gt;1,VLOOKUP($A852,MP,8,0),IF(AND($A852&gt;=OP!$C$79,$A852&lt;=OP!$C$80),OP!$C$78,)))</f>
        <v>0</v>
      </c>
      <c r="AT852" s="298">
        <f t="shared" ca="1" si="493"/>
        <v>0</v>
      </c>
      <c r="AU852" s="298">
        <f ca="1">IF(AND(A852&lt;=OP!$C$120,COUNTIF(PAY,C852)=1),OP!$C$123,0)</f>
        <v>0</v>
      </c>
      <c r="AV852" s="298">
        <f ca="1">IF(AND(A852&gt;=OP!$C$132,A852&lt;=OP!$C$133,$C$3=C852),OP!$C$135,0)</f>
        <v>0</v>
      </c>
      <c r="AW852" s="180">
        <f t="shared" ca="1" si="494"/>
        <v>0.05</v>
      </c>
      <c r="AX852" s="180">
        <f t="shared" ca="1" si="495"/>
        <v>0.05</v>
      </c>
      <c r="AY852" s="286">
        <f t="shared" ca="1" si="496"/>
        <v>0</v>
      </c>
      <c r="AZ852" s="286">
        <f t="shared" ca="1" si="497"/>
        <v>0</v>
      </c>
      <c r="BA852" s="286">
        <f t="shared" ca="1" si="498"/>
        <v>0</v>
      </c>
      <c r="BB852" s="286">
        <f t="shared" ca="1" si="499"/>
        <v>0</v>
      </c>
      <c r="BC852" s="286">
        <f t="shared" ca="1" si="500"/>
        <v>0</v>
      </c>
      <c r="BD852" s="180">
        <f t="shared" ca="1" si="501"/>
        <v>0.05</v>
      </c>
      <c r="BE852" s="180">
        <f t="shared" ca="1" si="502"/>
        <v>0.05</v>
      </c>
      <c r="BF852" s="286">
        <f t="shared" ca="1" si="503"/>
        <v>0</v>
      </c>
      <c r="BG852" s="286">
        <f t="shared" ca="1" si="504"/>
        <v>0</v>
      </c>
    </row>
    <row r="853" spans="1:59">
      <c r="A853" s="1">
        <f t="shared" ca="1" si="484"/>
        <v>71</v>
      </c>
      <c r="B853" s="1">
        <f t="shared" ca="1" si="477"/>
        <v>177</v>
      </c>
      <c r="C853" s="1">
        <f t="shared" ca="1" si="478"/>
        <v>3</v>
      </c>
      <c r="D853" s="1">
        <f ca="1">MIN($D$3,VLOOKUP(C853,OP!$S$30:$T$41,2))</f>
        <v>2</v>
      </c>
      <c r="E853" s="1" t="str">
        <f t="shared" ca="1" si="479"/>
        <v/>
      </c>
      <c r="F853" s="11" t="str">
        <f t="shared" ca="1" si="485"/>
        <v/>
      </c>
      <c r="G853" s="8">
        <f t="shared" ca="1" si="508"/>
        <v>366</v>
      </c>
      <c r="H853" s="8">
        <f t="shared" ca="1" si="486"/>
        <v>31</v>
      </c>
      <c r="I853" s="8" t="str">
        <f t="shared" ca="1" si="483"/>
        <v>713</v>
      </c>
      <c r="J853" s="13">
        <f>IF(繳費報酬率資料!$A$1=1,VALUE(OP!$C$121),VLOOKUP(A853,MP,2,0))</f>
        <v>0.05</v>
      </c>
      <c r="K853" s="14">
        <f ca="1">IF(SUM($K$4:K852,IF(繳費報酬率資料!$A$1=1,$AU853+$AV853,$BB853+$BC853))&gt;OP!$L$58,0,IF(繳費報酬率資料!$A$1=1,$AU853+$AV853,$BB853+$BC853))</f>
        <v>0</v>
      </c>
      <c r="L853" s="2"/>
      <c r="M853" s="2"/>
      <c r="N853" s="2"/>
      <c r="O853" s="261">
        <f t="shared" ca="1" si="487"/>
        <v>0</v>
      </c>
      <c r="P853" s="261">
        <f t="shared" ca="1" si="505"/>
        <v>0</v>
      </c>
      <c r="Q853" s="3">
        <f ca="1">IF(A853&gt;MAX(OP!$R$17:$R$26),0,VLOOKUP(A853,fees,3,FALSE))</f>
        <v>0</v>
      </c>
      <c r="R853" s="200" t="str">
        <f t="shared" ca="1" si="488"/>
        <v/>
      </c>
      <c r="S853" s="9" t="str">
        <f ca="1">IF(COUNTIF(($T$4:T852),"F")&gt;=1,"",IF(OR(C854&lt;&gt;$C$3,E853=""),"",A853))</f>
        <v/>
      </c>
      <c r="T853" s="20" t="str">
        <f t="shared" ca="1" si="480"/>
        <v/>
      </c>
      <c r="U853" s="2">
        <f ca="1">IF(IF(OP!$C$83=1,$Z852,IF(OP!$C$83=2,$AA852,IF(OP!$C$83=3,$AB852,)))+$K853-$O853-$P853-$AS853&lt;OP!$C$142,0,$AS853)</f>
        <v>0</v>
      </c>
      <c r="V853" s="9"/>
      <c r="W853" s="19">
        <f ca="1">MAX(SUM($K$4:K853),0)</f>
        <v>2000000</v>
      </c>
      <c r="X853" s="19"/>
      <c r="Y853" s="19">
        <f t="shared" ca="1" si="506"/>
        <v>1920000</v>
      </c>
      <c r="Z853" s="2">
        <f ca="1">IF(MIN($Z$4:Z852)=0,0,MAX(0,($Z852+$K853-$O853-$P853)*IF(AND(F853="F",$D$3&lt;&gt;$G$3),((1+(-J853))^(H853/MIN(G853,365))),((1+(-J853))^(1/12)))-$U853))</f>
        <v>50744.612056105339</v>
      </c>
      <c r="AA853" s="2">
        <f ca="1">IF(MIN($AA$4:AA852)=0,0,MAX(0,($AA852+$K853-$O853-$P853)*IF(AND(F853="F",$D$3&lt;&gt;$G$3),((1+$AA$1)^(H853/MIN(G853,365))),((1+$AA$1)^(1/12)))-$U853))</f>
        <v>1920000</v>
      </c>
      <c r="AB853" s="2">
        <f ca="1">IF(MIN($AB$4:AB852)=0,0,MAX(0,($AB852+$K853-$O853-$P853)*IF(AND(F853="F",$D$3&lt;&gt;$G$3),((1+(J853))^(H853/MIN(G853,365))),((1+(J853))^(1/12)))-$U853))</f>
        <v>60842900.959909759</v>
      </c>
      <c r="AC853" s="5"/>
      <c r="AD853" s="5"/>
      <c r="AE853" s="5"/>
      <c r="AF853" s="282">
        <f t="shared" ca="1" si="489"/>
        <v>50745</v>
      </c>
      <c r="AG853" s="282">
        <f t="shared" ca="1" si="490"/>
        <v>1920000</v>
      </c>
      <c r="AH853" s="282">
        <f t="shared" ca="1" si="491"/>
        <v>60842901</v>
      </c>
      <c r="AI853" s="23" t="str">
        <f t="shared" ca="1" si="507"/>
        <v>71-11</v>
      </c>
      <c r="AJ853" s="282">
        <f ca="1">IF(E853&gt;111,,IF(AND(OP!$C$99=1,T853="F"),Z853,IF(AND(OP!$C$99=2,COUNTIF($T$4:T853,"F")=1),OP!$C$97+IF(F853="F",OP!$C$98,0),"")))</f>
        <v>0</v>
      </c>
      <c r="AK853" s="282">
        <f ca="1">IF(E853&gt;111,,IF(AND(OP!$D$99=1,T853="F"),AA853,IF(AND(OP!$D$99=2,COUNTIF($T$4:T853,"F")=1),OP!$D$97+IF(F853="F",OP!$D$98,0),"")))</f>
        <v>0</v>
      </c>
      <c r="AL853" s="282">
        <f ca="1">IF(E853&gt;111,,IF(AND(OP!$E$99=1,T853="F"),AB853,IF(AND(OP!$E$99=2,COUNTIF($T$4:T853,"F")=1),OP!$E$97+IF(F853="F",OP!$E$98,0),"")))</f>
        <v>0</v>
      </c>
      <c r="AM853" s="1">
        <f t="shared" ca="1" si="481"/>
        <v>11</v>
      </c>
      <c r="AN853" s="1" t="e">
        <f ca="1">IF(OR(VLOOKUP($A853,MP,5,0)="季繳",VLOOKUP($A853,MP,5,0)="月繳"),1,"")</f>
        <v>#N/A</v>
      </c>
      <c r="AO853" s="1">
        <f t="shared" ca="1" si="492"/>
        <v>0</v>
      </c>
      <c r="AP853" s="1" t="str">
        <f ca="1">IF(AND(A853&lt;=OP!$C$120,COUNTIF(PAY,C853)=1),1,"")</f>
        <v/>
      </c>
      <c r="AR853" s="301">
        <f ca="1">IF(繳費報酬率資料!$A$1=1,$AY853+$AZ853,$BF853+$BG853)</f>
        <v>0</v>
      </c>
      <c r="AS853" s="1">
        <f ca="1">IF(C853&lt;&gt;IF($C$3=1,12,$C$3-1),0,IF(繳費報酬率資料!$A$1&lt;&gt;1,VLOOKUP($A853,MP,8,0),IF(AND($A853&gt;=OP!$C$79,$A853&lt;=OP!$C$80),OP!$C$78,)))</f>
        <v>0</v>
      </c>
      <c r="AT853" s="298">
        <f t="shared" ca="1" si="493"/>
        <v>0</v>
      </c>
      <c r="AU853" s="298">
        <f ca="1">IF(AND(A853&lt;=OP!$C$120,COUNTIF(PAY,C853)=1),OP!$C$123,0)</f>
        <v>0</v>
      </c>
      <c r="AV853" s="298">
        <f ca="1">IF(AND(A853&gt;=OP!$C$132,A853&lt;=OP!$C$133,$C$3=C853),OP!$C$135,0)</f>
        <v>0</v>
      </c>
      <c r="AW853" s="180">
        <f t="shared" ca="1" si="494"/>
        <v>0.05</v>
      </c>
      <c r="AX853" s="180">
        <f t="shared" ca="1" si="495"/>
        <v>0.05</v>
      </c>
      <c r="AY853" s="286">
        <f t="shared" ca="1" si="496"/>
        <v>0</v>
      </c>
      <c r="AZ853" s="286">
        <f t="shared" ca="1" si="497"/>
        <v>0</v>
      </c>
      <c r="BA853" s="286">
        <f t="shared" ca="1" si="498"/>
        <v>0</v>
      </c>
      <c r="BB853" s="286">
        <f t="shared" ca="1" si="499"/>
        <v>0</v>
      </c>
      <c r="BC853" s="286">
        <f t="shared" ca="1" si="500"/>
        <v>0</v>
      </c>
      <c r="BD853" s="180">
        <f t="shared" ca="1" si="501"/>
        <v>0.05</v>
      </c>
      <c r="BE853" s="180">
        <f t="shared" ca="1" si="502"/>
        <v>0.05</v>
      </c>
      <c r="BF853" s="286">
        <f t="shared" ca="1" si="503"/>
        <v>0</v>
      </c>
      <c r="BG853" s="286">
        <f t="shared" ca="1" si="504"/>
        <v>0</v>
      </c>
    </row>
    <row r="854" spans="1:59">
      <c r="A854" s="1">
        <f t="shared" ca="1" si="484"/>
        <v>71</v>
      </c>
      <c r="B854" s="1">
        <f t="shared" ca="1" si="477"/>
        <v>177</v>
      </c>
      <c r="C854" s="1">
        <f t="shared" ca="1" si="478"/>
        <v>4</v>
      </c>
      <c r="D854" s="1">
        <f ca="1">MIN($D$3,VLOOKUP(C854,OP!$S$30:$T$41,2))</f>
        <v>2</v>
      </c>
      <c r="E854" s="1" t="str">
        <f t="shared" ca="1" si="479"/>
        <v/>
      </c>
      <c r="F854" s="11" t="str">
        <f t="shared" ca="1" si="485"/>
        <v/>
      </c>
      <c r="G854" s="8">
        <f t="shared" ca="1" si="508"/>
        <v>366</v>
      </c>
      <c r="H854" s="8">
        <f t="shared" ca="1" si="486"/>
        <v>30</v>
      </c>
      <c r="I854" s="8" t="str">
        <f t="shared" ca="1" si="483"/>
        <v>714</v>
      </c>
      <c r="J854" s="13">
        <f>IF(繳費報酬率資料!$A$1=1,VALUE(OP!$C$121),VLOOKUP(A854,MP,2,0))</f>
        <v>0.05</v>
      </c>
      <c r="K854" s="14">
        <f ca="1">IF(SUM($K$4:K853,IF(繳費報酬率資料!$A$1=1,$AU854+$AV854,$BB854+$BC854))&gt;OP!$L$58,0,IF(繳費報酬率資料!$A$1=1,$AU854+$AV854,$BB854+$BC854))</f>
        <v>0</v>
      </c>
      <c r="L854" s="2"/>
      <c r="M854" s="2"/>
      <c r="N854" s="2"/>
      <c r="O854" s="261">
        <f t="shared" ca="1" si="487"/>
        <v>0</v>
      </c>
      <c r="P854" s="261">
        <f t="shared" ca="1" si="505"/>
        <v>0</v>
      </c>
      <c r="Q854" s="3">
        <f ca="1">IF(A854&gt;MAX(OP!$R$17:$R$26),0,VLOOKUP(A854,fees,3,FALSE))</f>
        <v>0</v>
      </c>
      <c r="R854" s="200" t="str">
        <f t="shared" ca="1" si="488"/>
        <v/>
      </c>
      <c r="S854" s="9" t="str">
        <f ca="1">IF(COUNTIF(($T$4:T853),"F")&gt;=1,"",IF(OR(C855&lt;&gt;$C$3,E854=""),"",A854))</f>
        <v/>
      </c>
      <c r="T854" s="20" t="str">
        <f t="shared" ca="1" si="480"/>
        <v/>
      </c>
      <c r="U854" s="2">
        <f ca="1">IF(IF(OP!$C$83=1,$Z853,IF(OP!$C$83=2,$AA853,IF(OP!$C$83=3,$AB853,)))+$K854-$O854-$P854-$AS854&lt;OP!$C$142,0,$AS854)</f>
        <v>0</v>
      </c>
      <c r="V854" s="9"/>
      <c r="W854" s="19">
        <f ca="1">MAX(SUM($K$4:K854),0)</f>
        <v>2000000</v>
      </c>
      <c r="X854" s="19"/>
      <c r="Y854" s="19">
        <f t="shared" ca="1" si="506"/>
        <v>1920000</v>
      </c>
      <c r="Z854" s="2">
        <f ca="1">IF(MIN($Z$4:Z853)=0,0,MAX(0,($Z853+$K854-$O854-$P854)*IF(AND(F854="F",$D$3&lt;&gt;$G$3),((1+(-J854))^(H854/MIN(G854,365))),((1+(-J854))^(1/12)))-$U854))</f>
        <v>50528.170109442406</v>
      </c>
      <c r="AA854" s="2">
        <f ca="1">IF(MIN($AA$4:AA853)=0,0,MAX(0,($AA853+$K854-$O854-$P854)*IF(AND(F854="F",$D$3&lt;&gt;$G$3),((1+$AA$1)^(H854/MIN(G854,365))),((1+$AA$1)^(1/12)))-$U854))</f>
        <v>1920000</v>
      </c>
      <c r="AB854" s="2">
        <f ca="1">IF(MIN($AB$4:AB853)=0,0,MAX(0,($AB853+$K854-$O854-$P854)*IF(AND(F854="F",$D$3&lt;&gt;$G$3),((1+(J854))^(H854/MIN(G854,365))),((1+(J854))^(1/12)))-$U854))</f>
        <v>61090782.46977669</v>
      </c>
      <c r="AC854" s="5"/>
      <c r="AD854" s="5"/>
      <c r="AE854" s="5"/>
      <c r="AF854" s="282">
        <f t="shared" ca="1" si="489"/>
        <v>50528</v>
      </c>
      <c r="AG854" s="282">
        <f t="shared" ca="1" si="490"/>
        <v>1920000</v>
      </c>
      <c r="AH854" s="282">
        <f t="shared" ca="1" si="491"/>
        <v>61090782</v>
      </c>
      <c r="AI854" s="23" t="str">
        <f t="shared" ca="1" si="507"/>
        <v>71-12</v>
      </c>
      <c r="AJ854" s="282">
        <f ca="1">IF(E854&gt;111,,IF(AND(OP!$C$99=1,T854="F"),Z854,IF(AND(OP!$C$99=2,COUNTIF($T$4:T854,"F")=1),OP!$C$97+IF(F854="F",OP!$C$98,0),"")))</f>
        <v>0</v>
      </c>
      <c r="AK854" s="282">
        <f ca="1">IF(E854&gt;111,,IF(AND(OP!$D$99=1,T854="F"),AA854,IF(AND(OP!$D$99=2,COUNTIF($T$4:T854,"F")=1),OP!$D$97+IF(F854="F",OP!$D$98,0),"")))</f>
        <v>0</v>
      </c>
      <c r="AL854" s="282">
        <f ca="1">IF(E854&gt;111,,IF(AND(OP!$E$99=1,T854="F"),AB854,IF(AND(OP!$E$99=2,COUNTIF($T$4:T854,"F")=1),OP!$E$97+IF(F854="F",OP!$E$98,0),"")))</f>
        <v>0</v>
      </c>
      <c r="AM854" s="1">
        <f t="shared" ca="1" si="481"/>
        <v>12</v>
      </c>
      <c r="AN854" s="1" t="e">
        <f ca="1">IF(OR(VLOOKUP($A854,MP,5,0)="月繳"),1,"")</f>
        <v>#N/A</v>
      </c>
      <c r="AO854" s="1">
        <f t="shared" ca="1" si="492"/>
        <v>0</v>
      </c>
      <c r="AP854" s="1" t="str">
        <f ca="1">IF(AND(A854&lt;=OP!$C$120,COUNTIF(PAY,C854)=1),1,"")</f>
        <v/>
      </c>
      <c r="AR854" s="301">
        <f ca="1">IF(繳費報酬率資料!$A$1=1,$AY854+$AZ854,$BF854+$BG854)</f>
        <v>0</v>
      </c>
      <c r="AS854" s="1">
        <f ca="1">IF(C854&lt;&gt;IF($C$3=1,12,$C$3-1),0,IF(繳費報酬率資料!$A$1&lt;&gt;1,VLOOKUP($A854,MP,8,0),IF(AND($A854&gt;=OP!$C$79,$A854&lt;=OP!$C$80),OP!$C$78,)))</f>
        <v>0</v>
      </c>
      <c r="AT854" s="298">
        <f t="shared" ca="1" si="493"/>
        <v>0</v>
      </c>
      <c r="AU854" s="298">
        <f ca="1">IF(AND(A854&lt;=OP!$C$120,COUNTIF(PAY,C854)=1),OP!$C$123,0)</f>
        <v>0</v>
      </c>
      <c r="AV854" s="298">
        <f ca="1">IF(AND(A854&gt;=OP!$C$132,A854&lt;=OP!$C$133,$C$3=C854),OP!$C$135,0)</f>
        <v>0</v>
      </c>
      <c r="AW854" s="180">
        <f t="shared" ca="1" si="494"/>
        <v>0.05</v>
      </c>
      <c r="AX854" s="180">
        <f t="shared" ca="1" si="495"/>
        <v>0.05</v>
      </c>
      <c r="AY854" s="286">
        <f t="shared" ca="1" si="496"/>
        <v>0</v>
      </c>
      <c r="AZ854" s="286">
        <f t="shared" ca="1" si="497"/>
        <v>0</v>
      </c>
      <c r="BA854" s="286">
        <f t="shared" ca="1" si="498"/>
        <v>0</v>
      </c>
      <c r="BB854" s="286">
        <f t="shared" ca="1" si="499"/>
        <v>0</v>
      </c>
      <c r="BC854" s="286">
        <f t="shared" ca="1" si="500"/>
        <v>0</v>
      </c>
      <c r="BD854" s="180">
        <f t="shared" ca="1" si="501"/>
        <v>0.05</v>
      </c>
      <c r="BE854" s="180">
        <f t="shared" ca="1" si="502"/>
        <v>0.05</v>
      </c>
      <c r="BF854" s="286">
        <f t="shared" ca="1" si="503"/>
        <v>0</v>
      </c>
      <c r="BG854" s="286">
        <f t="shared" ca="1" si="504"/>
        <v>0</v>
      </c>
    </row>
    <row r="855" spans="1:59">
      <c r="A855" s="1">
        <f t="shared" ca="1" si="484"/>
        <v>71</v>
      </c>
      <c r="B855" s="1">
        <f t="shared" ca="1" si="477"/>
        <v>177</v>
      </c>
      <c r="C855" s="1">
        <f t="shared" ca="1" si="478"/>
        <v>5</v>
      </c>
      <c r="D855" s="1">
        <f ca="1">MIN($D$3,VLOOKUP(C855,OP!$S$30:$T$41,2))</f>
        <v>2</v>
      </c>
      <c r="E855" s="1" t="str">
        <f t="shared" ca="1" si="479"/>
        <v/>
      </c>
      <c r="F855" s="11" t="str">
        <f t="shared" ca="1" si="485"/>
        <v/>
      </c>
      <c r="G855" s="8">
        <f t="shared" ca="1" si="508"/>
        <v>366</v>
      </c>
      <c r="H855" s="8">
        <f t="shared" ca="1" si="486"/>
        <v>31</v>
      </c>
      <c r="I855" s="8" t="str">
        <f t="shared" ca="1" si="483"/>
        <v>715</v>
      </c>
      <c r="J855" s="13">
        <f>IF(繳費報酬率資料!$A$1=1,VALUE(OP!$C$121),VLOOKUP(A855,MP,2,0))</f>
        <v>0.05</v>
      </c>
      <c r="K855" s="14">
        <f ca="1">IF(SUM($K$4:K854,IF(繳費報酬率資料!$A$1=1,$AU855+$AV855,$BB855+$BC855))&gt;OP!$L$58,0,IF(繳費報酬率資料!$A$1=1,$AU855+$AV855,$BB855+$BC855))</f>
        <v>0</v>
      </c>
      <c r="L855" s="2">
        <f ca="1">ROUND(IF(OP!$C$78&lt;(IF(OR($T855="F",$E855&gt;=111),0,Z854+$K855-$O855+IF($C$1=1,OP!$C$78,IF($C856=$C$3,SUM(AC844:AC855,0)))))*5%,0,(OP!$C$78-((IF(OR($T855="F",$E855&gt;=111),0,Z854+$K855-$O855+IF($C$1=1,AC855,IF($C856=$C$3,SUM(AC844:AC855,0)))))*5%))*$Q855),0)</f>
        <v>0</v>
      </c>
      <c r="M855" s="2">
        <f ca="1">ROUND(IF(OP!$C$78&lt;(IF(OR($T855="F",$E855&gt;=111),0,AA854+$K855-$O855+IF($C$1=1,AD855,IF($C856=$C$3,SUM(AD844:AD855,0)))))*5%,0,(OP!$C$78-((IF(OR($T855="F",$E855&gt;=111),0,AA854+$K855-$O855+IF($C$1=1,AD855,IF($C856=$C$3,SUM(AD844:AD855,0)))))*5%))*$Q855),0)</f>
        <v>0</v>
      </c>
      <c r="N855" s="2">
        <f ca="1">ROUND(IF(OP!$C$78&lt;(IF(OR($T855="F",$E855&gt;=111),0,AB854+$K855-$O855+IF($C$1=1,AE855,IF($C856=$C$3,SUM(AE844:AE855,0)))))*5%,0,(OP!$C$78-((IF(OR($T855="F",$E855&gt;=111),0,AB854+$K855-$O855+IF($C$1=1,AE855,IF($C856=$C$3,SUM(AE844:AE855,0)))))*5%))*$Q855),0)</f>
        <v>0</v>
      </c>
      <c r="O855" s="261">
        <f t="shared" ca="1" si="487"/>
        <v>0</v>
      </c>
      <c r="P855" s="261">
        <f t="shared" ca="1" si="505"/>
        <v>0</v>
      </c>
      <c r="Q855" s="3">
        <f ca="1">IF(A855&gt;MAX(OP!$R$17:$R$26),0,VLOOKUP(A855,fees,3,FALSE))</f>
        <v>0</v>
      </c>
      <c r="R855" s="200" t="str">
        <f t="shared" ca="1" si="488"/>
        <v/>
      </c>
      <c r="S855" s="9" t="str">
        <f ca="1">IF(COUNTIF(($T$4:T854),"F")&gt;=1,"",IF(OR(C856&lt;&gt;$C$3,E855=""),"",A855))</f>
        <v/>
      </c>
      <c r="T855" s="20" t="str">
        <f t="shared" ca="1" si="480"/>
        <v/>
      </c>
      <c r="U855" s="2">
        <f ca="1">IF(IF(OP!$C$83=1,$Z854,IF(OP!$C$83=2,$AA854,IF(OP!$C$83=3,$AB854,)))+$K855-$O855-$P855-$AS855&lt;OP!$C$142,0,$AS855)</f>
        <v>0</v>
      </c>
      <c r="V855" s="19">
        <f ca="1">SUM(K844:K855)</f>
        <v>0</v>
      </c>
      <c r="W855" s="19">
        <f ca="1">MAX(SUM($K$4:K855),0)</f>
        <v>2000000</v>
      </c>
      <c r="X855" s="19">
        <f ca="1">SUM(O844:P855)</f>
        <v>0</v>
      </c>
      <c r="Y855" s="19">
        <f t="shared" ca="1" si="506"/>
        <v>1920000</v>
      </c>
      <c r="Z855" s="2">
        <f ca="1">IF(MIN($Z$4:Z854)=0,0,MAX(0,($Z854+$K855-$O855-$P855)*IF(AND(F855="F",$D$3&lt;&gt;$G$3),((1+(-J855))^(H855/MIN(G855,365))),((1+(-J855))^(1/12)))-$U855))</f>
        <v>50312.65135667882</v>
      </c>
      <c r="AA855" s="2">
        <f ca="1">IF(MIN($AA$4:AA854)=0,0,MAX(0,($AA854+$K855-$O855-$P855)*IF(AND(F855="F",$D$3&lt;&gt;$G$3),((1+$AA$1)^(H855/MIN(G855,365))),((1+$AA$1)^(1/12)))-$U855))</f>
        <v>1920000</v>
      </c>
      <c r="AB855" s="2">
        <f ca="1">IF(MIN($AB$4:AB854)=0,0,MAX(0,($AB854+$K855-$O855-$P855)*IF(AND(F855="F",$D$3&lt;&gt;$G$3),((1+(J855))^(H855/MIN(G855,365))),((1+(J855))^(1/12)))-$U855))</f>
        <v>61339673.879598498</v>
      </c>
      <c r="AC855" s="5"/>
      <c r="AD855" s="5"/>
      <c r="AE855" s="5"/>
      <c r="AF855" s="282">
        <f t="shared" ca="1" si="489"/>
        <v>50313</v>
      </c>
      <c r="AG855" s="282">
        <f t="shared" ca="1" si="490"/>
        <v>1920000</v>
      </c>
      <c r="AH855" s="282">
        <f t="shared" ca="1" si="491"/>
        <v>61339674</v>
      </c>
      <c r="AI855" s="23" t="str">
        <f t="shared" ca="1" si="507"/>
        <v>72-1</v>
      </c>
      <c r="AJ855" s="282">
        <f ca="1">IF(E855&gt;111,,IF(AND(OP!$C$99=1,T855="F"),Z855,IF(AND(OP!$C$99=2,COUNTIF($T$4:T855,"F")=1),OP!$C$97+IF(F855="F",OP!$C$98,0),"")))</f>
        <v>0</v>
      </c>
      <c r="AK855" s="282">
        <f ca="1">IF(E855&gt;111,,IF(AND(OP!$D$99=1,T855="F"),AA855,IF(AND(OP!$D$99=2,COUNTIF($T$4:T855,"F")=1),OP!$D$97+IF(F855="F",OP!$D$98,0),"")))</f>
        <v>0</v>
      </c>
      <c r="AL855" s="282">
        <f ca="1">IF(E855&gt;111,,IF(AND(OP!$E$99=1,T855="F"),AB855,IF(AND(OP!$E$99=2,COUNTIF($T$4:T855,"F")=1),OP!$E$97+IF(F855="F",OP!$E$98,0),"")))</f>
        <v>0</v>
      </c>
      <c r="AM855" s="1">
        <f t="shared" ca="1" si="481"/>
        <v>1</v>
      </c>
      <c r="AN855" s="1" t="e">
        <f ca="1">IF(OR(VLOOKUP($A855,MP,5,0)="月繳"),1,"")</f>
        <v>#N/A</v>
      </c>
      <c r="AO855" s="1">
        <f t="shared" ca="1" si="492"/>
        <v>0</v>
      </c>
      <c r="AP855" s="1" t="str">
        <f ca="1">IF(AND(A855&lt;=OP!$C$120,COUNTIF(PAY,C855)=1),1,"")</f>
        <v/>
      </c>
      <c r="AR855" s="301">
        <f ca="1">IF(繳費報酬率資料!$A$1=1,$AY855+$AZ855,$BF855+$BG855)</f>
        <v>0</v>
      </c>
      <c r="AS855" s="1">
        <f ca="1">IF(C855&lt;&gt;IF($C$3=1,12,$C$3-1),0,IF(繳費報酬率資料!$A$1&lt;&gt;1,VLOOKUP($A855,MP,8,0),IF(AND($A855&gt;=OP!$C$79,$A855&lt;=OP!$C$80),OP!$C$78,)))</f>
        <v>0</v>
      </c>
      <c r="AT855" s="298">
        <f t="shared" ca="1" si="493"/>
        <v>0</v>
      </c>
      <c r="AU855" s="298">
        <f ca="1">IF(AND(A855&lt;=OP!$C$120,COUNTIF(PAY,C855)=1),OP!$C$123,0)</f>
        <v>0</v>
      </c>
      <c r="AV855" s="298">
        <f ca="1">IF(AND(A855&gt;=OP!$C$132,A855&lt;=OP!$C$133,$C$3=C855),OP!$C$135,0)</f>
        <v>0</v>
      </c>
      <c r="AW855" s="180">
        <f t="shared" ca="1" si="494"/>
        <v>0.05</v>
      </c>
      <c r="AX855" s="180">
        <f t="shared" ca="1" si="495"/>
        <v>0.05</v>
      </c>
      <c r="AY855" s="286">
        <f t="shared" ca="1" si="496"/>
        <v>0</v>
      </c>
      <c r="AZ855" s="286">
        <f t="shared" ca="1" si="497"/>
        <v>0</v>
      </c>
      <c r="BA855" s="286">
        <f t="shared" ca="1" si="498"/>
        <v>0</v>
      </c>
      <c r="BB855" s="286">
        <f t="shared" ca="1" si="499"/>
        <v>0</v>
      </c>
      <c r="BC855" s="286">
        <f t="shared" ca="1" si="500"/>
        <v>0</v>
      </c>
      <c r="BD855" s="180">
        <f t="shared" ca="1" si="501"/>
        <v>0.05</v>
      </c>
      <c r="BE855" s="180">
        <f t="shared" ca="1" si="502"/>
        <v>0.05</v>
      </c>
      <c r="BF855" s="286">
        <f t="shared" ca="1" si="503"/>
        <v>0</v>
      </c>
      <c r="BG855" s="286">
        <f t="shared" ca="1" si="504"/>
        <v>0</v>
      </c>
    </row>
    <row r="856" spans="1:59">
      <c r="A856" s="1">
        <f t="shared" ca="1" si="484"/>
        <v>72</v>
      </c>
      <c r="B856" s="1">
        <f t="shared" ca="1" si="477"/>
        <v>177</v>
      </c>
      <c r="C856" s="1">
        <f t="shared" ca="1" si="478"/>
        <v>6</v>
      </c>
      <c r="D856" s="1">
        <f ca="1">MIN($D$3,VLOOKUP(C856,OP!$S$30:$T$41,2))</f>
        <v>2</v>
      </c>
      <c r="E856" s="1" t="str">
        <f t="shared" ca="1" si="479"/>
        <v/>
      </c>
      <c r="F856" s="11" t="str">
        <f t="shared" ca="1" si="485"/>
        <v/>
      </c>
      <c r="G856" s="6">
        <f ca="1">DATEDIF(DATE(B856+1911,C856,D856),DATE(B868+1911,C868,D868),"d")</f>
        <v>365</v>
      </c>
      <c r="H856" s="8">
        <f t="shared" ca="1" si="486"/>
        <v>30</v>
      </c>
      <c r="I856" s="8" t="str">
        <f t="shared" ca="1" si="483"/>
        <v>726</v>
      </c>
      <c r="J856" s="13">
        <f>IF(繳費報酬率資料!$A$1=1,VALUE(OP!$C$121),VLOOKUP(A856,MP,2,0))</f>
        <v>0.05</v>
      </c>
      <c r="K856" s="14">
        <f ca="1">IF(SUM($K$4:K855,IF(繳費報酬率資料!$A$1=1,$AU856+$AV856,$BB856+$BC856))&gt;OP!$L$58,0,IF(繳費報酬率資料!$A$1=1,$AU856+$AV856,$BB856+$BC856))</f>
        <v>0</v>
      </c>
      <c r="L856" s="2"/>
      <c r="M856" s="2"/>
      <c r="N856" s="2"/>
      <c r="O856" s="261">
        <f t="shared" ca="1" si="487"/>
        <v>0</v>
      </c>
      <c r="P856" s="261">
        <f t="shared" ca="1" si="505"/>
        <v>0</v>
      </c>
      <c r="Q856" s="3">
        <f ca="1">IF(A856&gt;MAX(OP!$R$17:$R$26),0,VLOOKUP(A856,fees,3,FALSE))</f>
        <v>0</v>
      </c>
      <c r="R856" s="200" t="str">
        <f t="shared" ca="1" si="488"/>
        <v/>
      </c>
      <c r="S856" s="9" t="str">
        <f ca="1">IF(COUNTIF(($T$4:T855),"F")&gt;=1,"",IF(OR(C857&lt;&gt;$C$3,E856=""),"",A856))</f>
        <v/>
      </c>
      <c r="T856" s="20" t="str">
        <f t="shared" ca="1" si="480"/>
        <v/>
      </c>
      <c r="U856" s="2">
        <f ca="1">IF(IF(OP!$C$83=1,$Z855,IF(OP!$C$83=2,$AA855,IF(OP!$C$83=3,$AB855,)))+$K856-$O856-$P856-$AS856&lt;OP!$C$142,0,$AS856)</f>
        <v>0</v>
      </c>
      <c r="V856" s="9"/>
      <c r="W856" s="19">
        <f ca="1">MAX(SUM($K$4:K856),0)</f>
        <v>2000000</v>
      </c>
      <c r="X856" s="19"/>
      <c r="Y856" s="19">
        <f t="shared" ca="1" si="506"/>
        <v>1920000</v>
      </c>
      <c r="Z856" s="2">
        <f ca="1">IF(MIN($Z$4:Z855)=0,0,MAX(0,($Z855+$K856-$O856-$P856)*IF(AND(F856="F",$D$3&lt;&gt;$G$3),((1+(-J856))^(H856/MIN(G856,365))),((1+(-J856))^(1/12)))-$U856))</f>
        <v>50098.051860098312</v>
      </c>
      <c r="AA856" s="2">
        <f ca="1">IF(MIN($AA$4:AA855)=0,0,MAX(0,($AA855+$K856-$O856-$P856)*IF(AND(F856="F",$D$3&lt;&gt;$G$3),((1+$AA$1)^(H856/MIN(G856,365))),((1+$AA$1)^(1/12)))-$U856))</f>
        <v>1920000</v>
      </c>
      <c r="AB856" s="2">
        <f ca="1">IF(MIN($AB$4:AB855)=0,0,MAX(0,($AB855+$K856-$O856-$P856)*IF(AND(F856="F",$D$3&lt;&gt;$G$3),((1+(J856))^(H856/MIN(G856,365))),((1+(J856))^(1/12)))-$U856))</f>
        <v>61589579.303832605</v>
      </c>
      <c r="AC856" s="21"/>
      <c r="AD856" s="21"/>
      <c r="AE856" s="21"/>
      <c r="AF856" s="282">
        <f t="shared" ca="1" si="489"/>
        <v>50098</v>
      </c>
      <c r="AG856" s="282">
        <f t="shared" ca="1" si="490"/>
        <v>1920000</v>
      </c>
      <c r="AH856" s="282">
        <f t="shared" ca="1" si="491"/>
        <v>61589579</v>
      </c>
      <c r="AI856" s="23" t="str">
        <f t="shared" ca="1" si="507"/>
        <v>72-2</v>
      </c>
      <c r="AJ856" s="281">
        <f ca="1">IF(E856&gt;111,,IF(AND(OP!$C$99=1,T856="F"),Z856,IF(AND(OP!$C$99=2,COUNTIF($T$4:T856,"F")=1),OP!$C$97+IF(F856="F",OP!$C$98,0),"")))</f>
        <v>0</v>
      </c>
      <c r="AK856" s="281">
        <f ca="1">IF(E856&gt;111,,IF(AND(OP!$D$99=1,T856="F"),AA856,IF(AND(OP!$D$99=2,COUNTIF($T$4:T856,"F")=1),OP!$D$97+IF(F856="F",OP!$D$98,0),"")))</f>
        <v>0</v>
      </c>
      <c r="AL856" s="281">
        <f ca="1">IF(E856&gt;111,,IF(AND(OP!$E$99=1,T856="F"),AB856,IF(AND(OP!$E$99=2,COUNTIF($T$4:T856,"F")=1),OP!$E$97+IF(F856="F",OP!$E$98,0),"")))</f>
        <v>0</v>
      </c>
      <c r="AM856" s="1">
        <f t="shared" ca="1" si="481"/>
        <v>2</v>
      </c>
      <c r="AN856" s="1" t="e">
        <f ca="1">IF(OR(VLOOKUP($A856,MP,5,0)="年繳",VLOOKUP($A856,MP,5,0)="半年繳",VLOOKUP($A856,MP,5,0)="季繳",VLOOKUP($A856,MP,5,0)="月繳"),1,"")</f>
        <v>#N/A</v>
      </c>
      <c r="AO856" s="1">
        <f t="shared" ca="1" si="492"/>
        <v>0</v>
      </c>
      <c r="AP856" s="1" t="str">
        <f ca="1">IF(AND(A856&lt;=OP!$C$120,COUNTIF(PAY,C856)=1),1,"")</f>
        <v/>
      </c>
      <c r="AR856" s="301">
        <f ca="1">IF(繳費報酬率資料!$A$1=1,$AY856+$AZ856,$BF856+$BG856)</f>
        <v>0</v>
      </c>
      <c r="AS856" s="1">
        <f ca="1">IF(C856&lt;&gt;IF($C$3=1,12,$C$3-1),0,IF(繳費報酬率資料!$A$1&lt;&gt;1,VLOOKUP($A856,MP,8,0),IF(AND($A856&gt;=OP!$C$79,$A856&lt;=OP!$C$80),OP!$C$78,)))</f>
        <v>0</v>
      </c>
      <c r="AT856" s="298">
        <f t="shared" ca="1" si="493"/>
        <v>0</v>
      </c>
      <c r="AU856" s="298">
        <f ca="1">IF(AND(A856&lt;=OP!$C$120,COUNTIF(PAY,C856)=1),OP!$C$123,0)</f>
        <v>0</v>
      </c>
      <c r="AV856" s="298">
        <f ca="1">IF(AND(A856&gt;=OP!$C$132,A856&lt;=OP!$C$133,$C$3=C856),OP!$C$135,0)</f>
        <v>0</v>
      </c>
      <c r="AW856" s="180">
        <f t="shared" ca="1" si="494"/>
        <v>0.05</v>
      </c>
      <c r="AX856" s="180">
        <f t="shared" ca="1" si="495"/>
        <v>0.05</v>
      </c>
      <c r="AY856" s="286">
        <f t="shared" ca="1" si="496"/>
        <v>0</v>
      </c>
      <c r="AZ856" s="286">
        <f t="shared" ca="1" si="497"/>
        <v>0</v>
      </c>
      <c r="BA856" s="286">
        <f t="shared" ca="1" si="498"/>
        <v>0</v>
      </c>
      <c r="BB856" s="286">
        <f t="shared" ca="1" si="499"/>
        <v>0</v>
      </c>
      <c r="BC856" s="286">
        <f t="shared" ca="1" si="500"/>
        <v>0</v>
      </c>
      <c r="BD856" s="180">
        <f t="shared" ca="1" si="501"/>
        <v>0.05</v>
      </c>
      <c r="BE856" s="180">
        <f t="shared" ca="1" si="502"/>
        <v>0.05</v>
      </c>
      <c r="BF856" s="286">
        <f t="shared" ca="1" si="503"/>
        <v>0</v>
      </c>
      <c r="BG856" s="286">
        <f t="shared" ca="1" si="504"/>
        <v>0</v>
      </c>
    </row>
    <row r="857" spans="1:59">
      <c r="A857" s="1">
        <f t="shared" ca="1" si="484"/>
        <v>72</v>
      </c>
      <c r="B857" s="1">
        <f t="shared" ca="1" si="477"/>
        <v>177</v>
      </c>
      <c r="C857" s="1">
        <f t="shared" ca="1" si="478"/>
        <v>7</v>
      </c>
      <c r="D857" s="1">
        <f ca="1">MIN($D$3,VLOOKUP(C857,OP!$S$30:$T$41,2))</f>
        <v>2</v>
      </c>
      <c r="E857" s="1" t="str">
        <f t="shared" ca="1" si="479"/>
        <v/>
      </c>
      <c r="F857" s="11" t="str">
        <f t="shared" ca="1" si="485"/>
        <v/>
      </c>
      <c r="G857" s="8">
        <f t="shared" ref="G857:G867" ca="1" si="509">G856</f>
        <v>365</v>
      </c>
      <c r="H857" s="8">
        <f t="shared" ca="1" si="486"/>
        <v>31</v>
      </c>
      <c r="I857" s="8" t="str">
        <f t="shared" ca="1" si="483"/>
        <v>727</v>
      </c>
      <c r="J857" s="13">
        <f>IF(繳費報酬率資料!$A$1=1,VALUE(OP!$C$121),VLOOKUP(A857,MP,2,0))</f>
        <v>0.05</v>
      </c>
      <c r="K857" s="14">
        <f ca="1">IF(SUM($K$4:K856,IF(繳費報酬率資料!$A$1=1,$AU857+$AV857,$BB857+$BC857))&gt;OP!$L$58,0,IF(繳費報酬率資料!$A$1=1,$AU857+$AV857,$BB857+$BC857))</f>
        <v>0</v>
      </c>
      <c r="L857" s="2"/>
      <c r="M857" s="2"/>
      <c r="N857" s="2"/>
      <c r="O857" s="261">
        <f t="shared" ca="1" si="487"/>
        <v>0</v>
      </c>
      <c r="P857" s="261">
        <f t="shared" ca="1" si="505"/>
        <v>0</v>
      </c>
      <c r="Q857" s="3">
        <f ca="1">IF(A857&gt;MAX(OP!$R$17:$R$26),0,VLOOKUP(A857,fees,3,FALSE))</f>
        <v>0</v>
      </c>
      <c r="R857" s="200" t="str">
        <f t="shared" ca="1" si="488"/>
        <v/>
      </c>
      <c r="S857" s="9" t="str">
        <f ca="1">IF(COUNTIF(($T$4:T856),"F")&gt;=1,"",IF(OR(C858&lt;&gt;$C$3,E857=""),"",A857))</f>
        <v/>
      </c>
      <c r="T857" s="20" t="str">
        <f t="shared" ca="1" si="480"/>
        <v/>
      </c>
      <c r="U857" s="2">
        <f ca="1">IF(IF(OP!$C$83=1,$Z856,IF(OP!$C$83=2,$AA856,IF(OP!$C$83=3,$AB856,)))+$K857-$O857-$P857-$AS857&lt;OP!$C$142,0,$AS857)</f>
        <v>0</v>
      </c>
      <c r="V857" s="9"/>
      <c r="W857" s="19">
        <f ca="1">MAX(SUM($K$4:K857),0)</f>
        <v>2000000</v>
      </c>
      <c r="X857" s="19"/>
      <c r="Y857" s="19">
        <f t="shared" ca="1" si="506"/>
        <v>1920000</v>
      </c>
      <c r="Z857" s="2">
        <f ca="1">IF(MIN($Z$4:Z856)=0,0,MAX(0,($Z856+$K857-$O857-$P857)*IF(AND(F857="F",$D$3&lt;&gt;$G$3),((1+(-J857))^(H857/MIN(G857,365))),((1+(-J857))^(1/12)))-$U857))</f>
        <v>49884.367698780225</v>
      </c>
      <c r="AA857" s="2">
        <f ca="1">IF(MIN($AA$4:AA856)=0,0,MAX(0,($AA856+$K857-$O857-$P857)*IF(AND(F857="F",$D$3&lt;&gt;$G$3),((1+$AA$1)^(H857/MIN(G857,365))),((1+$AA$1)^(1/12)))-$U857))</f>
        <v>1920000</v>
      </c>
      <c r="AB857" s="2">
        <f ca="1">IF(MIN($AB$4:AB856)=0,0,MAX(0,($AB856+$K857-$O857-$P857)*IF(AND(F857="F",$D$3&lt;&gt;$G$3),((1+(J857))^(H857/MIN(G857,365))),((1+(J857))^(1/12)))-$U857))</f>
        <v>61840502.873699248</v>
      </c>
      <c r="AC857" s="5"/>
      <c r="AD857" s="5"/>
      <c r="AE857" s="5"/>
      <c r="AF857" s="282">
        <f t="shared" ca="1" si="489"/>
        <v>49884</v>
      </c>
      <c r="AG857" s="282">
        <f t="shared" ca="1" si="490"/>
        <v>1920000</v>
      </c>
      <c r="AH857" s="282">
        <f t="shared" ca="1" si="491"/>
        <v>61840503</v>
      </c>
      <c r="AI857" s="23" t="str">
        <f t="shared" ca="1" si="507"/>
        <v>72-3</v>
      </c>
      <c r="AJ857" s="282">
        <f ca="1">IF(E857&gt;111,,IF(AND(OP!$C$99=1,T857="F"),Z857,IF(AND(OP!$C$99=2,COUNTIF($T$4:T857,"F")=1),OP!$C$97+IF(F857="F",OP!$C$98,0),"")))</f>
        <v>0</v>
      </c>
      <c r="AK857" s="282">
        <f ca="1">IF(E857&gt;111,,IF(AND(OP!$D$99=1,T857="F"),AA857,IF(AND(OP!$D$99=2,COUNTIF($T$4:T857,"F")=1),OP!$D$97+IF(F857="F",OP!$D$98,0),"")))</f>
        <v>0</v>
      </c>
      <c r="AL857" s="282">
        <f ca="1">IF(E857&gt;111,,IF(AND(OP!$E$99=1,T857="F"),AB857,IF(AND(OP!$E$99=2,COUNTIF($T$4:T857,"F")=1),OP!$E$97+IF(F857="F",OP!$E$98,0),"")))</f>
        <v>0</v>
      </c>
      <c r="AM857" s="1">
        <f t="shared" ca="1" si="481"/>
        <v>3</v>
      </c>
      <c r="AN857" s="1" t="e">
        <f ca="1">IF(OR(VLOOKUP($A857,MP,5,0)="月繳"),1,"")</f>
        <v>#N/A</v>
      </c>
      <c r="AO857" s="1">
        <f t="shared" ca="1" si="492"/>
        <v>0</v>
      </c>
      <c r="AP857" s="1" t="str">
        <f ca="1">IF(AND(A857&lt;=OP!$C$120,COUNTIF(PAY,C857)=1),1,"")</f>
        <v/>
      </c>
      <c r="AR857" s="301">
        <f ca="1">IF(繳費報酬率資料!$A$1=1,$AY857+$AZ857,$BF857+$BG857)</f>
        <v>0</v>
      </c>
      <c r="AS857" s="1">
        <f ca="1">IF(C857&lt;&gt;IF($C$3=1,12,$C$3-1),0,IF(繳費報酬率資料!$A$1&lt;&gt;1,VLOOKUP($A857,MP,8,0),IF(AND($A857&gt;=OP!$C$79,$A857&lt;=OP!$C$80),OP!$C$78,)))</f>
        <v>0</v>
      </c>
      <c r="AT857" s="298">
        <f t="shared" ca="1" si="493"/>
        <v>0</v>
      </c>
      <c r="AU857" s="298">
        <f ca="1">IF(AND(A857&lt;=OP!$C$120,COUNTIF(PAY,C857)=1),OP!$C$123,0)</f>
        <v>0</v>
      </c>
      <c r="AV857" s="298">
        <f ca="1">IF(AND(A857&gt;=OP!$C$132,A857&lt;=OP!$C$133,$C$3=C857),OP!$C$135,0)</f>
        <v>0</v>
      </c>
      <c r="AW857" s="180">
        <f t="shared" ca="1" si="494"/>
        <v>0.05</v>
      </c>
      <c r="AX857" s="180">
        <f t="shared" ca="1" si="495"/>
        <v>0.05</v>
      </c>
      <c r="AY857" s="286">
        <f t="shared" ca="1" si="496"/>
        <v>0</v>
      </c>
      <c r="AZ857" s="286">
        <f t="shared" ca="1" si="497"/>
        <v>0</v>
      </c>
      <c r="BA857" s="286">
        <f t="shared" ca="1" si="498"/>
        <v>0</v>
      </c>
      <c r="BB857" s="286">
        <f t="shared" ca="1" si="499"/>
        <v>0</v>
      </c>
      <c r="BC857" s="286">
        <f t="shared" ca="1" si="500"/>
        <v>0</v>
      </c>
      <c r="BD857" s="180">
        <f t="shared" ca="1" si="501"/>
        <v>0.05</v>
      </c>
      <c r="BE857" s="180">
        <f t="shared" ca="1" si="502"/>
        <v>0.05</v>
      </c>
      <c r="BF857" s="286">
        <f t="shared" ca="1" si="503"/>
        <v>0</v>
      </c>
      <c r="BG857" s="286">
        <f t="shared" ca="1" si="504"/>
        <v>0</v>
      </c>
    </row>
    <row r="858" spans="1:59">
      <c r="A858" s="1">
        <f t="shared" ca="1" si="484"/>
        <v>72</v>
      </c>
      <c r="B858" s="1">
        <f t="shared" ca="1" si="477"/>
        <v>177</v>
      </c>
      <c r="C858" s="1">
        <f t="shared" ca="1" si="478"/>
        <v>8</v>
      </c>
      <c r="D858" s="1">
        <f ca="1">MIN($D$3,VLOOKUP(C858,OP!$S$30:$T$41,2))</f>
        <v>2</v>
      </c>
      <c r="E858" s="1" t="str">
        <f t="shared" ca="1" si="479"/>
        <v/>
      </c>
      <c r="F858" s="11" t="str">
        <f t="shared" ca="1" si="485"/>
        <v/>
      </c>
      <c r="G858" s="8">
        <f t="shared" ca="1" si="509"/>
        <v>365</v>
      </c>
      <c r="H858" s="8">
        <f t="shared" ca="1" si="486"/>
        <v>31</v>
      </c>
      <c r="I858" s="8" t="str">
        <f t="shared" ca="1" si="483"/>
        <v>728</v>
      </c>
      <c r="J858" s="13">
        <f>IF(繳費報酬率資料!$A$1=1,VALUE(OP!$C$121),VLOOKUP(A858,MP,2,0))</f>
        <v>0.05</v>
      </c>
      <c r="K858" s="14">
        <f ca="1">IF(SUM($K$4:K857,IF(繳費報酬率資料!$A$1=1,$AU858+$AV858,$BB858+$BC858))&gt;OP!$L$58,0,IF(繳費報酬率資料!$A$1=1,$AU858+$AV858,$BB858+$BC858))</f>
        <v>0</v>
      </c>
      <c r="L858" s="2"/>
      <c r="M858" s="2"/>
      <c r="N858" s="2"/>
      <c r="O858" s="261">
        <f t="shared" ca="1" si="487"/>
        <v>0</v>
      </c>
      <c r="P858" s="261">
        <f t="shared" ca="1" si="505"/>
        <v>0</v>
      </c>
      <c r="Q858" s="3">
        <f ca="1">IF(A858&gt;MAX(OP!$R$17:$R$26),0,VLOOKUP(A858,fees,3,FALSE))</f>
        <v>0</v>
      </c>
      <c r="R858" s="200" t="str">
        <f t="shared" ca="1" si="488"/>
        <v/>
      </c>
      <c r="S858" s="9" t="str">
        <f ca="1">IF(COUNTIF(($T$4:T857),"F")&gt;=1,"",IF(OR(C859&lt;&gt;$C$3,E858=""),"",A858))</f>
        <v/>
      </c>
      <c r="T858" s="20" t="str">
        <f t="shared" ca="1" si="480"/>
        <v/>
      </c>
      <c r="U858" s="2">
        <f ca="1">IF(IF(OP!$C$83=1,$Z857,IF(OP!$C$83=2,$AA857,IF(OP!$C$83=3,$AB857,)))+$K858-$O858-$P858-$AS858&lt;OP!$C$142,0,$AS858)</f>
        <v>0</v>
      </c>
      <c r="V858" s="9"/>
      <c r="W858" s="19">
        <f ca="1">MAX(SUM($K$4:K858),0)</f>
        <v>2000000</v>
      </c>
      <c r="X858" s="19"/>
      <c r="Y858" s="19">
        <f t="shared" ca="1" si="506"/>
        <v>1920000</v>
      </c>
      <c r="Z858" s="2">
        <f ca="1">IF(MIN($Z$4:Z857)=0,0,MAX(0,($Z857+$K858-$O858-$P858)*IF(AND(F858="F",$D$3&lt;&gt;$G$3),((1+(-J858))^(H858/MIN(G858,365))),((1+(-J858))^(1/12)))-$U858))</f>
        <v>49671.594968527876</v>
      </c>
      <c r="AA858" s="2">
        <f ca="1">IF(MIN($AA$4:AA857)=0,0,MAX(0,($AA857+$K858-$O858-$P858)*IF(AND(F858="F",$D$3&lt;&gt;$G$3),((1+$AA$1)^(H858/MIN(G858,365))),((1+$AA$1)^(1/12)))-$U858))</f>
        <v>1920000</v>
      </c>
      <c r="AB858" s="2">
        <f ca="1">IF(MIN($AB$4:AB857)=0,0,MAX(0,($AB857+$K858-$O858-$P858)*IF(AND(F858="F",$D$3&lt;&gt;$G$3),((1+(J858))^(H858/MIN(G858,365))),((1+(J858))^(1/12)))-$U858))</f>
        <v>62092448.737249762</v>
      </c>
      <c r="AC858" s="5"/>
      <c r="AD858" s="5"/>
      <c r="AE858" s="5"/>
      <c r="AF858" s="282">
        <f t="shared" ca="1" si="489"/>
        <v>49672</v>
      </c>
      <c r="AG858" s="282">
        <f t="shared" ca="1" si="490"/>
        <v>1920000</v>
      </c>
      <c r="AH858" s="282">
        <f t="shared" ca="1" si="491"/>
        <v>62092449</v>
      </c>
      <c r="AI858" s="23" t="str">
        <f t="shared" ca="1" si="507"/>
        <v>72-4</v>
      </c>
      <c r="AJ858" s="282">
        <f ca="1">IF(E858&gt;111,,IF(AND(OP!$C$99=1,T858="F"),Z858,IF(AND(OP!$C$99=2,COUNTIF($T$4:T858,"F")=1),OP!$C$97+IF(F858="F",OP!$C$98,0),"")))</f>
        <v>0</v>
      </c>
      <c r="AK858" s="282">
        <f ca="1">IF(E858&gt;111,,IF(AND(OP!$D$99=1,T858="F"),AA858,IF(AND(OP!$D$99=2,COUNTIF($T$4:T858,"F")=1),OP!$D$97+IF(F858="F",OP!$D$98,0),"")))</f>
        <v>0</v>
      </c>
      <c r="AL858" s="282">
        <f ca="1">IF(E858&gt;111,,IF(AND(OP!$E$99=1,T858="F"),AB858,IF(AND(OP!$E$99=2,COUNTIF($T$4:T858,"F")=1),OP!$E$97+IF(F858="F",OP!$E$98,0),"")))</f>
        <v>0</v>
      </c>
      <c r="AM858" s="1">
        <f t="shared" ca="1" si="481"/>
        <v>4</v>
      </c>
      <c r="AN858" s="1" t="e">
        <f ca="1">IF(OR(VLOOKUP($A858,MP,5,0)="月繳"),1,"")</f>
        <v>#N/A</v>
      </c>
      <c r="AO858" s="1">
        <f t="shared" ca="1" si="492"/>
        <v>0</v>
      </c>
      <c r="AP858" s="1" t="str">
        <f ca="1">IF(AND(A858&lt;=OP!$C$120,COUNTIF(PAY,C858)=1),1,"")</f>
        <v/>
      </c>
      <c r="AR858" s="301">
        <f ca="1">IF(繳費報酬率資料!$A$1=1,$AY858+$AZ858,$BF858+$BG858)</f>
        <v>0</v>
      </c>
      <c r="AS858" s="1">
        <f ca="1">IF(C858&lt;&gt;IF($C$3=1,12,$C$3-1),0,IF(繳費報酬率資料!$A$1&lt;&gt;1,VLOOKUP($A858,MP,8,0),IF(AND($A858&gt;=OP!$C$79,$A858&lt;=OP!$C$80),OP!$C$78,)))</f>
        <v>0</v>
      </c>
      <c r="AT858" s="298">
        <f t="shared" ca="1" si="493"/>
        <v>0</v>
      </c>
      <c r="AU858" s="298">
        <f ca="1">IF(AND(A858&lt;=OP!$C$120,COUNTIF(PAY,C858)=1),OP!$C$123,0)</f>
        <v>0</v>
      </c>
      <c r="AV858" s="298">
        <f ca="1">IF(AND(A858&gt;=OP!$C$132,A858&lt;=OP!$C$133,$C$3=C858),OP!$C$135,0)</f>
        <v>0</v>
      </c>
      <c r="AW858" s="180">
        <f t="shared" ca="1" si="494"/>
        <v>0.05</v>
      </c>
      <c r="AX858" s="180">
        <f t="shared" ca="1" si="495"/>
        <v>0.05</v>
      </c>
      <c r="AY858" s="286">
        <f t="shared" ca="1" si="496"/>
        <v>0</v>
      </c>
      <c r="AZ858" s="286">
        <f t="shared" ca="1" si="497"/>
        <v>0</v>
      </c>
      <c r="BA858" s="286">
        <f t="shared" ca="1" si="498"/>
        <v>0</v>
      </c>
      <c r="BB858" s="286">
        <f t="shared" ca="1" si="499"/>
        <v>0</v>
      </c>
      <c r="BC858" s="286">
        <f t="shared" ca="1" si="500"/>
        <v>0</v>
      </c>
      <c r="BD858" s="180">
        <f t="shared" ca="1" si="501"/>
        <v>0.05</v>
      </c>
      <c r="BE858" s="180">
        <f t="shared" ca="1" si="502"/>
        <v>0.05</v>
      </c>
      <c r="BF858" s="286">
        <f t="shared" ca="1" si="503"/>
        <v>0</v>
      </c>
      <c r="BG858" s="286">
        <f t="shared" ca="1" si="504"/>
        <v>0</v>
      </c>
    </row>
    <row r="859" spans="1:59">
      <c r="A859" s="1">
        <f t="shared" ca="1" si="484"/>
        <v>72</v>
      </c>
      <c r="B859" s="1">
        <f t="shared" ca="1" si="477"/>
        <v>177</v>
      </c>
      <c r="C859" s="1">
        <f t="shared" ca="1" si="478"/>
        <v>9</v>
      </c>
      <c r="D859" s="1">
        <f ca="1">MIN($D$3,VLOOKUP(C859,OP!$S$30:$T$41,2))</f>
        <v>2</v>
      </c>
      <c r="E859" s="1" t="str">
        <f t="shared" ca="1" si="479"/>
        <v/>
      </c>
      <c r="F859" s="11" t="str">
        <f t="shared" ca="1" si="485"/>
        <v/>
      </c>
      <c r="G859" s="8">
        <f t="shared" ca="1" si="509"/>
        <v>365</v>
      </c>
      <c r="H859" s="8">
        <f t="shared" ca="1" si="486"/>
        <v>30</v>
      </c>
      <c r="I859" s="8" t="str">
        <f t="shared" ca="1" si="483"/>
        <v>729</v>
      </c>
      <c r="J859" s="13">
        <f>IF(繳費報酬率資料!$A$1=1,VALUE(OP!$C$121),VLOOKUP(A859,MP,2,0))</f>
        <v>0.05</v>
      </c>
      <c r="K859" s="14">
        <f ca="1">IF(SUM($K$4:K858,IF(繳費報酬率資料!$A$1=1,$AU859+$AV859,$BB859+$BC859))&gt;OP!$L$58,0,IF(繳費報酬率資料!$A$1=1,$AU859+$AV859,$BB859+$BC859))</f>
        <v>0</v>
      </c>
      <c r="L859" s="2"/>
      <c r="M859" s="2"/>
      <c r="N859" s="2"/>
      <c r="O859" s="261">
        <f t="shared" ca="1" si="487"/>
        <v>0</v>
      </c>
      <c r="P859" s="261">
        <f t="shared" ca="1" si="505"/>
        <v>0</v>
      </c>
      <c r="Q859" s="3">
        <f ca="1">IF(A859&gt;MAX(OP!$R$17:$R$26),0,VLOOKUP(A859,fees,3,FALSE))</f>
        <v>0</v>
      </c>
      <c r="R859" s="200" t="str">
        <f t="shared" ca="1" si="488"/>
        <v/>
      </c>
      <c r="S859" s="9" t="str">
        <f ca="1">IF(COUNTIF(($T$4:T858),"F")&gt;=1,"",IF(OR(C860&lt;&gt;$C$3,E859=""),"",A859))</f>
        <v/>
      </c>
      <c r="T859" s="20" t="str">
        <f t="shared" ca="1" si="480"/>
        <v/>
      </c>
      <c r="U859" s="2">
        <f ca="1">IF(IF(OP!$C$83=1,$Z858,IF(OP!$C$83=2,$AA858,IF(OP!$C$83=3,$AB858,)))+$K859-$O859-$P859-$AS859&lt;OP!$C$142,0,$AS859)</f>
        <v>0</v>
      </c>
      <c r="V859" s="9"/>
      <c r="W859" s="19">
        <f ca="1">MAX(SUM($K$4:K859),0)</f>
        <v>2000000</v>
      </c>
      <c r="X859" s="19"/>
      <c r="Y859" s="19">
        <f t="shared" ca="1" si="506"/>
        <v>1920000</v>
      </c>
      <c r="Z859" s="2">
        <f ca="1">IF(MIN($Z$4:Z858)=0,0,MAX(0,($Z858+$K859-$O859-$P859)*IF(AND(F859="F",$D$3&lt;&gt;$G$3),((1+(-J859))^(H859/MIN(G859,365))),((1+(-J859))^(1/12)))-$U859))</f>
        <v>49459.729781797228</v>
      </c>
      <c r="AA859" s="2">
        <f ca="1">IF(MIN($AA$4:AA858)=0,0,MAX(0,($AA858+$K859-$O859-$P859)*IF(AND(F859="F",$D$3&lt;&gt;$G$3),((1+$AA$1)^(H859/MIN(G859,365))),((1+$AA$1)^(1/12)))-$U859))</f>
        <v>1920000</v>
      </c>
      <c r="AB859" s="2">
        <f ca="1">IF(MIN($AB$4:AB858)=0,0,MAX(0,($AB858+$K859-$O859-$P859)*IF(AND(F859="F",$D$3&lt;&gt;$G$3),((1+(J859))^(H859/MIN(G859,365))),((1+(J859))^(1/12)))-$U859))</f>
        <v>62345421.059435159</v>
      </c>
      <c r="AC859" s="5"/>
      <c r="AD859" s="5"/>
      <c r="AE859" s="5"/>
      <c r="AF859" s="282">
        <f t="shared" ca="1" si="489"/>
        <v>49460</v>
      </c>
      <c r="AG859" s="282">
        <f t="shared" ca="1" si="490"/>
        <v>1920000</v>
      </c>
      <c r="AH859" s="282">
        <f t="shared" ca="1" si="491"/>
        <v>62345421</v>
      </c>
      <c r="AI859" s="23" t="str">
        <f t="shared" ca="1" si="507"/>
        <v>72-5</v>
      </c>
      <c r="AJ859" s="282">
        <f ca="1">IF(E859&gt;111,,IF(AND(OP!$C$99=1,T859="F"),Z859,IF(AND(OP!$C$99=2,COUNTIF($T$4:T859,"F")=1),OP!$C$97+IF(F859="F",OP!$C$98,0),"")))</f>
        <v>0</v>
      </c>
      <c r="AK859" s="282">
        <f ca="1">IF(E859&gt;111,,IF(AND(OP!$D$99=1,T859="F"),AA859,IF(AND(OP!$D$99=2,COUNTIF($T$4:T859,"F")=1),OP!$D$97+IF(F859="F",OP!$D$98,0),"")))</f>
        <v>0</v>
      </c>
      <c r="AL859" s="282">
        <f ca="1">IF(E859&gt;111,,IF(AND(OP!$E$99=1,T859="F"),AB859,IF(AND(OP!$E$99=2,COUNTIF($T$4:T859,"F")=1),OP!$E$97+IF(F859="F",OP!$E$98,0),"")))</f>
        <v>0</v>
      </c>
      <c r="AM859" s="1">
        <f t="shared" ca="1" si="481"/>
        <v>5</v>
      </c>
      <c r="AN859" s="1" t="e">
        <f ca="1">IF(OR(VLOOKUP($A859,MP,5,0)="季繳",VLOOKUP($A859,MP,5,0)="月繳"),1,"")</f>
        <v>#N/A</v>
      </c>
      <c r="AO859" s="1">
        <f t="shared" ca="1" si="492"/>
        <v>0</v>
      </c>
      <c r="AP859" s="1" t="str">
        <f ca="1">IF(AND(A859&lt;=OP!$C$120,COUNTIF(PAY,C859)=1),1,"")</f>
        <v/>
      </c>
      <c r="AR859" s="301">
        <f ca="1">IF(繳費報酬率資料!$A$1=1,$AY859+$AZ859,$BF859+$BG859)</f>
        <v>0</v>
      </c>
      <c r="AS859" s="1">
        <f ca="1">IF(C859&lt;&gt;IF($C$3=1,12,$C$3-1),0,IF(繳費報酬率資料!$A$1&lt;&gt;1,VLOOKUP($A859,MP,8,0),IF(AND($A859&gt;=OP!$C$79,$A859&lt;=OP!$C$80),OP!$C$78,)))</f>
        <v>0</v>
      </c>
      <c r="AT859" s="298">
        <f t="shared" ca="1" si="493"/>
        <v>0</v>
      </c>
      <c r="AU859" s="298">
        <f ca="1">IF(AND(A859&lt;=OP!$C$120,COUNTIF(PAY,C859)=1),OP!$C$123,0)</f>
        <v>0</v>
      </c>
      <c r="AV859" s="298">
        <f ca="1">IF(AND(A859&gt;=OP!$C$132,A859&lt;=OP!$C$133,$C$3=C859),OP!$C$135,0)</f>
        <v>0</v>
      </c>
      <c r="AW859" s="180">
        <f t="shared" ca="1" si="494"/>
        <v>0.05</v>
      </c>
      <c r="AX859" s="180">
        <f t="shared" ca="1" si="495"/>
        <v>0.05</v>
      </c>
      <c r="AY859" s="286">
        <f t="shared" ca="1" si="496"/>
        <v>0</v>
      </c>
      <c r="AZ859" s="286">
        <f t="shared" ca="1" si="497"/>
        <v>0</v>
      </c>
      <c r="BA859" s="286">
        <f t="shared" ca="1" si="498"/>
        <v>0</v>
      </c>
      <c r="BB859" s="286">
        <f t="shared" ca="1" si="499"/>
        <v>0</v>
      </c>
      <c r="BC859" s="286">
        <f t="shared" ca="1" si="500"/>
        <v>0</v>
      </c>
      <c r="BD859" s="180">
        <f t="shared" ca="1" si="501"/>
        <v>0.05</v>
      </c>
      <c r="BE859" s="180">
        <f t="shared" ca="1" si="502"/>
        <v>0.05</v>
      </c>
      <c r="BF859" s="286">
        <f t="shared" ca="1" si="503"/>
        <v>0</v>
      </c>
      <c r="BG859" s="286">
        <f t="shared" ca="1" si="504"/>
        <v>0</v>
      </c>
    </row>
    <row r="860" spans="1:59">
      <c r="A860" s="1">
        <f t="shared" ca="1" si="484"/>
        <v>72</v>
      </c>
      <c r="B860" s="1">
        <f t="shared" ca="1" si="477"/>
        <v>177</v>
      </c>
      <c r="C860" s="1">
        <f t="shared" ca="1" si="478"/>
        <v>10</v>
      </c>
      <c r="D860" s="1">
        <f ca="1">MIN($D$3,VLOOKUP(C860,OP!$S$30:$T$41,2))</f>
        <v>2</v>
      </c>
      <c r="E860" s="1" t="str">
        <f t="shared" ca="1" si="479"/>
        <v/>
      </c>
      <c r="F860" s="11" t="str">
        <f t="shared" ca="1" si="485"/>
        <v/>
      </c>
      <c r="G860" s="8">
        <f t="shared" ca="1" si="509"/>
        <v>365</v>
      </c>
      <c r="H860" s="8">
        <f t="shared" ca="1" si="486"/>
        <v>31</v>
      </c>
      <c r="I860" s="8" t="str">
        <f t="shared" ca="1" si="483"/>
        <v>7210</v>
      </c>
      <c r="J860" s="13">
        <f>IF(繳費報酬率資料!$A$1=1,VALUE(OP!$C$121),VLOOKUP(A860,MP,2,0))</f>
        <v>0.05</v>
      </c>
      <c r="K860" s="14">
        <f ca="1">IF(SUM($K$4:K859,IF(繳費報酬率資料!$A$1=1,$AU860+$AV860,$BB860+$BC860))&gt;OP!$L$58,0,IF(繳費報酬率資料!$A$1=1,$AU860+$AV860,$BB860+$BC860))</f>
        <v>0</v>
      </c>
      <c r="L860" s="2"/>
      <c r="M860" s="2"/>
      <c r="N860" s="2"/>
      <c r="O860" s="261">
        <f t="shared" ca="1" si="487"/>
        <v>0</v>
      </c>
      <c r="P860" s="261">
        <f t="shared" ca="1" si="505"/>
        <v>0</v>
      </c>
      <c r="Q860" s="3">
        <f ca="1">IF(A860&gt;MAX(OP!$R$17:$R$26),0,VLOOKUP(A860,fees,3,FALSE))</f>
        <v>0</v>
      </c>
      <c r="R860" s="200" t="str">
        <f t="shared" ca="1" si="488"/>
        <v/>
      </c>
      <c r="S860" s="9" t="str">
        <f ca="1">IF(COUNTIF(($T$4:T859),"F")&gt;=1,"",IF(OR(C861&lt;&gt;$C$3,E860=""),"",A860))</f>
        <v/>
      </c>
      <c r="T860" s="20" t="str">
        <f t="shared" ca="1" si="480"/>
        <v/>
      </c>
      <c r="U860" s="2">
        <f ca="1">IF(IF(OP!$C$83=1,$Z859,IF(OP!$C$83=2,$AA859,IF(OP!$C$83=3,$AB859,)))+$K860-$O860-$P860-$AS860&lt;OP!$C$142,0,$AS860)</f>
        <v>0</v>
      </c>
      <c r="V860" s="9"/>
      <c r="W860" s="19">
        <f ca="1">MAX(SUM($K$4:K860),0)</f>
        <v>2000000</v>
      </c>
      <c r="X860" s="19"/>
      <c r="Y860" s="19">
        <f t="shared" ca="1" si="506"/>
        <v>1920000</v>
      </c>
      <c r="Z860" s="2">
        <f ca="1">IF(MIN($Z$4:Z859)=0,0,MAX(0,($Z859+$K860-$O860-$P860)*IF(AND(F860="F",$D$3&lt;&gt;$G$3),((1+(-J860))^(H860/MIN(G860,365))),((1+(-J860))^(1/12)))-$U860))</f>
        <v>49248.768267625856</v>
      </c>
      <c r="AA860" s="2">
        <f ca="1">IF(MIN($AA$4:AA859)=0,0,MAX(0,($AA859+$K860-$O860-$P860)*IF(AND(F860="F",$D$3&lt;&gt;$G$3),((1+$AA$1)^(H860/MIN(G860,365))),((1+$AA$1)^(1/12)))-$U860))</f>
        <v>1920000</v>
      </c>
      <c r="AB860" s="2">
        <f ca="1">IF(MIN($AB$4:AB859)=0,0,MAX(0,($AB859+$K860-$O860-$P860)*IF(AND(F860="F",$D$3&lt;&gt;$G$3),((1+(J860))^(H860/MIN(G860,365))),((1+(J860))^(1/12)))-$U860))</f>
        <v>62599424.022174977</v>
      </c>
      <c r="AC860" s="5"/>
      <c r="AD860" s="5"/>
      <c r="AE860" s="5"/>
      <c r="AF860" s="282">
        <f t="shared" ca="1" si="489"/>
        <v>49249</v>
      </c>
      <c r="AG860" s="282">
        <f t="shared" ca="1" si="490"/>
        <v>1920000</v>
      </c>
      <c r="AH860" s="282">
        <f t="shared" ca="1" si="491"/>
        <v>62599424</v>
      </c>
      <c r="AI860" s="23" t="str">
        <f t="shared" ca="1" si="507"/>
        <v>72-6</v>
      </c>
      <c r="AJ860" s="282">
        <f ca="1">IF(E860&gt;111,,IF(AND(OP!$C$99=1,T860="F"),Z860,IF(AND(OP!$C$99=2,COUNTIF($T$4:T860,"F")=1),OP!$C$97+IF(F860="F",OP!$C$98,0),"")))</f>
        <v>0</v>
      </c>
      <c r="AK860" s="282">
        <f ca="1">IF(E860&gt;111,,IF(AND(OP!$D$99=1,T860="F"),AA860,IF(AND(OP!$D$99=2,COUNTIF($T$4:T860,"F")=1),OP!$D$97+IF(F860="F",OP!$D$98,0),"")))</f>
        <v>0</v>
      </c>
      <c r="AL860" s="282">
        <f ca="1">IF(E860&gt;111,,IF(AND(OP!$E$99=1,T860="F"),AB860,IF(AND(OP!$E$99=2,COUNTIF($T$4:T860,"F")=1),OP!$E$97+IF(F860="F",OP!$E$98,0),"")))</f>
        <v>0</v>
      </c>
      <c r="AM860" s="1">
        <f t="shared" ca="1" si="481"/>
        <v>6</v>
      </c>
      <c r="AN860" s="1" t="e">
        <f ca="1">IF(OR(VLOOKUP($A860,MP,5,0)="月繳"),1,"")</f>
        <v>#N/A</v>
      </c>
      <c r="AO860" s="1">
        <f t="shared" ca="1" si="492"/>
        <v>0</v>
      </c>
      <c r="AP860" s="1" t="str">
        <f ca="1">IF(AND(A860&lt;=OP!$C$120,COUNTIF(PAY,C860)=1),1,"")</f>
        <v/>
      </c>
      <c r="AR860" s="301">
        <f ca="1">IF(繳費報酬率資料!$A$1=1,$AY860+$AZ860,$BF860+$BG860)</f>
        <v>0</v>
      </c>
      <c r="AS860" s="1">
        <f ca="1">IF(C860&lt;&gt;IF($C$3=1,12,$C$3-1),0,IF(繳費報酬率資料!$A$1&lt;&gt;1,VLOOKUP($A860,MP,8,0),IF(AND($A860&gt;=OP!$C$79,$A860&lt;=OP!$C$80),OP!$C$78,)))</f>
        <v>0</v>
      </c>
      <c r="AT860" s="298">
        <f t="shared" ca="1" si="493"/>
        <v>0</v>
      </c>
      <c r="AU860" s="298">
        <f ca="1">IF(AND(A860&lt;=OP!$C$120,COUNTIF(PAY,C860)=1),OP!$C$123,0)</f>
        <v>0</v>
      </c>
      <c r="AV860" s="298">
        <f ca="1">IF(AND(A860&gt;=OP!$C$132,A860&lt;=OP!$C$133,$C$3=C860),OP!$C$135,0)</f>
        <v>0</v>
      </c>
      <c r="AW860" s="180">
        <f t="shared" ca="1" si="494"/>
        <v>0.05</v>
      </c>
      <c r="AX860" s="180">
        <f t="shared" ca="1" si="495"/>
        <v>0.05</v>
      </c>
      <c r="AY860" s="286">
        <f t="shared" ca="1" si="496"/>
        <v>0</v>
      </c>
      <c r="AZ860" s="286">
        <f t="shared" ca="1" si="497"/>
        <v>0</v>
      </c>
      <c r="BA860" s="286">
        <f t="shared" ca="1" si="498"/>
        <v>0</v>
      </c>
      <c r="BB860" s="286">
        <f t="shared" ca="1" si="499"/>
        <v>0</v>
      </c>
      <c r="BC860" s="286">
        <f t="shared" ca="1" si="500"/>
        <v>0</v>
      </c>
      <c r="BD860" s="180">
        <f t="shared" ca="1" si="501"/>
        <v>0.05</v>
      </c>
      <c r="BE860" s="180">
        <f t="shared" ca="1" si="502"/>
        <v>0.05</v>
      </c>
      <c r="BF860" s="286">
        <f t="shared" ca="1" si="503"/>
        <v>0</v>
      </c>
      <c r="BG860" s="286">
        <f t="shared" ca="1" si="504"/>
        <v>0</v>
      </c>
    </row>
    <row r="861" spans="1:59">
      <c r="A861" s="1">
        <f t="shared" ca="1" si="484"/>
        <v>72</v>
      </c>
      <c r="B861" s="1">
        <f t="shared" ca="1" si="477"/>
        <v>177</v>
      </c>
      <c r="C861" s="1">
        <f t="shared" ca="1" si="478"/>
        <v>11</v>
      </c>
      <c r="D861" s="1">
        <f ca="1">MIN($D$3,VLOOKUP(C861,OP!$S$30:$T$41,2))</f>
        <v>2</v>
      </c>
      <c r="E861" s="1" t="str">
        <f t="shared" ca="1" si="479"/>
        <v/>
      </c>
      <c r="F861" s="11" t="str">
        <f t="shared" ca="1" si="485"/>
        <v/>
      </c>
      <c r="G861" s="8">
        <f t="shared" ca="1" si="509"/>
        <v>365</v>
      </c>
      <c r="H861" s="8">
        <f t="shared" ca="1" si="486"/>
        <v>30</v>
      </c>
      <c r="I861" s="8" t="str">
        <f t="shared" ca="1" si="483"/>
        <v>7211</v>
      </c>
      <c r="J861" s="13">
        <f>IF(繳費報酬率資料!$A$1=1,VALUE(OP!$C$121),VLOOKUP(A861,MP,2,0))</f>
        <v>0.05</v>
      </c>
      <c r="K861" s="14">
        <f ca="1">IF(SUM($K$4:K860,IF(繳費報酬率資料!$A$1=1,$AU861+$AV861,$BB861+$BC861))&gt;OP!$L$58,0,IF(繳費報酬率資料!$A$1=1,$AU861+$AV861,$BB861+$BC861))</f>
        <v>0</v>
      </c>
      <c r="L861" s="2"/>
      <c r="M861" s="2"/>
      <c r="N861" s="2"/>
      <c r="O861" s="261">
        <f t="shared" ca="1" si="487"/>
        <v>0</v>
      </c>
      <c r="P861" s="261">
        <f t="shared" ca="1" si="505"/>
        <v>0</v>
      </c>
      <c r="Q861" s="3">
        <f ca="1">IF(A861&gt;MAX(OP!$R$17:$R$26),0,VLOOKUP(A861,fees,3,FALSE))</f>
        <v>0</v>
      </c>
      <c r="R861" s="200" t="str">
        <f t="shared" ca="1" si="488"/>
        <v/>
      </c>
      <c r="S861" s="9" t="str">
        <f ca="1">IF(COUNTIF(($T$4:T860),"F")&gt;=1,"",IF(OR(C862&lt;&gt;$C$3,E861=""),"",A861))</f>
        <v/>
      </c>
      <c r="T861" s="20" t="str">
        <f t="shared" ca="1" si="480"/>
        <v/>
      </c>
      <c r="U861" s="2">
        <f ca="1">IF(IF(OP!$C$83=1,$Z860,IF(OP!$C$83=2,$AA860,IF(OP!$C$83=3,$AB860,)))+$K861-$O861-$P861-$AS861&lt;OP!$C$142,0,$AS861)</f>
        <v>0</v>
      </c>
      <c r="V861" s="9"/>
      <c r="W861" s="19">
        <f ca="1">MAX(SUM($K$4:K861),0)</f>
        <v>2000000</v>
      </c>
      <c r="X861" s="19"/>
      <c r="Y861" s="19">
        <f t="shared" ca="1" si="506"/>
        <v>1920000</v>
      </c>
      <c r="Z861" s="2">
        <f ca="1">IF(MIN($Z$4:Z860)=0,0,MAX(0,($Z860+$K861-$O861-$P861)*IF(AND(F861="F",$D$3&lt;&gt;$G$3),((1+(-J861))^(H861/MIN(G861,365))),((1+(-J861))^(1/12)))-$U861))</f>
        <v>49038.706571562216</v>
      </c>
      <c r="AA861" s="2">
        <f ca="1">IF(MIN($AA$4:AA860)=0,0,MAX(0,($AA860+$K861-$O861-$P861)*IF(AND(F861="F",$D$3&lt;&gt;$G$3),((1+$AA$1)^(H861/MIN(G861,365))),((1+$AA$1)^(1/12)))-$U861))</f>
        <v>1920000</v>
      </c>
      <c r="AB861" s="2">
        <f ca="1">IF(MIN($AB$4:AB860)=0,0,MAX(0,($AB860+$K861-$O861-$P861)*IF(AND(F861="F",$D$3&lt;&gt;$G$3),((1+(J861))^(H861/MIN(G861,365))),((1+(J861))^(1/12)))-$U861))</f>
        <v>62854461.824426405</v>
      </c>
      <c r="AC861" s="5"/>
      <c r="AD861" s="5"/>
      <c r="AE861" s="5"/>
      <c r="AF861" s="282">
        <f t="shared" ca="1" si="489"/>
        <v>49039</v>
      </c>
      <c r="AG861" s="282">
        <f t="shared" ca="1" si="490"/>
        <v>1920000</v>
      </c>
      <c r="AH861" s="282">
        <f t="shared" ca="1" si="491"/>
        <v>62854462</v>
      </c>
      <c r="AI861" s="23" t="str">
        <f t="shared" ca="1" si="507"/>
        <v>72-7</v>
      </c>
      <c r="AJ861" s="282">
        <f ca="1">IF(E861&gt;111,,IF(AND(OP!$C$99=1,T861="F"),Z861,IF(AND(OP!$C$99=2,COUNTIF($T$4:T861,"F")=1),OP!$C$97+IF(F861="F",OP!$C$98,0),"")))</f>
        <v>0</v>
      </c>
      <c r="AK861" s="282">
        <f ca="1">IF(E861&gt;111,,IF(AND(OP!$D$99=1,T861="F"),AA861,IF(AND(OP!$D$99=2,COUNTIF($T$4:T861,"F")=1),OP!$D$97+IF(F861="F",OP!$D$98,0),"")))</f>
        <v>0</v>
      </c>
      <c r="AL861" s="282">
        <f ca="1">IF(E861&gt;111,,IF(AND(OP!$E$99=1,T861="F"),AB861,IF(AND(OP!$E$99=2,COUNTIF($T$4:T861,"F")=1),OP!$E$97+IF(F861="F",OP!$E$98,0),"")))</f>
        <v>0</v>
      </c>
      <c r="AM861" s="1">
        <f t="shared" ca="1" si="481"/>
        <v>7</v>
      </c>
      <c r="AN861" s="1" t="e">
        <f ca="1">IF(OR(VLOOKUP($A861,MP,5,0)="月繳"),1,"")</f>
        <v>#N/A</v>
      </c>
      <c r="AO861" s="1">
        <f t="shared" ca="1" si="492"/>
        <v>0</v>
      </c>
      <c r="AP861" s="1" t="str">
        <f ca="1">IF(AND(A861&lt;=OP!$C$120,COUNTIF(PAY,C861)=1),1,"")</f>
        <v/>
      </c>
      <c r="AR861" s="301">
        <f ca="1">IF(繳費報酬率資料!$A$1=1,$AY861+$AZ861,$BF861+$BG861)</f>
        <v>0</v>
      </c>
      <c r="AS861" s="1">
        <f ca="1">IF(C861&lt;&gt;IF($C$3=1,12,$C$3-1),0,IF(繳費報酬率資料!$A$1&lt;&gt;1,VLOOKUP($A861,MP,8,0),IF(AND($A861&gt;=OP!$C$79,$A861&lt;=OP!$C$80),OP!$C$78,)))</f>
        <v>0</v>
      </c>
      <c r="AT861" s="298">
        <f t="shared" ca="1" si="493"/>
        <v>0</v>
      </c>
      <c r="AU861" s="298">
        <f ca="1">IF(AND(A861&lt;=OP!$C$120,COUNTIF(PAY,C861)=1),OP!$C$123,0)</f>
        <v>0</v>
      </c>
      <c r="AV861" s="298">
        <f ca="1">IF(AND(A861&gt;=OP!$C$132,A861&lt;=OP!$C$133,$C$3=C861),OP!$C$135,0)</f>
        <v>0</v>
      </c>
      <c r="AW861" s="180">
        <f t="shared" ca="1" si="494"/>
        <v>0.05</v>
      </c>
      <c r="AX861" s="180">
        <f t="shared" ca="1" si="495"/>
        <v>0.05</v>
      </c>
      <c r="AY861" s="286">
        <f t="shared" ca="1" si="496"/>
        <v>0</v>
      </c>
      <c r="AZ861" s="286">
        <f t="shared" ca="1" si="497"/>
        <v>0</v>
      </c>
      <c r="BA861" s="286">
        <f t="shared" ca="1" si="498"/>
        <v>0</v>
      </c>
      <c r="BB861" s="286">
        <f t="shared" ca="1" si="499"/>
        <v>0</v>
      </c>
      <c r="BC861" s="286">
        <f t="shared" ca="1" si="500"/>
        <v>0</v>
      </c>
      <c r="BD861" s="180">
        <f t="shared" ca="1" si="501"/>
        <v>0.05</v>
      </c>
      <c r="BE861" s="180">
        <f t="shared" ca="1" si="502"/>
        <v>0.05</v>
      </c>
      <c r="BF861" s="286">
        <f t="shared" ca="1" si="503"/>
        <v>0</v>
      </c>
      <c r="BG861" s="286">
        <f t="shared" ca="1" si="504"/>
        <v>0</v>
      </c>
    </row>
    <row r="862" spans="1:59">
      <c r="A862" s="1">
        <f t="shared" ca="1" si="484"/>
        <v>72</v>
      </c>
      <c r="B862" s="1">
        <f t="shared" ca="1" si="477"/>
        <v>177</v>
      </c>
      <c r="C862" s="1">
        <f t="shared" ca="1" si="478"/>
        <v>12</v>
      </c>
      <c r="D862" s="1">
        <f ca="1">MIN($D$3,VLOOKUP(C862,OP!$S$30:$T$41,2))</f>
        <v>2</v>
      </c>
      <c r="E862" s="1" t="str">
        <f t="shared" ca="1" si="479"/>
        <v/>
      </c>
      <c r="F862" s="11" t="str">
        <f t="shared" ca="1" si="485"/>
        <v/>
      </c>
      <c r="G862" s="8">
        <f t="shared" ca="1" si="509"/>
        <v>365</v>
      </c>
      <c r="H862" s="8">
        <f t="shared" ca="1" si="486"/>
        <v>31</v>
      </c>
      <c r="I862" s="8" t="str">
        <f t="shared" ca="1" si="483"/>
        <v>7212</v>
      </c>
      <c r="J862" s="13">
        <f>IF(繳費報酬率資料!$A$1=1,VALUE(OP!$C$121),VLOOKUP(A862,MP,2,0))</f>
        <v>0.05</v>
      </c>
      <c r="K862" s="14">
        <f ca="1">IF(SUM($K$4:K861,IF(繳費報酬率資料!$A$1=1,$AU862+$AV862,$BB862+$BC862))&gt;OP!$L$58,0,IF(繳費報酬率資料!$A$1=1,$AU862+$AV862,$BB862+$BC862))</f>
        <v>0</v>
      </c>
      <c r="L862" s="2"/>
      <c r="M862" s="2"/>
      <c r="N862" s="2"/>
      <c r="O862" s="261">
        <f t="shared" ca="1" si="487"/>
        <v>0</v>
      </c>
      <c r="P862" s="261">
        <f t="shared" ca="1" si="505"/>
        <v>0</v>
      </c>
      <c r="Q862" s="3">
        <f ca="1">IF(A862&gt;MAX(OP!$R$17:$R$26),0,VLOOKUP(A862,fees,3,FALSE))</f>
        <v>0</v>
      </c>
      <c r="R862" s="200" t="str">
        <f t="shared" ca="1" si="488"/>
        <v/>
      </c>
      <c r="S862" s="9" t="str">
        <f ca="1">IF(COUNTIF(($T$4:T861),"F")&gt;=1,"",IF(OR(C863&lt;&gt;$C$3,E862=""),"",A862))</f>
        <v/>
      </c>
      <c r="T862" s="20" t="str">
        <f t="shared" ca="1" si="480"/>
        <v/>
      </c>
      <c r="U862" s="2">
        <f ca="1">IF(IF(OP!$C$83=1,$Z861,IF(OP!$C$83=2,$AA861,IF(OP!$C$83=3,$AB861,)))+$K862-$O862-$P862-$AS862&lt;OP!$C$142,0,$AS862)</f>
        <v>0</v>
      </c>
      <c r="V862" s="9"/>
      <c r="W862" s="19">
        <f ca="1">MAX(SUM($K$4:K862),0)</f>
        <v>2000000</v>
      </c>
      <c r="X862" s="19"/>
      <c r="Y862" s="19">
        <f t="shared" ca="1" si="506"/>
        <v>1920000</v>
      </c>
      <c r="Z862" s="2">
        <f ca="1">IF(MIN($Z$4:Z861)=0,0,MAX(0,($Z861+$K862-$O862-$P862)*IF(AND(F862="F",$D$3&lt;&gt;$G$3),((1+(-J862))^(H862/MIN(G862,365))),((1+(-J862))^(1/12)))-$U862))</f>
        <v>48829.540855595245</v>
      </c>
      <c r="AA862" s="2">
        <f ca="1">IF(MIN($AA$4:AA861)=0,0,MAX(0,($AA861+$K862-$O862-$P862)*IF(AND(F862="F",$D$3&lt;&gt;$G$3),((1+$AA$1)^(H862/MIN(G862,365))),((1+$AA$1)^(1/12)))-$U862))</f>
        <v>1920000</v>
      </c>
      <c r="AB862" s="2">
        <f ca="1">IF(MIN($AB$4:AB861)=0,0,MAX(0,($AB861+$K862-$O862-$P862)*IF(AND(F862="F",$D$3&lt;&gt;$G$3),((1+(J862))^(H862/MIN(G862,365))),((1+(J862))^(1/12)))-$U862))</f>
        <v>63110538.682253718</v>
      </c>
      <c r="AC862" s="5"/>
      <c r="AD862" s="5"/>
      <c r="AE862" s="5"/>
      <c r="AF862" s="282">
        <f t="shared" ca="1" si="489"/>
        <v>48830</v>
      </c>
      <c r="AG862" s="282">
        <f t="shared" ca="1" si="490"/>
        <v>1920000</v>
      </c>
      <c r="AH862" s="282">
        <f t="shared" ca="1" si="491"/>
        <v>63110539</v>
      </c>
      <c r="AI862" s="23" t="str">
        <f t="shared" ca="1" si="507"/>
        <v>72-8</v>
      </c>
      <c r="AJ862" s="282">
        <f ca="1">IF(E862&gt;111,,IF(AND(OP!$C$99=1,T862="F"),Z862,IF(AND(OP!$C$99=2,COUNTIF($T$4:T862,"F")=1),OP!$C$97+IF(F862="F",OP!$C$98,0),"")))</f>
        <v>0</v>
      </c>
      <c r="AK862" s="282">
        <f ca="1">IF(E862&gt;111,,IF(AND(OP!$D$99=1,T862="F"),AA862,IF(AND(OP!$D$99=2,COUNTIF($T$4:T862,"F")=1),OP!$D$97+IF(F862="F",OP!$D$98,0),"")))</f>
        <v>0</v>
      </c>
      <c r="AL862" s="282">
        <f ca="1">IF(E862&gt;111,,IF(AND(OP!$E$99=1,T862="F"),AB862,IF(AND(OP!$E$99=2,COUNTIF($T$4:T862,"F")=1),OP!$E$97+IF(F862="F",OP!$E$98,0),"")))</f>
        <v>0</v>
      </c>
      <c r="AM862" s="1">
        <f t="shared" ca="1" si="481"/>
        <v>8</v>
      </c>
      <c r="AN862" s="1" t="e">
        <f ca="1">IF(OR(VLOOKUP($A862,MP,5,0)="半年繳",VLOOKUP($A862,MP,5,0)="季繳",VLOOKUP($A862,MP,5,0)="月繳"),1,"")</f>
        <v>#N/A</v>
      </c>
      <c r="AO862" s="1">
        <f t="shared" ca="1" si="492"/>
        <v>0</v>
      </c>
      <c r="AP862" s="1" t="str">
        <f ca="1">IF(AND(A862&lt;=OP!$C$120,COUNTIF(PAY,C862)=1),1,"")</f>
        <v/>
      </c>
      <c r="AR862" s="301">
        <f ca="1">IF(繳費報酬率資料!$A$1=1,$AY862+$AZ862,$BF862+$BG862)</f>
        <v>0</v>
      </c>
      <c r="AS862" s="1">
        <f ca="1">IF(C862&lt;&gt;IF($C$3=1,12,$C$3-1),0,IF(繳費報酬率資料!$A$1&lt;&gt;1,VLOOKUP($A862,MP,8,0),IF(AND($A862&gt;=OP!$C$79,$A862&lt;=OP!$C$80),OP!$C$78,)))</f>
        <v>0</v>
      </c>
      <c r="AT862" s="298">
        <f t="shared" ca="1" si="493"/>
        <v>0</v>
      </c>
      <c r="AU862" s="298">
        <f ca="1">IF(AND(A862&lt;=OP!$C$120,COUNTIF(PAY,C862)=1),OP!$C$123,0)</f>
        <v>0</v>
      </c>
      <c r="AV862" s="298">
        <f ca="1">IF(AND(A862&gt;=OP!$C$132,A862&lt;=OP!$C$133,$C$3=C862),OP!$C$135,0)</f>
        <v>0</v>
      </c>
      <c r="AW862" s="180">
        <f t="shared" ca="1" si="494"/>
        <v>0.05</v>
      </c>
      <c r="AX862" s="180">
        <f t="shared" ca="1" si="495"/>
        <v>0.05</v>
      </c>
      <c r="AY862" s="286">
        <f t="shared" ca="1" si="496"/>
        <v>0</v>
      </c>
      <c r="AZ862" s="286">
        <f t="shared" ca="1" si="497"/>
        <v>0</v>
      </c>
      <c r="BA862" s="286">
        <f t="shared" ca="1" si="498"/>
        <v>0</v>
      </c>
      <c r="BB862" s="286">
        <f t="shared" ca="1" si="499"/>
        <v>0</v>
      </c>
      <c r="BC862" s="286">
        <f t="shared" ca="1" si="500"/>
        <v>0</v>
      </c>
      <c r="BD862" s="180">
        <f t="shared" ca="1" si="501"/>
        <v>0.05</v>
      </c>
      <c r="BE862" s="180">
        <f t="shared" ca="1" si="502"/>
        <v>0.05</v>
      </c>
      <c r="BF862" s="286">
        <f t="shared" ca="1" si="503"/>
        <v>0</v>
      </c>
      <c r="BG862" s="286">
        <f t="shared" ca="1" si="504"/>
        <v>0</v>
      </c>
    </row>
    <row r="863" spans="1:59">
      <c r="A863" s="1">
        <f t="shared" ca="1" si="484"/>
        <v>72</v>
      </c>
      <c r="B863" s="1">
        <f t="shared" ca="1" si="477"/>
        <v>178</v>
      </c>
      <c r="C863" s="1">
        <f t="shared" ca="1" si="478"/>
        <v>1</v>
      </c>
      <c r="D863" s="1">
        <f ca="1">MIN($D$3,VLOOKUP(C863,OP!$S$30:$T$41,2))</f>
        <v>2</v>
      </c>
      <c r="E863" s="1" t="str">
        <f t="shared" ca="1" si="479"/>
        <v/>
      </c>
      <c r="F863" s="11" t="str">
        <f t="shared" ca="1" si="485"/>
        <v/>
      </c>
      <c r="G863" s="8">
        <f t="shared" ca="1" si="509"/>
        <v>365</v>
      </c>
      <c r="H863" s="8">
        <f t="shared" ca="1" si="486"/>
        <v>31</v>
      </c>
      <c r="I863" s="8" t="str">
        <f t="shared" ca="1" si="483"/>
        <v>721</v>
      </c>
      <c r="J863" s="13">
        <f>IF(繳費報酬率資料!$A$1=1,VALUE(OP!$C$121),VLOOKUP(A863,MP,2,0))</f>
        <v>0.05</v>
      </c>
      <c r="K863" s="14">
        <f ca="1">IF(SUM($K$4:K862,IF(繳費報酬率資料!$A$1=1,$AU863+$AV863,$BB863+$BC863))&gt;OP!$L$58,0,IF(繳費報酬率資料!$A$1=1,$AU863+$AV863,$BB863+$BC863))</f>
        <v>0</v>
      </c>
      <c r="L863" s="2"/>
      <c r="M863" s="2"/>
      <c r="N863" s="2"/>
      <c r="O863" s="261">
        <f t="shared" ca="1" si="487"/>
        <v>0</v>
      </c>
      <c r="P863" s="261">
        <f t="shared" ca="1" si="505"/>
        <v>0</v>
      </c>
      <c r="Q863" s="3">
        <f ca="1">IF(A863&gt;MAX(OP!$R$17:$R$26),0,VLOOKUP(A863,fees,3,FALSE))</f>
        <v>0</v>
      </c>
      <c r="R863" s="200" t="str">
        <f t="shared" ca="1" si="488"/>
        <v/>
      </c>
      <c r="S863" s="9" t="str">
        <f ca="1">IF(COUNTIF(($T$4:T862),"F")&gt;=1,"",IF(OR(C864&lt;&gt;$C$3,E863=""),"",A863))</f>
        <v/>
      </c>
      <c r="T863" s="20" t="str">
        <f t="shared" ca="1" si="480"/>
        <v/>
      </c>
      <c r="U863" s="2">
        <f ca="1">IF(IF(OP!$C$83=1,$Z862,IF(OP!$C$83=2,$AA862,IF(OP!$C$83=3,$AB862,)))+$K863-$O863-$P863-$AS863&lt;OP!$C$142,0,$AS863)</f>
        <v>0</v>
      </c>
      <c r="V863" s="9"/>
      <c r="W863" s="19">
        <f ca="1">MAX(SUM($K$4:K863),0)</f>
        <v>2000000</v>
      </c>
      <c r="X863" s="19"/>
      <c r="Y863" s="19">
        <f t="shared" ca="1" si="506"/>
        <v>1920000</v>
      </c>
      <c r="Z863" s="2">
        <f ca="1">IF(MIN($Z$4:Z862)=0,0,MAX(0,($Z862+$K863-$O863-$P863)*IF(AND(F863="F",$D$3&lt;&gt;$G$3),((1+(-J863))^(H863/MIN(G863,365))),((1+(-J863))^(1/12)))-$U863))</f>
        <v>48621.267298084211</v>
      </c>
      <c r="AA863" s="2">
        <f ca="1">IF(MIN($AA$4:AA862)=0,0,MAX(0,($AA862+$K863-$O863-$P863)*IF(AND(F863="F",$D$3&lt;&gt;$G$3),((1+$AA$1)^(H863/MIN(G863,365))),((1+$AA$1)^(1/12)))-$U863))</f>
        <v>1920000</v>
      </c>
      <c r="AB863" s="2">
        <f ca="1">IF(MIN($AB$4:AB862)=0,0,MAX(0,($AB862+$K863-$O863-$P863)*IF(AND(F863="F",$D$3&lt;&gt;$G$3),((1+(J863))^(H863/MIN(G863,365))),((1+(J863))^(1/12)))-$U863))</f>
        <v>63367658.828897946</v>
      </c>
      <c r="AC863" s="5"/>
      <c r="AD863" s="5"/>
      <c r="AE863" s="5"/>
      <c r="AF863" s="282">
        <f t="shared" ca="1" si="489"/>
        <v>48621</v>
      </c>
      <c r="AG863" s="282">
        <f t="shared" ca="1" si="490"/>
        <v>1920000</v>
      </c>
      <c r="AH863" s="282">
        <f t="shared" ca="1" si="491"/>
        <v>63367659</v>
      </c>
      <c r="AI863" s="23" t="str">
        <f t="shared" ca="1" si="507"/>
        <v>72-9</v>
      </c>
      <c r="AJ863" s="282">
        <f ca="1">IF(E863&gt;111,,IF(AND(OP!$C$99=1,T863="F"),Z863,IF(AND(OP!$C$99=2,COUNTIF($T$4:T863,"F")=1),OP!$C$97+IF(F863="F",OP!$C$98,0),"")))</f>
        <v>0</v>
      </c>
      <c r="AK863" s="282">
        <f ca="1">IF(E863&gt;111,,IF(AND(OP!$D$99=1,T863="F"),AA863,IF(AND(OP!$D$99=2,COUNTIF($T$4:T863,"F")=1),OP!$D$97+IF(F863="F",OP!$D$98,0),"")))</f>
        <v>0</v>
      </c>
      <c r="AL863" s="282">
        <f ca="1">IF(E863&gt;111,,IF(AND(OP!$E$99=1,T863="F"),AB863,IF(AND(OP!$E$99=2,COUNTIF($T$4:T863,"F")=1),OP!$E$97+IF(F863="F",OP!$E$98,0),"")))</f>
        <v>0</v>
      </c>
      <c r="AM863" s="1">
        <f t="shared" ca="1" si="481"/>
        <v>9</v>
      </c>
      <c r="AN863" s="1" t="e">
        <f ca="1">IF(OR(VLOOKUP($A863,MP,5,0)="月繳"),1,"")</f>
        <v>#N/A</v>
      </c>
      <c r="AO863" s="1">
        <f t="shared" ca="1" si="492"/>
        <v>0</v>
      </c>
      <c r="AP863" s="1" t="str">
        <f ca="1">IF(AND(A863&lt;=OP!$C$120,COUNTIF(PAY,C863)=1),1,"")</f>
        <v/>
      </c>
      <c r="AR863" s="301">
        <f ca="1">IF(繳費報酬率資料!$A$1=1,$AY863+$AZ863,$BF863+$BG863)</f>
        <v>0</v>
      </c>
      <c r="AS863" s="1">
        <f ca="1">IF(C863&lt;&gt;IF($C$3=1,12,$C$3-1),0,IF(繳費報酬率資料!$A$1&lt;&gt;1,VLOOKUP($A863,MP,8,0),IF(AND($A863&gt;=OP!$C$79,$A863&lt;=OP!$C$80),OP!$C$78,)))</f>
        <v>0</v>
      </c>
      <c r="AT863" s="298">
        <f t="shared" ca="1" si="493"/>
        <v>0</v>
      </c>
      <c r="AU863" s="298">
        <f ca="1">IF(AND(A863&lt;=OP!$C$120,COUNTIF(PAY,C863)=1),OP!$C$123,0)</f>
        <v>0</v>
      </c>
      <c r="AV863" s="298">
        <f ca="1">IF(AND(A863&gt;=OP!$C$132,A863&lt;=OP!$C$133,$C$3=C863),OP!$C$135,0)</f>
        <v>0</v>
      </c>
      <c r="AW863" s="180">
        <f t="shared" ca="1" si="494"/>
        <v>0.05</v>
      </c>
      <c r="AX863" s="180">
        <f t="shared" ca="1" si="495"/>
        <v>0.05</v>
      </c>
      <c r="AY863" s="286">
        <f t="shared" ca="1" si="496"/>
        <v>0</v>
      </c>
      <c r="AZ863" s="286">
        <f t="shared" ca="1" si="497"/>
        <v>0</v>
      </c>
      <c r="BA863" s="286">
        <f t="shared" ca="1" si="498"/>
        <v>0</v>
      </c>
      <c r="BB863" s="286">
        <f t="shared" ca="1" si="499"/>
        <v>0</v>
      </c>
      <c r="BC863" s="286">
        <f t="shared" ca="1" si="500"/>
        <v>0</v>
      </c>
      <c r="BD863" s="180">
        <f t="shared" ca="1" si="501"/>
        <v>0.05</v>
      </c>
      <c r="BE863" s="180">
        <f t="shared" ca="1" si="502"/>
        <v>0.05</v>
      </c>
      <c r="BF863" s="286">
        <f t="shared" ca="1" si="503"/>
        <v>0</v>
      </c>
      <c r="BG863" s="286">
        <f t="shared" ca="1" si="504"/>
        <v>0</v>
      </c>
    </row>
    <row r="864" spans="1:59">
      <c r="A864" s="1">
        <f t="shared" ca="1" si="484"/>
        <v>72</v>
      </c>
      <c r="B864" s="1">
        <f t="shared" ca="1" si="477"/>
        <v>178</v>
      </c>
      <c r="C864" s="1">
        <f t="shared" ca="1" si="478"/>
        <v>2</v>
      </c>
      <c r="D864" s="1">
        <f ca="1">MIN($D$3,VLOOKUP(C864,OP!$S$30:$T$41,2))</f>
        <v>2</v>
      </c>
      <c r="E864" s="1" t="str">
        <f t="shared" ca="1" si="479"/>
        <v/>
      </c>
      <c r="F864" s="11" t="str">
        <f t="shared" ca="1" si="485"/>
        <v/>
      </c>
      <c r="G864" s="8">
        <f t="shared" ca="1" si="509"/>
        <v>365</v>
      </c>
      <c r="H864" s="8">
        <f t="shared" ca="1" si="486"/>
        <v>28</v>
      </c>
      <c r="I864" s="8" t="str">
        <f t="shared" ca="1" si="483"/>
        <v>722</v>
      </c>
      <c r="J864" s="13">
        <f>IF(繳費報酬率資料!$A$1=1,VALUE(OP!$C$121),VLOOKUP(A864,MP,2,0))</f>
        <v>0.05</v>
      </c>
      <c r="K864" s="14">
        <f ca="1">IF(SUM($K$4:K863,IF(繳費報酬率資料!$A$1=1,$AU864+$AV864,$BB864+$BC864))&gt;OP!$L$58,0,IF(繳費報酬率資料!$A$1=1,$AU864+$AV864,$BB864+$BC864))</f>
        <v>0</v>
      </c>
      <c r="L864" s="2"/>
      <c r="M864" s="2"/>
      <c r="N864" s="2"/>
      <c r="O864" s="261">
        <f t="shared" ca="1" si="487"/>
        <v>0</v>
      </c>
      <c r="P864" s="261">
        <f t="shared" ca="1" si="505"/>
        <v>0</v>
      </c>
      <c r="Q864" s="3">
        <f ca="1">IF(A864&gt;MAX(OP!$R$17:$R$26),0,VLOOKUP(A864,fees,3,FALSE))</f>
        <v>0</v>
      </c>
      <c r="R864" s="200" t="str">
        <f t="shared" ca="1" si="488"/>
        <v/>
      </c>
      <c r="S864" s="9" t="str">
        <f ca="1">IF(COUNTIF(($T$4:T863),"F")&gt;=1,"",IF(OR(C865&lt;&gt;$C$3,E864=""),"",A864))</f>
        <v/>
      </c>
      <c r="T864" s="20" t="str">
        <f t="shared" ca="1" si="480"/>
        <v/>
      </c>
      <c r="U864" s="2">
        <f ca="1">IF(IF(OP!$C$83=1,$Z863,IF(OP!$C$83=2,$AA863,IF(OP!$C$83=3,$AB863,)))+$K864-$O864-$P864-$AS864&lt;OP!$C$142,0,$AS864)</f>
        <v>0</v>
      </c>
      <c r="V864" s="9"/>
      <c r="W864" s="19">
        <f ca="1">MAX(SUM($K$4:K864),0)</f>
        <v>2000000</v>
      </c>
      <c r="X864" s="19"/>
      <c r="Y864" s="19">
        <f t="shared" ca="1" si="506"/>
        <v>1920000</v>
      </c>
      <c r="Z864" s="2">
        <f ca="1">IF(MIN($Z$4:Z863)=0,0,MAX(0,($Z863+$K864-$O864-$P864)*IF(AND(F864="F",$D$3&lt;&gt;$G$3),((1+(-J864))^(H864/MIN(G864,365))),((1+(-J864))^(1/12)))-$U864))</f>
        <v>48413.882093688895</v>
      </c>
      <c r="AA864" s="2">
        <f ca="1">IF(MIN($AA$4:AA863)=0,0,MAX(0,($AA863+$K864-$O864-$P864)*IF(AND(F864="F",$D$3&lt;&gt;$G$3),((1+$AA$1)^(H864/MIN(G864,365))),((1+$AA$1)^(1/12)))-$U864))</f>
        <v>1920000</v>
      </c>
      <c r="AB864" s="2">
        <f ca="1">IF(MIN($AB$4:AB863)=0,0,MAX(0,($AB863+$K864-$O864-$P864)*IF(AND(F864="F",$D$3&lt;&gt;$G$3),((1+(J864))^(H864/MIN(G864,365))),((1+(J864))^(1/12)))-$U864))</f>
        <v>63625826.514846876</v>
      </c>
      <c r="AC864" s="5"/>
      <c r="AD864" s="5"/>
      <c r="AE864" s="5"/>
      <c r="AF864" s="282">
        <f t="shared" ca="1" si="489"/>
        <v>48414</v>
      </c>
      <c r="AG864" s="282">
        <f t="shared" ca="1" si="490"/>
        <v>1920000</v>
      </c>
      <c r="AH864" s="282">
        <f t="shared" ca="1" si="491"/>
        <v>63625827</v>
      </c>
      <c r="AI864" s="23" t="str">
        <f t="shared" ca="1" si="507"/>
        <v>72-10</v>
      </c>
      <c r="AJ864" s="282">
        <f ca="1">IF(E864&gt;111,,IF(AND(OP!$C$99=1,T864="F"),Z864,IF(AND(OP!$C$99=2,COUNTIF($T$4:T864,"F")=1),OP!$C$97+IF(F864="F",OP!$C$98,0),"")))</f>
        <v>0</v>
      </c>
      <c r="AK864" s="282">
        <f ca="1">IF(E864&gt;111,,IF(AND(OP!$D$99=1,T864="F"),AA864,IF(AND(OP!$D$99=2,COUNTIF($T$4:T864,"F")=1),OP!$D$97+IF(F864="F",OP!$D$98,0),"")))</f>
        <v>0</v>
      </c>
      <c r="AL864" s="282">
        <f ca="1">IF(E864&gt;111,,IF(AND(OP!$E$99=1,T864="F"),AB864,IF(AND(OP!$E$99=2,COUNTIF($T$4:T864,"F")=1),OP!$E$97+IF(F864="F",OP!$E$98,0),"")))</f>
        <v>0</v>
      </c>
      <c r="AM864" s="1">
        <f t="shared" ca="1" si="481"/>
        <v>10</v>
      </c>
      <c r="AN864" s="1" t="e">
        <f ca="1">IF(OR(VLOOKUP($A864,MP,5,0)="月繳"),1,"")</f>
        <v>#N/A</v>
      </c>
      <c r="AO864" s="1">
        <f t="shared" ca="1" si="492"/>
        <v>0</v>
      </c>
      <c r="AP864" s="1" t="str">
        <f ca="1">IF(AND(A864&lt;=OP!$C$120,COUNTIF(PAY,C864)=1),1,"")</f>
        <v/>
      </c>
      <c r="AR864" s="301">
        <f ca="1">IF(繳費報酬率資料!$A$1=1,$AY864+$AZ864,$BF864+$BG864)</f>
        <v>0</v>
      </c>
      <c r="AS864" s="1">
        <f ca="1">IF(C864&lt;&gt;IF($C$3=1,12,$C$3-1),0,IF(繳費報酬率資料!$A$1&lt;&gt;1,VLOOKUP($A864,MP,8,0),IF(AND($A864&gt;=OP!$C$79,$A864&lt;=OP!$C$80),OP!$C$78,)))</f>
        <v>0</v>
      </c>
      <c r="AT864" s="298">
        <f t="shared" ca="1" si="493"/>
        <v>0</v>
      </c>
      <c r="AU864" s="298">
        <f ca="1">IF(AND(A864&lt;=OP!$C$120,COUNTIF(PAY,C864)=1),OP!$C$123,0)</f>
        <v>0</v>
      </c>
      <c r="AV864" s="298">
        <f ca="1">IF(AND(A864&gt;=OP!$C$132,A864&lt;=OP!$C$133,$C$3=C864),OP!$C$135,0)</f>
        <v>0</v>
      </c>
      <c r="AW864" s="180">
        <f t="shared" ca="1" si="494"/>
        <v>0.05</v>
      </c>
      <c r="AX864" s="180">
        <f t="shared" ca="1" si="495"/>
        <v>0.05</v>
      </c>
      <c r="AY864" s="286">
        <f t="shared" ca="1" si="496"/>
        <v>0</v>
      </c>
      <c r="AZ864" s="286">
        <f t="shared" ca="1" si="497"/>
        <v>0</v>
      </c>
      <c r="BA864" s="286">
        <f t="shared" ca="1" si="498"/>
        <v>0</v>
      </c>
      <c r="BB864" s="286">
        <f t="shared" ca="1" si="499"/>
        <v>0</v>
      </c>
      <c r="BC864" s="286">
        <f t="shared" ca="1" si="500"/>
        <v>0</v>
      </c>
      <c r="BD864" s="180">
        <f t="shared" ca="1" si="501"/>
        <v>0.05</v>
      </c>
      <c r="BE864" s="180">
        <f t="shared" ca="1" si="502"/>
        <v>0.05</v>
      </c>
      <c r="BF864" s="286">
        <f t="shared" ca="1" si="503"/>
        <v>0</v>
      </c>
      <c r="BG864" s="286">
        <f t="shared" ca="1" si="504"/>
        <v>0</v>
      </c>
    </row>
    <row r="865" spans="1:59">
      <c r="A865" s="1">
        <f t="shared" ca="1" si="484"/>
        <v>72</v>
      </c>
      <c r="B865" s="1">
        <f t="shared" ca="1" si="477"/>
        <v>178</v>
      </c>
      <c r="C865" s="1">
        <f t="shared" ca="1" si="478"/>
        <v>3</v>
      </c>
      <c r="D865" s="1">
        <f ca="1">MIN($D$3,VLOOKUP(C865,OP!$S$30:$T$41,2))</f>
        <v>2</v>
      </c>
      <c r="E865" s="1" t="str">
        <f t="shared" ca="1" si="479"/>
        <v/>
      </c>
      <c r="F865" s="11" t="str">
        <f t="shared" ca="1" si="485"/>
        <v/>
      </c>
      <c r="G865" s="8">
        <f t="shared" ca="1" si="509"/>
        <v>365</v>
      </c>
      <c r="H865" s="8">
        <f t="shared" ca="1" si="486"/>
        <v>31</v>
      </c>
      <c r="I865" s="8" t="str">
        <f t="shared" ca="1" si="483"/>
        <v>723</v>
      </c>
      <c r="J865" s="13">
        <f>IF(繳費報酬率資料!$A$1=1,VALUE(OP!$C$121),VLOOKUP(A865,MP,2,0))</f>
        <v>0.05</v>
      </c>
      <c r="K865" s="14">
        <f ca="1">IF(SUM($K$4:K864,IF(繳費報酬率資料!$A$1=1,$AU865+$AV865,$BB865+$BC865))&gt;OP!$L$58,0,IF(繳費報酬率資料!$A$1=1,$AU865+$AV865,$BB865+$BC865))</f>
        <v>0</v>
      </c>
      <c r="L865" s="2"/>
      <c r="M865" s="2"/>
      <c r="N865" s="2"/>
      <c r="O865" s="261">
        <f t="shared" ca="1" si="487"/>
        <v>0</v>
      </c>
      <c r="P865" s="261">
        <f t="shared" ca="1" si="505"/>
        <v>0</v>
      </c>
      <c r="Q865" s="3">
        <f ca="1">IF(A865&gt;MAX(OP!$R$17:$R$26),0,VLOOKUP(A865,fees,3,FALSE))</f>
        <v>0</v>
      </c>
      <c r="R865" s="200" t="str">
        <f t="shared" ca="1" si="488"/>
        <v/>
      </c>
      <c r="S865" s="9" t="str">
        <f ca="1">IF(COUNTIF(($T$4:T864),"F")&gt;=1,"",IF(OR(C866&lt;&gt;$C$3,E865=""),"",A865))</f>
        <v/>
      </c>
      <c r="T865" s="20" t="str">
        <f t="shared" ca="1" si="480"/>
        <v/>
      </c>
      <c r="U865" s="2">
        <f ca="1">IF(IF(OP!$C$83=1,$Z864,IF(OP!$C$83=2,$AA864,IF(OP!$C$83=3,$AB864,)))+$K865-$O865-$P865-$AS865&lt;OP!$C$142,0,$AS865)</f>
        <v>0</v>
      </c>
      <c r="V865" s="9"/>
      <c r="W865" s="19">
        <f ca="1">MAX(SUM($K$4:K865),0)</f>
        <v>2000000</v>
      </c>
      <c r="X865" s="19"/>
      <c r="Y865" s="19">
        <f t="shared" ca="1" si="506"/>
        <v>1920000</v>
      </c>
      <c r="Z865" s="2">
        <f ca="1">IF(MIN($Z$4:Z864)=0,0,MAX(0,($Z864+$K865-$O865-$P865)*IF(AND(F865="F",$D$3&lt;&gt;$G$3),((1+(-J865))^(H865/MIN(G865,365))),((1+(-J865))^(1/12)))-$U865))</f>
        <v>48207.381453300077</v>
      </c>
      <c r="AA865" s="2">
        <f ca="1">IF(MIN($AA$4:AA864)=0,0,MAX(0,($AA864+$K865-$O865-$P865)*IF(AND(F865="F",$D$3&lt;&gt;$G$3),((1+$AA$1)^(H865/MIN(G865,365))),((1+$AA$1)^(1/12)))-$U865))</f>
        <v>1920000</v>
      </c>
      <c r="AB865" s="2">
        <f ca="1">IF(MIN($AB$4:AB864)=0,0,MAX(0,($AB864+$K865-$O865-$P865)*IF(AND(F865="F",$D$3&lt;&gt;$G$3),((1+(J865))^(H865/MIN(G865,365))),((1+(J865))^(1/12)))-$U865))</f>
        <v>63885046.007905297</v>
      </c>
      <c r="AC865" s="5"/>
      <c r="AD865" s="5"/>
      <c r="AE865" s="5"/>
      <c r="AF865" s="282">
        <f t="shared" ca="1" si="489"/>
        <v>48207</v>
      </c>
      <c r="AG865" s="282">
        <f t="shared" ca="1" si="490"/>
        <v>1920000</v>
      </c>
      <c r="AH865" s="282">
        <f t="shared" ca="1" si="491"/>
        <v>63885046</v>
      </c>
      <c r="AI865" s="23" t="str">
        <f t="shared" ca="1" si="507"/>
        <v>72-11</v>
      </c>
      <c r="AJ865" s="282">
        <f ca="1">IF(E865&gt;111,,IF(AND(OP!$C$99=1,T865="F"),Z865,IF(AND(OP!$C$99=2,COUNTIF($T$4:T865,"F")=1),OP!$C$97+IF(F865="F",OP!$C$98,0),"")))</f>
        <v>0</v>
      </c>
      <c r="AK865" s="282">
        <f ca="1">IF(E865&gt;111,,IF(AND(OP!$D$99=1,T865="F"),AA865,IF(AND(OP!$D$99=2,COUNTIF($T$4:T865,"F")=1),OP!$D$97+IF(F865="F",OP!$D$98,0),"")))</f>
        <v>0</v>
      </c>
      <c r="AL865" s="282">
        <f ca="1">IF(E865&gt;111,,IF(AND(OP!$E$99=1,T865="F"),AB865,IF(AND(OP!$E$99=2,COUNTIF($T$4:T865,"F")=1),OP!$E$97+IF(F865="F",OP!$E$98,0),"")))</f>
        <v>0</v>
      </c>
      <c r="AM865" s="1">
        <f t="shared" ca="1" si="481"/>
        <v>11</v>
      </c>
      <c r="AN865" s="1" t="e">
        <f ca="1">IF(OR(VLOOKUP($A865,MP,5,0)="季繳",VLOOKUP($A865,MP,5,0)="月繳"),1,"")</f>
        <v>#N/A</v>
      </c>
      <c r="AO865" s="1">
        <f t="shared" ca="1" si="492"/>
        <v>0</v>
      </c>
      <c r="AP865" s="1" t="str">
        <f ca="1">IF(AND(A865&lt;=OP!$C$120,COUNTIF(PAY,C865)=1),1,"")</f>
        <v/>
      </c>
      <c r="AR865" s="301">
        <f ca="1">IF(繳費報酬率資料!$A$1=1,$AY865+$AZ865,$BF865+$BG865)</f>
        <v>0</v>
      </c>
      <c r="AS865" s="1">
        <f ca="1">IF(C865&lt;&gt;IF($C$3=1,12,$C$3-1),0,IF(繳費報酬率資料!$A$1&lt;&gt;1,VLOOKUP($A865,MP,8,0),IF(AND($A865&gt;=OP!$C$79,$A865&lt;=OP!$C$80),OP!$C$78,)))</f>
        <v>0</v>
      </c>
      <c r="AT865" s="298">
        <f t="shared" ca="1" si="493"/>
        <v>0</v>
      </c>
      <c r="AU865" s="298">
        <f ca="1">IF(AND(A865&lt;=OP!$C$120,COUNTIF(PAY,C865)=1),OP!$C$123,0)</f>
        <v>0</v>
      </c>
      <c r="AV865" s="298">
        <f ca="1">IF(AND(A865&gt;=OP!$C$132,A865&lt;=OP!$C$133,$C$3=C865),OP!$C$135,0)</f>
        <v>0</v>
      </c>
      <c r="AW865" s="180">
        <f t="shared" ca="1" si="494"/>
        <v>0.05</v>
      </c>
      <c r="AX865" s="180">
        <f t="shared" ca="1" si="495"/>
        <v>0.05</v>
      </c>
      <c r="AY865" s="286">
        <f t="shared" ca="1" si="496"/>
        <v>0</v>
      </c>
      <c r="AZ865" s="286">
        <f t="shared" ca="1" si="497"/>
        <v>0</v>
      </c>
      <c r="BA865" s="286">
        <f t="shared" ca="1" si="498"/>
        <v>0</v>
      </c>
      <c r="BB865" s="286">
        <f t="shared" ca="1" si="499"/>
        <v>0</v>
      </c>
      <c r="BC865" s="286">
        <f t="shared" ca="1" si="500"/>
        <v>0</v>
      </c>
      <c r="BD865" s="180">
        <f t="shared" ca="1" si="501"/>
        <v>0.05</v>
      </c>
      <c r="BE865" s="180">
        <f t="shared" ca="1" si="502"/>
        <v>0.05</v>
      </c>
      <c r="BF865" s="286">
        <f t="shared" ca="1" si="503"/>
        <v>0</v>
      </c>
      <c r="BG865" s="286">
        <f t="shared" ca="1" si="504"/>
        <v>0</v>
      </c>
    </row>
    <row r="866" spans="1:59">
      <c r="A866" s="1">
        <f t="shared" ca="1" si="484"/>
        <v>72</v>
      </c>
      <c r="B866" s="1">
        <f t="shared" ca="1" si="477"/>
        <v>178</v>
      </c>
      <c r="C866" s="1">
        <f t="shared" ca="1" si="478"/>
        <v>4</v>
      </c>
      <c r="D866" s="1">
        <f ca="1">MIN($D$3,VLOOKUP(C866,OP!$S$30:$T$41,2))</f>
        <v>2</v>
      </c>
      <c r="E866" s="1" t="str">
        <f t="shared" ca="1" si="479"/>
        <v/>
      </c>
      <c r="F866" s="11" t="str">
        <f t="shared" ca="1" si="485"/>
        <v/>
      </c>
      <c r="G866" s="8">
        <f t="shared" ca="1" si="509"/>
        <v>365</v>
      </c>
      <c r="H866" s="8">
        <f t="shared" ca="1" si="486"/>
        <v>30</v>
      </c>
      <c r="I866" s="8" t="str">
        <f t="shared" ca="1" si="483"/>
        <v>724</v>
      </c>
      <c r="J866" s="13">
        <f>IF(繳費報酬率資料!$A$1=1,VALUE(OP!$C$121),VLOOKUP(A866,MP,2,0))</f>
        <v>0.05</v>
      </c>
      <c r="K866" s="14">
        <f ca="1">IF(SUM($K$4:K865,IF(繳費報酬率資料!$A$1=1,$AU866+$AV866,$BB866+$BC866))&gt;OP!$L$58,0,IF(繳費報酬率資料!$A$1=1,$AU866+$AV866,$BB866+$BC866))</f>
        <v>0</v>
      </c>
      <c r="L866" s="2"/>
      <c r="M866" s="2"/>
      <c r="N866" s="2"/>
      <c r="O866" s="261">
        <f t="shared" ca="1" si="487"/>
        <v>0</v>
      </c>
      <c r="P866" s="261">
        <f t="shared" ca="1" si="505"/>
        <v>0</v>
      </c>
      <c r="Q866" s="3">
        <f ca="1">IF(A866&gt;MAX(OP!$R$17:$R$26),0,VLOOKUP(A866,fees,3,FALSE))</f>
        <v>0</v>
      </c>
      <c r="R866" s="200" t="str">
        <f t="shared" ca="1" si="488"/>
        <v/>
      </c>
      <c r="S866" s="9" t="str">
        <f ca="1">IF(COUNTIF(($T$4:T865),"F")&gt;=1,"",IF(OR(C867&lt;&gt;$C$3,E866=""),"",A866))</f>
        <v/>
      </c>
      <c r="T866" s="20" t="str">
        <f t="shared" ca="1" si="480"/>
        <v/>
      </c>
      <c r="U866" s="2">
        <f ca="1">IF(IF(OP!$C$83=1,$Z865,IF(OP!$C$83=2,$AA865,IF(OP!$C$83=3,$AB865,)))+$K866-$O866-$P866-$AS866&lt;OP!$C$142,0,$AS866)</f>
        <v>0</v>
      </c>
      <c r="V866" s="9"/>
      <c r="W866" s="19">
        <f ca="1">MAX(SUM($K$4:K866),0)</f>
        <v>2000000</v>
      </c>
      <c r="X866" s="19"/>
      <c r="Y866" s="19">
        <f t="shared" ca="1" si="506"/>
        <v>1920000</v>
      </c>
      <c r="Z866" s="2">
        <f ca="1">IF(MIN($Z$4:Z865)=0,0,MAX(0,($Z865+$K866-$O866-$P866)*IF(AND(F866="F",$D$3&lt;&gt;$G$3),((1+(-J866))^(H866/MIN(G866,365))),((1+(-J866))^(1/12)))-$U866))</f>
        <v>48001.761603970284</v>
      </c>
      <c r="AA866" s="2">
        <f ca="1">IF(MIN($AA$4:AA865)=0,0,MAX(0,($AA865+$K866-$O866-$P866)*IF(AND(F866="F",$D$3&lt;&gt;$G$3),((1+$AA$1)^(H866/MIN(G866,365))),((1+$AA$1)^(1/12)))-$U866))</f>
        <v>1920000</v>
      </c>
      <c r="AB866" s="2">
        <f ca="1">IF(MIN($AB$4:AB865)=0,0,MAX(0,($AB865+$K866-$O866-$P866)*IF(AND(F866="F",$D$3&lt;&gt;$G$3),((1+(J866))^(H866/MIN(G866,365))),((1+(J866))^(1/12)))-$U866))</f>
        <v>64145321.593265571</v>
      </c>
      <c r="AC866" s="5"/>
      <c r="AD866" s="5"/>
      <c r="AE866" s="5"/>
      <c r="AF866" s="282">
        <f t="shared" ca="1" si="489"/>
        <v>48002</v>
      </c>
      <c r="AG866" s="282">
        <f t="shared" ca="1" si="490"/>
        <v>1920000</v>
      </c>
      <c r="AH866" s="282">
        <f t="shared" ca="1" si="491"/>
        <v>64145322</v>
      </c>
      <c r="AI866" s="23" t="str">
        <f t="shared" ca="1" si="507"/>
        <v>72-12</v>
      </c>
      <c r="AJ866" s="282">
        <f ca="1">IF(E866&gt;111,,IF(AND(OP!$C$99=1,T866="F"),Z866,IF(AND(OP!$C$99=2,COUNTIF($T$4:T866,"F")=1),OP!$C$97+IF(F866="F",OP!$C$98,0),"")))</f>
        <v>0</v>
      </c>
      <c r="AK866" s="282">
        <f ca="1">IF(E866&gt;111,,IF(AND(OP!$D$99=1,T866="F"),AA866,IF(AND(OP!$D$99=2,COUNTIF($T$4:T866,"F")=1),OP!$D$97+IF(F866="F",OP!$D$98,0),"")))</f>
        <v>0</v>
      </c>
      <c r="AL866" s="282">
        <f ca="1">IF(E866&gt;111,,IF(AND(OP!$E$99=1,T866="F"),AB866,IF(AND(OP!$E$99=2,COUNTIF($T$4:T866,"F")=1),OP!$E$97+IF(F866="F",OP!$E$98,0),"")))</f>
        <v>0</v>
      </c>
      <c r="AM866" s="1">
        <f t="shared" ca="1" si="481"/>
        <v>12</v>
      </c>
      <c r="AN866" s="1" t="e">
        <f ca="1">IF(OR(VLOOKUP($A866,MP,5,0)="月繳"),1,"")</f>
        <v>#N/A</v>
      </c>
      <c r="AO866" s="1">
        <f t="shared" ca="1" si="492"/>
        <v>0</v>
      </c>
      <c r="AP866" s="1" t="str">
        <f ca="1">IF(AND(A866&lt;=OP!$C$120,COUNTIF(PAY,C866)=1),1,"")</f>
        <v/>
      </c>
      <c r="AR866" s="301">
        <f ca="1">IF(繳費報酬率資料!$A$1=1,$AY866+$AZ866,$BF866+$BG866)</f>
        <v>0</v>
      </c>
      <c r="AS866" s="1">
        <f ca="1">IF(C866&lt;&gt;IF($C$3=1,12,$C$3-1),0,IF(繳費報酬率資料!$A$1&lt;&gt;1,VLOOKUP($A866,MP,8,0),IF(AND($A866&gt;=OP!$C$79,$A866&lt;=OP!$C$80),OP!$C$78,)))</f>
        <v>0</v>
      </c>
      <c r="AT866" s="298">
        <f t="shared" ca="1" si="493"/>
        <v>0</v>
      </c>
      <c r="AU866" s="298">
        <f ca="1">IF(AND(A866&lt;=OP!$C$120,COUNTIF(PAY,C866)=1),OP!$C$123,0)</f>
        <v>0</v>
      </c>
      <c r="AV866" s="298">
        <f ca="1">IF(AND(A866&gt;=OP!$C$132,A866&lt;=OP!$C$133,$C$3=C866),OP!$C$135,0)</f>
        <v>0</v>
      </c>
      <c r="AW866" s="180">
        <f t="shared" ca="1" si="494"/>
        <v>0.05</v>
      </c>
      <c r="AX866" s="180">
        <f t="shared" ca="1" si="495"/>
        <v>0.05</v>
      </c>
      <c r="AY866" s="286">
        <f t="shared" ca="1" si="496"/>
        <v>0</v>
      </c>
      <c r="AZ866" s="286">
        <f t="shared" ca="1" si="497"/>
        <v>0</v>
      </c>
      <c r="BA866" s="286">
        <f t="shared" ca="1" si="498"/>
        <v>0</v>
      </c>
      <c r="BB866" s="286">
        <f t="shared" ca="1" si="499"/>
        <v>0</v>
      </c>
      <c r="BC866" s="286">
        <f t="shared" ca="1" si="500"/>
        <v>0</v>
      </c>
      <c r="BD866" s="180">
        <f t="shared" ca="1" si="501"/>
        <v>0.05</v>
      </c>
      <c r="BE866" s="180">
        <f t="shared" ca="1" si="502"/>
        <v>0.05</v>
      </c>
      <c r="BF866" s="286">
        <f t="shared" ca="1" si="503"/>
        <v>0</v>
      </c>
      <c r="BG866" s="286">
        <f t="shared" ca="1" si="504"/>
        <v>0</v>
      </c>
    </row>
    <row r="867" spans="1:59">
      <c r="A867" s="1">
        <f t="shared" ca="1" si="484"/>
        <v>72</v>
      </c>
      <c r="B867" s="1">
        <f t="shared" ca="1" si="477"/>
        <v>178</v>
      </c>
      <c r="C867" s="1">
        <f t="shared" ca="1" si="478"/>
        <v>5</v>
      </c>
      <c r="D867" s="1">
        <f ca="1">MIN($D$3,VLOOKUP(C867,OP!$S$30:$T$41,2))</f>
        <v>2</v>
      </c>
      <c r="E867" s="1" t="str">
        <f t="shared" ca="1" si="479"/>
        <v/>
      </c>
      <c r="F867" s="11" t="str">
        <f t="shared" ca="1" si="485"/>
        <v/>
      </c>
      <c r="G867" s="8">
        <f t="shared" ca="1" si="509"/>
        <v>365</v>
      </c>
      <c r="H867" s="8">
        <f t="shared" ca="1" si="486"/>
        <v>31</v>
      </c>
      <c r="I867" s="8" t="str">
        <f t="shared" ca="1" si="483"/>
        <v>725</v>
      </c>
      <c r="J867" s="13">
        <f>IF(繳費報酬率資料!$A$1=1,VALUE(OP!$C$121),VLOOKUP(A867,MP,2,0))</f>
        <v>0.05</v>
      </c>
      <c r="K867" s="14">
        <f ca="1">IF(SUM($K$4:K866,IF(繳費報酬率資料!$A$1=1,$AU867+$AV867,$BB867+$BC867))&gt;OP!$L$58,0,IF(繳費報酬率資料!$A$1=1,$AU867+$AV867,$BB867+$BC867))</f>
        <v>0</v>
      </c>
      <c r="L867" s="2">
        <f ca="1">ROUND(IF(OP!$C$78&lt;(IF(OR($T867="F",$E867&gt;=111),0,Z866+$K867-$O867+IF($C$1=1,OP!$C$78,IF($C868=$C$3,SUM(AC856:AC867,0)))))*5%,0,(OP!$C$78-((IF(OR($T867="F",$E867&gt;=111),0,Z866+$K867-$O867+IF($C$1=1,AC867,IF($C868=$C$3,SUM(AC856:AC867,0)))))*5%))*$Q867),0)</f>
        <v>0</v>
      </c>
      <c r="M867" s="2">
        <f ca="1">ROUND(IF(OP!$C$78&lt;(IF(OR($T867="F",$E867&gt;=111),0,AA866+$K867-$O867+IF($C$1=1,AD867,IF($C868=$C$3,SUM(AD856:AD867,0)))))*5%,0,(OP!$C$78-((IF(OR($T867="F",$E867&gt;=111),0,AA866+$K867-$O867+IF($C$1=1,AD867,IF($C868=$C$3,SUM(AD856:AD867,0)))))*5%))*$Q867),0)</f>
        <v>0</v>
      </c>
      <c r="N867" s="2">
        <f ca="1">ROUND(IF(OP!$C$78&lt;(IF(OR($T867="F",$E867&gt;=111),0,AB866+$K867-$O867+IF($C$1=1,AE867,IF($C868=$C$3,SUM(AE856:AE867,0)))))*5%,0,(OP!$C$78-((IF(OR($T867="F",$E867&gt;=111),0,AB866+$K867-$O867+IF($C$1=1,AE867,IF($C868=$C$3,SUM(AE856:AE867,0)))))*5%))*$Q867),0)</f>
        <v>0</v>
      </c>
      <c r="O867" s="261">
        <f t="shared" ca="1" si="487"/>
        <v>0</v>
      </c>
      <c r="P867" s="261">
        <f t="shared" ca="1" si="505"/>
        <v>0</v>
      </c>
      <c r="Q867" s="3">
        <f ca="1">IF(A867&gt;MAX(OP!$R$17:$R$26),0,VLOOKUP(A867,fees,3,FALSE))</f>
        <v>0</v>
      </c>
      <c r="R867" s="200" t="str">
        <f t="shared" ca="1" si="488"/>
        <v/>
      </c>
      <c r="S867" s="9" t="str">
        <f ca="1">IF(COUNTIF(($T$4:T866),"F")&gt;=1,"",IF(OR(C868&lt;&gt;$C$3,E867=""),"",A867))</f>
        <v/>
      </c>
      <c r="T867" s="20" t="str">
        <f t="shared" ca="1" si="480"/>
        <v/>
      </c>
      <c r="U867" s="2">
        <f ca="1">IF(IF(OP!$C$83=1,$Z866,IF(OP!$C$83=2,$AA866,IF(OP!$C$83=3,$AB866,)))+$K867-$O867-$P867-$AS867&lt;OP!$C$142,0,$AS867)</f>
        <v>0</v>
      </c>
      <c r="V867" s="19">
        <f ca="1">SUM(K856:K867)</f>
        <v>0</v>
      </c>
      <c r="W867" s="19">
        <f ca="1">MAX(SUM($K$4:K867),0)</f>
        <v>2000000</v>
      </c>
      <c r="X867" s="19">
        <f ca="1">SUM(O856:P867)</f>
        <v>0</v>
      </c>
      <c r="Y867" s="19">
        <f t="shared" ca="1" si="506"/>
        <v>1920000</v>
      </c>
      <c r="Z867" s="2">
        <f ca="1">IF(MIN($Z$4:Z866)=0,0,MAX(0,($Z866+$K867-$O867-$P867)*IF(AND(F867="F",$D$3&lt;&gt;$G$3),((1+(-J867))^(H867/MIN(G867,365))),((1+(-J867))^(1/12)))-$U867))</f>
        <v>47797.018788844878</v>
      </c>
      <c r="AA867" s="2">
        <f ca="1">IF(MIN($AA$4:AA866)=0,0,MAX(0,($AA866+$K867-$O867-$P867)*IF(AND(F867="F",$D$3&lt;&gt;$G$3),((1+$AA$1)^(H867/MIN(G867,365))),((1+$AA$1)^(1/12)))-$U867))</f>
        <v>1920000</v>
      </c>
      <c r="AB867" s="2">
        <f ca="1">IF(MIN($AB$4:AB866)=0,0,MAX(0,($AB866+$K867-$O867-$P867)*IF(AND(F867="F",$D$3&lt;&gt;$G$3),((1+(J867))^(H867/MIN(G867,365))),((1+(J867))^(1/12)))-$U867))</f>
        <v>64406657.573578469</v>
      </c>
      <c r="AC867" s="5"/>
      <c r="AD867" s="5"/>
      <c r="AE867" s="5"/>
      <c r="AF867" s="282">
        <f t="shared" ca="1" si="489"/>
        <v>47797</v>
      </c>
      <c r="AG867" s="282">
        <f t="shared" ca="1" si="490"/>
        <v>1920000</v>
      </c>
      <c r="AH867" s="282">
        <f t="shared" ca="1" si="491"/>
        <v>64406658</v>
      </c>
      <c r="AI867" s="23" t="str">
        <f t="shared" ca="1" si="507"/>
        <v>73-1</v>
      </c>
      <c r="AJ867" s="282">
        <f ca="1">IF(E867&gt;111,,IF(AND(OP!$C$99=1,T867="F"),Z867,IF(AND(OP!$C$99=2,COUNTIF($T$4:T867,"F")=1),OP!$C$97+IF(F867="F",OP!$C$98,0),"")))</f>
        <v>0</v>
      </c>
      <c r="AK867" s="282">
        <f ca="1">IF(E867&gt;111,,IF(AND(OP!$D$99=1,T867="F"),AA867,IF(AND(OP!$D$99=2,COUNTIF($T$4:T867,"F")=1),OP!$D$97+IF(F867="F",OP!$D$98,0),"")))</f>
        <v>0</v>
      </c>
      <c r="AL867" s="282">
        <f ca="1">IF(E867&gt;111,,IF(AND(OP!$E$99=1,T867="F"),AB867,IF(AND(OP!$E$99=2,COUNTIF($T$4:T867,"F")=1),OP!$E$97+IF(F867="F",OP!$E$98,0),"")))</f>
        <v>0</v>
      </c>
      <c r="AM867" s="1">
        <f t="shared" ca="1" si="481"/>
        <v>1</v>
      </c>
      <c r="AN867" s="1" t="e">
        <f ca="1">IF(OR(VLOOKUP($A867,MP,5,0)="月繳"),1,"")</f>
        <v>#N/A</v>
      </c>
      <c r="AO867" s="1">
        <f t="shared" ca="1" si="492"/>
        <v>0</v>
      </c>
      <c r="AP867" s="1" t="str">
        <f ca="1">IF(AND(A867&lt;=OP!$C$120,COUNTIF(PAY,C867)=1),1,"")</f>
        <v/>
      </c>
      <c r="AR867" s="301">
        <f ca="1">IF(繳費報酬率資料!$A$1=1,$AY867+$AZ867,$BF867+$BG867)</f>
        <v>0</v>
      </c>
      <c r="AS867" s="1">
        <f ca="1">IF(C867&lt;&gt;IF($C$3=1,12,$C$3-1),0,IF(繳費報酬率資料!$A$1&lt;&gt;1,VLOOKUP($A867,MP,8,0),IF(AND($A867&gt;=OP!$C$79,$A867&lt;=OP!$C$80),OP!$C$78,)))</f>
        <v>0</v>
      </c>
      <c r="AT867" s="298">
        <f t="shared" ca="1" si="493"/>
        <v>0</v>
      </c>
      <c r="AU867" s="298">
        <f ca="1">IF(AND(A867&lt;=OP!$C$120,COUNTIF(PAY,C867)=1),OP!$C$123,0)</f>
        <v>0</v>
      </c>
      <c r="AV867" s="298">
        <f ca="1">IF(AND(A867&gt;=OP!$C$132,A867&lt;=OP!$C$133,$C$3=C867),OP!$C$135,0)</f>
        <v>0</v>
      </c>
      <c r="AW867" s="180">
        <f t="shared" ca="1" si="494"/>
        <v>0.05</v>
      </c>
      <c r="AX867" s="180">
        <f t="shared" ca="1" si="495"/>
        <v>0.05</v>
      </c>
      <c r="AY867" s="286">
        <f t="shared" ca="1" si="496"/>
        <v>0</v>
      </c>
      <c r="AZ867" s="286">
        <f t="shared" ca="1" si="497"/>
        <v>0</v>
      </c>
      <c r="BA867" s="286">
        <f t="shared" ca="1" si="498"/>
        <v>0</v>
      </c>
      <c r="BB867" s="286">
        <f t="shared" ca="1" si="499"/>
        <v>0</v>
      </c>
      <c r="BC867" s="286">
        <f t="shared" ca="1" si="500"/>
        <v>0</v>
      </c>
      <c r="BD867" s="180">
        <f t="shared" ca="1" si="501"/>
        <v>0.05</v>
      </c>
      <c r="BE867" s="180">
        <f t="shared" ca="1" si="502"/>
        <v>0.05</v>
      </c>
      <c r="BF867" s="286">
        <f t="shared" ca="1" si="503"/>
        <v>0</v>
      </c>
      <c r="BG867" s="286">
        <f t="shared" ca="1" si="504"/>
        <v>0</v>
      </c>
    </row>
    <row r="868" spans="1:59">
      <c r="A868" s="1">
        <f t="shared" ca="1" si="484"/>
        <v>73</v>
      </c>
      <c r="B868" s="1">
        <f t="shared" ca="1" si="477"/>
        <v>178</v>
      </c>
      <c r="C868" s="1">
        <f t="shared" ca="1" si="478"/>
        <v>6</v>
      </c>
      <c r="D868" s="1">
        <f ca="1">MIN($D$3,VLOOKUP(C868,OP!$S$30:$T$41,2))</f>
        <v>2</v>
      </c>
      <c r="E868" s="1" t="str">
        <f t="shared" ca="1" si="479"/>
        <v/>
      </c>
      <c r="F868" s="11" t="str">
        <f t="shared" ca="1" si="485"/>
        <v/>
      </c>
      <c r="G868" s="6">
        <f ca="1">DATEDIF(DATE(B868+1911,C868,D868),DATE(B880+1911,C880,D880),"d")</f>
        <v>365</v>
      </c>
      <c r="H868" s="8">
        <f t="shared" ca="1" si="486"/>
        <v>30</v>
      </c>
      <c r="I868" s="8" t="str">
        <f t="shared" ca="1" si="483"/>
        <v>736</v>
      </c>
      <c r="J868" s="13">
        <f>IF(繳費報酬率資料!$A$1=1,VALUE(OP!$C$121),VLOOKUP(A868,MP,2,0))</f>
        <v>0.05</v>
      </c>
      <c r="K868" s="14">
        <f ca="1">IF(SUM($K$4:K867,IF(繳費報酬率資料!$A$1=1,$AU868+$AV868,$BB868+$BC868))&gt;OP!$L$58,0,IF(繳費報酬率資料!$A$1=1,$AU868+$AV868,$BB868+$BC868))</f>
        <v>0</v>
      </c>
      <c r="L868" s="2"/>
      <c r="M868" s="2"/>
      <c r="N868" s="2"/>
      <c r="O868" s="261">
        <f t="shared" ca="1" si="487"/>
        <v>0</v>
      </c>
      <c r="P868" s="261">
        <f t="shared" ca="1" si="505"/>
        <v>0</v>
      </c>
      <c r="Q868" s="3">
        <f ca="1">IF(A868&gt;MAX(OP!$R$17:$R$26),0,VLOOKUP(A868,fees,3,FALSE))</f>
        <v>0</v>
      </c>
      <c r="R868" s="200" t="str">
        <f t="shared" ca="1" si="488"/>
        <v/>
      </c>
      <c r="S868" s="9" t="str">
        <f ca="1">IF(COUNTIF(($T$4:T867),"F")&gt;=1,"",IF(OR(C869&lt;&gt;$C$3,E868=""),"",A868))</f>
        <v/>
      </c>
      <c r="T868" s="20" t="str">
        <f t="shared" ca="1" si="480"/>
        <v/>
      </c>
      <c r="U868" s="2">
        <f ca="1">IF(IF(OP!$C$83=1,$Z867,IF(OP!$C$83=2,$AA867,IF(OP!$C$83=3,$AB867,)))+$K868-$O868-$P868-$AS868&lt;OP!$C$142,0,$AS868)</f>
        <v>0</v>
      </c>
      <c r="V868" s="9"/>
      <c r="W868" s="19">
        <f ca="1">MAX(SUM($K$4:K868),0)</f>
        <v>2000000</v>
      </c>
      <c r="X868" s="19"/>
      <c r="Y868" s="19">
        <f t="shared" ca="1" si="506"/>
        <v>1920000</v>
      </c>
      <c r="Z868" s="2">
        <f ca="1">IF(MIN($Z$4:Z867)=0,0,MAX(0,($Z867+$K868-$O868-$P868)*IF(AND(F868="F",$D$3&lt;&gt;$G$3),((1+(-J868))^(H868/MIN(G868,365))),((1+(-J868))^(1/12)))-$U868))</f>
        <v>47593.149267093402</v>
      </c>
      <c r="AA868" s="2">
        <f ca="1">IF(MIN($AA$4:AA867)=0,0,MAX(0,($AA867+$K868-$O868-$P868)*IF(AND(F868="F",$D$3&lt;&gt;$G$3),((1+$AA$1)^(H868/MIN(G868,365))),((1+$AA$1)^(1/12)))-$U868))</f>
        <v>1920000</v>
      </c>
      <c r="AB868" s="2">
        <f ca="1">IF(MIN($AB$4:AB867)=0,0,MAX(0,($AB867+$K868-$O868-$P868)*IF(AND(F868="F",$D$3&lt;&gt;$G$3),((1+(J868))^(H868/MIN(G868,365))),((1+(J868))^(1/12)))-$U868))</f>
        <v>64669058.269024283</v>
      </c>
      <c r="AC868" s="21"/>
      <c r="AD868" s="21"/>
      <c r="AE868" s="21"/>
      <c r="AF868" s="282">
        <f t="shared" ca="1" si="489"/>
        <v>47593</v>
      </c>
      <c r="AG868" s="282">
        <f t="shared" ca="1" si="490"/>
        <v>1920000</v>
      </c>
      <c r="AH868" s="282">
        <f t="shared" ca="1" si="491"/>
        <v>64669058</v>
      </c>
      <c r="AI868" s="23" t="str">
        <f t="shared" ca="1" si="507"/>
        <v>73-2</v>
      </c>
      <c r="AJ868" s="281">
        <f ca="1">IF(E868&gt;111,,IF(AND(OP!$C$99=1,T868="F"),Z868,IF(AND(OP!$C$99=2,COUNTIF($T$4:T868,"F")=1),OP!$C$97+IF(F868="F",OP!$C$98,0),"")))</f>
        <v>0</v>
      </c>
      <c r="AK868" s="281">
        <f ca="1">IF(E868&gt;111,,IF(AND(OP!$D$99=1,T868="F"),AA868,IF(AND(OP!$D$99=2,COUNTIF($T$4:T868,"F")=1),OP!$D$97+IF(F868="F",OP!$D$98,0),"")))</f>
        <v>0</v>
      </c>
      <c r="AL868" s="281">
        <f ca="1">IF(E868&gt;111,,IF(AND(OP!$E$99=1,T868="F"),AB868,IF(AND(OP!$E$99=2,COUNTIF($T$4:T868,"F")=1),OP!$E$97+IF(F868="F",OP!$E$98,0),"")))</f>
        <v>0</v>
      </c>
      <c r="AM868" s="1">
        <f t="shared" ca="1" si="481"/>
        <v>2</v>
      </c>
      <c r="AN868" s="1" t="e">
        <f ca="1">IF(OR(VLOOKUP($A868,MP,5,0)="年繳",VLOOKUP($A868,MP,5,0)="半年繳",VLOOKUP($A868,MP,5,0)="季繳",VLOOKUP($A868,MP,5,0)="月繳"),1,"")</f>
        <v>#N/A</v>
      </c>
      <c r="AO868" s="1">
        <f t="shared" ca="1" si="492"/>
        <v>0</v>
      </c>
      <c r="AP868" s="1" t="str">
        <f ca="1">IF(AND(A868&lt;=OP!$C$120,COUNTIF(PAY,C868)=1),1,"")</f>
        <v/>
      </c>
      <c r="AR868" s="301">
        <f ca="1">IF(繳費報酬率資料!$A$1=1,$AY868+$AZ868,$BF868+$BG868)</f>
        <v>0</v>
      </c>
      <c r="AS868" s="1">
        <f ca="1">IF(C868&lt;&gt;IF($C$3=1,12,$C$3-1),0,IF(繳費報酬率資料!$A$1&lt;&gt;1,VLOOKUP($A868,MP,8,0),IF(AND($A868&gt;=OP!$C$79,$A868&lt;=OP!$C$80),OP!$C$78,)))</f>
        <v>0</v>
      </c>
      <c r="AT868" s="298">
        <f t="shared" ca="1" si="493"/>
        <v>0</v>
      </c>
      <c r="AU868" s="298">
        <f ca="1">IF(AND(A868&lt;=OP!$C$120,COUNTIF(PAY,C868)=1),OP!$C$123,0)</f>
        <v>0</v>
      </c>
      <c r="AV868" s="298">
        <f ca="1">IF(AND(A868&gt;=OP!$C$132,A868&lt;=OP!$C$133,$C$3=C868),OP!$C$135,0)</f>
        <v>0</v>
      </c>
      <c r="AW868" s="180">
        <f t="shared" ca="1" si="494"/>
        <v>0.05</v>
      </c>
      <c r="AX868" s="180">
        <f t="shared" ca="1" si="495"/>
        <v>0.05</v>
      </c>
      <c r="AY868" s="286">
        <f t="shared" ca="1" si="496"/>
        <v>0</v>
      </c>
      <c r="AZ868" s="286">
        <f t="shared" ca="1" si="497"/>
        <v>0</v>
      </c>
      <c r="BA868" s="286">
        <f t="shared" ca="1" si="498"/>
        <v>0</v>
      </c>
      <c r="BB868" s="286">
        <f t="shared" ca="1" si="499"/>
        <v>0</v>
      </c>
      <c r="BC868" s="286">
        <f t="shared" ca="1" si="500"/>
        <v>0</v>
      </c>
      <c r="BD868" s="180">
        <f t="shared" ca="1" si="501"/>
        <v>0.05</v>
      </c>
      <c r="BE868" s="180">
        <f t="shared" ca="1" si="502"/>
        <v>0.05</v>
      </c>
      <c r="BF868" s="286">
        <f t="shared" ca="1" si="503"/>
        <v>0</v>
      </c>
      <c r="BG868" s="286">
        <f t="shared" ca="1" si="504"/>
        <v>0</v>
      </c>
    </row>
    <row r="869" spans="1:59">
      <c r="A869" s="1">
        <f t="shared" ca="1" si="484"/>
        <v>73</v>
      </c>
      <c r="B869" s="1">
        <f t="shared" ca="1" si="477"/>
        <v>178</v>
      </c>
      <c r="C869" s="1">
        <f t="shared" ca="1" si="478"/>
        <v>7</v>
      </c>
      <c r="D869" s="1">
        <f ca="1">MIN($D$3,VLOOKUP(C869,OP!$S$30:$T$41,2))</f>
        <v>2</v>
      </c>
      <c r="E869" s="1" t="str">
        <f t="shared" ca="1" si="479"/>
        <v/>
      </c>
      <c r="F869" s="11" t="str">
        <f t="shared" ca="1" si="485"/>
        <v/>
      </c>
      <c r="G869" s="8">
        <f t="shared" ref="G869:G879" ca="1" si="510">G868</f>
        <v>365</v>
      </c>
      <c r="H869" s="8">
        <f t="shared" ca="1" si="486"/>
        <v>31</v>
      </c>
      <c r="I869" s="8" t="str">
        <f t="shared" ca="1" si="483"/>
        <v>737</v>
      </c>
      <c r="J869" s="13">
        <f>IF(繳費報酬率資料!$A$1=1,VALUE(OP!$C$121),VLOOKUP(A869,MP,2,0))</f>
        <v>0.05</v>
      </c>
      <c r="K869" s="14">
        <f ca="1">IF(SUM($K$4:K868,IF(繳費報酬率資料!$A$1=1,$AU869+$AV869,$BB869+$BC869))&gt;OP!$L$58,0,IF(繳費報酬率資料!$A$1=1,$AU869+$AV869,$BB869+$BC869))</f>
        <v>0</v>
      </c>
      <c r="L869" s="2"/>
      <c r="M869" s="2"/>
      <c r="N869" s="2"/>
      <c r="O869" s="261">
        <f t="shared" ca="1" si="487"/>
        <v>0</v>
      </c>
      <c r="P869" s="261">
        <f t="shared" ca="1" si="505"/>
        <v>0</v>
      </c>
      <c r="Q869" s="3">
        <f ca="1">IF(A869&gt;MAX(OP!$R$17:$R$26),0,VLOOKUP(A869,fees,3,FALSE))</f>
        <v>0</v>
      </c>
      <c r="R869" s="200" t="str">
        <f t="shared" ca="1" si="488"/>
        <v/>
      </c>
      <c r="S869" s="9" t="str">
        <f ca="1">IF(COUNTIF(($T$4:T868),"F")&gt;=1,"",IF(OR(C870&lt;&gt;$C$3,E869=""),"",A869))</f>
        <v/>
      </c>
      <c r="T869" s="20" t="str">
        <f t="shared" ca="1" si="480"/>
        <v/>
      </c>
      <c r="U869" s="2">
        <f ca="1">IF(IF(OP!$C$83=1,$Z868,IF(OP!$C$83=2,$AA868,IF(OP!$C$83=3,$AB868,)))+$K869-$O869-$P869-$AS869&lt;OP!$C$142,0,$AS869)</f>
        <v>0</v>
      </c>
      <c r="V869" s="9"/>
      <c r="W869" s="19">
        <f ca="1">MAX(SUM($K$4:K869),0)</f>
        <v>2000000</v>
      </c>
      <c r="X869" s="19"/>
      <c r="Y869" s="19">
        <f t="shared" ca="1" si="506"/>
        <v>1920000</v>
      </c>
      <c r="Z869" s="2">
        <f ca="1">IF(MIN($Z$4:Z868)=0,0,MAX(0,($Z868+$K869-$O869-$P869)*IF(AND(F869="F",$D$3&lt;&gt;$G$3),((1+(-J869))^(H869/MIN(G869,365))),((1+(-J869))^(1/12)))-$U869))</f>
        <v>47390.149313841219</v>
      </c>
      <c r="AA869" s="2">
        <f ca="1">IF(MIN($AA$4:AA868)=0,0,MAX(0,($AA868+$K869-$O869-$P869)*IF(AND(F869="F",$D$3&lt;&gt;$G$3),((1+$AA$1)^(H869/MIN(G869,365))),((1+$AA$1)^(1/12)))-$U869))</f>
        <v>1920000</v>
      </c>
      <c r="AB869" s="2">
        <f ca="1">IF(MIN($AB$4:AB868)=0,0,MAX(0,($AB868+$K869-$O869-$P869)*IF(AND(F869="F",$D$3&lt;&gt;$G$3),((1+(J869))^(H869/MIN(G869,365))),((1+(J869))^(1/12)))-$U869))</f>
        <v>64932528.017384253</v>
      </c>
      <c r="AC869" s="5"/>
      <c r="AD869" s="5"/>
      <c r="AE869" s="5"/>
      <c r="AF869" s="282">
        <f t="shared" ca="1" si="489"/>
        <v>47390</v>
      </c>
      <c r="AG869" s="282">
        <f t="shared" ca="1" si="490"/>
        <v>1920000</v>
      </c>
      <c r="AH869" s="282">
        <f t="shared" ca="1" si="491"/>
        <v>64932528</v>
      </c>
      <c r="AI869" s="23" t="str">
        <f t="shared" ca="1" si="507"/>
        <v>73-3</v>
      </c>
      <c r="AJ869" s="282">
        <f ca="1">IF(E869&gt;111,,IF(AND(OP!$C$99=1,T869="F"),Z869,IF(AND(OP!$C$99=2,COUNTIF($T$4:T869,"F")=1),OP!$C$97+IF(F869="F",OP!$C$98,0),"")))</f>
        <v>0</v>
      </c>
      <c r="AK869" s="282">
        <f ca="1">IF(E869&gt;111,,IF(AND(OP!$D$99=1,T869="F"),AA869,IF(AND(OP!$D$99=2,COUNTIF($T$4:T869,"F")=1),OP!$D$97+IF(F869="F",OP!$D$98,0),"")))</f>
        <v>0</v>
      </c>
      <c r="AL869" s="282">
        <f ca="1">IF(E869&gt;111,,IF(AND(OP!$E$99=1,T869="F"),AB869,IF(AND(OP!$E$99=2,COUNTIF($T$4:T869,"F")=1),OP!$E$97+IF(F869="F",OP!$E$98,0),"")))</f>
        <v>0</v>
      </c>
      <c r="AM869" s="1">
        <f t="shared" ca="1" si="481"/>
        <v>3</v>
      </c>
      <c r="AN869" s="1" t="e">
        <f ca="1">IF(OR(VLOOKUP($A869,MP,5,0)="月繳"),1,"")</f>
        <v>#N/A</v>
      </c>
      <c r="AO869" s="1">
        <f t="shared" ca="1" si="492"/>
        <v>0</v>
      </c>
      <c r="AP869" s="1" t="str">
        <f ca="1">IF(AND(A869&lt;=OP!$C$120,COUNTIF(PAY,C869)=1),1,"")</f>
        <v/>
      </c>
      <c r="AR869" s="301">
        <f ca="1">IF(繳費報酬率資料!$A$1=1,$AY869+$AZ869,$BF869+$BG869)</f>
        <v>0</v>
      </c>
      <c r="AS869" s="1">
        <f ca="1">IF(C869&lt;&gt;IF($C$3=1,12,$C$3-1),0,IF(繳費報酬率資料!$A$1&lt;&gt;1,VLOOKUP($A869,MP,8,0),IF(AND($A869&gt;=OP!$C$79,$A869&lt;=OP!$C$80),OP!$C$78,)))</f>
        <v>0</v>
      </c>
      <c r="AT869" s="298">
        <f t="shared" ca="1" si="493"/>
        <v>0</v>
      </c>
      <c r="AU869" s="298">
        <f ca="1">IF(AND(A869&lt;=OP!$C$120,COUNTIF(PAY,C869)=1),OP!$C$123,0)</f>
        <v>0</v>
      </c>
      <c r="AV869" s="298">
        <f ca="1">IF(AND(A869&gt;=OP!$C$132,A869&lt;=OP!$C$133,$C$3=C869),OP!$C$135,0)</f>
        <v>0</v>
      </c>
      <c r="AW869" s="180">
        <f t="shared" ca="1" si="494"/>
        <v>0.05</v>
      </c>
      <c r="AX869" s="180">
        <f t="shared" ca="1" si="495"/>
        <v>0.05</v>
      </c>
      <c r="AY869" s="286">
        <f t="shared" ca="1" si="496"/>
        <v>0</v>
      </c>
      <c r="AZ869" s="286">
        <f t="shared" ca="1" si="497"/>
        <v>0</v>
      </c>
      <c r="BA869" s="286">
        <f t="shared" ca="1" si="498"/>
        <v>0</v>
      </c>
      <c r="BB869" s="286">
        <f t="shared" ca="1" si="499"/>
        <v>0</v>
      </c>
      <c r="BC869" s="286">
        <f t="shared" ca="1" si="500"/>
        <v>0</v>
      </c>
      <c r="BD869" s="180">
        <f t="shared" ca="1" si="501"/>
        <v>0.05</v>
      </c>
      <c r="BE869" s="180">
        <f t="shared" ca="1" si="502"/>
        <v>0.05</v>
      </c>
      <c r="BF869" s="286">
        <f t="shared" ca="1" si="503"/>
        <v>0</v>
      </c>
      <c r="BG869" s="286">
        <f t="shared" ca="1" si="504"/>
        <v>0</v>
      </c>
    </row>
    <row r="870" spans="1:59">
      <c r="A870" s="1">
        <f t="shared" ca="1" si="484"/>
        <v>73</v>
      </c>
      <c r="B870" s="1">
        <f t="shared" ca="1" si="477"/>
        <v>178</v>
      </c>
      <c r="C870" s="1">
        <f t="shared" ca="1" si="478"/>
        <v>8</v>
      </c>
      <c r="D870" s="1">
        <f ca="1">MIN($D$3,VLOOKUP(C870,OP!$S$30:$T$41,2))</f>
        <v>2</v>
      </c>
      <c r="E870" s="1" t="str">
        <f t="shared" ca="1" si="479"/>
        <v/>
      </c>
      <c r="F870" s="11" t="str">
        <f t="shared" ca="1" si="485"/>
        <v/>
      </c>
      <c r="G870" s="8">
        <f t="shared" ca="1" si="510"/>
        <v>365</v>
      </c>
      <c r="H870" s="8">
        <f t="shared" ca="1" si="486"/>
        <v>31</v>
      </c>
      <c r="I870" s="8" t="str">
        <f t="shared" ca="1" si="483"/>
        <v>738</v>
      </c>
      <c r="J870" s="13">
        <f>IF(繳費報酬率資料!$A$1=1,VALUE(OP!$C$121),VLOOKUP(A870,MP,2,0))</f>
        <v>0.05</v>
      </c>
      <c r="K870" s="14">
        <f ca="1">IF(SUM($K$4:K869,IF(繳費報酬率資料!$A$1=1,$AU870+$AV870,$BB870+$BC870))&gt;OP!$L$58,0,IF(繳費報酬率資料!$A$1=1,$AU870+$AV870,$BB870+$BC870))</f>
        <v>0</v>
      </c>
      <c r="L870" s="2"/>
      <c r="M870" s="2"/>
      <c r="N870" s="2"/>
      <c r="O870" s="261">
        <f t="shared" ca="1" si="487"/>
        <v>0</v>
      </c>
      <c r="P870" s="261">
        <f t="shared" ca="1" si="505"/>
        <v>0</v>
      </c>
      <c r="Q870" s="3">
        <f ca="1">IF(A870&gt;MAX(OP!$R$17:$R$26),0,VLOOKUP(A870,fees,3,FALSE))</f>
        <v>0</v>
      </c>
      <c r="R870" s="200" t="str">
        <f t="shared" ca="1" si="488"/>
        <v/>
      </c>
      <c r="S870" s="9" t="str">
        <f ca="1">IF(COUNTIF(($T$4:T869),"F")&gt;=1,"",IF(OR(C871&lt;&gt;$C$3,E870=""),"",A870))</f>
        <v/>
      </c>
      <c r="T870" s="20" t="str">
        <f t="shared" ca="1" si="480"/>
        <v/>
      </c>
      <c r="U870" s="2">
        <f ca="1">IF(IF(OP!$C$83=1,$Z869,IF(OP!$C$83=2,$AA869,IF(OP!$C$83=3,$AB869,)))+$K870-$O870-$P870-$AS870&lt;OP!$C$142,0,$AS870)</f>
        <v>0</v>
      </c>
      <c r="V870" s="9"/>
      <c r="W870" s="19">
        <f ca="1">MAX(SUM($K$4:K870),0)</f>
        <v>2000000</v>
      </c>
      <c r="X870" s="19"/>
      <c r="Y870" s="19">
        <f t="shared" ca="1" si="506"/>
        <v>1920000</v>
      </c>
      <c r="Z870" s="2">
        <f ca="1">IF(MIN($Z$4:Z869)=0,0,MAX(0,($Z869+$K870-$O870-$P870)*IF(AND(F870="F",$D$3&lt;&gt;$G$3),((1+(-J870))^(H870/MIN(G870,365))),((1+(-J870))^(1/12)))-$U870))</f>
        <v>47188.015220101486</v>
      </c>
      <c r="AA870" s="2">
        <f ca="1">IF(MIN($AA$4:AA869)=0,0,MAX(0,($AA869+$K870-$O870-$P870)*IF(AND(F870="F",$D$3&lt;&gt;$G$3),((1+$AA$1)^(H870/MIN(G870,365))),((1+$AA$1)^(1/12)))-$U870))</f>
        <v>1920000</v>
      </c>
      <c r="AB870" s="2">
        <f ca="1">IF(MIN($AB$4:AB869)=0,0,MAX(0,($AB869+$K870-$O870-$P870)*IF(AND(F870="F",$D$3&lt;&gt;$G$3),((1+(J870))^(H870/MIN(G870,365))),((1+(J870))^(1/12)))-$U870))</f>
        <v>65197071.17411229</v>
      </c>
      <c r="AC870" s="5"/>
      <c r="AD870" s="5"/>
      <c r="AE870" s="5"/>
      <c r="AF870" s="282">
        <f t="shared" ca="1" si="489"/>
        <v>47188</v>
      </c>
      <c r="AG870" s="282">
        <f t="shared" ca="1" si="490"/>
        <v>1920000</v>
      </c>
      <c r="AH870" s="282">
        <f t="shared" ca="1" si="491"/>
        <v>65197071</v>
      </c>
      <c r="AI870" s="23" t="str">
        <f t="shared" ca="1" si="507"/>
        <v>73-4</v>
      </c>
      <c r="AJ870" s="282">
        <f ca="1">IF(E870&gt;111,,IF(AND(OP!$C$99=1,T870="F"),Z870,IF(AND(OP!$C$99=2,COUNTIF($T$4:T870,"F")=1),OP!$C$97+IF(F870="F",OP!$C$98,0),"")))</f>
        <v>0</v>
      </c>
      <c r="AK870" s="282">
        <f ca="1">IF(E870&gt;111,,IF(AND(OP!$D$99=1,T870="F"),AA870,IF(AND(OP!$D$99=2,COUNTIF($T$4:T870,"F")=1),OP!$D$97+IF(F870="F",OP!$D$98,0),"")))</f>
        <v>0</v>
      </c>
      <c r="AL870" s="282">
        <f ca="1">IF(E870&gt;111,,IF(AND(OP!$E$99=1,T870="F"),AB870,IF(AND(OP!$E$99=2,COUNTIF($T$4:T870,"F")=1),OP!$E$97+IF(F870="F",OP!$E$98,0),"")))</f>
        <v>0</v>
      </c>
      <c r="AM870" s="1">
        <f t="shared" ca="1" si="481"/>
        <v>4</v>
      </c>
      <c r="AN870" s="1" t="e">
        <f ca="1">IF(OR(VLOOKUP($A870,MP,5,0)="月繳"),1,"")</f>
        <v>#N/A</v>
      </c>
      <c r="AO870" s="1">
        <f t="shared" ca="1" si="492"/>
        <v>0</v>
      </c>
      <c r="AP870" s="1" t="str">
        <f ca="1">IF(AND(A870&lt;=OP!$C$120,COUNTIF(PAY,C870)=1),1,"")</f>
        <v/>
      </c>
      <c r="AR870" s="301">
        <f ca="1">IF(繳費報酬率資料!$A$1=1,$AY870+$AZ870,$BF870+$BG870)</f>
        <v>0</v>
      </c>
      <c r="AS870" s="1">
        <f ca="1">IF(C870&lt;&gt;IF($C$3=1,12,$C$3-1),0,IF(繳費報酬率資料!$A$1&lt;&gt;1,VLOOKUP($A870,MP,8,0),IF(AND($A870&gt;=OP!$C$79,$A870&lt;=OP!$C$80),OP!$C$78,)))</f>
        <v>0</v>
      </c>
      <c r="AT870" s="298">
        <f t="shared" ca="1" si="493"/>
        <v>0</v>
      </c>
      <c r="AU870" s="298">
        <f ca="1">IF(AND(A870&lt;=OP!$C$120,COUNTIF(PAY,C870)=1),OP!$C$123,0)</f>
        <v>0</v>
      </c>
      <c r="AV870" s="298">
        <f ca="1">IF(AND(A870&gt;=OP!$C$132,A870&lt;=OP!$C$133,$C$3=C870),OP!$C$135,0)</f>
        <v>0</v>
      </c>
      <c r="AW870" s="180">
        <f t="shared" ca="1" si="494"/>
        <v>0.05</v>
      </c>
      <c r="AX870" s="180">
        <f t="shared" ca="1" si="495"/>
        <v>0.05</v>
      </c>
      <c r="AY870" s="286">
        <f t="shared" ca="1" si="496"/>
        <v>0</v>
      </c>
      <c r="AZ870" s="286">
        <f t="shared" ca="1" si="497"/>
        <v>0</v>
      </c>
      <c r="BA870" s="286">
        <f t="shared" ca="1" si="498"/>
        <v>0</v>
      </c>
      <c r="BB870" s="286">
        <f t="shared" ca="1" si="499"/>
        <v>0</v>
      </c>
      <c r="BC870" s="286">
        <f t="shared" ca="1" si="500"/>
        <v>0</v>
      </c>
      <c r="BD870" s="180">
        <f t="shared" ca="1" si="501"/>
        <v>0.05</v>
      </c>
      <c r="BE870" s="180">
        <f t="shared" ca="1" si="502"/>
        <v>0.05</v>
      </c>
      <c r="BF870" s="286">
        <f t="shared" ca="1" si="503"/>
        <v>0</v>
      </c>
      <c r="BG870" s="286">
        <f t="shared" ca="1" si="504"/>
        <v>0</v>
      </c>
    </row>
    <row r="871" spans="1:59">
      <c r="A871" s="1">
        <f t="shared" ca="1" si="484"/>
        <v>73</v>
      </c>
      <c r="B871" s="1">
        <f t="shared" ca="1" si="477"/>
        <v>178</v>
      </c>
      <c r="C871" s="1">
        <f t="shared" ca="1" si="478"/>
        <v>9</v>
      </c>
      <c r="D871" s="1">
        <f ca="1">MIN($D$3,VLOOKUP(C871,OP!$S$30:$T$41,2))</f>
        <v>2</v>
      </c>
      <c r="E871" s="1" t="str">
        <f t="shared" ca="1" si="479"/>
        <v/>
      </c>
      <c r="F871" s="11" t="str">
        <f t="shared" ca="1" si="485"/>
        <v/>
      </c>
      <c r="G871" s="8">
        <f t="shared" ca="1" si="510"/>
        <v>365</v>
      </c>
      <c r="H871" s="8">
        <f t="shared" ca="1" si="486"/>
        <v>30</v>
      </c>
      <c r="I871" s="8" t="str">
        <f t="shared" ca="1" si="483"/>
        <v>739</v>
      </c>
      <c r="J871" s="13">
        <f>IF(繳費報酬率資料!$A$1=1,VALUE(OP!$C$121),VLOOKUP(A871,MP,2,0))</f>
        <v>0.05</v>
      </c>
      <c r="K871" s="14">
        <f ca="1">IF(SUM($K$4:K870,IF(繳費報酬率資料!$A$1=1,$AU871+$AV871,$BB871+$BC871))&gt;OP!$L$58,0,IF(繳費報酬率資料!$A$1=1,$AU871+$AV871,$BB871+$BC871))</f>
        <v>0</v>
      </c>
      <c r="L871" s="2"/>
      <c r="M871" s="2"/>
      <c r="N871" s="2"/>
      <c r="O871" s="261">
        <f t="shared" ca="1" si="487"/>
        <v>0</v>
      </c>
      <c r="P871" s="261">
        <f t="shared" ca="1" si="505"/>
        <v>0</v>
      </c>
      <c r="Q871" s="3">
        <f ca="1">IF(A871&gt;MAX(OP!$R$17:$R$26),0,VLOOKUP(A871,fees,3,FALSE))</f>
        <v>0</v>
      </c>
      <c r="R871" s="200" t="str">
        <f t="shared" ca="1" si="488"/>
        <v/>
      </c>
      <c r="S871" s="9" t="str">
        <f ca="1">IF(COUNTIF(($T$4:T870),"F")&gt;=1,"",IF(OR(C872&lt;&gt;$C$3,E871=""),"",A871))</f>
        <v/>
      </c>
      <c r="T871" s="20" t="str">
        <f t="shared" ca="1" si="480"/>
        <v/>
      </c>
      <c r="U871" s="2">
        <f ca="1">IF(IF(OP!$C$83=1,$Z870,IF(OP!$C$83=2,$AA870,IF(OP!$C$83=3,$AB870,)))+$K871-$O871-$P871-$AS871&lt;OP!$C$142,0,$AS871)</f>
        <v>0</v>
      </c>
      <c r="V871" s="9"/>
      <c r="W871" s="19">
        <f ca="1">MAX(SUM($K$4:K871),0)</f>
        <v>2000000</v>
      </c>
      <c r="X871" s="19"/>
      <c r="Y871" s="19">
        <f t="shared" ca="1" si="506"/>
        <v>1920000</v>
      </c>
      <c r="Z871" s="2">
        <f ca="1">IF(MIN($Z$4:Z870)=0,0,MAX(0,($Z870+$K871-$O871-$P871)*IF(AND(F871="F",$D$3&lt;&gt;$G$3),((1+(-J871))^(H871/MIN(G871,365))),((1+(-J871))^(1/12)))-$U871))</f>
        <v>46986.743292707368</v>
      </c>
      <c r="AA871" s="2">
        <f ca="1">IF(MIN($AA$4:AA870)=0,0,MAX(0,($AA870+$K871-$O871-$P871)*IF(AND(F871="F",$D$3&lt;&gt;$G$3),((1+$AA$1)^(H871/MIN(G871,365))),((1+$AA$1)^(1/12)))-$U871))</f>
        <v>1920000</v>
      </c>
      <c r="AB871" s="2">
        <f ca="1">IF(MIN($AB$4:AB870)=0,0,MAX(0,($AB870+$K871-$O871-$P871)*IF(AND(F871="F",$D$3&lt;&gt;$G$3),((1+(J871))^(H871/MIN(G871,365))),((1+(J871))^(1/12)))-$U871))</f>
        <v>65462692.112406954</v>
      </c>
      <c r="AC871" s="5"/>
      <c r="AD871" s="5"/>
      <c r="AE871" s="5"/>
      <c r="AF871" s="282">
        <f t="shared" ca="1" si="489"/>
        <v>46987</v>
      </c>
      <c r="AG871" s="282">
        <f t="shared" ca="1" si="490"/>
        <v>1920000</v>
      </c>
      <c r="AH871" s="282">
        <f t="shared" ca="1" si="491"/>
        <v>65462692</v>
      </c>
      <c r="AI871" s="23" t="str">
        <f t="shared" ca="1" si="507"/>
        <v>73-5</v>
      </c>
      <c r="AJ871" s="282">
        <f ca="1">IF(E871&gt;111,,IF(AND(OP!$C$99=1,T871="F"),Z871,IF(AND(OP!$C$99=2,COUNTIF($T$4:T871,"F")=1),OP!$C$97+IF(F871="F",OP!$C$98,0),"")))</f>
        <v>0</v>
      </c>
      <c r="AK871" s="282">
        <f ca="1">IF(E871&gt;111,,IF(AND(OP!$D$99=1,T871="F"),AA871,IF(AND(OP!$D$99=2,COUNTIF($T$4:T871,"F")=1),OP!$D$97+IF(F871="F",OP!$D$98,0),"")))</f>
        <v>0</v>
      </c>
      <c r="AL871" s="282">
        <f ca="1">IF(E871&gt;111,,IF(AND(OP!$E$99=1,T871="F"),AB871,IF(AND(OP!$E$99=2,COUNTIF($T$4:T871,"F")=1),OP!$E$97+IF(F871="F",OP!$E$98,0),"")))</f>
        <v>0</v>
      </c>
      <c r="AM871" s="1">
        <f t="shared" ca="1" si="481"/>
        <v>5</v>
      </c>
      <c r="AN871" s="1" t="e">
        <f ca="1">IF(OR(VLOOKUP($A871,MP,5,0)="季繳",VLOOKUP($A871,MP,5,0)="月繳"),1,"")</f>
        <v>#N/A</v>
      </c>
      <c r="AO871" s="1">
        <f t="shared" ca="1" si="492"/>
        <v>0</v>
      </c>
      <c r="AP871" s="1" t="str">
        <f ca="1">IF(AND(A871&lt;=OP!$C$120,COUNTIF(PAY,C871)=1),1,"")</f>
        <v/>
      </c>
      <c r="AR871" s="301">
        <f ca="1">IF(繳費報酬率資料!$A$1=1,$AY871+$AZ871,$BF871+$BG871)</f>
        <v>0</v>
      </c>
      <c r="AS871" s="1">
        <f ca="1">IF(C871&lt;&gt;IF($C$3=1,12,$C$3-1),0,IF(繳費報酬率資料!$A$1&lt;&gt;1,VLOOKUP($A871,MP,8,0),IF(AND($A871&gt;=OP!$C$79,$A871&lt;=OP!$C$80),OP!$C$78,)))</f>
        <v>0</v>
      </c>
      <c r="AT871" s="298">
        <f t="shared" ca="1" si="493"/>
        <v>0</v>
      </c>
      <c r="AU871" s="298">
        <f ca="1">IF(AND(A871&lt;=OP!$C$120,COUNTIF(PAY,C871)=1),OP!$C$123,0)</f>
        <v>0</v>
      </c>
      <c r="AV871" s="298">
        <f ca="1">IF(AND(A871&gt;=OP!$C$132,A871&lt;=OP!$C$133,$C$3=C871),OP!$C$135,0)</f>
        <v>0</v>
      </c>
      <c r="AW871" s="180">
        <f t="shared" ca="1" si="494"/>
        <v>0.05</v>
      </c>
      <c r="AX871" s="180">
        <f t="shared" ca="1" si="495"/>
        <v>0.05</v>
      </c>
      <c r="AY871" s="286">
        <f t="shared" ca="1" si="496"/>
        <v>0</v>
      </c>
      <c r="AZ871" s="286">
        <f t="shared" ca="1" si="497"/>
        <v>0</v>
      </c>
      <c r="BA871" s="286">
        <f t="shared" ca="1" si="498"/>
        <v>0</v>
      </c>
      <c r="BB871" s="286">
        <f t="shared" ca="1" si="499"/>
        <v>0</v>
      </c>
      <c r="BC871" s="286">
        <f t="shared" ca="1" si="500"/>
        <v>0</v>
      </c>
      <c r="BD871" s="180">
        <f t="shared" ca="1" si="501"/>
        <v>0.05</v>
      </c>
      <c r="BE871" s="180">
        <f t="shared" ca="1" si="502"/>
        <v>0.05</v>
      </c>
      <c r="BF871" s="286">
        <f t="shared" ca="1" si="503"/>
        <v>0</v>
      </c>
      <c r="BG871" s="286">
        <f t="shared" ca="1" si="504"/>
        <v>0</v>
      </c>
    </row>
    <row r="872" spans="1:59">
      <c r="A872" s="1">
        <f t="shared" ca="1" si="484"/>
        <v>73</v>
      </c>
      <c r="B872" s="1">
        <f t="shared" ca="1" si="477"/>
        <v>178</v>
      </c>
      <c r="C872" s="1">
        <f t="shared" ca="1" si="478"/>
        <v>10</v>
      </c>
      <c r="D872" s="1">
        <f ca="1">MIN($D$3,VLOOKUP(C872,OP!$S$30:$T$41,2))</f>
        <v>2</v>
      </c>
      <c r="E872" s="1" t="str">
        <f t="shared" ca="1" si="479"/>
        <v/>
      </c>
      <c r="F872" s="11" t="str">
        <f t="shared" ca="1" si="485"/>
        <v/>
      </c>
      <c r="G872" s="8">
        <f t="shared" ca="1" si="510"/>
        <v>365</v>
      </c>
      <c r="H872" s="8">
        <f t="shared" ca="1" si="486"/>
        <v>31</v>
      </c>
      <c r="I872" s="8" t="str">
        <f t="shared" ca="1" si="483"/>
        <v>7310</v>
      </c>
      <c r="J872" s="13">
        <f>IF(繳費報酬率資料!$A$1=1,VALUE(OP!$C$121),VLOOKUP(A872,MP,2,0))</f>
        <v>0.05</v>
      </c>
      <c r="K872" s="14">
        <f ca="1">IF(SUM($K$4:K871,IF(繳費報酬率資料!$A$1=1,$AU872+$AV872,$BB872+$BC872))&gt;OP!$L$58,0,IF(繳費報酬率資料!$A$1=1,$AU872+$AV872,$BB872+$BC872))</f>
        <v>0</v>
      </c>
      <c r="L872" s="2"/>
      <c r="M872" s="2"/>
      <c r="N872" s="2"/>
      <c r="O872" s="261">
        <f t="shared" ca="1" si="487"/>
        <v>0</v>
      </c>
      <c r="P872" s="261">
        <f t="shared" ca="1" si="505"/>
        <v>0</v>
      </c>
      <c r="Q872" s="3">
        <f ca="1">IF(A872&gt;MAX(OP!$R$17:$R$26),0,VLOOKUP(A872,fees,3,FALSE))</f>
        <v>0</v>
      </c>
      <c r="R872" s="200" t="str">
        <f t="shared" ca="1" si="488"/>
        <v/>
      </c>
      <c r="S872" s="9" t="str">
        <f ca="1">IF(COUNTIF(($T$4:T871),"F")&gt;=1,"",IF(OR(C873&lt;&gt;$C$3,E872=""),"",A872))</f>
        <v/>
      </c>
      <c r="T872" s="20" t="str">
        <f t="shared" ca="1" si="480"/>
        <v/>
      </c>
      <c r="U872" s="2">
        <f ca="1">IF(IF(OP!$C$83=1,$Z871,IF(OP!$C$83=2,$AA871,IF(OP!$C$83=3,$AB871,)))+$K872-$O872-$P872-$AS872&lt;OP!$C$142,0,$AS872)</f>
        <v>0</v>
      </c>
      <c r="V872" s="9"/>
      <c r="W872" s="19">
        <f ca="1">MAX(SUM($K$4:K872),0)</f>
        <v>2000000</v>
      </c>
      <c r="X872" s="19"/>
      <c r="Y872" s="19">
        <f t="shared" ca="1" si="506"/>
        <v>1920000</v>
      </c>
      <c r="Z872" s="2">
        <f ca="1">IF(MIN($Z$4:Z871)=0,0,MAX(0,($Z871+$K872-$O872-$P872)*IF(AND(F872="F",$D$3&lt;&gt;$G$3),((1+(-J872))^(H872/MIN(G872,365))),((1+(-J872))^(1/12)))-$U872))</f>
        <v>46786.329854244563</v>
      </c>
      <c r="AA872" s="2">
        <f ca="1">IF(MIN($AA$4:AA871)=0,0,MAX(0,($AA871+$K872-$O872-$P872)*IF(AND(F872="F",$D$3&lt;&gt;$G$3),((1+$AA$1)^(H872/MIN(G872,365))),((1+$AA$1)^(1/12)))-$U872))</f>
        <v>1920000</v>
      </c>
      <c r="AB872" s="2">
        <f ca="1">IF(MIN($AB$4:AB871)=0,0,MAX(0,($AB871+$K872-$O872-$P872)*IF(AND(F872="F",$D$3&lt;&gt;$G$3),((1+(J872))^(H872/MIN(G872,365))),((1+(J872))^(1/12)))-$U872))</f>
        <v>65729395.22328376</v>
      </c>
      <c r="AC872" s="5"/>
      <c r="AD872" s="5"/>
      <c r="AE872" s="5"/>
      <c r="AF872" s="282">
        <f t="shared" ca="1" si="489"/>
        <v>46786</v>
      </c>
      <c r="AG872" s="282">
        <f t="shared" ca="1" si="490"/>
        <v>1920000</v>
      </c>
      <c r="AH872" s="282">
        <f t="shared" ca="1" si="491"/>
        <v>65729395</v>
      </c>
      <c r="AI872" s="23" t="str">
        <f t="shared" ca="1" si="507"/>
        <v>73-6</v>
      </c>
      <c r="AJ872" s="282">
        <f ca="1">IF(E872&gt;111,,IF(AND(OP!$C$99=1,T872="F"),Z872,IF(AND(OP!$C$99=2,COUNTIF($T$4:T872,"F")=1),OP!$C$97+IF(F872="F",OP!$C$98,0),"")))</f>
        <v>0</v>
      </c>
      <c r="AK872" s="282">
        <f ca="1">IF(E872&gt;111,,IF(AND(OP!$D$99=1,T872="F"),AA872,IF(AND(OP!$D$99=2,COUNTIF($T$4:T872,"F")=1),OP!$D$97+IF(F872="F",OP!$D$98,0),"")))</f>
        <v>0</v>
      </c>
      <c r="AL872" s="282">
        <f ca="1">IF(E872&gt;111,,IF(AND(OP!$E$99=1,T872="F"),AB872,IF(AND(OP!$E$99=2,COUNTIF($T$4:T872,"F")=1),OP!$E$97+IF(F872="F",OP!$E$98,0),"")))</f>
        <v>0</v>
      </c>
      <c r="AM872" s="1">
        <f t="shared" ca="1" si="481"/>
        <v>6</v>
      </c>
      <c r="AN872" s="1" t="e">
        <f ca="1">IF(OR(VLOOKUP($A872,MP,5,0)="月繳"),1,"")</f>
        <v>#N/A</v>
      </c>
      <c r="AO872" s="1">
        <f t="shared" ca="1" si="492"/>
        <v>0</v>
      </c>
      <c r="AP872" s="1" t="str">
        <f ca="1">IF(AND(A872&lt;=OP!$C$120,COUNTIF(PAY,C872)=1),1,"")</f>
        <v/>
      </c>
      <c r="AR872" s="301">
        <f ca="1">IF(繳費報酬率資料!$A$1=1,$AY872+$AZ872,$BF872+$BG872)</f>
        <v>0</v>
      </c>
      <c r="AS872" s="1">
        <f ca="1">IF(C872&lt;&gt;IF($C$3=1,12,$C$3-1),0,IF(繳費報酬率資料!$A$1&lt;&gt;1,VLOOKUP($A872,MP,8,0),IF(AND($A872&gt;=OP!$C$79,$A872&lt;=OP!$C$80),OP!$C$78,)))</f>
        <v>0</v>
      </c>
      <c r="AT872" s="298">
        <f t="shared" ca="1" si="493"/>
        <v>0</v>
      </c>
      <c r="AU872" s="298">
        <f ca="1">IF(AND(A872&lt;=OP!$C$120,COUNTIF(PAY,C872)=1),OP!$C$123,0)</f>
        <v>0</v>
      </c>
      <c r="AV872" s="298">
        <f ca="1">IF(AND(A872&gt;=OP!$C$132,A872&lt;=OP!$C$133,$C$3=C872),OP!$C$135,0)</f>
        <v>0</v>
      </c>
      <c r="AW872" s="180">
        <f t="shared" ca="1" si="494"/>
        <v>0.05</v>
      </c>
      <c r="AX872" s="180">
        <f t="shared" ca="1" si="495"/>
        <v>0.05</v>
      </c>
      <c r="AY872" s="286">
        <f t="shared" ca="1" si="496"/>
        <v>0</v>
      </c>
      <c r="AZ872" s="286">
        <f t="shared" ca="1" si="497"/>
        <v>0</v>
      </c>
      <c r="BA872" s="286">
        <f t="shared" ca="1" si="498"/>
        <v>0</v>
      </c>
      <c r="BB872" s="286">
        <f t="shared" ca="1" si="499"/>
        <v>0</v>
      </c>
      <c r="BC872" s="286">
        <f t="shared" ca="1" si="500"/>
        <v>0</v>
      </c>
      <c r="BD872" s="180">
        <f t="shared" ca="1" si="501"/>
        <v>0.05</v>
      </c>
      <c r="BE872" s="180">
        <f t="shared" ca="1" si="502"/>
        <v>0.05</v>
      </c>
      <c r="BF872" s="286">
        <f t="shared" ca="1" si="503"/>
        <v>0</v>
      </c>
      <c r="BG872" s="286">
        <f t="shared" ca="1" si="504"/>
        <v>0</v>
      </c>
    </row>
    <row r="873" spans="1:59">
      <c r="A873" s="1">
        <f t="shared" ca="1" si="484"/>
        <v>73</v>
      </c>
      <c r="B873" s="1">
        <f t="shared" ca="1" si="477"/>
        <v>178</v>
      </c>
      <c r="C873" s="1">
        <f t="shared" ca="1" si="478"/>
        <v>11</v>
      </c>
      <c r="D873" s="1">
        <f ca="1">MIN($D$3,VLOOKUP(C873,OP!$S$30:$T$41,2))</f>
        <v>2</v>
      </c>
      <c r="E873" s="1" t="str">
        <f t="shared" ca="1" si="479"/>
        <v/>
      </c>
      <c r="F873" s="11" t="str">
        <f t="shared" ca="1" si="485"/>
        <v/>
      </c>
      <c r="G873" s="8">
        <f t="shared" ca="1" si="510"/>
        <v>365</v>
      </c>
      <c r="H873" s="8">
        <f t="shared" ca="1" si="486"/>
        <v>30</v>
      </c>
      <c r="I873" s="8" t="str">
        <f t="shared" ca="1" si="483"/>
        <v>7311</v>
      </c>
      <c r="J873" s="13">
        <f>IF(繳費報酬率資料!$A$1=1,VALUE(OP!$C$121),VLOOKUP(A873,MP,2,0))</f>
        <v>0.05</v>
      </c>
      <c r="K873" s="14">
        <f ca="1">IF(SUM($K$4:K872,IF(繳費報酬率資料!$A$1=1,$AU873+$AV873,$BB873+$BC873))&gt;OP!$L$58,0,IF(繳費報酬率資料!$A$1=1,$AU873+$AV873,$BB873+$BC873))</f>
        <v>0</v>
      </c>
      <c r="L873" s="2"/>
      <c r="M873" s="2"/>
      <c r="N873" s="2"/>
      <c r="O873" s="261">
        <f t="shared" ca="1" si="487"/>
        <v>0</v>
      </c>
      <c r="P873" s="261">
        <f t="shared" ca="1" si="505"/>
        <v>0</v>
      </c>
      <c r="Q873" s="3">
        <f ca="1">IF(A873&gt;MAX(OP!$R$17:$R$26),0,VLOOKUP(A873,fees,3,FALSE))</f>
        <v>0</v>
      </c>
      <c r="R873" s="200" t="str">
        <f t="shared" ca="1" si="488"/>
        <v/>
      </c>
      <c r="S873" s="9" t="str">
        <f ca="1">IF(COUNTIF(($T$4:T872),"F")&gt;=1,"",IF(OR(C874&lt;&gt;$C$3,E873=""),"",A873))</f>
        <v/>
      </c>
      <c r="T873" s="20" t="str">
        <f t="shared" ca="1" si="480"/>
        <v/>
      </c>
      <c r="U873" s="2">
        <f ca="1">IF(IF(OP!$C$83=1,$Z872,IF(OP!$C$83=2,$AA872,IF(OP!$C$83=3,$AB872,)))+$K873-$O873-$P873-$AS873&lt;OP!$C$142,0,$AS873)</f>
        <v>0</v>
      </c>
      <c r="V873" s="9"/>
      <c r="W873" s="19">
        <f ca="1">MAX(SUM($K$4:K873),0)</f>
        <v>2000000</v>
      </c>
      <c r="X873" s="19"/>
      <c r="Y873" s="19">
        <f t="shared" ca="1" si="506"/>
        <v>1920000</v>
      </c>
      <c r="Z873" s="2">
        <f ca="1">IF(MIN($Z$4:Z872)=0,0,MAX(0,($Z872+$K873-$O873-$P873)*IF(AND(F873="F",$D$3&lt;&gt;$G$3),((1+(-J873))^(H873/MIN(G873,365))),((1+(-J873))^(1/12)))-$U873))</f>
        <v>46586.771242984105</v>
      </c>
      <c r="AA873" s="2">
        <f ca="1">IF(MIN($AA$4:AA872)=0,0,MAX(0,($AA872+$K873-$O873-$P873)*IF(AND(F873="F",$D$3&lt;&gt;$G$3),((1+$AA$1)^(H873/MIN(G873,365))),((1+$AA$1)^(1/12)))-$U873))</f>
        <v>1920000</v>
      </c>
      <c r="AB873" s="2">
        <f ca="1">IF(MIN($AB$4:AB872)=0,0,MAX(0,($AB872+$K873-$O873-$P873)*IF(AND(F873="F",$D$3&lt;&gt;$G$3),((1+(J873))^(H873/MIN(G873,365))),((1+(J873))^(1/12)))-$U873))</f>
        <v>65997184.91564776</v>
      </c>
      <c r="AC873" s="5"/>
      <c r="AD873" s="5"/>
      <c r="AE873" s="5"/>
      <c r="AF873" s="282">
        <f t="shared" ca="1" si="489"/>
        <v>46587</v>
      </c>
      <c r="AG873" s="282">
        <f t="shared" ca="1" si="490"/>
        <v>1920000</v>
      </c>
      <c r="AH873" s="282">
        <f t="shared" ca="1" si="491"/>
        <v>65997185</v>
      </c>
      <c r="AI873" s="23" t="str">
        <f t="shared" ca="1" si="507"/>
        <v>73-7</v>
      </c>
      <c r="AJ873" s="282">
        <f ca="1">IF(E873&gt;111,,IF(AND(OP!$C$99=1,T873="F"),Z873,IF(AND(OP!$C$99=2,COUNTIF($T$4:T873,"F")=1),OP!$C$97+IF(F873="F",OP!$C$98,0),"")))</f>
        <v>0</v>
      </c>
      <c r="AK873" s="282">
        <f ca="1">IF(E873&gt;111,,IF(AND(OP!$D$99=1,T873="F"),AA873,IF(AND(OP!$D$99=2,COUNTIF($T$4:T873,"F")=1),OP!$D$97+IF(F873="F",OP!$D$98,0),"")))</f>
        <v>0</v>
      </c>
      <c r="AL873" s="282">
        <f ca="1">IF(E873&gt;111,,IF(AND(OP!$E$99=1,T873="F"),AB873,IF(AND(OP!$E$99=2,COUNTIF($T$4:T873,"F")=1),OP!$E$97+IF(F873="F",OP!$E$98,0),"")))</f>
        <v>0</v>
      </c>
      <c r="AM873" s="1">
        <f t="shared" ca="1" si="481"/>
        <v>7</v>
      </c>
      <c r="AN873" s="1" t="e">
        <f ca="1">IF(OR(VLOOKUP($A873,MP,5,0)="月繳"),1,"")</f>
        <v>#N/A</v>
      </c>
      <c r="AO873" s="1">
        <f t="shared" ca="1" si="492"/>
        <v>0</v>
      </c>
      <c r="AP873" s="1" t="str">
        <f ca="1">IF(AND(A873&lt;=OP!$C$120,COUNTIF(PAY,C873)=1),1,"")</f>
        <v/>
      </c>
      <c r="AR873" s="301">
        <f ca="1">IF(繳費報酬率資料!$A$1=1,$AY873+$AZ873,$BF873+$BG873)</f>
        <v>0</v>
      </c>
      <c r="AS873" s="1">
        <f ca="1">IF(C873&lt;&gt;IF($C$3=1,12,$C$3-1),0,IF(繳費報酬率資料!$A$1&lt;&gt;1,VLOOKUP($A873,MP,8,0),IF(AND($A873&gt;=OP!$C$79,$A873&lt;=OP!$C$80),OP!$C$78,)))</f>
        <v>0</v>
      </c>
      <c r="AT873" s="298">
        <f t="shared" ca="1" si="493"/>
        <v>0</v>
      </c>
      <c r="AU873" s="298">
        <f ca="1">IF(AND(A873&lt;=OP!$C$120,COUNTIF(PAY,C873)=1),OP!$C$123,0)</f>
        <v>0</v>
      </c>
      <c r="AV873" s="298">
        <f ca="1">IF(AND(A873&gt;=OP!$C$132,A873&lt;=OP!$C$133,$C$3=C873),OP!$C$135,0)</f>
        <v>0</v>
      </c>
      <c r="AW873" s="180">
        <f t="shared" ca="1" si="494"/>
        <v>0.05</v>
      </c>
      <c r="AX873" s="180">
        <f t="shared" ca="1" si="495"/>
        <v>0.05</v>
      </c>
      <c r="AY873" s="286">
        <f t="shared" ca="1" si="496"/>
        <v>0</v>
      </c>
      <c r="AZ873" s="286">
        <f t="shared" ca="1" si="497"/>
        <v>0</v>
      </c>
      <c r="BA873" s="286">
        <f t="shared" ca="1" si="498"/>
        <v>0</v>
      </c>
      <c r="BB873" s="286">
        <f t="shared" ca="1" si="499"/>
        <v>0</v>
      </c>
      <c r="BC873" s="286">
        <f t="shared" ca="1" si="500"/>
        <v>0</v>
      </c>
      <c r="BD873" s="180">
        <f t="shared" ca="1" si="501"/>
        <v>0.05</v>
      </c>
      <c r="BE873" s="180">
        <f t="shared" ca="1" si="502"/>
        <v>0.05</v>
      </c>
      <c r="BF873" s="286">
        <f t="shared" ca="1" si="503"/>
        <v>0</v>
      </c>
      <c r="BG873" s="286">
        <f t="shared" ca="1" si="504"/>
        <v>0</v>
      </c>
    </row>
    <row r="874" spans="1:59">
      <c r="A874" s="1">
        <f t="shared" ca="1" si="484"/>
        <v>73</v>
      </c>
      <c r="B874" s="1">
        <f t="shared" ca="1" si="477"/>
        <v>178</v>
      </c>
      <c r="C874" s="1">
        <f t="shared" ca="1" si="478"/>
        <v>12</v>
      </c>
      <c r="D874" s="1">
        <f ca="1">MIN($D$3,VLOOKUP(C874,OP!$S$30:$T$41,2))</f>
        <v>2</v>
      </c>
      <c r="E874" s="1" t="str">
        <f t="shared" ca="1" si="479"/>
        <v/>
      </c>
      <c r="F874" s="11" t="str">
        <f t="shared" ca="1" si="485"/>
        <v/>
      </c>
      <c r="G874" s="8">
        <f t="shared" ca="1" si="510"/>
        <v>365</v>
      </c>
      <c r="H874" s="8">
        <f t="shared" ca="1" si="486"/>
        <v>31</v>
      </c>
      <c r="I874" s="8" t="str">
        <f t="shared" ca="1" si="483"/>
        <v>7312</v>
      </c>
      <c r="J874" s="13">
        <f>IF(繳費報酬率資料!$A$1=1,VALUE(OP!$C$121),VLOOKUP(A874,MP,2,0))</f>
        <v>0.05</v>
      </c>
      <c r="K874" s="14">
        <f ca="1">IF(SUM($K$4:K873,IF(繳費報酬率資料!$A$1=1,$AU874+$AV874,$BB874+$BC874))&gt;OP!$L$58,0,IF(繳費報酬率資料!$A$1=1,$AU874+$AV874,$BB874+$BC874))</f>
        <v>0</v>
      </c>
      <c r="L874" s="2"/>
      <c r="M874" s="2"/>
      <c r="N874" s="2"/>
      <c r="O874" s="261">
        <f t="shared" ca="1" si="487"/>
        <v>0</v>
      </c>
      <c r="P874" s="261">
        <f t="shared" ca="1" si="505"/>
        <v>0</v>
      </c>
      <c r="Q874" s="3">
        <f ca="1">IF(A874&gt;MAX(OP!$R$17:$R$26),0,VLOOKUP(A874,fees,3,FALSE))</f>
        <v>0</v>
      </c>
      <c r="R874" s="200" t="str">
        <f t="shared" ca="1" si="488"/>
        <v/>
      </c>
      <c r="S874" s="9" t="str">
        <f ca="1">IF(COUNTIF(($T$4:T873),"F")&gt;=1,"",IF(OR(C875&lt;&gt;$C$3,E874=""),"",A874))</f>
        <v/>
      </c>
      <c r="T874" s="20" t="str">
        <f t="shared" ca="1" si="480"/>
        <v/>
      </c>
      <c r="U874" s="2">
        <f ca="1">IF(IF(OP!$C$83=1,$Z873,IF(OP!$C$83=2,$AA873,IF(OP!$C$83=3,$AB873,)))+$K874-$O874-$P874-$AS874&lt;OP!$C$142,0,$AS874)</f>
        <v>0</v>
      </c>
      <c r="V874" s="9"/>
      <c r="W874" s="19">
        <f ca="1">MAX(SUM($K$4:K874),0)</f>
        <v>2000000</v>
      </c>
      <c r="X874" s="19"/>
      <c r="Y874" s="19">
        <f t="shared" ca="1" si="506"/>
        <v>1920000</v>
      </c>
      <c r="Z874" s="2">
        <f ca="1">IF(MIN($Z$4:Z873)=0,0,MAX(0,($Z873+$K874-$O874-$P874)*IF(AND(F874="F",$D$3&lt;&gt;$G$3),((1+(-J874))^(H874/MIN(G874,365))),((1+(-J874))^(1/12)))-$U874))</f>
        <v>46388.063812815482</v>
      </c>
      <c r="AA874" s="2">
        <f ca="1">IF(MIN($AA$4:AA873)=0,0,MAX(0,($AA873+$K874-$O874-$P874)*IF(AND(F874="F",$D$3&lt;&gt;$G$3),((1+$AA$1)^(H874/MIN(G874,365))),((1+$AA$1)^(1/12)))-$U874))</f>
        <v>1920000</v>
      </c>
      <c r="AB874" s="2">
        <f ca="1">IF(MIN($AB$4:AB873)=0,0,MAX(0,($AB873+$K874-$O874-$P874)*IF(AND(F874="F",$D$3&lt;&gt;$G$3),((1+(J874))^(H874/MIN(G874,365))),((1+(J874))^(1/12)))-$U874))</f>
        <v>66266065.616366439</v>
      </c>
      <c r="AC874" s="5"/>
      <c r="AD874" s="5"/>
      <c r="AE874" s="5"/>
      <c r="AF874" s="282">
        <f t="shared" ca="1" si="489"/>
        <v>46388</v>
      </c>
      <c r="AG874" s="282">
        <f t="shared" ca="1" si="490"/>
        <v>1920000</v>
      </c>
      <c r="AH874" s="282">
        <f t="shared" ca="1" si="491"/>
        <v>66266066</v>
      </c>
      <c r="AI874" s="23" t="str">
        <f t="shared" ca="1" si="507"/>
        <v>73-8</v>
      </c>
      <c r="AJ874" s="282">
        <f ca="1">IF(E874&gt;111,,IF(AND(OP!$C$99=1,T874="F"),Z874,IF(AND(OP!$C$99=2,COUNTIF($T$4:T874,"F")=1),OP!$C$97+IF(F874="F",OP!$C$98,0),"")))</f>
        <v>0</v>
      </c>
      <c r="AK874" s="282">
        <f ca="1">IF(E874&gt;111,,IF(AND(OP!$D$99=1,T874="F"),AA874,IF(AND(OP!$D$99=2,COUNTIF($T$4:T874,"F")=1),OP!$D$97+IF(F874="F",OP!$D$98,0),"")))</f>
        <v>0</v>
      </c>
      <c r="AL874" s="282">
        <f ca="1">IF(E874&gt;111,,IF(AND(OP!$E$99=1,T874="F"),AB874,IF(AND(OP!$E$99=2,COUNTIF($T$4:T874,"F")=1),OP!$E$97+IF(F874="F",OP!$E$98,0),"")))</f>
        <v>0</v>
      </c>
      <c r="AM874" s="1">
        <f t="shared" ca="1" si="481"/>
        <v>8</v>
      </c>
      <c r="AN874" s="1" t="e">
        <f ca="1">IF(OR(VLOOKUP($A874,MP,5,0)="半年繳",VLOOKUP($A874,MP,5,0)="季繳",VLOOKUP($A874,MP,5,0)="月繳"),1,"")</f>
        <v>#N/A</v>
      </c>
      <c r="AO874" s="1">
        <f t="shared" ca="1" si="492"/>
        <v>0</v>
      </c>
      <c r="AP874" s="1" t="str">
        <f ca="1">IF(AND(A874&lt;=OP!$C$120,COUNTIF(PAY,C874)=1),1,"")</f>
        <v/>
      </c>
      <c r="AR874" s="301">
        <f ca="1">IF(繳費報酬率資料!$A$1=1,$AY874+$AZ874,$BF874+$BG874)</f>
        <v>0</v>
      </c>
      <c r="AS874" s="1">
        <f ca="1">IF(C874&lt;&gt;IF($C$3=1,12,$C$3-1),0,IF(繳費報酬率資料!$A$1&lt;&gt;1,VLOOKUP($A874,MP,8,0),IF(AND($A874&gt;=OP!$C$79,$A874&lt;=OP!$C$80),OP!$C$78,)))</f>
        <v>0</v>
      </c>
      <c r="AT874" s="298">
        <f t="shared" ca="1" si="493"/>
        <v>0</v>
      </c>
      <c r="AU874" s="298">
        <f ca="1">IF(AND(A874&lt;=OP!$C$120,COUNTIF(PAY,C874)=1),OP!$C$123,0)</f>
        <v>0</v>
      </c>
      <c r="AV874" s="298">
        <f ca="1">IF(AND(A874&gt;=OP!$C$132,A874&lt;=OP!$C$133,$C$3=C874),OP!$C$135,0)</f>
        <v>0</v>
      </c>
      <c r="AW874" s="180">
        <f t="shared" ca="1" si="494"/>
        <v>0.05</v>
      </c>
      <c r="AX874" s="180">
        <f t="shared" ca="1" si="495"/>
        <v>0.05</v>
      </c>
      <c r="AY874" s="286">
        <f t="shared" ca="1" si="496"/>
        <v>0</v>
      </c>
      <c r="AZ874" s="286">
        <f t="shared" ca="1" si="497"/>
        <v>0</v>
      </c>
      <c r="BA874" s="286">
        <f t="shared" ca="1" si="498"/>
        <v>0</v>
      </c>
      <c r="BB874" s="286">
        <f t="shared" ca="1" si="499"/>
        <v>0</v>
      </c>
      <c r="BC874" s="286">
        <f t="shared" ca="1" si="500"/>
        <v>0</v>
      </c>
      <c r="BD874" s="180">
        <f t="shared" ca="1" si="501"/>
        <v>0.05</v>
      </c>
      <c r="BE874" s="180">
        <f t="shared" ca="1" si="502"/>
        <v>0.05</v>
      </c>
      <c r="BF874" s="286">
        <f t="shared" ca="1" si="503"/>
        <v>0</v>
      </c>
      <c r="BG874" s="286">
        <f t="shared" ca="1" si="504"/>
        <v>0</v>
      </c>
    </row>
    <row r="875" spans="1:59">
      <c r="A875" s="1">
        <f t="shared" ca="1" si="484"/>
        <v>73</v>
      </c>
      <c r="B875" s="1">
        <f t="shared" ca="1" si="477"/>
        <v>179</v>
      </c>
      <c r="C875" s="1">
        <f t="shared" ca="1" si="478"/>
        <v>1</v>
      </c>
      <c r="D875" s="1">
        <f ca="1">MIN($D$3,VLOOKUP(C875,OP!$S$30:$T$41,2))</f>
        <v>2</v>
      </c>
      <c r="E875" s="1" t="str">
        <f t="shared" ca="1" si="479"/>
        <v/>
      </c>
      <c r="F875" s="11" t="str">
        <f t="shared" ca="1" si="485"/>
        <v/>
      </c>
      <c r="G875" s="8">
        <f t="shared" ca="1" si="510"/>
        <v>365</v>
      </c>
      <c r="H875" s="8">
        <f t="shared" ca="1" si="486"/>
        <v>31</v>
      </c>
      <c r="I875" s="8" t="str">
        <f t="shared" ca="1" si="483"/>
        <v>731</v>
      </c>
      <c r="J875" s="13">
        <f>IF(繳費報酬率資料!$A$1=1,VALUE(OP!$C$121),VLOOKUP(A875,MP,2,0))</f>
        <v>0.05</v>
      </c>
      <c r="K875" s="14">
        <f ca="1">IF(SUM($K$4:K874,IF(繳費報酬率資料!$A$1=1,$AU875+$AV875,$BB875+$BC875))&gt;OP!$L$58,0,IF(繳費報酬率資料!$A$1=1,$AU875+$AV875,$BB875+$BC875))</f>
        <v>0</v>
      </c>
      <c r="L875" s="2"/>
      <c r="M875" s="2"/>
      <c r="N875" s="2"/>
      <c r="O875" s="261">
        <f t="shared" ca="1" si="487"/>
        <v>0</v>
      </c>
      <c r="P875" s="261">
        <f t="shared" ca="1" si="505"/>
        <v>0</v>
      </c>
      <c r="Q875" s="3">
        <f ca="1">IF(A875&gt;MAX(OP!$R$17:$R$26),0,VLOOKUP(A875,fees,3,FALSE))</f>
        <v>0</v>
      </c>
      <c r="R875" s="200" t="str">
        <f t="shared" ca="1" si="488"/>
        <v/>
      </c>
      <c r="S875" s="9" t="str">
        <f ca="1">IF(COUNTIF(($T$4:T874),"F")&gt;=1,"",IF(OR(C876&lt;&gt;$C$3,E875=""),"",A875))</f>
        <v/>
      </c>
      <c r="T875" s="20" t="str">
        <f t="shared" ca="1" si="480"/>
        <v/>
      </c>
      <c r="U875" s="2">
        <f ca="1">IF(IF(OP!$C$83=1,$Z874,IF(OP!$C$83=2,$AA874,IF(OP!$C$83=3,$AB874,)))+$K875-$O875-$P875-$AS875&lt;OP!$C$142,0,$AS875)</f>
        <v>0</v>
      </c>
      <c r="V875" s="9"/>
      <c r="W875" s="19">
        <f ca="1">MAX(SUM($K$4:K875),0)</f>
        <v>2000000</v>
      </c>
      <c r="X875" s="19"/>
      <c r="Y875" s="19">
        <f t="shared" ca="1" si="506"/>
        <v>1920000</v>
      </c>
      <c r="Z875" s="2">
        <f ca="1">IF(MIN($Z$4:Z874)=0,0,MAX(0,($Z874+$K875-$O875-$P875)*IF(AND(F875="F",$D$3&lt;&gt;$G$3),((1+(-J875))^(H875/MIN(G875,365))),((1+(-J875))^(1/12)))-$U875))</f>
        <v>46190.203933179997</v>
      </c>
      <c r="AA875" s="2">
        <f ca="1">IF(MIN($AA$4:AA874)=0,0,MAX(0,($AA874+$K875-$O875-$P875)*IF(AND(F875="F",$D$3&lt;&gt;$G$3),((1+$AA$1)^(H875/MIN(G875,365))),((1+$AA$1)^(1/12)))-$U875))</f>
        <v>1920000</v>
      </c>
      <c r="AB875" s="2">
        <f ca="1">IF(MIN($AB$4:AB874)=0,0,MAX(0,($AB874+$K875-$O875-$P875)*IF(AND(F875="F",$D$3&lt;&gt;$G$3),((1+(J875))^(H875/MIN(G875,365))),((1+(J875))^(1/12)))-$U875))</f>
        <v>66536041.770342879</v>
      </c>
      <c r="AC875" s="5"/>
      <c r="AD875" s="5"/>
      <c r="AE875" s="5"/>
      <c r="AF875" s="282">
        <f t="shared" ca="1" si="489"/>
        <v>46190</v>
      </c>
      <c r="AG875" s="282">
        <f t="shared" ca="1" si="490"/>
        <v>1920000</v>
      </c>
      <c r="AH875" s="282">
        <f t="shared" ca="1" si="491"/>
        <v>66536042</v>
      </c>
      <c r="AI875" s="23" t="str">
        <f t="shared" ca="1" si="507"/>
        <v>73-9</v>
      </c>
      <c r="AJ875" s="282">
        <f ca="1">IF(E875&gt;111,,IF(AND(OP!$C$99=1,T875="F"),Z875,IF(AND(OP!$C$99=2,COUNTIF($T$4:T875,"F")=1),OP!$C$97+IF(F875="F",OP!$C$98,0),"")))</f>
        <v>0</v>
      </c>
      <c r="AK875" s="282">
        <f ca="1">IF(E875&gt;111,,IF(AND(OP!$D$99=1,T875="F"),AA875,IF(AND(OP!$D$99=2,COUNTIF($T$4:T875,"F")=1),OP!$D$97+IF(F875="F",OP!$D$98,0),"")))</f>
        <v>0</v>
      </c>
      <c r="AL875" s="282">
        <f ca="1">IF(E875&gt;111,,IF(AND(OP!$E$99=1,T875="F"),AB875,IF(AND(OP!$E$99=2,COUNTIF($T$4:T875,"F")=1),OP!$E$97+IF(F875="F",OP!$E$98,0),"")))</f>
        <v>0</v>
      </c>
      <c r="AM875" s="1">
        <f t="shared" ca="1" si="481"/>
        <v>9</v>
      </c>
      <c r="AN875" s="1" t="e">
        <f ca="1">IF(OR(VLOOKUP($A875,MP,5,0)="月繳"),1,"")</f>
        <v>#N/A</v>
      </c>
      <c r="AO875" s="1">
        <f t="shared" ca="1" si="492"/>
        <v>0</v>
      </c>
      <c r="AP875" s="1" t="str">
        <f ca="1">IF(AND(A875&lt;=OP!$C$120,COUNTIF(PAY,C875)=1),1,"")</f>
        <v/>
      </c>
      <c r="AR875" s="301">
        <f ca="1">IF(繳費報酬率資料!$A$1=1,$AY875+$AZ875,$BF875+$BG875)</f>
        <v>0</v>
      </c>
      <c r="AS875" s="1">
        <f ca="1">IF(C875&lt;&gt;IF($C$3=1,12,$C$3-1),0,IF(繳費報酬率資料!$A$1&lt;&gt;1,VLOOKUP($A875,MP,8,0),IF(AND($A875&gt;=OP!$C$79,$A875&lt;=OP!$C$80),OP!$C$78,)))</f>
        <v>0</v>
      </c>
      <c r="AT875" s="298">
        <f t="shared" ca="1" si="493"/>
        <v>0</v>
      </c>
      <c r="AU875" s="298">
        <f ca="1">IF(AND(A875&lt;=OP!$C$120,COUNTIF(PAY,C875)=1),OP!$C$123,0)</f>
        <v>0</v>
      </c>
      <c r="AV875" s="298">
        <f ca="1">IF(AND(A875&gt;=OP!$C$132,A875&lt;=OP!$C$133,$C$3=C875),OP!$C$135,0)</f>
        <v>0</v>
      </c>
      <c r="AW875" s="180">
        <f t="shared" ca="1" si="494"/>
        <v>0.05</v>
      </c>
      <c r="AX875" s="180">
        <f t="shared" ca="1" si="495"/>
        <v>0.05</v>
      </c>
      <c r="AY875" s="286">
        <f t="shared" ca="1" si="496"/>
        <v>0</v>
      </c>
      <c r="AZ875" s="286">
        <f t="shared" ca="1" si="497"/>
        <v>0</v>
      </c>
      <c r="BA875" s="286">
        <f t="shared" ca="1" si="498"/>
        <v>0</v>
      </c>
      <c r="BB875" s="286">
        <f t="shared" ca="1" si="499"/>
        <v>0</v>
      </c>
      <c r="BC875" s="286">
        <f t="shared" ca="1" si="500"/>
        <v>0</v>
      </c>
      <c r="BD875" s="180">
        <f t="shared" ca="1" si="501"/>
        <v>0.05</v>
      </c>
      <c r="BE875" s="180">
        <f t="shared" ca="1" si="502"/>
        <v>0.05</v>
      </c>
      <c r="BF875" s="286">
        <f t="shared" ca="1" si="503"/>
        <v>0</v>
      </c>
      <c r="BG875" s="286">
        <f t="shared" ca="1" si="504"/>
        <v>0</v>
      </c>
    </row>
    <row r="876" spans="1:59">
      <c r="A876" s="1">
        <f t="shared" ca="1" si="484"/>
        <v>73</v>
      </c>
      <c r="B876" s="1">
        <f t="shared" ca="1" si="477"/>
        <v>179</v>
      </c>
      <c r="C876" s="1">
        <f t="shared" ca="1" si="478"/>
        <v>2</v>
      </c>
      <c r="D876" s="1">
        <f ca="1">MIN($D$3,VLOOKUP(C876,OP!$S$30:$T$41,2))</f>
        <v>2</v>
      </c>
      <c r="E876" s="1" t="str">
        <f t="shared" ca="1" si="479"/>
        <v/>
      </c>
      <c r="F876" s="11" t="str">
        <f t="shared" ca="1" si="485"/>
        <v/>
      </c>
      <c r="G876" s="8">
        <f t="shared" ca="1" si="510"/>
        <v>365</v>
      </c>
      <c r="H876" s="8">
        <f t="shared" ca="1" si="486"/>
        <v>28</v>
      </c>
      <c r="I876" s="8" t="str">
        <f t="shared" ca="1" si="483"/>
        <v>732</v>
      </c>
      <c r="J876" s="13">
        <f>IF(繳費報酬率資料!$A$1=1,VALUE(OP!$C$121),VLOOKUP(A876,MP,2,0))</f>
        <v>0.05</v>
      </c>
      <c r="K876" s="14">
        <f ca="1">IF(SUM($K$4:K875,IF(繳費報酬率資料!$A$1=1,$AU876+$AV876,$BB876+$BC876))&gt;OP!$L$58,0,IF(繳費報酬率資料!$A$1=1,$AU876+$AV876,$BB876+$BC876))</f>
        <v>0</v>
      </c>
      <c r="L876" s="2"/>
      <c r="M876" s="2"/>
      <c r="N876" s="2"/>
      <c r="O876" s="261">
        <f t="shared" ca="1" si="487"/>
        <v>0</v>
      </c>
      <c r="P876" s="261">
        <f t="shared" ca="1" si="505"/>
        <v>0</v>
      </c>
      <c r="Q876" s="3">
        <f ca="1">IF(A876&gt;MAX(OP!$R$17:$R$26),0,VLOOKUP(A876,fees,3,FALSE))</f>
        <v>0</v>
      </c>
      <c r="R876" s="200" t="str">
        <f t="shared" ca="1" si="488"/>
        <v/>
      </c>
      <c r="S876" s="9" t="str">
        <f ca="1">IF(COUNTIF(($T$4:T875),"F")&gt;=1,"",IF(OR(C877&lt;&gt;$C$3,E876=""),"",A876))</f>
        <v/>
      </c>
      <c r="T876" s="20" t="str">
        <f t="shared" ca="1" si="480"/>
        <v/>
      </c>
      <c r="U876" s="2">
        <f ca="1">IF(IF(OP!$C$83=1,$Z875,IF(OP!$C$83=2,$AA875,IF(OP!$C$83=3,$AB875,)))+$K876-$O876-$P876-$AS876&lt;OP!$C$142,0,$AS876)</f>
        <v>0</v>
      </c>
      <c r="V876" s="9"/>
      <c r="W876" s="19">
        <f ca="1">MAX(SUM($K$4:K876),0)</f>
        <v>2000000</v>
      </c>
      <c r="X876" s="19"/>
      <c r="Y876" s="19">
        <f t="shared" ca="1" si="506"/>
        <v>1920000</v>
      </c>
      <c r="Z876" s="2">
        <f ca="1">IF(MIN($Z$4:Z875)=0,0,MAX(0,($Z875+$K876-$O876-$P876)*IF(AND(F876="F",$D$3&lt;&gt;$G$3),((1+(-J876))^(H876/MIN(G876,365))),((1+(-J876))^(1/12)))-$U876))</f>
        <v>45993.187989004451</v>
      </c>
      <c r="AA876" s="2">
        <f ca="1">IF(MIN($AA$4:AA875)=0,0,MAX(0,($AA875+$K876-$O876-$P876)*IF(AND(F876="F",$D$3&lt;&gt;$G$3),((1+$AA$1)^(H876/MIN(G876,365))),((1+$AA$1)^(1/12)))-$U876))</f>
        <v>1920000</v>
      </c>
      <c r="AB876" s="2">
        <f ca="1">IF(MIN($AB$4:AB875)=0,0,MAX(0,($AB875+$K876-$O876-$P876)*IF(AND(F876="F",$D$3&lt;&gt;$G$3),((1+(J876))^(H876/MIN(G876,365))),((1+(J876))^(1/12)))-$U876))</f>
        <v>66807117.840589255</v>
      </c>
      <c r="AC876" s="5"/>
      <c r="AD876" s="5"/>
      <c r="AE876" s="5"/>
      <c r="AF876" s="282">
        <f t="shared" ca="1" si="489"/>
        <v>45993</v>
      </c>
      <c r="AG876" s="282">
        <f t="shared" ca="1" si="490"/>
        <v>1920000</v>
      </c>
      <c r="AH876" s="282">
        <f t="shared" ca="1" si="491"/>
        <v>66807118</v>
      </c>
      <c r="AI876" s="23" t="str">
        <f t="shared" ca="1" si="507"/>
        <v>73-10</v>
      </c>
      <c r="AJ876" s="282">
        <f ca="1">IF(E876&gt;111,,IF(AND(OP!$C$99=1,T876="F"),Z876,IF(AND(OP!$C$99=2,COUNTIF($T$4:T876,"F")=1),OP!$C$97+IF(F876="F",OP!$C$98,0),"")))</f>
        <v>0</v>
      </c>
      <c r="AK876" s="282">
        <f ca="1">IF(E876&gt;111,,IF(AND(OP!$D$99=1,T876="F"),AA876,IF(AND(OP!$D$99=2,COUNTIF($T$4:T876,"F")=1),OP!$D$97+IF(F876="F",OP!$D$98,0),"")))</f>
        <v>0</v>
      </c>
      <c r="AL876" s="282">
        <f ca="1">IF(E876&gt;111,,IF(AND(OP!$E$99=1,T876="F"),AB876,IF(AND(OP!$E$99=2,COUNTIF($T$4:T876,"F")=1),OP!$E$97+IF(F876="F",OP!$E$98,0),"")))</f>
        <v>0</v>
      </c>
      <c r="AM876" s="1">
        <f t="shared" ca="1" si="481"/>
        <v>10</v>
      </c>
      <c r="AN876" s="1" t="e">
        <f ca="1">IF(OR(VLOOKUP($A876,MP,5,0)="月繳"),1,"")</f>
        <v>#N/A</v>
      </c>
      <c r="AO876" s="1">
        <f t="shared" ca="1" si="492"/>
        <v>0</v>
      </c>
      <c r="AP876" s="1" t="str">
        <f ca="1">IF(AND(A876&lt;=OP!$C$120,COUNTIF(PAY,C876)=1),1,"")</f>
        <v/>
      </c>
      <c r="AR876" s="301">
        <f ca="1">IF(繳費報酬率資料!$A$1=1,$AY876+$AZ876,$BF876+$BG876)</f>
        <v>0</v>
      </c>
      <c r="AS876" s="1">
        <f ca="1">IF(C876&lt;&gt;IF($C$3=1,12,$C$3-1),0,IF(繳費報酬率資料!$A$1&lt;&gt;1,VLOOKUP($A876,MP,8,0),IF(AND($A876&gt;=OP!$C$79,$A876&lt;=OP!$C$80),OP!$C$78,)))</f>
        <v>0</v>
      </c>
      <c r="AT876" s="298">
        <f t="shared" ca="1" si="493"/>
        <v>0</v>
      </c>
      <c r="AU876" s="298">
        <f ca="1">IF(AND(A876&lt;=OP!$C$120,COUNTIF(PAY,C876)=1),OP!$C$123,0)</f>
        <v>0</v>
      </c>
      <c r="AV876" s="298">
        <f ca="1">IF(AND(A876&gt;=OP!$C$132,A876&lt;=OP!$C$133,$C$3=C876),OP!$C$135,0)</f>
        <v>0</v>
      </c>
      <c r="AW876" s="180">
        <f t="shared" ca="1" si="494"/>
        <v>0.05</v>
      </c>
      <c r="AX876" s="180">
        <f t="shared" ca="1" si="495"/>
        <v>0.05</v>
      </c>
      <c r="AY876" s="286">
        <f t="shared" ca="1" si="496"/>
        <v>0</v>
      </c>
      <c r="AZ876" s="286">
        <f t="shared" ca="1" si="497"/>
        <v>0</v>
      </c>
      <c r="BA876" s="286">
        <f t="shared" ca="1" si="498"/>
        <v>0</v>
      </c>
      <c r="BB876" s="286">
        <f t="shared" ca="1" si="499"/>
        <v>0</v>
      </c>
      <c r="BC876" s="286">
        <f t="shared" ca="1" si="500"/>
        <v>0</v>
      </c>
      <c r="BD876" s="180">
        <f t="shared" ca="1" si="501"/>
        <v>0.05</v>
      </c>
      <c r="BE876" s="180">
        <f t="shared" ca="1" si="502"/>
        <v>0.05</v>
      </c>
      <c r="BF876" s="286">
        <f t="shared" ca="1" si="503"/>
        <v>0</v>
      </c>
      <c r="BG876" s="286">
        <f t="shared" ca="1" si="504"/>
        <v>0</v>
      </c>
    </row>
    <row r="877" spans="1:59">
      <c r="A877" s="1">
        <f t="shared" ca="1" si="484"/>
        <v>73</v>
      </c>
      <c r="B877" s="1">
        <f t="shared" ca="1" si="477"/>
        <v>179</v>
      </c>
      <c r="C877" s="1">
        <f t="shared" ca="1" si="478"/>
        <v>3</v>
      </c>
      <c r="D877" s="1">
        <f ca="1">MIN($D$3,VLOOKUP(C877,OP!$S$30:$T$41,2))</f>
        <v>2</v>
      </c>
      <c r="E877" s="1" t="str">
        <f t="shared" ca="1" si="479"/>
        <v/>
      </c>
      <c r="F877" s="11" t="str">
        <f t="shared" ca="1" si="485"/>
        <v/>
      </c>
      <c r="G877" s="8">
        <f t="shared" ca="1" si="510"/>
        <v>365</v>
      </c>
      <c r="H877" s="8">
        <f t="shared" ca="1" si="486"/>
        <v>31</v>
      </c>
      <c r="I877" s="8" t="str">
        <f t="shared" ca="1" si="483"/>
        <v>733</v>
      </c>
      <c r="J877" s="13">
        <f>IF(繳費報酬率資料!$A$1=1,VALUE(OP!$C$121),VLOOKUP(A877,MP,2,0))</f>
        <v>0.05</v>
      </c>
      <c r="K877" s="14">
        <f ca="1">IF(SUM($K$4:K876,IF(繳費報酬率資料!$A$1=1,$AU877+$AV877,$BB877+$BC877))&gt;OP!$L$58,0,IF(繳費報酬率資料!$A$1=1,$AU877+$AV877,$BB877+$BC877))</f>
        <v>0</v>
      </c>
      <c r="L877" s="2"/>
      <c r="M877" s="2"/>
      <c r="N877" s="2"/>
      <c r="O877" s="261">
        <f t="shared" ca="1" si="487"/>
        <v>0</v>
      </c>
      <c r="P877" s="261">
        <f t="shared" ca="1" si="505"/>
        <v>0</v>
      </c>
      <c r="Q877" s="3">
        <f ca="1">IF(A877&gt;MAX(OP!$R$17:$R$26),0,VLOOKUP(A877,fees,3,FALSE))</f>
        <v>0</v>
      </c>
      <c r="R877" s="200" t="str">
        <f t="shared" ca="1" si="488"/>
        <v/>
      </c>
      <c r="S877" s="9" t="str">
        <f ca="1">IF(COUNTIF(($T$4:T876),"F")&gt;=1,"",IF(OR(C878&lt;&gt;$C$3,E877=""),"",A877))</f>
        <v/>
      </c>
      <c r="T877" s="20" t="str">
        <f t="shared" ca="1" si="480"/>
        <v/>
      </c>
      <c r="U877" s="2">
        <f ca="1">IF(IF(OP!$C$83=1,$Z876,IF(OP!$C$83=2,$AA876,IF(OP!$C$83=3,$AB876,)))+$K877-$O877-$P877-$AS877&lt;OP!$C$142,0,$AS877)</f>
        <v>0</v>
      </c>
      <c r="V877" s="9"/>
      <c r="W877" s="19">
        <f ca="1">MAX(SUM($K$4:K877),0)</f>
        <v>2000000</v>
      </c>
      <c r="X877" s="19"/>
      <c r="Y877" s="19">
        <f t="shared" ca="1" si="506"/>
        <v>1920000</v>
      </c>
      <c r="Z877" s="2">
        <f ca="1">IF(MIN($Z$4:Z876)=0,0,MAX(0,($Z876+$K877-$O877-$P877)*IF(AND(F877="F",$D$3&lt;&gt;$G$3),((1+(-J877))^(H877/MIN(G877,365))),((1+(-J877))^(1/12)))-$U877))</f>
        <v>45797.012380635075</v>
      </c>
      <c r="AA877" s="2">
        <f ca="1">IF(MIN($AA$4:AA876)=0,0,MAX(0,($AA876+$K877-$O877-$P877)*IF(AND(F877="F",$D$3&lt;&gt;$G$3),((1+$AA$1)^(H877/MIN(G877,365))),((1+$AA$1)^(1/12)))-$U877))</f>
        <v>1920000</v>
      </c>
      <c r="AB877" s="2">
        <f ca="1">IF(MIN($AB$4:AB876)=0,0,MAX(0,($AB876+$K877-$O877-$P877)*IF(AND(F877="F",$D$3&lt;&gt;$G$3),((1+(J877))^(H877/MIN(G877,365))),((1+(J877))^(1/12)))-$U877))</f>
        <v>67079298.308300599</v>
      </c>
      <c r="AC877" s="5"/>
      <c r="AD877" s="5"/>
      <c r="AE877" s="5"/>
      <c r="AF877" s="282">
        <f t="shared" ca="1" si="489"/>
        <v>45797</v>
      </c>
      <c r="AG877" s="282">
        <f t="shared" ca="1" si="490"/>
        <v>1920000</v>
      </c>
      <c r="AH877" s="282">
        <f t="shared" ca="1" si="491"/>
        <v>67079298</v>
      </c>
      <c r="AI877" s="23" t="str">
        <f t="shared" ca="1" si="507"/>
        <v>73-11</v>
      </c>
      <c r="AJ877" s="282">
        <f ca="1">IF(E877&gt;111,,IF(AND(OP!$C$99=1,T877="F"),Z877,IF(AND(OP!$C$99=2,COUNTIF($T$4:T877,"F")=1),OP!$C$97+IF(F877="F",OP!$C$98,0),"")))</f>
        <v>0</v>
      </c>
      <c r="AK877" s="282">
        <f ca="1">IF(E877&gt;111,,IF(AND(OP!$D$99=1,T877="F"),AA877,IF(AND(OP!$D$99=2,COUNTIF($T$4:T877,"F")=1),OP!$D$97+IF(F877="F",OP!$D$98,0),"")))</f>
        <v>0</v>
      </c>
      <c r="AL877" s="282">
        <f ca="1">IF(E877&gt;111,,IF(AND(OP!$E$99=1,T877="F"),AB877,IF(AND(OP!$E$99=2,COUNTIF($T$4:T877,"F")=1),OP!$E$97+IF(F877="F",OP!$E$98,0),"")))</f>
        <v>0</v>
      </c>
      <c r="AM877" s="1">
        <f t="shared" ca="1" si="481"/>
        <v>11</v>
      </c>
      <c r="AN877" s="1" t="e">
        <f ca="1">IF(OR(VLOOKUP($A877,MP,5,0)="季繳",VLOOKUP($A877,MP,5,0)="月繳"),1,"")</f>
        <v>#N/A</v>
      </c>
      <c r="AO877" s="1">
        <f t="shared" ca="1" si="492"/>
        <v>0</v>
      </c>
      <c r="AP877" s="1" t="str">
        <f ca="1">IF(AND(A877&lt;=OP!$C$120,COUNTIF(PAY,C877)=1),1,"")</f>
        <v/>
      </c>
      <c r="AR877" s="301">
        <f ca="1">IF(繳費報酬率資料!$A$1=1,$AY877+$AZ877,$BF877+$BG877)</f>
        <v>0</v>
      </c>
      <c r="AS877" s="1">
        <f ca="1">IF(C877&lt;&gt;IF($C$3=1,12,$C$3-1),0,IF(繳費報酬率資料!$A$1&lt;&gt;1,VLOOKUP($A877,MP,8,0),IF(AND($A877&gt;=OP!$C$79,$A877&lt;=OP!$C$80),OP!$C$78,)))</f>
        <v>0</v>
      </c>
      <c r="AT877" s="298">
        <f t="shared" ca="1" si="493"/>
        <v>0</v>
      </c>
      <c r="AU877" s="298">
        <f ca="1">IF(AND(A877&lt;=OP!$C$120,COUNTIF(PAY,C877)=1),OP!$C$123,0)</f>
        <v>0</v>
      </c>
      <c r="AV877" s="298">
        <f ca="1">IF(AND(A877&gt;=OP!$C$132,A877&lt;=OP!$C$133,$C$3=C877),OP!$C$135,0)</f>
        <v>0</v>
      </c>
      <c r="AW877" s="180">
        <f t="shared" ca="1" si="494"/>
        <v>0.05</v>
      </c>
      <c r="AX877" s="180">
        <f t="shared" ca="1" si="495"/>
        <v>0.05</v>
      </c>
      <c r="AY877" s="286">
        <f t="shared" ca="1" si="496"/>
        <v>0</v>
      </c>
      <c r="AZ877" s="286">
        <f t="shared" ca="1" si="497"/>
        <v>0</v>
      </c>
      <c r="BA877" s="286">
        <f t="shared" ca="1" si="498"/>
        <v>0</v>
      </c>
      <c r="BB877" s="286">
        <f t="shared" ca="1" si="499"/>
        <v>0</v>
      </c>
      <c r="BC877" s="286">
        <f t="shared" ca="1" si="500"/>
        <v>0</v>
      </c>
      <c r="BD877" s="180">
        <f t="shared" ca="1" si="501"/>
        <v>0.05</v>
      </c>
      <c r="BE877" s="180">
        <f t="shared" ca="1" si="502"/>
        <v>0.05</v>
      </c>
      <c r="BF877" s="286">
        <f t="shared" ca="1" si="503"/>
        <v>0</v>
      </c>
      <c r="BG877" s="286">
        <f t="shared" ca="1" si="504"/>
        <v>0</v>
      </c>
    </row>
    <row r="878" spans="1:59">
      <c r="A878" s="1">
        <f t="shared" ca="1" si="484"/>
        <v>73</v>
      </c>
      <c r="B878" s="1">
        <f t="shared" ca="1" si="477"/>
        <v>179</v>
      </c>
      <c r="C878" s="1">
        <f t="shared" ca="1" si="478"/>
        <v>4</v>
      </c>
      <c r="D878" s="1">
        <f ca="1">MIN($D$3,VLOOKUP(C878,OP!$S$30:$T$41,2))</f>
        <v>2</v>
      </c>
      <c r="E878" s="1" t="str">
        <f t="shared" ca="1" si="479"/>
        <v/>
      </c>
      <c r="F878" s="11" t="str">
        <f t="shared" ca="1" si="485"/>
        <v/>
      </c>
      <c r="G878" s="8">
        <f t="shared" ca="1" si="510"/>
        <v>365</v>
      </c>
      <c r="H878" s="8">
        <f t="shared" ca="1" si="486"/>
        <v>30</v>
      </c>
      <c r="I878" s="8" t="str">
        <f t="shared" ca="1" si="483"/>
        <v>734</v>
      </c>
      <c r="J878" s="13">
        <f>IF(繳費報酬率資料!$A$1=1,VALUE(OP!$C$121),VLOOKUP(A878,MP,2,0))</f>
        <v>0.05</v>
      </c>
      <c r="K878" s="14">
        <f ca="1">IF(SUM($K$4:K877,IF(繳費報酬率資料!$A$1=1,$AU878+$AV878,$BB878+$BC878))&gt;OP!$L$58,0,IF(繳費報酬率資料!$A$1=1,$AU878+$AV878,$BB878+$BC878))</f>
        <v>0</v>
      </c>
      <c r="L878" s="2"/>
      <c r="M878" s="2"/>
      <c r="N878" s="2"/>
      <c r="O878" s="261">
        <f t="shared" ca="1" si="487"/>
        <v>0</v>
      </c>
      <c r="P878" s="261">
        <f t="shared" ca="1" si="505"/>
        <v>0</v>
      </c>
      <c r="Q878" s="3">
        <f ca="1">IF(A878&gt;MAX(OP!$R$17:$R$26),0,VLOOKUP(A878,fees,3,FALSE))</f>
        <v>0</v>
      </c>
      <c r="R878" s="200" t="str">
        <f t="shared" ca="1" si="488"/>
        <v/>
      </c>
      <c r="S878" s="9" t="str">
        <f ca="1">IF(COUNTIF(($T$4:T877),"F")&gt;=1,"",IF(OR(C879&lt;&gt;$C$3,E878=""),"",A878))</f>
        <v/>
      </c>
      <c r="T878" s="20" t="str">
        <f t="shared" ca="1" si="480"/>
        <v/>
      </c>
      <c r="U878" s="2">
        <f ca="1">IF(IF(OP!$C$83=1,$Z877,IF(OP!$C$83=2,$AA877,IF(OP!$C$83=3,$AB877,)))+$K878-$O878-$P878-$AS878&lt;OP!$C$142,0,$AS878)</f>
        <v>0</v>
      </c>
      <c r="V878" s="9"/>
      <c r="W878" s="19">
        <f ca="1">MAX(SUM($K$4:K878),0)</f>
        <v>2000000</v>
      </c>
      <c r="X878" s="19"/>
      <c r="Y878" s="19">
        <f t="shared" ca="1" si="506"/>
        <v>1920000</v>
      </c>
      <c r="Z878" s="2">
        <f ca="1">IF(MIN($Z$4:Z877)=0,0,MAX(0,($Z877+$K878-$O878-$P878)*IF(AND(F878="F",$D$3&lt;&gt;$G$3),((1+(-J878))^(H878/MIN(G878,365))),((1+(-J878))^(1/12)))-$U878))</f>
        <v>45601.673523771773</v>
      </c>
      <c r="AA878" s="2">
        <f ca="1">IF(MIN($AA$4:AA877)=0,0,MAX(0,($AA877+$K878-$O878-$P878)*IF(AND(F878="F",$D$3&lt;&gt;$G$3),((1+$AA$1)^(H878/MIN(G878,365))),((1+$AA$1)^(1/12)))-$U878))</f>
        <v>1920000</v>
      </c>
      <c r="AB878" s="2">
        <f ca="1">IF(MIN($AB$4:AB877)=0,0,MAX(0,($AB877+$K878-$O878-$P878)*IF(AND(F878="F",$D$3&lt;&gt;$G$3),((1+(J878))^(H878/MIN(G878,365))),((1+(J878))^(1/12)))-$U878))</f>
        <v>67352587.672928885</v>
      </c>
      <c r="AC878" s="5"/>
      <c r="AD878" s="5"/>
      <c r="AE878" s="5"/>
      <c r="AF878" s="282">
        <f t="shared" ca="1" si="489"/>
        <v>45602</v>
      </c>
      <c r="AG878" s="282">
        <f t="shared" ca="1" si="490"/>
        <v>1920000</v>
      </c>
      <c r="AH878" s="282">
        <f t="shared" ca="1" si="491"/>
        <v>67352588</v>
      </c>
      <c r="AI878" s="23" t="str">
        <f t="shared" ca="1" si="507"/>
        <v>73-12</v>
      </c>
      <c r="AJ878" s="282">
        <f ca="1">IF(E878&gt;111,,IF(AND(OP!$C$99=1,T878="F"),Z878,IF(AND(OP!$C$99=2,COUNTIF($T$4:T878,"F")=1),OP!$C$97+IF(F878="F",OP!$C$98,0),"")))</f>
        <v>0</v>
      </c>
      <c r="AK878" s="282">
        <f ca="1">IF(E878&gt;111,,IF(AND(OP!$D$99=1,T878="F"),AA878,IF(AND(OP!$D$99=2,COUNTIF($T$4:T878,"F")=1),OP!$D$97+IF(F878="F",OP!$D$98,0),"")))</f>
        <v>0</v>
      </c>
      <c r="AL878" s="282">
        <f ca="1">IF(E878&gt;111,,IF(AND(OP!$E$99=1,T878="F"),AB878,IF(AND(OP!$E$99=2,COUNTIF($T$4:T878,"F")=1),OP!$E$97+IF(F878="F",OP!$E$98,0),"")))</f>
        <v>0</v>
      </c>
      <c r="AM878" s="1">
        <f t="shared" ca="1" si="481"/>
        <v>12</v>
      </c>
      <c r="AN878" s="1" t="e">
        <f ca="1">IF(OR(VLOOKUP($A878,MP,5,0)="月繳"),1,"")</f>
        <v>#N/A</v>
      </c>
      <c r="AO878" s="1">
        <f t="shared" ca="1" si="492"/>
        <v>0</v>
      </c>
      <c r="AP878" s="1" t="str">
        <f ca="1">IF(AND(A878&lt;=OP!$C$120,COUNTIF(PAY,C878)=1),1,"")</f>
        <v/>
      </c>
      <c r="AR878" s="301">
        <f ca="1">IF(繳費報酬率資料!$A$1=1,$AY878+$AZ878,$BF878+$BG878)</f>
        <v>0</v>
      </c>
      <c r="AS878" s="1">
        <f ca="1">IF(C878&lt;&gt;IF($C$3=1,12,$C$3-1),0,IF(繳費報酬率資料!$A$1&lt;&gt;1,VLOOKUP($A878,MP,8,0),IF(AND($A878&gt;=OP!$C$79,$A878&lt;=OP!$C$80),OP!$C$78,)))</f>
        <v>0</v>
      </c>
      <c r="AT878" s="298">
        <f t="shared" ca="1" si="493"/>
        <v>0</v>
      </c>
      <c r="AU878" s="298">
        <f ca="1">IF(AND(A878&lt;=OP!$C$120,COUNTIF(PAY,C878)=1),OP!$C$123,0)</f>
        <v>0</v>
      </c>
      <c r="AV878" s="298">
        <f ca="1">IF(AND(A878&gt;=OP!$C$132,A878&lt;=OP!$C$133,$C$3=C878),OP!$C$135,0)</f>
        <v>0</v>
      </c>
      <c r="AW878" s="180">
        <f t="shared" ca="1" si="494"/>
        <v>0.05</v>
      </c>
      <c r="AX878" s="180">
        <f t="shared" ca="1" si="495"/>
        <v>0.05</v>
      </c>
      <c r="AY878" s="286">
        <f t="shared" ca="1" si="496"/>
        <v>0</v>
      </c>
      <c r="AZ878" s="286">
        <f t="shared" ca="1" si="497"/>
        <v>0</v>
      </c>
      <c r="BA878" s="286">
        <f t="shared" ca="1" si="498"/>
        <v>0</v>
      </c>
      <c r="BB878" s="286">
        <f t="shared" ca="1" si="499"/>
        <v>0</v>
      </c>
      <c r="BC878" s="286">
        <f t="shared" ca="1" si="500"/>
        <v>0</v>
      </c>
      <c r="BD878" s="180">
        <f t="shared" ca="1" si="501"/>
        <v>0.05</v>
      </c>
      <c r="BE878" s="180">
        <f t="shared" ca="1" si="502"/>
        <v>0.05</v>
      </c>
      <c r="BF878" s="286">
        <f t="shared" ca="1" si="503"/>
        <v>0</v>
      </c>
      <c r="BG878" s="286">
        <f t="shared" ca="1" si="504"/>
        <v>0</v>
      </c>
    </row>
    <row r="879" spans="1:59">
      <c r="A879" s="1">
        <f t="shared" ca="1" si="484"/>
        <v>73</v>
      </c>
      <c r="B879" s="1">
        <f t="shared" ca="1" si="477"/>
        <v>179</v>
      </c>
      <c r="C879" s="1">
        <f t="shared" ca="1" si="478"/>
        <v>5</v>
      </c>
      <c r="D879" s="1">
        <f ca="1">MIN($D$3,VLOOKUP(C879,OP!$S$30:$T$41,2))</f>
        <v>2</v>
      </c>
      <c r="E879" s="1" t="str">
        <f t="shared" ca="1" si="479"/>
        <v/>
      </c>
      <c r="F879" s="11" t="str">
        <f t="shared" ca="1" si="485"/>
        <v/>
      </c>
      <c r="G879" s="8">
        <f t="shared" ca="1" si="510"/>
        <v>365</v>
      </c>
      <c r="H879" s="8">
        <f t="shared" ca="1" si="486"/>
        <v>31</v>
      </c>
      <c r="I879" s="8" t="str">
        <f t="shared" ca="1" si="483"/>
        <v>735</v>
      </c>
      <c r="J879" s="13">
        <f>IF(繳費報酬率資料!$A$1=1,VALUE(OP!$C$121),VLOOKUP(A879,MP,2,0))</f>
        <v>0.05</v>
      </c>
      <c r="K879" s="14">
        <f ca="1">IF(SUM($K$4:K878,IF(繳費報酬率資料!$A$1=1,$AU879+$AV879,$BB879+$BC879))&gt;OP!$L$58,0,IF(繳費報酬率資料!$A$1=1,$AU879+$AV879,$BB879+$BC879))</f>
        <v>0</v>
      </c>
      <c r="L879" s="2">
        <f ca="1">ROUND(IF(OP!$C$78&lt;(IF(OR($T879="F",$E879&gt;=111),0,Z878+$K879-$O879+IF($C$1=1,OP!$C$78,IF($C880=$C$3,SUM(AC868:AC879,0)))))*5%,0,(OP!$C$78-((IF(OR($T879="F",$E879&gt;=111),0,Z878+$K879-$O879+IF($C$1=1,AC879,IF($C880=$C$3,SUM(AC868:AC879,0)))))*5%))*$Q879),0)</f>
        <v>0</v>
      </c>
      <c r="M879" s="2">
        <f ca="1">ROUND(IF(OP!$C$78&lt;(IF(OR($T879="F",$E879&gt;=111),0,AA878+$K879-$O879+IF($C$1=1,AD879,IF($C880=$C$3,SUM(AD868:AD879,0)))))*5%,0,(OP!$C$78-((IF(OR($T879="F",$E879&gt;=111),0,AA878+$K879-$O879+IF($C$1=1,AD879,IF($C880=$C$3,SUM(AD868:AD879,0)))))*5%))*$Q879),0)</f>
        <v>0</v>
      </c>
      <c r="N879" s="2">
        <f ca="1">ROUND(IF(OP!$C$78&lt;(IF(OR($T879="F",$E879&gt;=111),0,AB878+$K879-$O879+IF($C$1=1,AE879,IF($C880=$C$3,SUM(AE868:AE879,0)))))*5%,0,(OP!$C$78-((IF(OR($T879="F",$E879&gt;=111),0,AB878+$K879-$O879+IF($C$1=1,AE879,IF($C880=$C$3,SUM(AE868:AE879,0)))))*5%))*$Q879),0)</f>
        <v>0</v>
      </c>
      <c r="O879" s="261">
        <f t="shared" ca="1" si="487"/>
        <v>0</v>
      </c>
      <c r="P879" s="261">
        <f t="shared" ca="1" si="505"/>
        <v>0</v>
      </c>
      <c r="Q879" s="3">
        <f ca="1">IF(A879&gt;MAX(OP!$R$17:$R$26),0,VLOOKUP(A879,fees,3,FALSE))</f>
        <v>0</v>
      </c>
      <c r="R879" s="200" t="str">
        <f t="shared" ca="1" si="488"/>
        <v/>
      </c>
      <c r="S879" s="9" t="str">
        <f ca="1">IF(COUNTIF(($T$4:T878),"F")&gt;=1,"",IF(OR(C880&lt;&gt;$C$3,E879=""),"",A879))</f>
        <v/>
      </c>
      <c r="T879" s="20" t="str">
        <f t="shared" ca="1" si="480"/>
        <v/>
      </c>
      <c r="U879" s="2">
        <f ca="1">IF(IF(OP!$C$83=1,$Z878,IF(OP!$C$83=2,$AA878,IF(OP!$C$83=3,$AB878,)))+$K879-$O879-$P879-$AS879&lt;OP!$C$142,0,$AS879)</f>
        <v>0</v>
      </c>
      <c r="V879" s="19">
        <f ca="1">SUM(K868:K879)</f>
        <v>0</v>
      </c>
      <c r="W879" s="19">
        <f ca="1">MAX(SUM($K$4:K879),0)</f>
        <v>2000000</v>
      </c>
      <c r="X879" s="19">
        <f ca="1">SUM(O868:P879)</f>
        <v>0</v>
      </c>
      <c r="Y879" s="19">
        <f t="shared" ca="1" si="506"/>
        <v>1920000</v>
      </c>
      <c r="Z879" s="2">
        <f ca="1">IF(MIN($Z$4:Z878)=0,0,MAX(0,($Z878+$K879-$O879-$P879)*IF(AND(F879="F",$D$3&lt;&gt;$G$3),((1+(-J879))^(H879/MIN(G879,365))),((1+(-J879))^(1/12)))-$U879))</f>
        <v>45407.167849402642</v>
      </c>
      <c r="AA879" s="2">
        <f ca="1">IF(MIN($AA$4:AA878)=0,0,MAX(0,($AA878+$K879-$O879-$P879)*IF(AND(F879="F",$D$3&lt;&gt;$G$3),((1+$AA$1)^(H879/MIN(G879,365))),((1+$AA$1)^(1/12)))-$U879))</f>
        <v>1920000</v>
      </c>
      <c r="AB879" s="2">
        <f ca="1">IF(MIN($AB$4:AB878)=0,0,MAX(0,($AB878+$K879-$O879-$P879)*IF(AND(F879="F",$D$3&lt;&gt;$G$3),((1+(J879))^(H879/MIN(G879,365))),((1+(J879))^(1/12)))-$U879))</f>
        <v>67626990.452257425</v>
      </c>
      <c r="AC879" s="5"/>
      <c r="AD879" s="5"/>
      <c r="AE879" s="5"/>
      <c r="AF879" s="282">
        <f t="shared" ca="1" si="489"/>
        <v>45407</v>
      </c>
      <c r="AG879" s="282">
        <f t="shared" ca="1" si="490"/>
        <v>1920000</v>
      </c>
      <c r="AH879" s="282">
        <f t="shared" ca="1" si="491"/>
        <v>67626990</v>
      </c>
      <c r="AI879" s="23" t="str">
        <f t="shared" ca="1" si="507"/>
        <v>74-1</v>
      </c>
      <c r="AJ879" s="282">
        <f ca="1">IF(E879&gt;111,,IF(AND(OP!$C$99=1,T879="F"),Z879,IF(AND(OP!$C$99=2,COUNTIF($T$4:T879,"F")=1),OP!$C$97+IF(F879="F",OP!$C$98,0),"")))</f>
        <v>0</v>
      </c>
      <c r="AK879" s="282">
        <f ca="1">IF(E879&gt;111,,IF(AND(OP!$D$99=1,T879="F"),AA879,IF(AND(OP!$D$99=2,COUNTIF($T$4:T879,"F")=1),OP!$D$97+IF(F879="F",OP!$D$98,0),"")))</f>
        <v>0</v>
      </c>
      <c r="AL879" s="282">
        <f ca="1">IF(E879&gt;111,,IF(AND(OP!$E$99=1,T879="F"),AB879,IF(AND(OP!$E$99=2,COUNTIF($T$4:T879,"F")=1),OP!$E$97+IF(F879="F",OP!$E$98,0),"")))</f>
        <v>0</v>
      </c>
      <c r="AM879" s="1">
        <f t="shared" ca="1" si="481"/>
        <v>1</v>
      </c>
      <c r="AN879" s="1" t="e">
        <f ca="1">IF(OR(VLOOKUP($A879,MP,5,0)="月繳"),1,"")</f>
        <v>#N/A</v>
      </c>
      <c r="AO879" s="1">
        <f t="shared" ca="1" si="492"/>
        <v>0</v>
      </c>
      <c r="AP879" s="1" t="str">
        <f ca="1">IF(AND(A879&lt;=OP!$C$120,COUNTIF(PAY,C879)=1),1,"")</f>
        <v/>
      </c>
      <c r="AR879" s="301">
        <f ca="1">IF(繳費報酬率資料!$A$1=1,$AY879+$AZ879,$BF879+$BG879)</f>
        <v>0</v>
      </c>
      <c r="AS879" s="1">
        <f ca="1">IF(C879&lt;&gt;IF($C$3=1,12,$C$3-1),0,IF(繳費報酬率資料!$A$1&lt;&gt;1,VLOOKUP($A879,MP,8,0),IF(AND($A879&gt;=OP!$C$79,$A879&lt;=OP!$C$80),OP!$C$78,)))</f>
        <v>0</v>
      </c>
      <c r="AT879" s="298">
        <f t="shared" ca="1" si="493"/>
        <v>0</v>
      </c>
      <c r="AU879" s="298">
        <f ca="1">IF(AND(A879&lt;=OP!$C$120,COUNTIF(PAY,C879)=1),OP!$C$123,0)</f>
        <v>0</v>
      </c>
      <c r="AV879" s="298">
        <f ca="1">IF(AND(A879&gt;=OP!$C$132,A879&lt;=OP!$C$133,$C$3=C879),OP!$C$135,0)</f>
        <v>0</v>
      </c>
      <c r="AW879" s="180">
        <f t="shared" ca="1" si="494"/>
        <v>0.05</v>
      </c>
      <c r="AX879" s="180">
        <f t="shared" ca="1" si="495"/>
        <v>0.05</v>
      </c>
      <c r="AY879" s="286">
        <f t="shared" ca="1" si="496"/>
        <v>0</v>
      </c>
      <c r="AZ879" s="286">
        <f t="shared" ca="1" si="497"/>
        <v>0</v>
      </c>
      <c r="BA879" s="286">
        <f t="shared" ca="1" si="498"/>
        <v>0</v>
      </c>
      <c r="BB879" s="286">
        <f t="shared" ca="1" si="499"/>
        <v>0</v>
      </c>
      <c r="BC879" s="286">
        <f t="shared" ca="1" si="500"/>
        <v>0</v>
      </c>
      <c r="BD879" s="180">
        <f t="shared" ca="1" si="501"/>
        <v>0.05</v>
      </c>
      <c r="BE879" s="180">
        <f t="shared" ca="1" si="502"/>
        <v>0.05</v>
      </c>
      <c r="BF879" s="286">
        <f t="shared" ca="1" si="503"/>
        <v>0</v>
      </c>
      <c r="BG879" s="286">
        <f t="shared" ca="1" si="504"/>
        <v>0</v>
      </c>
    </row>
    <row r="880" spans="1:59">
      <c r="A880" s="1">
        <f t="shared" ca="1" si="484"/>
        <v>74</v>
      </c>
      <c r="B880" s="1">
        <f t="shared" ca="1" si="477"/>
        <v>179</v>
      </c>
      <c r="C880" s="1">
        <f t="shared" ca="1" si="478"/>
        <v>6</v>
      </c>
      <c r="D880" s="1">
        <f ca="1">MIN($D$3,VLOOKUP(C880,OP!$S$30:$T$41,2))</f>
        <v>2</v>
      </c>
      <c r="E880" s="1" t="str">
        <f t="shared" ca="1" si="479"/>
        <v/>
      </c>
      <c r="F880" s="11" t="str">
        <f t="shared" ca="1" si="485"/>
        <v/>
      </c>
      <c r="G880" s="6">
        <f ca="1">DATEDIF(DATE(B880+1911,C880,D880),DATE(B892+1911,C892,D892),"d")</f>
        <v>365</v>
      </c>
      <c r="H880" s="8">
        <f t="shared" ca="1" si="486"/>
        <v>30</v>
      </c>
      <c r="I880" s="8" t="str">
        <f t="shared" ca="1" si="483"/>
        <v>746</v>
      </c>
      <c r="J880" s="13">
        <f>IF(繳費報酬率資料!$A$1=1,VALUE(OP!$C$121),VLOOKUP(A880,MP,2,0))</f>
        <v>0.05</v>
      </c>
      <c r="K880" s="14">
        <f ca="1">IF(SUM($K$4:K879,IF(繳費報酬率資料!$A$1=1,$AU880+$AV880,$BB880+$BC880))&gt;OP!$L$58,0,IF(繳費報酬率資料!$A$1=1,$AU880+$AV880,$BB880+$BC880))</f>
        <v>0</v>
      </c>
      <c r="L880" s="2"/>
      <c r="M880" s="2"/>
      <c r="N880" s="2"/>
      <c r="O880" s="261">
        <f t="shared" ca="1" si="487"/>
        <v>0</v>
      </c>
      <c r="P880" s="261">
        <f t="shared" ca="1" si="505"/>
        <v>0</v>
      </c>
      <c r="Q880" s="3">
        <f ca="1">IF(A880&gt;MAX(OP!$R$17:$R$26),0,VLOOKUP(A880,fees,3,FALSE))</f>
        <v>0</v>
      </c>
      <c r="R880" s="200" t="str">
        <f t="shared" ca="1" si="488"/>
        <v/>
      </c>
      <c r="S880" s="9" t="str">
        <f ca="1">IF(COUNTIF(($T$4:T879),"F")&gt;=1,"",IF(OR(C881&lt;&gt;$C$3,E880=""),"",A880))</f>
        <v/>
      </c>
      <c r="T880" s="20" t="str">
        <f t="shared" ca="1" si="480"/>
        <v/>
      </c>
      <c r="U880" s="2">
        <f ca="1">IF(IF(OP!$C$83=1,$Z879,IF(OP!$C$83=2,$AA879,IF(OP!$C$83=3,$AB879,)))+$K880-$O880-$P880-$AS880&lt;OP!$C$142,0,$AS880)</f>
        <v>0</v>
      </c>
      <c r="V880" s="9"/>
      <c r="W880" s="19">
        <f ca="1">MAX(SUM($K$4:K880),0)</f>
        <v>2000000</v>
      </c>
      <c r="X880" s="19"/>
      <c r="Y880" s="19">
        <f t="shared" ca="1" si="506"/>
        <v>1920000</v>
      </c>
      <c r="Z880" s="2">
        <f ca="1">IF(MIN($Z$4:Z879)=0,0,MAX(0,($Z879+$K880-$O880-$P880)*IF(AND(F880="F",$D$3&lt;&gt;$G$3),((1+(-J880))^(H880/MIN(G880,365))),((1+(-J880))^(1/12)))-$U880))</f>
        <v>45213.49180373874</v>
      </c>
      <c r="AA880" s="2">
        <f ca="1">IF(MIN($AA$4:AA879)=0,0,MAX(0,($AA879+$K880-$O880-$P880)*IF(AND(F880="F",$D$3&lt;&gt;$G$3),((1+$AA$1)^(H880/MIN(G880,365))),((1+$AA$1)^(1/12)))-$U880))</f>
        <v>1920000</v>
      </c>
      <c r="AB880" s="2">
        <f ca="1">IF(MIN($AB$4:AB879)=0,0,MAX(0,($AB879+$K880-$O880-$P880)*IF(AND(F880="F",$D$3&lt;&gt;$G$3),((1+(J880))^(H880/MIN(G880,365))),((1+(J880))^(1/12)))-$U880))</f>
        <v>67902511.182475522</v>
      </c>
      <c r="AC880" s="21"/>
      <c r="AD880" s="21"/>
      <c r="AE880" s="21"/>
      <c r="AF880" s="282">
        <f t="shared" ca="1" si="489"/>
        <v>45213</v>
      </c>
      <c r="AG880" s="282">
        <f t="shared" ca="1" si="490"/>
        <v>1920000</v>
      </c>
      <c r="AH880" s="282">
        <f t="shared" ca="1" si="491"/>
        <v>67902511</v>
      </c>
      <c r="AI880" s="23" t="str">
        <f t="shared" ca="1" si="507"/>
        <v>74-2</v>
      </c>
      <c r="AJ880" s="281">
        <f ca="1">IF(E880&gt;111,,IF(AND(OP!$C$99=1,T880="F"),Z880,IF(AND(OP!$C$99=2,COUNTIF($T$4:T880,"F")=1),OP!$C$97+IF(F880="F",OP!$C$98,0),"")))</f>
        <v>0</v>
      </c>
      <c r="AK880" s="281">
        <f ca="1">IF(E880&gt;111,,IF(AND(OP!$D$99=1,T880="F"),AA880,IF(AND(OP!$D$99=2,COUNTIF($T$4:T880,"F")=1),OP!$D$97+IF(F880="F",OP!$D$98,0),"")))</f>
        <v>0</v>
      </c>
      <c r="AL880" s="281">
        <f ca="1">IF(E880&gt;111,,IF(AND(OP!$E$99=1,T880="F"),AB880,IF(AND(OP!$E$99=2,COUNTIF($T$4:T880,"F")=1),OP!$E$97+IF(F880="F",OP!$E$98,0),"")))</f>
        <v>0</v>
      </c>
      <c r="AM880" s="1">
        <f t="shared" ca="1" si="481"/>
        <v>2</v>
      </c>
      <c r="AN880" s="1" t="e">
        <f ca="1">IF(OR(VLOOKUP($A880,MP,5,0)="年繳",VLOOKUP($A880,MP,5,0)="半年繳",VLOOKUP($A880,MP,5,0)="季繳",VLOOKUP($A880,MP,5,0)="月繳"),1,"")</f>
        <v>#N/A</v>
      </c>
      <c r="AO880" s="1">
        <f t="shared" ca="1" si="492"/>
        <v>0</v>
      </c>
      <c r="AP880" s="1" t="str">
        <f ca="1">IF(AND(A880&lt;=OP!$C$120,COUNTIF(PAY,C880)=1),1,"")</f>
        <v/>
      </c>
      <c r="AR880" s="301">
        <f ca="1">IF(繳費報酬率資料!$A$1=1,$AY880+$AZ880,$BF880+$BG880)</f>
        <v>0</v>
      </c>
      <c r="AS880" s="1">
        <f ca="1">IF(C880&lt;&gt;IF($C$3=1,12,$C$3-1),0,IF(繳費報酬率資料!$A$1&lt;&gt;1,VLOOKUP($A880,MP,8,0),IF(AND($A880&gt;=OP!$C$79,$A880&lt;=OP!$C$80),OP!$C$78,)))</f>
        <v>0</v>
      </c>
      <c r="AT880" s="298">
        <f t="shared" ca="1" si="493"/>
        <v>0</v>
      </c>
      <c r="AU880" s="298">
        <f ca="1">IF(AND(A880&lt;=OP!$C$120,COUNTIF(PAY,C880)=1),OP!$C$123,0)</f>
        <v>0</v>
      </c>
      <c r="AV880" s="298">
        <f ca="1">IF(AND(A880&gt;=OP!$C$132,A880&lt;=OP!$C$133,$C$3=C880),OP!$C$135,0)</f>
        <v>0</v>
      </c>
      <c r="AW880" s="180">
        <f t="shared" ca="1" si="494"/>
        <v>0.05</v>
      </c>
      <c r="AX880" s="180">
        <f t="shared" ca="1" si="495"/>
        <v>0.05</v>
      </c>
      <c r="AY880" s="286">
        <f t="shared" ca="1" si="496"/>
        <v>0</v>
      </c>
      <c r="AZ880" s="286">
        <f t="shared" ca="1" si="497"/>
        <v>0</v>
      </c>
      <c r="BA880" s="286">
        <f t="shared" ca="1" si="498"/>
        <v>0</v>
      </c>
      <c r="BB880" s="286">
        <f t="shared" ca="1" si="499"/>
        <v>0</v>
      </c>
      <c r="BC880" s="286">
        <f t="shared" ca="1" si="500"/>
        <v>0</v>
      </c>
      <c r="BD880" s="180">
        <f t="shared" ca="1" si="501"/>
        <v>0.05</v>
      </c>
      <c r="BE880" s="180">
        <f t="shared" ca="1" si="502"/>
        <v>0.05</v>
      </c>
      <c r="BF880" s="286">
        <f t="shared" ca="1" si="503"/>
        <v>0</v>
      </c>
      <c r="BG880" s="286">
        <f t="shared" ca="1" si="504"/>
        <v>0</v>
      </c>
    </row>
    <row r="881" spans="1:59">
      <c r="A881" s="1">
        <f t="shared" ca="1" si="484"/>
        <v>74</v>
      </c>
      <c r="B881" s="1">
        <f t="shared" ca="1" si="477"/>
        <v>179</v>
      </c>
      <c r="C881" s="1">
        <f t="shared" ca="1" si="478"/>
        <v>7</v>
      </c>
      <c r="D881" s="1">
        <f ca="1">MIN($D$3,VLOOKUP(C881,OP!$S$30:$T$41,2))</f>
        <v>2</v>
      </c>
      <c r="E881" s="1" t="str">
        <f t="shared" ca="1" si="479"/>
        <v/>
      </c>
      <c r="F881" s="11" t="str">
        <f t="shared" ca="1" si="485"/>
        <v/>
      </c>
      <c r="G881" s="8">
        <f t="shared" ref="G881:G891" ca="1" si="511">G880</f>
        <v>365</v>
      </c>
      <c r="H881" s="8">
        <f t="shared" ca="1" si="486"/>
        <v>31</v>
      </c>
      <c r="I881" s="8" t="str">
        <f t="shared" ca="1" si="483"/>
        <v>747</v>
      </c>
      <c r="J881" s="13">
        <f>IF(繳費報酬率資料!$A$1=1,VALUE(OP!$C$121),VLOOKUP(A881,MP,2,0))</f>
        <v>0.05</v>
      </c>
      <c r="K881" s="14">
        <f ca="1">IF(SUM($K$4:K880,IF(繳費報酬率資料!$A$1=1,$AU881+$AV881,$BB881+$BC881))&gt;OP!$L$58,0,IF(繳費報酬率資料!$A$1=1,$AU881+$AV881,$BB881+$BC881))</f>
        <v>0</v>
      </c>
      <c r="L881" s="2"/>
      <c r="M881" s="2"/>
      <c r="N881" s="2"/>
      <c r="O881" s="261">
        <f t="shared" ca="1" si="487"/>
        <v>0</v>
      </c>
      <c r="P881" s="261">
        <f t="shared" ca="1" si="505"/>
        <v>0</v>
      </c>
      <c r="Q881" s="3">
        <f ca="1">IF(A881&gt;MAX(OP!$R$17:$R$26),0,VLOOKUP(A881,fees,3,FALSE))</f>
        <v>0</v>
      </c>
      <c r="R881" s="200" t="str">
        <f t="shared" ca="1" si="488"/>
        <v/>
      </c>
      <c r="S881" s="9" t="str">
        <f ca="1">IF(COUNTIF(($T$4:T880),"F")&gt;=1,"",IF(OR(C882&lt;&gt;$C$3,E881=""),"",A881))</f>
        <v/>
      </c>
      <c r="T881" s="20" t="str">
        <f t="shared" ca="1" si="480"/>
        <v/>
      </c>
      <c r="U881" s="2">
        <f ca="1">IF(IF(OP!$C$83=1,$Z880,IF(OP!$C$83=2,$AA880,IF(OP!$C$83=3,$AB880,)))+$K881-$O881-$P881-$AS881&lt;OP!$C$142,0,$AS881)</f>
        <v>0</v>
      </c>
      <c r="V881" s="9"/>
      <c r="W881" s="19">
        <f ca="1">MAX(SUM($K$4:K881),0)</f>
        <v>2000000</v>
      </c>
      <c r="X881" s="19"/>
      <c r="Y881" s="19">
        <f t="shared" ca="1" si="506"/>
        <v>1920000</v>
      </c>
      <c r="Z881" s="2">
        <f ca="1">IF(MIN($Z$4:Z880)=0,0,MAX(0,($Z880+$K881-$O881-$P881)*IF(AND(F881="F",$D$3&lt;&gt;$G$3),((1+(-J881))^(H881/MIN(G881,365))),((1+(-J881))^(1/12)))-$U881))</f>
        <v>45020.641848149171</v>
      </c>
      <c r="AA881" s="2">
        <f ca="1">IF(MIN($AA$4:AA880)=0,0,MAX(0,($AA880+$K881-$O881-$P881)*IF(AND(F881="F",$D$3&lt;&gt;$G$3),((1+$AA$1)^(H881/MIN(G881,365))),((1+$AA$1)^(1/12)))-$U881))</f>
        <v>1920000</v>
      </c>
      <c r="AB881" s="2">
        <f ca="1">IF(MIN($AB$4:AB880)=0,0,MAX(0,($AB880+$K881-$O881-$P881)*IF(AND(F881="F",$D$3&lt;&gt;$G$3),((1+(J881))^(H881/MIN(G881,365))),((1+(J881))^(1/12)))-$U881))</f>
        <v>68179154.418253496</v>
      </c>
      <c r="AC881" s="5"/>
      <c r="AD881" s="5"/>
      <c r="AE881" s="5"/>
      <c r="AF881" s="282">
        <f t="shared" ca="1" si="489"/>
        <v>45021</v>
      </c>
      <c r="AG881" s="282">
        <f t="shared" ca="1" si="490"/>
        <v>1920000</v>
      </c>
      <c r="AH881" s="282">
        <f t="shared" ca="1" si="491"/>
        <v>68179154</v>
      </c>
      <c r="AI881" s="23" t="str">
        <f t="shared" ca="1" si="507"/>
        <v>74-3</v>
      </c>
      <c r="AJ881" s="282">
        <f ca="1">IF(E881&gt;111,,IF(AND(OP!$C$99=1,T881="F"),Z881,IF(AND(OP!$C$99=2,COUNTIF($T$4:T881,"F")=1),OP!$C$97+IF(F881="F",OP!$C$98,0),"")))</f>
        <v>0</v>
      </c>
      <c r="AK881" s="282">
        <f ca="1">IF(E881&gt;111,,IF(AND(OP!$D$99=1,T881="F"),AA881,IF(AND(OP!$D$99=2,COUNTIF($T$4:T881,"F")=1),OP!$D$97+IF(F881="F",OP!$D$98,0),"")))</f>
        <v>0</v>
      </c>
      <c r="AL881" s="282">
        <f ca="1">IF(E881&gt;111,,IF(AND(OP!$E$99=1,T881="F"),AB881,IF(AND(OP!$E$99=2,COUNTIF($T$4:T881,"F")=1),OP!$E$97+IF(F881="F",OP!$E$98,0),"")))</f>
        <v>0</v>
      </c>
      <c r="AM881" s="1">
        <f t="shared" ca="1" si="481"/>
        <v>3</v>
      </c>
      <c r="AN881" s="1" t="e">
        <f ca="1">IF(OR(VLOOKUP($A881,MP,5,0)="月繳"),1,"")</f>
        <v>#N/A</v>
      </c>
      <c r="AO881" s="1">
        <f t="shared" ca="1" si="492"/>
        <v>0</v>
      </c>
      <c r="AP881" s="1" t="str">
        <f ca="1">IF(AND(A881&lt;=OP!$C$120,COUNTIF(PAY,C881)=1),1,"")</f>
        <v/>
      </c>
      <c r="AR881" s="301">
        <f ca="1">IF(繳費報酬率資料!$A$1=1,$AY881+$AZ881,$BF881+$BG881)</f>
        <v>0</v>
      </c>
      <c r="AS881" s="1">
        <f ca="1">IF(C881&lt;&gt;IF($C$3=1,12,$C$3-1),0,IF(繳費報酬率資料!$A$1&lt;&gt;1,VLOOKUP($A881,MP,8,0),IF(AND($A881&gt;=OP!$C$79,$A881&lt;=OP!$C$80),OP!$C$78,)))</f>
        <v>0</v>
      </c>
      <c r="AT881" s="298">
        <f t="shared" ca="1" si="493"/>
        <v>0</v>
      </c>
      <c r="AU881" s="298">
        <f ca="1">IF(AND(A881&lt;=OP!$C$120,COUNTIF(PAY,C881)=1),OP!$C$123,0)</f>
        <v>0</v>
      </c>
      <c r="AV881" s="298">
        <f ca="1">IF(AND(A881&gt;=OP!$C$132,A881&lt;=OP!$C$133,$C$3=C881),OP!$C$135,0)</f>
        <v>0</v>
      </c>
      <c r="AW881" s="180">
        <f t="shared" ca="1" si="494"/>
        <v>0.05</v>
      </c>
      <c r="AX881" s="180">
        <f t="shared" ca="1" si="495"/>
        <v>0.05</v>
      </c>
      <c r="AY881" s="286">
        <f t="shared" ca="1" si="496"/>
        <v>0</v>
      </c>
      <c r="AZ881" s="286">
        <f t="shared" ca="1" si="497"/>
        <v>0</v>
      </c>
      <c r="BA881" s="286">
        <f t="shared" ca="1" si="498"/>
        <v>0</v>
      </c>
      <c r="BB881" s="286">
        <f t="shared" ca="1" si="499"/>
        <v>0</v>
      </c>
      <c r="BC881" s="286">
        <f t="shared" ca="1" si="500"/>
        <v>0</v>
      </c>
      <c r="BD881" s="180">
        <f t="shared" ca="1" si="501"/>
        <v>0.05</v>
      </c>
      <c r="BE881" s="180">
        <f t="shared" ca="1" si="502"/>
        <v>0.05</v>
      </c>
      <c r="BF881" s="286">
        <f t="shared" ca="1" si="503"/>
        <v>0</v>
      </c>
      <c r="BG881" s="286">
        <f t="shared" ca="1" si="504"/>
        <v>0</v>
      </c>
    </row>
    <row r="882" spans="1:59">
      <c r="A882" s="1">
        <f t="shared" ca="1" si="484"/>
        <v>74</v>
      </c>
      <c r="B882" s="1">
        <f t="shared" ca="1" si="477"/>
        <v>179</v>
      </c>
      <c r="C882" s="1">
        <f t="shared" ca="1" si="478"/>
        <v>8</v>
      </c>
      <c r="D882" s="1">
        <f ca="1">MIN($D$3,VLOOKUP(C882,OP!$S$30:$T$41,2))</f>
        <v>2</v>
      </c>
      <c r="E882" s="1" t="str">
        <f t="shared" ca="1" si="479"/>
        <v/>
      </c>
      <c r="F882" s="11" t="str">
        <f t="shared" ca="1" si="485"/>
        <v/>
      </c>
      <c r="G882" s="8">
        <f t="shared" ca="1" si="511"/>
        <v>365</v>
      </c>
      <c r="H882" s="8">
        <f t="shared" ca="1" si="486"/>
        <v>31</v>
      </c>
      <c r="I882" s="8" t="str">
        <f t="shared" ca="1" si="483"/>
        <v>748</v>
      </c>
      <c r="J882" s="13">
        <f>IF(繳費報酬率資料!$A$1=1,VALUE(OP!$C$121),VLOOKUP(A882,MP,2,0))</f>
        <v>0.05</v>
      </c>
      <c r="K882" s="14">
        <f ca="1">IF(SUM($K$4:K881,IF(繳費報酬率資料!$A$1=1,$AU882+$AV882,$BB882+$BC882))&gt;OP!$L$58,0,IF(繳費報酬率資料!$A$1=1,$AU882+$AV882,$BB882+$BC882))</f>
        <v>0</v>
      </c>
      <c r="L882" s="2"/>
      <c r="M882" s="2"/>
      <c r="N882" s="2"/>
      <c r="O882" s="261">
        <f t="shared" ca="1" si="487"/>
        <v>0</v>
      </c>
      <c r="P882" s="261">
        <f t="shared" ca="1" si="505"/>
        <v>0</v>
      </c>
      <c r="Q882" s="3">
        <f ca="1">IF(A882&gt;MAX(OP!$R$17:$R$26),0,VLOOKUP(A882,fees,3,FALSE))</f>
        <v>0</v>
      </c>
      <c r="R882" s="200" t="str">
        <f t="shared" ca="1" si="488"/>
        <v/>
      </c>
      <c r="S882" s="9" t="str">
        <f ca="1">IF(COUNTIF(($T$4:T881),"F")&gt;=1,"",IF(OR(C883&lt;&gt;$C$3,E882=""),"",A882))</f>
        <v/>
      </c>
      <c r="T882" s="20" t="str">
        <f t="shared" ca="1" si="480"/>
        <v/>
      </c>
      <c r="U882" s="2">
        <f ca="1">IF(IF(OP!$C$83=1,$Z881,IF(OP!$C$83=2,$AA881,IF(OP!$C$83=3,$AB881,)))+$K882-$O882-$P882-$AS882&lt;OP!$C$142,0,$AS882)</f>
        <v>0</v>
      </c>
      <c r="V882" s="9"/>
      <c r="W882" s="19">
        <f ca="1">MAX(SUM($K$4:K882),0)</f>
        <v>2000000</v>
      </c>
      <c r="X882" s="19"/>
      <c r="Y882" s="19">
        <f t="shared" ca="1" si="506"/>
        <v>1920000</v>
      </c>
      <c r="Z882" s="2">
        <f ca="1">IF(MIN($Z$4:Z881)=0,0,MAX(0,($Z881+$K882-$O882-$P882)*IF(AND(F882="F",$D$3&lt;&gt;$G$3),((1+(-J882))^(H882/MIN(G882,365))),((1+(-J882))^(1/12)))-$U882))</f>
        <v>44828.614459096425</v>
      </c>
      <c r="AA882" s="2">
        <f ca="1">IF(MIN($AA$4:AA881)=0,0,MAX(0,($AA881+$K882-$O882-$P882)*IF(AND(F882="F",$D$3&lt;&gt;$G$3),((1+$AA$1)^(H882/MIN(G882,365))),((1+$AA$1)^(1/12)))-$U882))</f>
        <v>1920000</v>
      </c>
      <c r="AB882" s="2">
        <f ca="1">IF(MIN($AB$4:AB881)=0,0,MAX(0,($AB881+$K882-$O882-$P882)*IF(AND(F882="F",$D$3&lt;&gt;$G$3),((1+(J882))^(H882/MIN(G882,365))),((1+(J882))^(1/12)))-$U882))</f>
        <v>68456924.732817933</v>
      </c>
      <c r="AC882" s="5"/>
      <c r="AD882" s="5"/>
      <c r="AE882" s="5"/>
      <c r="AF882" s="282">
        <f t="shared" ca="1" si="489"/>
        <v>44829</v>
      </c>
      <c r="AG882" s="282">
        <f t="shared" ca="1" si="490"/>
        <v>1920000</v>
      </c>
      <c r="AH882" s="282">
        <f t="shared" ca="1" si="491"/>
        <v>68456925</v>
      </c>
      <c r="AI882" s="23" t="str">
        <f t="shared" ca="1" si="507"/>
        <v>74-4</v>
      </c>
      <c r="AJ882" s="282">
        <f ca="1">IF(E882&gt;111,,IF(AND(OP!$C$99=1,T882="F"),Z882,IF(AND(OP!$C$99=2,COUNTIF($T$4:T882,"F")=1),OP!$C$97+IF(F882="F",OP!$C$98,0),"")))</f>
        <v>0</v>
      </c>
      <c r="AK882" s="282">
        <f ca="1">IF(E882&gt;111,,IF(AND(OP!$D$99=1,T882="F"),AA882,IF(AND(OP!$D$99=2,COUNTIF($T$4:T882,"F")=1),OP!$D$97+IF(F882="F",OP!$D$98,0),"")))</f>
        <v>0</v>
      </c>
      <c r="AL882" s="282">
        <f ca="1">IF(E882&gt;111,,IF(AND(OP!$E$99=1,T882="F"),AB882,IF(AND(OP!$E$99=2,COUNTIF($T$4:T882,"F")=1),OP!$E$97+IF(F882="F",OP!$E$98,0),"")))</f>
        <v>0</v>
      </c>
      <c r="AM882" s="1">
        <f t="shared" ca="1" si="481"/>
        <v>4</v>
      </c>
      <c r="AN882" s="1" t="e">
        <f ca="1">IF(OR(VLOOKUP($A882,MP,5,0)="月繳"),1,"")</f>
        <v>#N/A</v>
      </c>
      <c r="AO882" s="1">
        <f t="shared" ca="1" si="492"/>
        <v>0</v>
      </c>
      <c r="AP882" s="1" t="str">
        <f ca="1">IF(AND(A882&lt;=OP!$C$120,COUNTIF(PAY,C882)=1),1,"")</f>
        <v/>
      </c>
      <c r="AR882" s="301">
        <f ca="1">IF(繳費報酬率資料!$A$1=1,$AY882+$AZ882,$BF882+$BG882)</f>
        <v>0</v>
      </c>
      <c r="AS882" s="1">
        <f ca="1">IF(C882&lt;&gt;IF($C$3=1,12,$C$3-1),0,IF(繳費報酬率資料!$A$1&lt;&gt;1,VLOOKUP($A882,MP,8,0),IF(AND($A882&gt;=OP!$C$79,$A882&lt;=OP!$C$80),OP!$C$78,)))</f>
        <v>0</v>
      </c>
      <c r="AT882" s="298">
        <f t="shared" ca="1" si="493"/>
        <v>0</v>
      </c>
      <c r="AU882" s="298">
        <f ca="1">IF(AND(A882&lt;=OP!$C$120,COUNTIF(PAY,C882)=1),OP!$C$123,0)</f>
        <v>0</v>
      </c>
      <c r="AV882" s="298">
        <f ca="1">IF(AND(A882&gt;=OP!$C$132,A882&lt;=OP!$C$133,$C$3=C882),OP!$C$135,0)</f>
        <v>0</v>
      </c>
      <c r="AW882" s="180">
        <f t="shared" ca="1" si="494"/>
        <v>0.05</v>
      </c>
      <c r="AX882" s="180">
        <f t="shared" ca="1" si="495"/>
        <v>0.05</v>
      </c>
      <c r="AY882" s="286">
        <f t="shared" ca="1" si="496"/>
        <v>0</v>
      </c>
      <c r="AZ882" s="286">
        <f t="shared" ca="1" si="497"/>
        <v>0</v>
      </c>
      <c r="BA882" s="286">
        <f t="shared" ca="1" si="498"/>
        <v>0</v>
      </c>
      <c r="BB882" s="286">
        <f t="shared" ca="1" si="499"/>
        <v>0</v>
      </c>
      <c r="BC882" s="286">
        <f t="shared" ca="1" si="500"/>
        <v>0</v>
      </c>
      <c r="BD882" s="180">
        <f t="shared" ca="1" si="501"/>
        <v>0.05</v>
      </c>
      <c r="BE882" s="180">
        <f t="shared" ca="1" si="502"/>
        <v>0.05</v>
      </c>
      <c r="BF882" s="286">
        <f t="shared" ca="1" si="503"/>
        <v>0</v>
      </c>
      <c r="BG882" s="286">
        <f t="shared" ca="1" si="504"/>
        <v>0</v>
      </c>
    </row>
    <row r="883" spans="1:59">
      <c r="A883" s="1">
        <f t="shared" ca="1" si="484"/>
        <v>74</v>
      </c>
      <c r="B883" s="1">
        <f t="shared" ca="1" si="477"/>
        <v>179</v>
      </c>
      <c r="C883" s="1">
        <f t="shared" ca="1" si="478"/>
        <v>9</v>
      </c>
      <c r="D883" s="1">
        <f ca="1">MIN($D$3,VLOOKUP(C883,OP!$S$30:$T$41,2))</f>
        <v>2</v>
      </c>
      <c r="E883" s="1" t="str">
        <f t="shared" ca="1" si="479"/>
        <v/>
      </c>
      <c r="F883" s="11" t="str">
        <f t="shared" ca="1" si="485"/>
        <v/>
      </c>
      <c r="G883" s="8">
        <f t="shared" ca="1" si="511"/>
        <v>365</v>
      </c>
      <c r="H883" s="8">
        <f t="shared" ca="1" si="486"/>
        <v>30</v>
      </c>
      <c r="I883" s="8" t="str">
        <f t="shared" ca="1" si="483"/>
        <v>749</v>
      </c>
      <c r="J883" s="13">
        <f>IF(繳費報酬率資料!$A$1=1,VALUE(OP!$C$121),VLOOKUP(A883,MP,2,0))</f>
        <v>0.05</v>
      </c>
      <c r="K883" s="14">
        <f ca="1">IF(SUM($K$4:K882,IF(繳費報酬率資料!$A$1=1,$AU883+$AV883,$BB883+$BC883))&gt;OP!$L$58,0,IF(繳費報酬率資料!$A$1=1,$AU883+$AV883,$BB883+$BC883))</f>
        <v>0</v>
      </c>
      <c r="L883" s="2"/>
      <c r="M883" s="2"/>
      <c r="N883" s="2"/>
      <c r="O883" s="261">
        <f t="shared" ca="1" si="487"/>
        <v>0</v>
      </c>
      <c r="P883" s="261">
        <f t="shared" ca="1" si="505"/>
        <v>0</v>
      </c>
      <c r="Q883" s="3">
        <f ca="1">IF(A883&gt;MAX(OP!$R$17:$R$26),0,VLOOKUP(A883,fees,3,FALSE))</f>
        <v>0</v>
      </c>
      <c r="R883" s="200" t="str">
        <f t="shared" ca="1" si="488"/>
        <v/>
      </c>
      <c r="S883" s="9" t="str">
        <f ca="1">IF(COUNTIF(($T$4:T882),"F")&gt;=1,"",IF(OR(C884&lt;&gt;$C$3,E883=""),"",A883))</f>
        <v/>
      </c>
      <c r="T883" s="20" t="str">
        <f t="shared" ca="1" si="480"/>
        <v/>
      </c>
      <c r="U883" s="2">
        <f ca="1">IF(IF(OP!$C$83=1,$Z882,IF(OP!$C$83=2,$AA882,IF(OP!$C$83=3,$AB882,)))+$K883-$O883-$P883-$AS883&lt;OP!$C$142,0,$AS883)</f>
        <v>0</v>
      </c>
      <c r="V883" s="9"/>
      <c r="W883" s="19">
        <f ca="1">MAX(SUM($K$4:K883),0)</f>
        <v>2000000</v>
      </c>
      <c r="X883" s="19"/>
      <c r="Y883" s="19">
        <f t="shared" ca="1" si="506"/>
        <v>1920000</v>
      </c>
      <c r="Z883" s="2">
        <f ca="1">IF(MIN($Z$4:Z882)=0,0,MAX(0,($Z882+$K883-$O883-$P883)*IF(AND(F883="F",$D$3&lt;&gt;$G$3),((1+(-J883))^(H883/MIN(G883,365))),((1+(-J883))^(1/12)))-$U883))</f>
        <v>44637.406128072013</v>
      </c>
      <c r="AA883" s="2">
        <f ca="1">IF(MIN($AA$4:AA882)=0,0,MAX(0,($AA882+$K883-$O883-$P883)*IF(AND(F883="F",$D$3&lt;&gt;$G$3),((1+$AA$1)^(H883/MIN(G883,365))),((1+$AA$1)^(1/12)))-$U883))</f>
        <v>1920000</v>
      </c>
      <c r="AB883" s="2">
        <f ca="1">IF(MIN($AB$4:AB882)=0,0,MAX(0,($AB882+$K883-$O883-$P883)*IF(AND(F883="F",$D$3&lt;&gt;$G$3),((1+(J883))^(H883/MIN(G883,365))),((1+(J883))^(1/12)))-$U883))</f>
        <v>68735826.718027338</v>
      </c>
      <c r="AC883" s="5"/>
      <c r="AD883" s="5"/>
      <c r="AE883" s="5"/>
      <c r="AF883" s="282">
        <f t="shared" ca="1" si="489"/>
        <v>44637</v>
      </c>
      <c r="AG883" s="282">
        <f t="shared" ca="1" si="490"/>
        <v>1920000</v>
      </c>
      <c r="AH883" s="282">
        <f t="shared" ca="1" si="491"/>
        <v>68735827</v>
      </c>
      <c r="AI883" s="23" t="str">
        <f t="shared" ca="1" si="507"/>
        <v>74-5</v>
      </c>
      <c r="AJ883" s="282">
        <f ca="1">IF(E883&gt;111,,IF(AND(OP!$C$99=1,T883="F"),Z883,IF(AND(OP!$C$99=2,COUNTIF($T$4:T883,"F")=1),OP!$C$97+IF(F883="F",OP!$C$98,0),"")))</f>
        <v>0</v>
      </c>
      <c r="AK883" s="282">
        <f ca="1">IF(E883&gt;111,,IF(AND(OP!$D$99=1,T883="F"),AA883,IF(AND(OP!$D$99=2,COUNTIF($T$4:T883,"F")=1),OP!$D$97+IF(F883="F",OP!$D$98,0),"")))</f>
        <v>0</v>
      </c>
      <c r="AL883" s="282">
        <f ca="1">IF(E883&gt;111,,IF(AND(OP!$E$99=1,T883="F"),AB883,IF(AND(OP!$E$99=2,COUNTIF($T$4:T883,"F")=1),OP!$E$97+IF(F883="F",OP!$E$98,0),"")))</f>
        <v>0</v>
      </c>
      <c r="AM883" s="1">
        <f t="shared" ca="1" si="481"/>
        <v>5</v>
      </c>
      <c r="AN883" s="1" t="e">
        <f ca="1">IF(OR(VLOOKUP($A883,MP,5,0)="季繳",VLOOKUP($A883,MP,5,0)="月繳"),1,"")</f>
        <v>#N/A</v>
      </c>
      <c r="AO883" s="1">
        <f t="shared" ca="1" si="492"/>
        <v>0</v>
      </c>
      <c r="AP883" s="1" t="str">
        <f ca="1">IF(AND(A883&lt;=OP!$C$120,COUNTIF(PAY,C883)=1),1,"")</f>
        <v/>
      </c>
      <c r="AR883" s="301">
        <f ca="1">IF(繳費報酬率資料!$A$1=1,$AY883+$AZ883,$BF883+$BG883)</f>
        <v>0</v>
      </c>
      <c r="AS883" s="1">
        <f ca="1">IF(C883&lt;&gt;IF($C$3=1,12,$C$3-1),0,IF(繳費報酬率資料!$A$1&lt;&gt;1,VLOOKUP($A883,MP,8,0),IF(AND($A883&gt;=OP!$C$79,$A883&lt;=OP!$C$80),OP!$C$78,)))</f>
        <v>0</v>
      </c>
      <c r="AT883" s="298">
        <f t="shared" ca="1" si="493"/>
        <v>0</v>
      </c>
      <c r="AU883" s="298">
        <f ca="1">IF(AND(A883&lt;=OP!$C$120,COUNTIF(PAY,C883)=1),OP!$C$123,0)</f>
        <v>0</v>
      </c>
      <c r="AV883" s="298">
        <f ca="1">IF(AND(A883&gt;=OP!$C$132,A883&lt;=OP!$C$133,$C$3=C883),OP!$C$135,0)</f>
        <v>0</v>
      </c>
      <c r="AW883" s="180">
        <f t="shared" ca="1" si="494"/>
        <v>0.05</v>
      </c>
      <c r="AX883" s="180">
        <f t="shared" ca="1" si="495"/>
        <v>0.05</v>
      </c>
      <c r="AY883" s="286">
        <f t="shared" ca="1" si="496"/>
        <v>0</v>
      </c>
      <c r="AZ883" s="286">
        <f t="shared" ca="1" si="497"/>
        <v>0</v>
      </c>
      <c r="BA883" s="286">
        <f t="shared" ca="1" si="498"/>
        <v>0</v>
      </c>
      <c r="BB883" s="286">
        <f t="shared" ca="1" si="499"/>
        <v>0</v>
      </c>
      <c r="BC883" s="286">
        <f t="shared" ca="1" si="500"/>
        <v>0</v>
      </c>
      <c r="BD883" s="180">
        <f t="shared" ca="1" si="501"/>
        <v>0.05</v>
      </c>
      <c r="BE883" s="180">
        <f t="shared" ca="1" si="502"/>
        <v>0.05</v>
      </c>
      <c r="BF883" s="286">
        <f t="shared" ca="1" si="503"/>
        <v>0</v>
      </c>
      <c r="BG883" s="286">
        <f t="shared" ca="1" si="504"/>
        <v>0</v>
      </c>
    </row>
    <row r="884" spans="1:59">
      <c r="A884" s="1">
        <f t="shared" ca="1" si="484"/>
        <v>74</v>
      </c>
      <c r="B884" s="1">
        <f t="shared" ca="1" si="477"/>
        <v>179</v>
      </c>
      <c r="C884" s="1">
        <f t="shared" ca="1" si="478"/>
        <v>10</v>
      </c>
      <c r="D884" s="1">
        <f ca="1">MIN($D$3,VLOOKUP(C884,OP!$S$30:$T$41,2))</f>
        <v>2</v>
      </c>
      <c r="E884" s="1" t="str">
        <f t="shared" ca="1" si="479"/>
        <v/>
      </c>
      <c r="F884" s="11" t="str">
        <f t="shared" ca="1" si="485"/>
        <v/>
      </c>
      <c r="G884" s="8">
        <f t="shared" ca="1" si="511"/>
        <v>365</v>
      </c>
      <c r="H884" s="8">
        <f t="shared" ca="1" si="486"/>
        <v>31</v>
      </c>
      <c r="I884" s="8" t="str">
        <f t="shared" ca="1" si="483"/>
        <v>7410</v>
      </c>
      <c r="J884" s="13">
        <f>IF(繳費報酬率資料!$A$1=1,VALUE(OP!$C$121),VLOOKUP(A884,MP,2,0))</f>
        <v>0.05</v>
      </c>
      <c r="K884" s="14">
        <f ca="1">IF(SUM($K$4:K883,IF(繳費報酬率資料!$A$1=1,$AU884+$AV884,$BB884+$BC884))&gt;OP!$L$58,0,IF(繳費報酬率資料!$A$1=1,$AU884+$AV884,$BB884+$BC884))</f>
        <v>0</v>
      </c>
      <c r="L884" s="2"/>
      <c r="M884" s="2"/>
      <c r="N884" s="2"/>
      <c r="O884" s="261">
        <f t="shared" ca="1" si="487"/>
        <v>0</v>
      </c>
      <c r="P884" s="261">
        <f t="shared" ca="1" si="505"/>
        <v>0</v>
      </c>
      <c r="Q884" s="3">
        <f ca="1">IF(A884&gt;MAX(OP!$R$17:$R$26),0,VLOOKUP(A884,fees,3,FALSE))</f>
        <v>0</v>
      </c>
      <c r="R884" s="200" t="str">
        <f t="shared" ca="1" si="488"/>
        <v/>
      </c>
      <c r="S884" s="9" t="str">
        <f ca="1">IF(COUNTIF(($T$4:T883),"F")&gt;=1,"",IF(OR(C885&lt;&gt;$C$3,E884=""),"",A884))</f>
        <v/>
      </c>
      <c r="T884" s="20" t="str">
        <f t="shared" ca="1" si="480"/>
        <v/>
      </c>
      <c r="U884" s="2">
        <f ca="1">IF(IF(OP!$C$83=1,$Z883,IF(OP!$C$83=2,$AA883,IF(OP!$C$83=3,$AB883,)))+$K884-$O884-$P884-$AS884&lt;OP!$C$142,0,$AS884)</f>
        <v>0</v>
      </c>
      <c r="V884" s="9"/>
      <c r="W884" s="19">
        <f ca="1">MAX(SUM($K$4:K884),0)</f>
        <v>2000000</v>
      </c>
      <c r="X884" s="19"/>
      <c r="Y884" s="19">
        <f t="shared" ca="1" si="506"/>
        <v>1920000</v>
      </c>
      <c r="Z884" s="2">
        <f ca="1">IF(MIN($Z$4:Z883)=0,0,MAX(0,($Z883+$K884-$O884-$P884)*IF(AND(F884="F",$D$3&lt;&gt;$G$3),((1+(-J884))^(H884/MIN(G884,365))),((1+(-J884))^(1/12)))-$U884))</f>
        <v>44447.013361532343</v>
      </c>
      <c r="AA884" s="2">
        <f ca="1">IF(MIN($AA$4:AA883)=0,0,MAX(0,($AA883+$K884-$O884-$P884)*IF(AND(F884="F",$D$3&lt;&gt;$G$3),((1+$AA$1)^(H884/MIN(G884,365))),((1+$AA$1)^(1/12)))-$U884))</f>
        <v>1920000</v>
      </c>
      <c r="AB884" s="2">
        <f ca="1">IF(MIN($AB$4:AB883)=0,0,MAX(0,($AB883+$K884-$O884-$P884)*IF(AND(F884="F",$D$3&lt;&gt;$G$3),((1+(J884))^(H884/MIN(G884,365))),((1+(J884))^(1/12)))-$U884))</f>
        <v>69015864.984447986</v>
      </c>
      <c r="AC884" s="5"/>
      <c r="AD884" s="5"/>
      <c r="AE884" s="5"/>
      <c r="AF884" s="282">
        <f t="shared" ca="1" si="489"/>
        <v>44447</v>
      </c>
      <c r="AG884" s="282">
        <f t="shared" ca="1" si="490"/>
        <v>1920000</v>
      </c>
      <c r="AH884" s="282">
        <f t="shared" ca="1" si="491"/>
        <v>69015865</v>
      </c>
      <c r="AI884" s="23" t="str">
        <f t="shared" ca="1" si="507"/>
        <v>74-6</v>
      </c>
      <c r="AJ884" s="282">
        <f ca="1">IF(E884&gt;111,,IF(AND(OP!$C$99=1,T884="F"),Z884,IF(AND(OP!$C$99=2,COUNTIF($T$4:T884,"F")=1),OP!$C$97+IF(F884="F",OP!$C$98,0),"")))</f>
        <v>0</v>
      </c>
      <c r="AK884" s="282">
        <f ca="1">IF(E884&gt;111,,IF(AND(OP!$D$99=1,T884="F"),AA884,IF(AND(OP!$D$99=2,COUNTIF($T$4:T884,"F")=1),OP!$D$97+IF(F884="F",OP!$D$98,0),"")))</f>
        <v>0</v>
      </c>
      <c r="AL884" s="282">
        <f ca="1">IF(E884&gt;111,,IF(AND(OP!$E$99=1,T884="F"),AB884,IF(AND(OP!$E$99=2,COUNTIF($T$4:T884,"F")=1),OP!$E$97+IF(F884="F",OP!$E$98,0),"")))</f>
        <v>0</v>
      </c>
      <c r="AM884" s="1">
        <f t="shared" ca="1" si="481"/>
        <v>6</v>
      </c>
      <c r="AN884" s="1" t="e">
        <f ca="1">IF(OR(VLOOKUP($A884,MP,5,0)="月繳"),1,"")</f>
        <v>#N/A</v>
      </c>
      <c r="AO884" s="1">
        <f t="shared" ca="1" si="492"/>
        <v>0</v>
      </c>
      <c r="AP884" s="1" t="str">
        <f ca="1">IF(AND(A884&lt;=OP!$C$120,COUNTIF(PAY,C884)=1),1,"")</f>
        <v/>
      </c>
      <c r="AR884" s="301">
        <f ca="1">IF(繳費報酬率資料!$A$1=1,$AY884+$AZ884,$BF884+$BG884)</f>
        <v>0</v>
      </c>
      <c r="AS884" s="1">
        <f ca="1">IF(C884&lt;&gt;IF($C$3=1,12,$C$3-1),0,IF(繳費報酬率資料!$A$1&lt;&gt;1,VLOOKUP($A884,MP,8,0),IF(AND($A884&gt;=OP!$C$79,$A884&lt;=OP!$C$80),OP!$C$78,)))</f>
        <v>0</v>
      </c>
      <c r="AT884" s="298">
        <f t="shared" ca="1" si="493"/>
        <v>0</v>
      </c>
      <c r="AU884" s="298">
        <f ca="1">IF(AND(A884&lt;=OP!$C$120,COUNTIF(PAY,C884)=1),OP!$C$123,0)</f>
        <v>0</v>
      </c>
      <c r="AV884" s="298">
        <f ca="1">IF(AND(A884&gt;=OP!$C$132,A884&lt;=OP!$C$133,$C$3=C884),OP!$C$135,0)</f>
        <v>0</v>
      </c>
      <c r="AW884" s="180">
        <f t="shared" ca="1" si="494"/>
        <v>0.05</v>
      </c>
      <c r="AX884" s="180">
        <f t="shared" ca="1" si="495"/>
        <v>0.05</v>
      </c>
      <c r="AY884" s="286">
        <f t="shared" ca="1" si="496"/>
        <v>0</v>
      </c>
      <c r="AZ884" s="286">
        <f t="shared" ca="1" si="497"/>
        <v>0</v>
      </c>
      <c r="BA884" s="286">
        <f t="shared" ca="1" si="498"/>
        <v>0</v>
      </c>
      <c r="BB884" s="286">
        <f t="shared" ca="1" si="499"/>
        <v>0</v>
      </c>
      <c r="BC884" s="286">
        <f t="shared" ca="1" si="500"/>
        <v>0</v>
      </c>
      <c r="BD884" s="180">
        <f t="shared" ca="1" si="501"/>
        <v>0.05</v>
      </c>
      <c r="BE884" s="180">
        <f t="shared" ca="1" si="502"/>
        <v>0.05</v>
      </c>
      <c r="BF884" s="286">
        <f t="shared" ca="1" si="503"/>
        <v>0</v>
      </c>
      <c r="BG884" s="286">
        <f t="shared" ca="1" si="504"/>
        <v>0</v>
      </c>
    </row>
    <row r="885" spans="1:59">
      <c r="A885" s="1">
        <f t="shared" ca="1" si="484"/>
        <v>74</v>
      </c>
      <c r="B885" s="1">
        <f t="shared" ca="1" si="477"/>
        <v>179</v>
      </c>
      <c r="C885" s="1">
        <f t="shared" ca="1" si="478"/>
        <v>11</v>
      </c>
      <c r="D885" s="1">
        <f ca="1">MIN($D$3,VLOOKUP(C885,OP!$S$30:$T$41,2))</f>
        <v>2</v>
      </c>
      <c r="E885" s="1" t="str">
        <f t="shared" ca="1" si="479"/>
        <v/>
      </c>
      <c r="F885" s="11" t="str">
        <f t="shared" ca="1" si="485"/>
        <v/>
      </c>
      <c r="G885" s="8">
        <f t="shared" ca="1" si="511"/>
        <v>365</v>
      </c>
      <c r="H885" s="8">
        <f t="shared" ca="1" si="486"/>
        <v>30</v>
      </c>
      <c r="I885" s="8" t="str">
        <f t="shared" ca="1" si="483"/>
        <v>7411</v>
      </c>
      <c r="J885" s="13">
        <f>IF(繳費報酬率資料!$A$1=1,VALUE(OP!$C$121),VLOOKUP(A885,MP,2,0))</f>
        <v>0.05</v>
      </c>
      <c r="K885" s="14">
        <f ca="1">IF(SUM($K$4:K884,IF(繳費報酬率資料!$A$1=1,$AU885+$AV885,$BB885+$BC885))&gt;OP!$L$58,0,IF(繳費報酬率資料!$A$1=1,$AU885+$AV885,$BB885+$BC885))</f>
        <v>0</v>
      </c>
      <c r="L885" s="2"/>
      <c r="M885" s="2"/>
      <c r="N885" s="2"/>
      <c r="O885" s="261">
        <f t="shared" ca="1" si="487"/>
        <v>0</v>
      </c>
      <c r="P885" s="261">
        <f t="shared" ca="1" si="505"/>
        <v>0</v>
      </c>
      <c r="Q885" s="3">
        <f ca="1">IF(A885&gt;MAX(OP!$R$17:$R$26),0,VLOOKUP(A885,fees,3,FALSE))</f>
        <v>0</v>
      </c>
      <c r="R885" s="200" t="str">
        <f t="shared" ca="1" si="488"/>
        <v/>
      </c>
      <c r="S885" s="9" t="str">
        <f ca="1">IF(COUNTIF(($T$4:T884),"F")&gt;=1,"",IF(OR(C886&lt;&gt;$C$3,E885=""),"",A885))</f>
        <v/>
      </c>
      <c r="T885" s="20" t="str">
        <f t="shared" ca="1" si="480"/>
        <v/>
      </c>
      <c r="U885" s="2">
        <f ca="1">IF(IF(OP!$C$83=1,$Z884,IF(OP!$C$83=2,$AA884,IF(OP!$C$83=3,$AB884,)))+$K885-$O885-$P885-$AS885&lt;OP!$C$142,0,$AS885)</f>
        <v>0</v>
      </c>
      <c r="V885" s="9"/>
      <c r="W885" s="19">
        <f ca="1">MAX(SUM($K$4:K885),0)</f>
        <v>2000000</v>
      </c>
      <c r="X885" s="19"/>
      <c r="Y885" s="19">
        <f t="shared" ca="1" si="506"/>
        <v>1920000</v>
      </c>
      <c r="Z885" s="2">
        <f ca="1">IF(MIN($Z$4:Z884)=0,0,MAX(0,($Z884+$K885-$O885-$P885)*IF(AND(F885="F",$D$3&lt;&gt;$G$3),((1+(-J885))^(H885/MIN(G885,365))),((1+(-J885))^(1/12)))-$U885))</f>
        <v>44257.432680834907</v>
      </c>
      <c r="AA885" s="2">
        <f ca="1">IF(MIN($AA$4:AA884)=0,0,MAX(0,($AA884+$K885-$O885-$P885)*IF(AND(F885="F",$D$3&lt;&gt;$G$3),((1+$AA$1)^(H885/MIN(G885,365))),((1+$AA$1)^(1/12)))-$U885))</f>
        <v>1920000</v>
      </c>
      <c r="AB885" s="2">
        <f ca="1">IF(MIN($AB$4:AB884)=0,0,MAX(0,($AB884+$K885-$O885-$P885)*IF(AND(F885="F",$D$3&lt;&gt;$G$3),((1+(J885))^(H885/MIN(G885,365))),((1+(J885))^(1/12)))-$U885))</f>
        <v>69297044.161430195</v>
      </c>
      <c r="AC885" s="5"/>
      <c r="AD885" s="5"/>
      <c r="AE885" s="5"/>
      <c r="AF885" s="282">
        <f t="shared" ca="1" si="489"/>
        <v>44257</v>
      </c>
      <c r="AG885" s="282">
        <f t="shared" ca="1" si="490"/>
        <v>1920000</v>
      </c>
      <c r="AH885" s="282">
        <f t="shared" ca="1" si="491"/>
        <v>69297044</v>
      </c>
      <c r="AI885" s="23" t="str">
        <f t="shared" ca="1" si="507"/>
        <v>74-7</v>
      </c>
      <c r="AJ885" s="282">
        <f ca="1">IF(E885&gt;111,,IF(AND(OP!$C$99=1,T885="F"),Z885,IF(AND(OP!$C$99=2,COUNTIF($T$4:T885,"F")=1),OP!$C$97+IF(F885="F",OP!$C$98,0),"")))</f>
        <v>0</v>
      </c>
      <c r="AK885" s="282">
        <f ca="1">IF(E885&gt;111,,IF(AND(OP!$D$99=1,T885="F"),AA885,IF(AND(OP!$D$99=2,COUNTIF($T$4:T885,"F")=1),OP!$D$97+IF(F885="F",OP!$D$98,0),"")))</f>
        <v>0</v>
      </c>
      <c r="AL885" s="282">
        <f ca="1">IF(E885&gt;111,,IF(AND(OP!$E$99=1,T885="F"),AB885,IF(AND(OP!$E$99=2,COUNTIF($T$4:T885,"F")=1),OP!$E$97+IF(F885="F",OP!$E$98,0),"")))</f>
        <v>0</v>
      </c>
      <c r="AM885" s="1">
        <f t="shared" ca="1" si="481"/>
        <v>7</v>
      </c>
      <c r="AN885" s="1" t="e">
        <f ca="1">IF(OR(VLOOKUP($A885,MP,5,0)="月繳"),1,"")</f>
        <v>#N/A</v>
      </c>
      <c r="AO885" s="1">
        <f t="shared" ca="1" si="492"/>
        <v>0</v>
      </c>
      <c r="AP885" s="1" t="str">
        <f ca="1">IF(AND(A885&lt;=OP!$C$120,COUNTIF(PAY,C885)=1),1,"")</f>
        <v/>
      </c>
      <c r="AR885" s="301">
        <f ca="1">IF(繳費報酬率資料!$A$1=1,$AY885+$AZ885,$BF885+$BG885)</f>
        <v>0</v>
      </c>
      <c r="AS885" s="1">
        <f ca="1">IF(C885&lt;&gt;IF($C$3=1,12,$C$3-1),0,IF(繳費報酬率資料!$A$1&lt;&gt;1,VLOOKUP($A885,MP,8,0),IF(AND($A885&gt;=OP!$C$79,$A885&lt;=OP!$C$80),OP!$C$78,)))</f>
        <v>0</v>
      </c>
      <c r="AT885" s="298">
        <f t="shared" ca="1" si="493"/>
        <v>0</v>
      </c>
      <c r="AU885" s="298">
        <f ca="1">IF(AND(A885&lt;=OP!$C$120,COUNTIF(PAY,C885)=1),OP!$C$123,0)</f>
        <v>0</v>
      </c>
      <c r="AV885" s="298">
        <f ca="1">IF(AND(A885&gt;=OP!$C$132,A885&lt;=OP!$C$133,$C$3=C885),OP!$C$135,0)</f>
        <v>0</v>
      </c>
      <c r="AW885" s="180">
        <f t="shared" ca="1" si="494"/>
        <v>0.05</v>
      </c>
      <c r="AX885" s="180">
        <f t="shared" ca="1" si="495"/>
        <v>0.05</v>
      </c>
      <c r="AY885" s="286">
        <f t="shared" ca="1" si="496"/>
        <v>0</v>
      </c>
      <c r="AZ885" s="286">
        <f t="shared" ca="1" si="497"/>
        <v>0</v>
      </c>
      <c r="BA885" s="286">
        <f t="shared" ca="1" si="498"/>
        <v>0</v>
      </c>
      <c r="BB885" s="286">
        <f t="shared" ca="1" si="499"/>
        <v>0</v>
      </c>
      <c r="BC885" s="286">
        <f t="shared" ca="1" si="500"/>
        <v>0</v>
      </c>
      <c r="BD885" s="180">
        <f t="shared" ca="1" si="501"/>
        <v>0.05</v>
      </c>
      <c r="BE885" s="180">
        <f t="shared" ca="1" si="502"/>
        <v>0.05</v>
      </c>
      <c r="BF885" s="286">
        <f t="shared" ca="1" si="503"/>
        <v>0</v>
      </c>
      <c r="BG885" s="286">
        <f t="shared" ca="1" si="504"/>
        <v>0</v>
      </c>
    </row>
    <row r="886" spans="1:59">
      <c r="A886" s="1">
        <f t="shared" ca="1" si="484"/>
        <v>74</v>
      </c>
      <c r="B886" s="1">
        <f t="shared" ca="1" si="477"/>
        <v>179</v>
      </c>
      <c r="C886" s="1">
        <f t="shared" ca="1" si="478"/>
        <v>12</v>
      </c>
      <c r="D886" s="1">
        <f ca="1">MIN($D$3,VLOOKUP(C886,OP!$S$30:$T$41,2))</f>
        <v>2</v>
      </c>
      <c r="E886" s="1" t="str">
        <f t="shared" ca="1" si="479"/>
        <v/>
      </c>
      <c r="F886" s="11" t="str">
        <f t="shared" ca="1" si="485"/>
        <v/>
      </c>
      <c r="G886" s="8">
        <f t="shared" ca="1" si="511"/>
        <v>365</v>
      </c>
      <c r="H886" s="8">
        <f t="shared" ca="1" si="486"/>
        <v>31</v>
      </c>
      <c r="I886" s="8" t="str">
        <f t="shared" ca="1" si="483"/>
        <v>7412</v>
      </c>
      <c r="J886" s="13">
        <f>IF(繳費報酬率資料!$A$1=1,VALUE(OP!$C$121),VLOOKUP(A886,MP,2,0))</f>
        <v>0.05</v>
      </c>
      <c r="K886" s="14">
        <f ca="1">IF(SUM($K$4:K885,IF(繳費報酬率資料!$A$1=1,$AU886+$AV886,$BB886+$BC886))&gt;OP!$L$58,0,IF(繳費報酬率資料!$A$1=1,$AU886+$AV886,$BB886+$BC886))</f>
        <v>0</v>
      </c>
      <c r="L886" s="2"/>
      <c r="M886" s="2"/>
      <c r="N886" s="2"/>
      <c r="O886" s="261">
        <f t="shared" ca="1" si="487"/>
        <v>0</v>
      </c>
      <c r="P886" s="261">
        <f t="shared" ca="1" si="505"/>
        <v>0</v>
      </c>
      <c r="Q886" s="3">
        <f ca="1">IF(A886&gt;MAX(OP!$R$17:$R$26),0,VLOOKUP(A886,fees,3,FALSE))</f>
        <v>0</v>
      </c>
      <c r="R886" s="200" t="str">
        <f t="shared" ca="1" si="488"/>
        <v/>
      </c>
      <c r="S886" s="9" t="str">
        <f ca="1">IF(COUNTIF(($T$4:T885),"F")&gt;=1,"",IF(OR(C887&lt;&gt;$C$3,E886=""),"",A886))</f>
        <v/>
      </c>
      <c r="T886" s="20" t="str">
        <f t="shared" ca="1" si="480"/>
        <v/>
      </c>
      <c r="U886" s="2">
        <f ca="1">IF(IF(OP!$C$83=1,$Z885,IF(OP!$C$83=2,$AA885,IF(OP!$C$83=3,$AB885,)))+$K886-$O886-$P886-$AS886&lt;OP!$C$142,0,$AS886)</f>
        <v>0</v>
      </c>
      <c r="V886" s="9"/>
      <c r="W886" s="19">
        <f ca="1">MAX(SUM($K$4:K886),0)</f>
        <v>2000000</v>
      </c>
      <c r="X886" s="19"/>
      <c r="Y886" s="19">
        <f t="shared" ca="1" si="506"/>
        <v>1920000</v>
      </c>
      <c r="Z886" s="2">
        <f ca="1">IF(MIN($Z$4:Z885)=0,0,MAX(0,($Z885+$K886-$O886-$P886)*IF(AND(F886="F",$D$3&lt;&gt;$G$3),((1+(-J886))^(H886/MIN(G886,365))),((1+(-J886))^(1/12)))-$U886))</f>
        <v>44068.660622174713</v>
      </c>
      <c r="AA886" s="2">
        <f ca="1">IF(MIN($AA$4:AA885)=0,0,MAX(0,($AA885+$K886-$O886-$P886)*IF(AND(F886="F",$D$3&lt;&gt;$G$3),((1+$AA$1)^(H886/MIN(G886,365))),((1+$AA$1)^(1/12)))-$U886))</f>
        <v>1920000</v>
      </c>
      <c r="AB886" s="2">
        <f ca="1">IF(MIN($AB$4:AB885)=0,0,MAX(0,($AB885+$K886-$O886-$P886)*IF(AND(F886="F",$D$3&lt;&gt;$G$3),((1+(J886))^(H886/MIN(G886,365))),((1+(J886))^(1/12)))-$U886))</f>
        <v>69579368.897184804</v>
      </c>
      <c r="AC886" s="5"/>
      <c r="AD886" s="5"/>
      <c r="AE886" s="5"/>
      <c r="AF886" s="282">
        <f t="shared" ca="1" si="489"/>
        <v>44069</v>
      </c>
      <c r="AG886" s="282">
        <f t="shared" ca="1" si="490"/>
        <v>1920000</v>
      </c>
      <c r="AH886" s="282">
        <f t="shared" ca="1" si="491"/>
        <v>69579369</v>
      </c>
      <c r="AI886" s="23" t="str">
        <f t="shared" ca="1" si="507"/>
        <v>74-8</v>
      </c>
      <c r="AJ886" s="282">
        <f ca="1">IF(E886&gt;111,,IF(AND(OP!$C$99=1,T886="F"),Z886,IF(AND(OP!$C$99=2,COUNTIF($T$4:T886,"F")=1),OP!$C$97+IF(F886="F",OP!$C$98,0),"")))</f>
        <v>0</v>
      </c>
      <c r="AK886" s="282">
        <f ca="1">IF(E886&gt;111,,IF(AND(OP!$D$99=1,T886="F"),AA886,IF(AND(OP!$D$99=2,COUNTIF($T$4:T886,"F")=1),OP!$D$97+IF(F886="F",OP!$D$98,0),"")))</f>
        <v>0</v>
      </c>
      <c r="AL886" s="282">
        <f ca="1">IF(E886&gt;111,,IF(AND(OP!$E$99=1,T886="F"),AB886,IF(AND(OP!$E$99=2,COUNTIF($T$4:T886,"F")=1),OP!$E$97+IF(F886="F",OP!$E$98,0),"")))</f>
        <v>0</v>
      </c>
      <c r="AM886" s="1">
        <f t="shared" ca="1" si="481"/>
        <v>8</v>
      </c>
      <c r="AN886" s="1" t="e">
        <f ca="1">IF(OR(VLOOKUP($A886,MP,5,0)="半年繳",VLOOKUP($A886,MP,5,0)="季繳",VLOOKUP($A886,MP,5,0)="月繳"),1,"")</f>
        <v>#N/A</v>
      </c>
      <c r="AO886" s="1">
        <f t="shared" ca="1" si="492"/>
        <v>0</v>
      </c>
      <c r="AP886" s="1" t="str">
        <f ca="1">IF(AND(A886&lt;=OP!$C$120,COUNTIF(PAY,C886)=1),1,"")</f>
        <v/>
      </c>
      <c r="AR886" s="301">
        <f ca="1">IF(繳費報酬率資料!$A$1=1,$AY886+$AZ886,$BF886+$BG886)</f>
        <v>0</v>
      </c>
      <c r="AS886" s="1">
        <f ca="1">IF(C886&lt;&gt;IF($C$3=1,12,$C$3-1),0,IF(繳費報酬率資料!$A$1&lt;&gt;1,VLOOKUP($A886,MP,8,0),IF(AND($A886&gt;=OP!$C$79,$A886&lt;=OP!$C$80),OP!$C$78,)))</f>
        <v>0</v>
      </c>
      <c r="AT886" s="298">
        <f t="shared" ca="1" si="493"/>
        <v>0</v>
      </c>
      <c r="AU886" s="298">
        <f ca="1">IF(AND(A886&lt;=OP!$C$120,COUNTIF(PAY,C886)=1),OP!$C$123,0)</f>
        <v>0</v>
      </c>
      <c r="AV886" s="298">
        <f ca="1">IF(AND(A886&gt;=OP!$C$132,A886&lt;=OP!$C$133,$C$3=C886),OP!$C$135,0)</f>
        <v>0</v>
      </c>
      <c r="AW886" s="180">
        <f t="shared" ca="1" si="494"/>
        <v>0.05</v>
      </c>
      <c r="AX886" s="180">
        <f t="shared" ca="1" si="495"/>
        <v>0.05</v>
      </c>
      <c r="AY886" s="286">
        <f t="shared" ca="1" si="496"/>
        <v>0</v>
      </c>
      <c r="AZ886" s="286">
        <f t="shared" ca="1" si="497"/>
        <v>0</v>
      </c>
      <c r="BA886" s="286">
        <f t="shared" ca="1" si="498"/>
        <v>0</v>
      </c>
      <c r="BB886" s="286">
        <f t="shared" ca="1" si="499"/>
        <v>0</v>
      </c>
      <c r="BC886" s="286">
        <f t="shared" ca="1" si="500"/>
        <v>0</v>
      </c>
      <c r="BD886" s="180">
        <f t="shared" ca="1" si="501"/>
        <v>0.05</v>
      </c>
      <c r="BE886" s="180">
        <f t="shared" ca="1" si="502"/>
        <v>0.05</v>
      </c>
      <c r="BF886" s="286">
        <f t="shared" ca="1" si="503"/>
        <v>0</v>
      </c>
      <c r="BG886" s="286">
        <f t="shared" ca="1" si="504"/>
        <v>0</v>
      </c>
    </row>
    <row r="887" spans="1:59">
      <c r="A887" s="1">
        <f t="shared" ca="1" si="484"/>
        <v>74</v>
      </c>
      <c r="B887" s="1">
        <f t="shared" ca="1" si="477"/>
        <v>180</v>
      </c>
      <c r="C887" s="1">
        <f t="shared" ca="1" si="478"/>
        <v>1</v>
      </c>
      <c r="D887" s="1">
        <f ca="1">MIN($D$3,VLOOKUP(C887,OP!$S$30:$T$41,2))</f>
        <v>2</v>
      </c>
      <c r="E887" s="1" t="str">
        <f t="shared" ca="1" si="479"/>
        <v/>
      </c>
      <c r="F887" s="11" t="str">
        <f t="shared" ca="1" si="485"/>
        <v/>
      </c>
      <c r="G887" s="8">
        <f t="shared" ca="1" si="511"/>
        <v>365</v>
      </c>
      <c r="H887" s="8">
        <f t="shared" ca="1" si="486"/>
        <v>31</v>
      </c>
      <c r="I887" s="8" t="str">
        <f t="shared" ca="1" si="483"/>
        <v>741</v>
      </c>
      <c r="J887" s="13">
        <f>IF(繳費報酬率資料!$A$1=1,VALUE(OP!$C$121),VLOOKUP(A887,MP,2,0))</f>
        <v>0.05</v>
      </c>
      <c r="K887" s="14">
        <f ca="1">IF(SUM($K$4:K886,IF(繳費報酬率資料!$A$1=1,$AU887+$AV887,$BB887+$BC887))&gt;OP!$L$58,0,IF(繳費報酬率資料!$A$1=1,$AU887+$AV887,$BB887+$BC887))</f>
        <v>0</v>
      </c>
      <c r="L887" s="2"/>
      <c r="M887" s="2"/>
      <c r="N887" s="2"/>
      <c r="O887" s="261">
        <f t="shared" ca="1" si="487"/>
        <v>0</v>
      </c>
      <c r="P887" s="261">
        <f t="shared" ca="1" si="505"/>
        <v>0</v>
      </c>
      <c r="Q887" s="3">
        <f ca="1">IF(A887&gt;MAX(OP!$R$17:$R$26),0,VLOOKUP(A887,fees,3,FALSE))</f>
        <v>0</v>
      </c>
      <c r="R887" s="200" t="str">
        <f t="shared" ca="1" si="488"/>
        <v/>
      </c>
      <c r="S887" s="9" t="str">
        <f ca="1">IF(COUNTIF(($T$4:T886),"F")&gt;=1,"",IF(OR(C888&lt;&gt;$C$3,E887=""),"",A887))</f>
        <v/>
      </c>
      <c r="T887" s="20" t="str">
        <f t="shared" ca="1" si="480"/>
        <v/>
      </c>
      <c r="U887" s="2">
        <f ca="1">IF(IF(OP!$C$83=1,$Z886,IF(OP!$C$83=2,$AA886,IF(OP!$C$83=3,$AB886,)))+$K887-$O887-$P887-$AS887&lt;OP!$C$142,0,$AS887)</f>
        <v>0</v>
      </c>
      <c r="V887" s="9"/>
      <c r="W887" s="19">
        <f ca="1">MAX(SUM($K$4:K887),0)</f>
        <v>2000000</v>
      </c>
      <c r="X887" s="19"/>
      <c r="Y887" s="19">
        <f t="shared" ca="1" si="506"/>
        <v>1920000</v>
      </c>
      <c r="Z887" s="2">
        <f ca="1">IF(MIN($Z$4:Z886)=0,0,MAX(0,($Z886+$K887-$O887-$P887)*IF(AND(F887="F",$D$3&lt;&gt;$G$3),((1+(-J887))^(H887/MIN(G887,365))),((1+(-J887))^(1/12)))-$U887))</f>
        <v>43880.693736521003</v>
      </c>
      <c r="AA887" s="2">
        <f ca="1">IF(MIN($AA$4:AA886)=0,0,MAX(0,($AA886+$K887-$O887-$P887)*IF(AND(F887="F",$D$3&lt;&gt;$G$3),((1+$AA$1)^(H887/MIN(G887,365))),((1+$AA$1)^(1/12)))-$U887))</f>
        <v>1920000</v>
      </c>
      <c r="AB887" s="2">
        <f ca="1">IF(MIN($AB$4:AB886)=0,0,MAX(0,($AB886+$K887-$O887-$P887)*IF(AND(F887="F",$D$3&lt;&gt;$G$3),((1+(J887))^(H887/MIN(G887,365))),((1+(J887))^(1/12)))-$U887))</f>
        <v>69862843.858860061</v>
      </c>
      <c r="AC887" s="5"/>
      <c r="AD887" s="5"/>
      <c r="AE887" s="5"/>
      <c r="AF887" s="282">
        <f t="shared" ca="1" si="489"/>
        <v>43881</v>
      </c>
      <c r="AG887" s="282">
        <f t="shared" ca="1" si="490"/>
        <v>1920000</v>
      </c>
      <c r="AH887" s="282">
        <f t="shared" ca="1" si="491"/>
        <v>69862844</v>
      </c>
      <c r="AI887" s="23" t="str">
        <f t="shared" ca="1" si="507"/>
        <v>74-9</v>
      </c>
      <c r="AJ887" s="282">
        <f ca="1">IF(E887&gt;111,,IF(AND(OP!$C$99=1,T887="F"),Z887,IF(AND(OP!$C$99=2,COUNTIF($T$4:T887,"F")=1),OP!$C$97+IF(F887="F",OP!$C$98,0),"")))</f>
        <v>0</v>
      </c>
      <c r="AK887" s="282">
        <f ca="1">IF(E887&gt;111,,IF(AND(OP!$D$99=1,T887="F"),AA887,IF(AND(OP!$D$99=2,COUNTIF($T$4:T887,"F")=1),OP!$D$97+IF(F887="F",OP!$D$98,0),"")))</f>
        <v>0</v>
      </c>
      <c r="AL887" s="282">
        <f ca="1">IF(E887&gt;111,,IF(AND(OP!$E$99=1,T887="F"),AB887,IF(AND(OP!$E$99=2,COUNTIF($T$4:T887,"F")=1),OP!$E$97+IF(F887="F",OP!$E$98,0),"")))</f>
        <v>0</v>
      </c>
      <c r="AM887" s="1">
        <f t="shared" ca="1" si="481"/>
        <v>9</v>
      </c>
      <c r="AN887" s="1" t="e">
        <f ca="1">IF(OR(VLOOKUP($A887,MP,5,0)="月繳"),1,"")</f>
        <v>#N/A</v>
      </c>
      <c r="AO887" s="1">
        <f t="shared" ca="1" si="492"/>
        <v>0</v>
      </c>
      <c r="AP887" s="1" t="str">
        <f ca="1">IF(AND(A887&lt;=OP!$C$120,COUNTIF(PAY,C887)=1),1,"")</f>
        <v/>
      </c>
      <c r="AR887" s="301">
        <f ca="1">IF(繳費報酬率資料!$A$1=1,$AY887+$AZ887,$BF887+$BG887)</f>
        <v>0</v>
      </c>
      <c r="AS887" s="1">
        <f ca="1">IF(C887&lt;&gt;IF($C$3=1,12,$C$3-1),0,IF(繳費報酬率資料!$A$1&lt;&gt;1,VLOOKUP($A887,MP,8,0),IF(AND($A887&gt;=OP!$C$79,$A887&lt;=OP!$C$80),OP!$C$78,)))</f>
        <v>0</v>
      </c>
      <c r="AT887" s="298">
        <f t="shared" ca="1" si="493"/>
        <v>0</v>
      </c>
      <c r="AU887" s="298">
        <f ca="1">IF(AND(A887&lt;=OP!$C$120,COUNTIF(PAY,C887)=1),OP!$C$123,0)</f>
        <v>0</v>
      </c>
      <c r="AV887" s="298">
        <f ca="1">IF(AND(A887&gt;=OP!$C$132,A887&lt;=OP!$C$133,$C$3=C887),OP!$C$135,0)</f>
        <v>0</v>
      </c>
      <c r="AW887" s="180">
        <f t="shared" ca="1" si="494"/>
        <v>0.05</v>
      </c>
      <c r="AX887" s="180">
        <f t="shared" ca="1" si="495"/>
        <v>0.05</v>
      </c>
      <c r="AY887" s="286">
        <f t="shared" ca="1" si="496"/>
        <v>0</v>
      </c>
      <c r="AZ887" s="286">
        <f t="shared" ca="1" si="497"/>
        <v>0</v>
      </c>
      <c r="BA887" s="286">
        <f t="shared" ca="1" si="498"/>
        <v>0</v>
      </c>
      <c r="BB887" s="286">
        <f t="shared" ca="1" si="499"/>
        <v>0</v>
      </c>
      <c r="BC887" s="286">
        <f t="shared" ca="1" si="500"/>
        <v>0</v>
      </c>
      <c r="BD887" s="180">
        <f t="shared" ca="1" si="501"/>
        <v>0.05</v>
      </c>
      <c r="BE887" s="180">
        <f t="shared" ca="1" si="502"/>
        <v>0.05</v>
      </c>
      <c r="BF887" s="286">
        <f t="shared" ca="1" si="503"/>
        <v>0</v>
      </c>
      <c r="BG887" s="286">
        <f t="shared" ca="1" si="504"/>
        <v>0</v>
      </c>
    </row>
    <row r="888" spans="1:59">
      <c r="A888" s="1">
        <f t="shared" ca="1" si="484"/>
        <v>74</v>
      </c>
      <c r="B888" s="1">
        <f t="shared" ca="1" si="477"/>
        <v>180</v>
      </c>
      <c r="C888" s="1">
        <f t="shared" ca="1" si="478"/>
        <v>2</v>
      </c>
      <c r="D888" s="1">
        <f ca="1">MIN($D$3,VLOOKUP(C888,OP!$S$30:$T$41,2))</f>
        <v>2</v>
      </c>
      <c r="E888" s="1" t="str">
        <f t="shared" ca="1" si="479"/>
        <v/>
      </c>
      <c r="F888" s="11" t="str">
        <f t="shared" ca="1" si="485"/>
        <v/>
      </c>
      <c r="G888" s="8">
        <f t="shared" ca="1" si="511"/>
        <v>365</v>
      </c>
      <c r="H888" s="8">
        <f t="shared" ca="1" si="486"/>
        <v>28</v>
      </c>
      <c r="I888" s="8" t="str">
        <f t="shared" ca="1" si="483"/>
        <v>742</v>
      </c>
      <c r="J888" s="13">
        <f>IF(繳費報酬率資料!$A$1=1,VALUE(OP!$C$121),VLOOKUP(A888,MP,2,0))</f>
        <v>0.05</v>
      </c>
      <c r="K888" s="14">
        <f ca="1">IF(SUM($K$4:K887,IF(繳費報酬率資料!$A$1=1,$AU888+$AV888,$BB888+$BC888))&gt;OP!$L$58,0,IF(繳費報酬率資料!$A$1=1,$AU888+$AV888,$BB888+$BC888))</f>
        <v>0</v>
      </c>
      <c r="L888" s="2"/>
      <c r="M888" s="2"/>
      <c r="N888" s="2"/>
      <c r="O888" s="261">
        <f t="shared" ca="1" si="487"/>
        <v>0</v>
      </c>
      <c r="P888" s="261">
        <f t="shared" ca="1" si="505"/>
        <v>0</v>
      </c>
      <c r="Q888" s="3">
        <f ca="1">IF(A888&gt;MAX(OP!$R$17:$R$26),0,VLOOKUP(A888,fees,3,FALSE))</f>
        <v>0</v>
      </c>
      <c r="R888" s="200" t="str">
        <f t="shared" ca="1" si="488"/>
        <v/>
      </c>
      <c r="S888" s="9" t="str">
        <f ca="1">IF(COUNTIF(($T$4:T887),"F")&gt;=1,"",IF(OR(C889&lt;&gt;$C$3,E888=""),"",A888))</f>
        <v/>
      </c>
      <c r="T888" s="20" t="str">
        <f t="shared" ca="1" si="480"/>
        <v/>
      </c>
      <c r="U888" s="2">
        <f ca="1">IF(IF(OP!$C$83=1,$Z887,IF(OP!$C$83=2,$AA887,IF(OP!$C$83=3,$AB887,)))+$K888-$O888-$P888-$AS888&lt;OP!$C$142,0,$AS888)</f>
        <v>0</v>
      </c>
      <c r="V888" s="9"/>
      <c r="W888" s="19">
        <f ca="1">MAX(SUM($K$4:K888),0)</f>
        <v>2000000</v>
      </c>
      <c r="X888" s="19"/>
      <c r="Y888" s="19">
        <f t="shared" ca="1" si="506"/>
        <v>1920000</v>
      </c>
      <c r="Z888" s="2">
        <f ca="1">IF(MIN($Z$4:Z887)=0,0,MAX(0,($Z887+$K888-$O888-$P888)*IF(AND(F888="F",$D$3&lt;&gt;$G$3),((1+(-J888))^(H888/MIN(G888,365))),((1+(-J888))^(1/12)))-$U888))</f>
        <v>43693.528589554233</v>
      </c>
      <c r="AA888" s="2">
        <f ca="1">IF(MIN($AA$4:AA887)=0,0,MAX(0,($AA887+$K888-$O888-$P888)*IF(AND(F888="F",$D$3&lt;&gt;$G$3),((1+$AA$1)^(H888/MIN(G888,365))),((1+$AA$1)^(1/12)))-$U888))</f>
        <v>1920000</v>
      </c>
      <c r="AB888" s="2">
        <f ca="1">IF(MIN($AB$4:AB887)=0,0,MAX(0,($AB887+$K888-$O888-$P888)*IF(AND(F888="F",$D$3&lt;&gt;$G$3),((1+(J888))^(H888/MIN(G888,365))),((1+(J888))^(1/12)))-$U888))</f>
        <v>70147473.732618749</v>
      </c>
      <c r="AC888" s="5"/>
      <c r="AD888" s="5"/>
      <c r="AE888" s="5"/>
      <c r="AF888" s="282">
        <f t="shared" ca="1" si="489"/>
        <v>43694</v>
      </c>
      <c r="AG888" s="282">
        <f t="shared" ca="1" si="490"/>
        <v>1920000</v>
      </c>
      <c r="AH888" s="282">
        <f t="shared" ca="1" si="491"/>
        <v>70147474</v>
      </c>
      <c r="AI888" s="23" t="str">
        <f t="shared" ca="1" si="507"/>
        <v>74-10</v>
      </c>
      <c r="AJ888" s="282">
        <f ca="1">IF(E888&gt;111,,IF(AND(OP!$C$99=1,T888="F"),Z888,IF(AND(OP!$C$99=2,COUNTIF($T$4:T888,"F")=1),OP!$C$97+IF(F888="F",OP!$C$98,0),"")))</f>
        <v>0</v>
      </c>
      <c r="AK888" s="282">
        <f ca="1">IF(E888&gt;111,,IF(AND(OP!$D$99=1,T888="F"),AA888,IF(AND(OP!$D$99=2,COUNTIF($T$4:T888,"F")=1),OP!$D$97+IF(F888="F",OP!$D$98,0),"")))</f>
        <v>0</v>
      </c>
      <c r="AL888" s="282">
        <f ca="1">IF(E888&gt;111,,IF(AND(OP!$E$99=1,T888="F"),AB888,IF(AND(OP!$E$99=2,COUNTIF($T$4:T888,"F")=1),OP!$E$97+IF(F888="F",OP!$E$98,0),"")))</f>
        <v>0</v>
      </c>
      <c r="AM888" s="1">
        <f t="shared" ca="1" si="481"/>
        <v>10</v>
      </c>
      <c r="AN888" s="1" t="e">
        <f ca="1">IF(OR(VLOOKUP($A888,MP,5,0)="月繳"),1,"")</f>
        <v>#N/A</v>
      </c>
      <c r="AO888" s="1">
        <f t="shared" ca="1" si="492"/>
        <v>0</v>
      </c>
      <c r="AP888" s="1" t="str">
        <f ca="1">IF(AND(A888&lt;=OP!$C$120,COUNTIF(PAY,C888)=1),1,"")</f>
        <v/>
      </c>
      <c r="AR888" s="301">
        <f ca="1">IF(繳費報酬率資料!$A$1=1,$AY888+$AZ888,$BF888+$BG888)</f>
        <v>0</v>
      </c>
      <c r="AS888" s="1">
        <f ca="1">IF(C888&lt;&gt;IF($C$3=1,12,$C$3-1),0,IF(繳費報酬率資料!$A$1&lt;&gt;1,VLOOKUP($A888,MP,8,0),IF(AND($A888&gt;=OP!$C$79,$A888&lt;=OP!$C$80),OP!$C$78,)))</f>
        <v>0</v>
      </c>
      <c r="AT888" s="298">
        <f t="shared" ca="1" si="493"/>
        <v>0</v>
      </c>
      <c r="AU888" s="298">
        <f ca="1">IF(AND(A888&lt;=OP!$C$120,COUNTIF(PAY,C888)=1),OP!$C$123,0)</f>
        <v>0</v>
      </c>
      <c r="AV888" s="298">
        <f ca="1">IF(AND(A888&gt;=OP!$C$132,A888&lt;=OP!$C$133,$C$3=C888),OP!$C$135,0)</f>
        <v>0</v>
      </c>
      <c r="AW888" s="180">
        <f t="shared" ca="1" si="494"/>
        <v>0.05</v>
      </c>
      <c r="AX888" s="180">
        <f t="shared" ca="1" si="495"/>
        <v>0.05</v>
      </c>
      <c r="AY888" s="286">
        <f t="shared" ca="1" si="496"/>
        <v>0</v>
      </c>
      <c r="AZ888" s="286">
        <f t="shared" ca="1" si="497"/>
        <v>0</v>
      </c>
      <c r="BA888" s="286">
        <f t="shared" ca="1" si="498"/>
        <v>0</v>
      </c>
      <c r="BB888" s="286">
        <f t="shared" ca="1" si="499"/>
        <v>0</v>
      </c>
      <c r="BC888" s="286">
        <f t="shared" ca="1" si="500"/>
        <v>0</v>
      </c>
      <c r="BD888" s="180">
        <f t="shared" ca="1" si="501"/>
        <v>0.05</v>
      </c>
      <c r="BE888" s="180">
        <f t="shared" ca="1" si="502"/>
        <v>0.05</v>
      </c>
      <c r="BF888" s="286">
        <f t="shared" ca="1" si="503"/>
        <v>0</v>
      </c>
      <c r="BG888" s="286">
        <f t="shared" ca="1" si="504"/>
        <v>0</v>
      </c>
    </row>
    <row r="889" spans="1:59">
      <c r="A889" s="1">
        <f t="shared" ca="1" si="484"/>
        <v>74</v>
      </c>
      <c r="B889" s="1">
        <f t="shared" ca="1" si="477"/>
        <v>180</v>
      </c>
      <c r="C889" s="1">
        <f t="shared" ca="1" si="478"/>
        <v>3</v>
      </c>
      <c r="D889" s="1">
        <f ca="1">MIN($D$3,VLOOKUP(C889,OP!$S$30:$T$41,2))</f>
        <v>2</v>
      </c>
      <c r="E889" s="1" t="str">
        <f t="shared" ca="1" si="479"/>
        <v/>
      </c>
      <c r="F889" s="11" t="str">
        <f t="shared" ca="1" si="485"/>
        <v/>
      </c>
      <c r="G889" s="8">
        <f t="shared" ca="1" si="511"/>
        <v>365</v>
      </c>
      <c r="H889" s="8">
        <f t="shared" ca="1" si="486"/>
        <v>31</v>
      </c>
      <c r="I889" s="8" t="str">
        <f t="shared" ca="1" si="483"/>
        <v>743</v>
      </c>
      <c r="J889" s="13">
        <f>IF(繳費報酬率資料!$A$1=1,VALUE(OP!$C$121),VLOOKUP(A889,MP,2,0))</f>
        <v>0.05</v>
      </c>
      <c r="K889" s="14">
        <f ca="1">IF(SUM($K$4:K888,IF(繳費報酬率資料!$A$1=1,$AU889+$AV889,$BB889+$BC889))&gt;OP!$L$58,0,IF(繳費報酬率資料!$A$1=1,$AU889+$AV889,$BB889+$BC889))</f>
        <v>0</v>
      </c>
      <c r="L889" s="2"/>
      <c r="M889" s="2"/>
      <c r="N889" s="2"/>
      <c r="O889" s="261">
        <f t="shared" ca="1" si="487"/>
        <v>0</v>
      </c>
      <c r="P889" s="261">
        <f t="shared" ca="1" si="505"/>
        <v>0</v>
      </c>
      <c r="Q889" s="3">
        <f ca="1">IF(A889&gt;MAX(OP!$R$17:$R$26),0,VLOOKUP(A889,fees,3,FALSE))</f>
        <v>0</v>
      </c>
      <c r="R889" s="200" t="str">
        <f t="shared" ca="1" si="488"/>
        <v/>
      </c>
      <c r="S889" s="9" t="str">
        <f ca="1">IF(COUNTIF(($T$4:T888),"F")&gt;=1,"",IF(OR(C890&lt;&gt;$C$3,E889=""),"",A889))</f>
        <v/>
      </c>
      <c r="T889" s="20" t="str">
        <f t="shared" ca="1" si="480"/>
        <v/>
      </c>
      <c r="U889" s="2">
        <f ca="1">IF(IF(OP!$C$83=1,$Z888,IF(OP!$C$83=2,$AA888,IF(OP!$C$83=3,$AB888,)))+$K889-$O889-$P889-$AS889&lt;OP!$C$142,0,$AS889)</f>
        <v>0</v>
      </c>
      <c r="V889" s="9"/>
      <c r="W889" s="19">
        <f ca="1">MAX(SUM($K$4:K889),0)</f>
        <v>2000000</v>
      </c>
      <c r="X889" s="19"/>
      <c r="Y889" s="19">
        <f t="shared" ca="1" si="506"/>
        <v>1920000</v>
      </c>
      <c r="Z889" s="2">
        <f ca="1">IF(MIN($Z$4:Z888)=0,0,MAX(0,($Z888+$K889-$O889-$P889)*IF(AND(F889="F",$D$3&lt;&gt;$G$3),((1+(-J889))^(H889/MIN(G889,365))),((1+(-J889))^(1/12)))-$U889))</f>
        <v>43507.161761603325</v>
      </c>
      <c r="AA889" s="2">
        <f ca="1">IF(MIN($AA$4:AA888)=0,0,MAX(0,($AA888+$K889-$O889-$P889)*IF(AND(F889="F",$D$3&lt;&gt;$G$3),((1+$AA$1)^(H889/MIN(G889,365))),((1+$AA$1)^(1/12)))-$U889))</f>
        <v>1920000</v>
      </c>
      <c r="AB889" s="2">
        <f ca="1">IF(MIN($AB$4:AB888)=0,0,MAX(0,($AB888+$K889-$O889-$P889)*IF(AND(F889="F",$D$3&lt;&gt;$G$3),((1+(J889))^(H889/MIN(G889,365))),((1+(J889))^(1/12)))-$U889))</f>
        <v>70433263.223715663</v>
      </c>
      <c r="AC889" s="5"/>
      <c r="AD889" s="5"/>
      <c r="AE889" s="5"/>
      <c r="AF889" s="282">
        <f t="shared" ca="1" si="489"/>
        <v>43507</v>
      </c>
      <c r="AG889" s="282">
        <f t="shared" ca="1" si="490"/>
        <v>1920000</v>
      </c>
      <c r="AH889" s="282">
        <f t="shared" ca="1" si="491"/>
        <v>70433263</v>
      </c>
      <c r="AI889" s="23" t="str">
        <f t="shared" ca="1" si="507"/>
        <v>74-11</v>
      </c>
      <c r="AJ889" s="282">
        <f ca="1">IF(E889&gt;111,,IF(AND(OP!$C$99=1,T889="F"),Z889,IF(AND(OP!$C$99=2,COUNTIF($T$4:T889,"F")=1),OP!$C$97+IF(F889="F",OP!$C$98,0),"")))</f>
        <v>0</v>
      </c>
      <c r="AK889" s="282">
        <f ca="1">IF(E889&gt;111,,IF(AND(OP!$D$99=1,T889="F"),AA889,IF(AND(OP!$D$99=2,COUNTIF($T$4:T889,"F")=1),OP!$D$97+IF(F889="F",OP!$D$98,0),"")))</f>
        <v>0</v>
      </c>
      <c r="AL889" s="282">
        <f ca="1">IF(E889&gt;111,,IF(AND(OP!$E$99=1,T889="F"),AB889,IF(AND(OP!$E$99=2,COUNTIF($T$4:T889,"F")=1),OP!$E$97+IF(F889="F",OP!$E$98,0),"")))</f>
        <v>0</v>
      </c>
      <c r="AM889" s="1">
        <f t="shared" ca="1" si="481"/>
        <v>11</v>
      </c>
      <c r="AN889" s="1" t="e">
        <f ca="1">IF(OR(VLOOKUP($A889,MP,5,0)="季繳",VLOOKUP($A889,MP,5,0)="月繳"),1,"")</f>
        <v>#N/A</v>
      </c>
      <c r="AO889" s="1">
        <f t="shared" ca="1" si="492"/>
        <v>0</v>
      </c>
      <c r="AP889" s="1" t="str">
        <f ca="1">IF(AND(A889&lt;=OP!$C$120,COUNTIF(PAY,C889)=1),1,"")</f>
        <v/>
      </c>
      <c r="AR889" s="301">
        <f ca="1">IF(繳費報酬率資料!$A$1=1,$AY889+$AZ889,$BF889+$BG889)</f>
        <v>0</v>
      </c>
      <c r="AS889" s="1">
        <f ca="1">IF(C889&lt;&gt;IF($C$3=1,12,$C$3-1),0,IF(繳費報酬率資料!$A$1&lt;&gt;1,VLOOKUP($A889,MP,8,0),IF(AND($A889&gt;=OP!$C$79,$A889&lt;=OP!$C$80),OP!$C$78,)))</f>
        <v>0</v>
      </c>
      <c r="AT889" s="298">
        <f t="shared" ca="1" si="493"/>
        <v>0</v>
      </c>
      <c r="AU889" s="298">
        <f ca="1">IF(AND(A889&lt;=OP!$C$120,COUNTIF(PAY,C889)=1),OP!$C$123,0)</f>
        <v>0</v>
      </c>
      <c r="AV889" s="298">
        <f ca="1">IF(AND(A889&gt;=OP!$C$132,A889&lt;=OP!$C$133,$C$3=C889),OP!$C$135,0)</f>
        <v>0</v>
      </c>
      <c r="AW889" s="180">
        <f t="shared" ca="1" si="494"/>
        <v>0.05</v>
      </c>
      <c r="AX889" s="180">
        <f t="shared" ca="1" si="495"/>
        <v>0.05</v>
      </c>
      <c r="AY889" s="286">
        <f t="shared" ca="1" si="496"/>
        <v>0</v>
      </c>
      <c r="AZ889" s="286">
        <f t="shared" ca="1" si="497"/>
        <v>0</v>
      </c>
      <c r="BA889" s="286">
        <f t="shared" ca="1" si="498"/>
        <v>0</v>
      </c>
      <c r="BB889" s="286">
        <f t="shared" ca="1" si="499"/>
        <v>0</v>
      </c>
      <c r="BC889" s="286">
        <f t="shared" ca="1" si="500"/>
        <v>0</v>
      </c>
      <c r="BD889" s="180">
        <f t="shared" ca="1" si="501"/>
        <v>0.05</v>
      </c>
      <c r="BE889" s="180">
        <f t="shared" ca="1" si="502"/>
        <v>0.05</v>
      </c>
      <c r="BF889" s="286">
        <f t="shared" ca="1" si="503"/>
        <v>0</v>
      </c>
      <c r="BG889" s="286">
        <f t="shared" ca="1" si="504"/>
        <v>0</v>
      </c>
    </row>
    <row r="890" spans="1:59">
      <c r="A890" s="1">
        <f t="shared" ca="1" si="484"/>
        <v>74</v>
      </c>
      <c r="B890" s="1">
        <f t="shared" ca="1" si="477"/>
        <v>180</v>
      </c>
      <c r="C890" s="1">
        <f t="shared" ca="1" si="478"/>
        <v>4</v>
      </c>
      <c r="D890" s="1">
        <f ca="1">MIN($D$3,VLOOKUP(C890,OP!$S$30:$T$41,2))</f>
        <v>2</v>
      </c>
      <c r="E890" s="1" t="str">
        <f t="shared" ca="1" si="479"/>
        <v/>
      </c>
      <c r="F890" s="11" t="str">
        <f t="shared" ca="1" si="485"/>
        <v/>
      </c>
      <c r="G890" s="8">
        <f t="shared" ca="1" si="511"/>
        <v>365</v>
      </c>
      <c r="H890" s="8">
        <f t="shared" ca="1" si="486"/>
        <v>30</v>
      </c>
      <c r="I890" s="8" t="str">
        <f t="shared" ca="1" si="483"/>
        <v>744</v>
      </c>
      <c r="J890" s="13">
        <f>IF(繳費報酬率資料!$A$1=1,VALUE(OP!$C$121),VLOOKUP(A890,MP,2,0))</f>
        <v>0.05</v>
      </c>
      <c r="K890" s="14">
        <f ca="1">IF(SUM($K$4:K889,IF(繳費報酬率資料!$A$1=1,$AU890+$AV890,$BB890+$BC890))&gt;OP!$L$58,0,IF(繳費報酬率資料!$A$1=1,$AU890+$AV890,$BB890+$BC890))</f>
        <v>0</v>
      </c>
      <c r="L890" s="2"/>
      <c r="M890" s="2"/>
      <c r="N890" s="2"/>
      <c r="O890" s="261">
        <f t="shared" ca="1" si="487"/>
        <v>0</v>
      </c>
      <c r="P890" s="261">
        <f t="shared" ca="1" si="505"/>
        <v>0</v>
      </c>
      <c r="Q890" s="3">
        <f ca="1">IF(A890&gt;MAX(OP!$R$17:$R$26),0,VLOOKUP(A890,fees,3,FALSE))</f>
        <v>0</v>
      </c>
      <c r="R890" s="200" t="str">
        <f t="shared" ca="1" si="488"/>
        <v/>
      </c>
      <c r="S890" s="9" t="str">
        <f ca="1">IF(COUNTIF(($T$4:T889),"F")&gt;=1,"",IF(OR(C891&lt;&gt;$C$3,E890=""),"",A890))</f>
        <v/>
      </c>
      <c r="T890" s="20" t="str">
        <f t="shared" ca="1" si="480"/>
        <v/>
      </c>
      <c r="U890" s="2">
        <f ca="1">IF(IF(OP!$C$83=1,$Z889,IF(OP!$C$83=2,$AA889,IF(OP!$C$83=3,$AB889,)))+$K890-$O890-$P890-$AS890&lt;OP!$C$142,0,$AS890)</f>
        <v>0</v>
      </c>
      <c r="V890" s="9"/>
      <c r="W890" s="19">
        <f ca="1">MAX(SUM($K$4:K890),0)</f>
        <v>2000000</v>
      </c>
      <c r="X890" s="19"/>
      <c r="Y890" s="19">
        <f t="shared" ca="1" si="506"/>
        <v>1920000</v>
      </c>
      <c r="Z890" s="2">
        <f ca="1">IF(MIN($Z$4:Z889)=0,0,MAX(0,($Z889+$K890-$O890-$P890)*IF(AND(F890="F",$D$3&lt;&gt;$G$3),((1+(-J890))^(H890/MIN(G890,365))),((1+(-J890))^(1/12)))-$U890))</f>
        <v>43321.589847583193</v>
      </c>
      <c r="AA890" s="2">
        <f ca="1">IF(MIN($AA$4:AA889)=0,0,MAX(0,($AA889+$K890-$O890-$P890)*IF(AND(F890="F",$D$3&lt;&gt;$G$3),((1+$AA$1)^(H890/MIN(G890,365))),((1+$AA$1)^(1/12)))-$U890))</f>
        <v>1920000</v>
      </c>
      <c r="AB890" s="2">
        <f ca="1">IF(MIN($AB$4:AB889)=0,0,MAX(0,($AB889+$K890-$O890-$P890)*IF(AND(F890="F",$D$3&lt;&gt;$G$3),((1+(J890))^(H890/MIN(G890,365))),((1+(J890))^(1/12)))-$U890))</f>
        <v>70720217.056575373</v>
      </c>
      <c r="AC890" s="5"/>
      <c r="AD890" s="5"/>
      <c r="AE890" s="5"/>
      <c r="AF890" s="282">
        <f t="shared" ca="1" si="489"/>
        <v>43322</v>
      </c>
      <c r="AG890" s="282">
        <f t="shared" ca="1" si="490"/>
        <v>1920000</v>
      </c>
      <c r="AH890" s="282">
        <f t="shared" ca="1" si="491"/>
        <v>70720217</v>
      </c>
      <c r="AI890" s="23" t="str">
        <f t="shared" ca="1" si="507"/>
        <v>74-12</v>
      </c>
      <c r="AJ890" s="282">
        <f ca="1">IF(E890&gt;111,,IF(AND(OP!$C$99=1,T890="F"),Z890,IF(AND(OP!$C$99=2,COUNTIF($T$4:T890,"F")=1),OP!$C$97+IF(F890="F",OP!$C$98,0),"")))</f>
        <v>0</v>
      </c>
      <c r="AK890" s="282">
        <f ca="1">IF(E890&gt;111,,IF(AND(OP!$D$99=1,T890="F"),AA890,IF(AND(OP!$D$99=2,COUNTIF($T$4:T890,"F")=1),OP!$D$97+IF(F890="F",OP!$D$98,0),"")))</f>
        <v>0</v>
      </c>
      <c r="AL890" s="282">
        <f ca="1">IF(E890&gt;111,,IF(AND(OP!$E$99=1,T890="F"),AB890,IF(AND(OP!$E$99=2,COUNTIF($T$4:T890,"F")=1),OP!$E$97+IF(F890="F",OP!$E$98,0),"")))</f>
        <v>0</v>
      </c>
      <c r="AM890" s="1">
        <f t="shared" ca="1" si="481"/>
        <v>12</v>
      </c>
      <c r="AN890" s="1" t="e">
        <f ca="1">IF(OR(VLOOKUP($A890,MP,5,0)="月繳"),1,"")</f>
        <v>#N/A</v>
      </c>
      <c r="AO890" s="1">
        <f t="shared" ca="1" si="492"/>
        <v>0</v>
      </c>
      <c r="AP890" s="1" t="str">
        <f ca="1">IF(AND(A890&lt;=OP!$C$120,COUNTIF(PAY,C890)=1),1,"")</f>
        <v/>
      </c>
      <c r="AR890" s="301">
        <f ca="1">IF(繳費報酬率資料!$A$1=1,$AY890+$AZ890,$BF890+$BG890)</f>
        <v>0</v>
      </c>
      <c r="AS890" s="1">
        <f ca="1">IF(C890&lt;&gt;IF($C$3=1,12,$C$3-1),0,IF(繳費報酬率資料!$A$1&lt;&gt;1,VLOOKUP($A890,MP,8,0),IF(AND($A890&gt;=OP!$C$79,$A890&lt;=OP!$C$80),OP!$C$78,)))</f>
        <v>0</v>
      </c>
      <c r="AT890" s="298">
        <f t="shared" ca="1" si="493"/>
        <v>0</v>
      </c>
      <c r="AU890" s="298">
        <f ca="1">IF(AND(A890&lt;=OP!$C$120,COUNTIF(PAY,C890)=1),OP!$C$123,0)</f>
        <v>0</v>
      </c>
      <c r="AV890" s="298">
        <f ca="1">IF(AND(A890&gt;=OP!$C$132,A890&lt;=OP!$C$133,$C$3=C890),OP!$C$135,0)</f>
        <v>0</v>
      </c>
      <c r="AW890" s="180">
        <f t="shared" ca="1" si="494"/>
        <v>0.05</v>
      </c>
      <c r="AX890" s="180">
        <f t="shared" ca="1" si="495"/>
        <v>0.05</v>
      </c>
      <c r="AY890" s="286">
        <f t="shared" ca="1" si="496"/>
        <v>0</v>
      </c>
      <c r="AZ890" s="286">
        <f t="shared" ca="1" si="497"/>
        <v>0</v>
      </c>
      <c r="BA890" s="286">
        <f t="shared" ca="1" si="498"/>
        <v>0</v>
      </c>
      <c r="BB890" s="286">
        <f t="shared" ca="1" si="499"/>
        <v>0</v>
      </c>
      <c r="BC890" s="286">
        <f t="shared" ca="1" si="500"/>
        <v>0</v>
      </c>
      <c r="BD890" s="180">
        <f t="shared" ca="1" si="501"/>
        <v>0.05</v>
      </c>
      <c r="BE890" s="180">
        <f t="shared" ca="1" si="502"/>
        <v>0.05</v>
      </c>
      <c r="BF890" s="286">
        <f t="shared" ca="1" si="503"/>
        <v>0</v>
      </c>
      <c r="BG890" s="286">
        <f t="shared" ca="1" si="504"/>
        <v>0</v>
      </c>
    </row>
    <row r="891" spans="1:59">
      <c r="A891" s="1">
        <f t="shared" ca="1" si="484"/>
        <v>74</v>
      </c>
      <c r="B891" s="1">
        <f t="shared" ca="1" si="477"/>
        <v>180</v>
      </c>
      <c r="C891" s="1">
        <f t="shared" ca="1" si="478"/>
        <v>5</v>
      </c>
      <c r="D891" s="1">
        <f ca="1">MIN($D$3,VLOOKUP(C891,OP!$S$30:$T$41,2))</f>
        <v>2</v>
      </c>
      <c r="E891" s="1" t="str">
        <f t="shared" ca="1" si="479"/>
        <v/>
      </c>
      <c r="F891" s="11" t="str">
        <f t="shared" ca="1" si="485"/>
        <v/>
      </c>
      <c r="G891" s="8">
        <f t="shared" ca="1" si="511"/>
        <v>365</v>
      </c>
      <c r="H891" s="8">
        <f t="shared" ca="1" si="486"/>
        <v>31</v>
      </c>
      <c r="I891" s="8" t="str">
        <f t="shared" ca="1" si="483"/>
        <v>745</v>
      </c>
      <c r="J891" s="13">
        <f>IF(繳費報酬率資料!$A$1=1,VALUE(OP!$C$121),VLOOKUP(A891,MP,2,0))</f>
        <v>0.05</v>
      </c>
      <c r="K891" s="14">
        <f ca="1">IF(SUM($K$4:K890,IF(繳費報酬率資料!$A$1=1,$AU891+$AV891,$BB891+$BC891))&gt;OP!$L$58,0,IF(繳費報酬率資料!$A$1=1,$AU891+$AV891,$BB891+$BC891))</f>
        <v>0</v>
      </c>
      <c r="L891" s="2">
        <f ca="1">ROUND(IF(OP!$C$78&lt;(IF(OR($T891="F",$E891&gt;=111),0,Z890+$K891-$O891+IF($C$1=1,OP!$C$78,IF($C892=$C$3,SUM(AC880:AC891,0)))))*5%,0,(OP!$C$78-((IF(OR($T891="F",$E891&gt;=111),0,Z890+$K891-$O891+IF($C$1=1,AC891,IF($C892=$C$3,SUM(AC880:AC891,0)))))*5%))*$Q891),0)</f>
        <v>0</v>
      </c>
      <c r="M891" s="2">
        <f ca="1">ROUND(IF(OP!$C$78&lt;(IF(OR($T891="F",$E891&gt;=111),0,AA890+$K891-$O891+IF($C$1=1,AD891,IF($C892=$C$3,SUM(AD880:AD891,0)))))*5%,0,(OP!$C$78-((IF(OR($T891="F",$E891&gt;=111),0,AA890+$K891-$O891+IF($C$1=1,AD891,IF($C892=$C$3,SUM(AD880:AD891,0)))))*5%))*$Q891),0)</f>
        <v>0</v>
      </c>
      <c r="N891" s="2">
        <f ca="1">ROUND(IF(OP!$C$78&lt;(IF(OR($T891="F",$E891&gt;=111),0,AB890+$K891-$O891+IF($C$1=1,AE891,IF($C892=$C$3,SUM(AE880:AE891,0)))))*5%,0,(OP!$C$78-((IF(OR($T891="F",$E891&gt;=111),0,AB890+$K891-$O891+IF($C$1=1,AE891,IF($C892=$C$3,SUM(AE880:AE891,0)))))*5%))*$Q891),0)</f>
        <v>0</v>
      </c>
      <c r="O891" s="261">
        <f t="shared" ca="1" si="487"/>
        <v>0</v>
      </c>
      <c r="P891" s="261">
        <f t="shared" ca="1" si="505"/>
        <v>0</v>
      </c>
      <c r="Q891" s="3">
        <f ca="1">IF(A891&gt;MAX(OP!$R$17:$R$26),0,VLOOKUP(A891,fees,3,FALSE))</f>
        <v>0</v>
      </c>
      <c r="R891" s="200" t="str">
        <f t="shared" ca="1" si="488"/>
        <v/>
      </c>
      <c r="S891" s="9" t="str">
        <f ca="1">IF(COUNTIF(($T$4:T890),"F")&gt;=1,"",IF(OR(C892&lt;&gt;$C$3,E891=""),"",A891))</f>
        <v/>
      </c>
      <c r="T891" s="20" t="str">
        <f t="shared" ca="1" si="480"/>
        <v/>
      </c>
      <c r="U891" s="2">
        <f ca="1">IF(IF(OP!$C$83=1,$Z890,IF(OP!$C$83=2,$AA890,IF(OP!$C$83=3,$AB890,)))+$K891-$O891-$P891-$AS891&lt;OP!$C$142,0,$AS891)</f>
        <v>0</v>
      </c>
      <c r="V891" s="19">
        <f ca="1">SUM(K880:K891)</f>
        <v>0</v>
      </c>
      <c r="W891" s="19">
        <f ca="1">MAX(SUM($K$4:K891),0)</f>
        <v>2000000</v>
      </c>
      <c r="X891" s="19">
        <f ca="1">SUM(O880:P891)</f>
        <v>0</v>
      </c>
      <c r="Y891" s="19">
        <f t="shared" ca="1" si="506"/>
        <v>1920000</v>
      </c>
      <c r="Z891" s="2">
        <f ca="1">IF(MIN($Z$4:Z890)=0,0,MAX(0,($Z890+$K891-$O891-$P891)*IF(AND(F891="F",$D$3&lt;&gt;$G$3),((1+(-J891))^(H891/MIN(G891,365))),((1+(-J891))^(1/12)))-$U891))</f>
        <v>43136.809456932519</v>
      </c>
      <c r="AA891" s="2">
        <f ca="1">IF(MIN($AA$4:AA890)=0,0,MAX(0,($AA890+$K891-$O891-$P891)*IF(AND(F891="F",$D$3&lt;&gt;$G$3),((1+$AA$1)^(H891/MIN(G891,365))),((1+$AA$1)^(1/12)))-$U891))</f>
        <v>1920000</v>
      </c>
      <c r="AB891" s="2">
        <f ca="1">IF(MIN($AB$4:AB890)=0,0,MAX(0,($AB890+$K891-$O891-$P891)*IF(AND(F891="F",$D$3&lt;&gt;$G$3),((1+(J891))^(H891/MIN(G891,365))),((1+(J891))^(1/12)))-$U891))</f>
        <v>71008339.974870339</v>
      </c>
      <c r="AC891" s="5"/>
      <c r="AD891" s="5"/>
      <c r="AE891" s="5"/>
      <c r="AF891" s="282">
        <f t="shared" ca="1" si="489"/>
        <v>43137</v>
      </c>
      <c r="AG891" s="282">
        <f t="shared" ca="1" si="490"/>
        <v>1920000</v>
      </c>
      <c r="AH891" s="282">
        <f t="shared" ca="1" si="491"/>
        <v>71008340</v>
      </c>
      <c r="AI891" s="23" t="str">
        <f t="shared" ca="1" si="507"/>
        <v>75-1</v>
      </c>
      <c r="AJ891" s="282">
        <f ca="1">IF(E891&gt;111,,IF(AND(OP!$C$99=1,T891="F"),Z891,IF(AND(OP!$C$99=2,COUNTIF($T$4:T891,"F")=1),OP!$C$97+IF(F891="F",OP!$C$98,0),"")))</f>
        <v>0</v>
      </c>
      <c r="AK891" s="282">
        <f ca="1">IF(E891&gt;111,,IF(AND(OP!$D$99=1,T891="F"),AA891,IF(AND(OP!$D$99=2,COUNTIF($T$4:T891,"F")=1),OP!$D$97+IF(F891="F",OP!$D$98,0),"")))</f>
        <v>0</v>
      </c>
      <c r="AL891" s="282">
        <f ca="1">IF(E891&gt;111,,IF(AND(OP!$E$99=1,T891="F"),AB891,IF(AND(OP!$E$99=2,COUNTIF($T$4:T891,"F")=1),OP!$E$97+IF(F891="F",OP!$E$98,0),"")))</f>
        <v>0</v>
      </c>
      <c r="AM891" s="1">
        <f t="shared" ca="1" si="481"/>
        <v>1</v>
      </c>
      <c r="AN891" s="1" t="e">
        <f ca="1">IF(OR(VLOOKUP($A891,MP,5,0)="月繳"),1,"")</f>
        <v>#N/A</v>
      </c>
      <c r="AO891" s="1">
        <f t="shared" ca="1" si="492"/>
        <v>0</v>
      </c>
      <c r="AP891" s="1" t="str">
        <f ca="1">IF(AND(A891&lt;=OP!$C$120,COUNTIF(PAY,C891)=1),1,"")</f>
        <v/>
      </c>
      <c r="AR891" s="301">
        <f ca="1">IF(繳費報酬率資料!$A$1=1,$AY891+$AZ891,$BF891+$BG891)</f>
        <v>0</v>
      </c>
      <c r="AS891" s="1">
        <f ca="1">IF(C891&lt;&gt;IF($C$3=1,12,$C$3-1),0,IF(繳費報酬率資料!$A$1&lt;&gt;1,VLOOKUP($A891,MP,8,0),IF(AND($A891&gt;=OP!$C$79,$A891&lt;=OP!$C$80),OP!$C$78,)))</f>
        <v>0</v>
      </c>
      <c r="AT891" s="298">
        <f t="shared" ca="1" si="493"/>
        <v>0</v>
      </c>
      <c r="AU891" s="298">
        <f ca="1">IF(AND(A891&lt;=OP!$C$120,COUNTIF(PAY,C891)=1),OP!$C$123,0)</f>
        <v>0</v>
      </c>
      <c r="AV891" s="298">
        <f ca="1">IF(AND(A891&gt;=OP!$C$132,A891&lt;=OP!$C$133,$C$3=C891),OP!$C$135,0)</f>
        <v>0</v>
      </c>
      <c r="AW891" s="180">
        <f t="shared" ca="1" si="494"/>
        <v>0.05</v>
      </c>
      <c r="AX891" s="180">
        <f t="shared" ca="1" si="495"/>
        <v>0.05</v>
      </c>
      <c r="AY891" s="286">
        <f t="shared" ca="1" si="496"/>
        <v>0</v>
      </c>
      <c r="AZ891" s="286">
        <f t="shared" ca="1" si="497"/>
        <v>0</v>
      </c>
      <c r="BA891" s="286">
        <f t="shared" ca="1" si="498"/>
        <v>0</v>
      </c>
      <c r="BB891" s="286">
        <f t="shared" ca="1" si="499"/>
        <v>0</v>
      </c>
      <c r="BC891" s="286">
        <f t="shared" ca="1" si="500"/>
        <v>0</v>
      </c>
      <c r="BD891" s="180">
        <f t="shared" ca="1" si="501"/>
        <v>0.05</v>
      </c>
      <c r="BE891" s="180">
        <f t="shared" ca="1" si="502"/>
        <v>0.05</v>
      </c>
      <c r="BF891" s="286">
        <f t="shared" ca="1" si="503"/>
        <v>0</v>
      </c>
      <c r="BG891" s="286">
        <f t="shared" ca="1" si="504"/>
        <v>0</v>
      </c>
    </row>
    <row r="892" spans="1:59">
      <c r="A892" s="1">
        <f t="shared" ca="1" si="484"/>
        <v>75</v>
      </c>
      <c r="B892" s="1">
        <f t="shared" ref="B892:B955" ca="1" si="512">IF(C892=1,B891+1,B891)</f>
        <v>180</v>
      </c>
      <c r="C892" s="1">
        <f t="shared" ref="C892:C955" ca="1" si="513">IF(C891=12,1,C891+1)</f>
        <v>6</v>
      </c>
      <c r="D892" s="1">
        <f ca="1">MIN($D$3,VLOOKUP(C892,OP!$S$30:$T$41,2))</f>
        <v>2</v>
      </c>
      <c r="E892" s="1" t="str">
        <f t="shared" ref="E892:E955" ca="1" si="514">IF($K$1+A892-1&gt;$D$1,"",$K$1+A892-1)</f>
        <v/>
      </c>
      <c r="F892" s="11" t="str">
        <f t="shared" ca="1" si="485"/>
        <v/>
      </c>
      <c r="G892" s="6">
        <f ca="1">DATEDIF(DATE(B892+1911,C892,D892),DATE(B904+1911,C904,D904),"d")</f>
        <v>366</v>
      </c>
      <c r="H892" s="8">
        <f t="shared" ca="1" si="486"/>
        <v>30</v>
      </c>
      <c r="I892" s="8" t="str">
        <f t="shared" ca="1" si="483"/>
        <v>756</v>
      </c>
      <c r="J892" s="13">
        <f>IF(繳費報酬率資料!$A$1=1,VALUE(OP!$C$121),VLOOKUP(A892,MP,2,0))</f>
        <v>0.05</v>
      </c>
      <c r="K892" s="14">
        <f ca="1">IF(SUM($K$4:K891,IF(繳費報酬率資料!$A$1=1,$AU892+$AV892,$BB892+$BC892))&gt;OP!$L$58,0,IF(繳費報酬率資料!$A$1=1,$AU892+$AV892,$BB892+$BC892))</f>
        <v>0</v>
      </c>
      <c r="L892" s="2"/>
      <c r="M892" s="2"/>
      <c r="N892" s="2"/>
      <c r="O892" s="261">
        <f t="shared" ca="1" si="487"/>
        <v>0</v>
      </c>
      <c r="P892" s="261">
        <f t="shared" ca="1" si="505"/>
        <v>0</v>
      </c>
      <c r="Q892" s="3">
        <f ca="1">IF(A892&gt;MAX(OP!$R$17:$R$26),0,VLOOKUP(A892,fees,3,FALSE))</f>
        <v>0</v>
      </c>
      <c r="R892" s="200" t="str">
        <f t="shared" ca="1" si="488"/>
        <v/>
      </c>
      <c r="S892" s="9" t="str">
        <f ca="1">IF(COUNTIF(($T$4:T891),"F")&gt;=1,"",IF(OR(C893&lt;&gt;$C$3,E892=""),"",A892))</f>
        <v/>
      </c>
      <c r="T892" s="20" t="str">
        <f t="shared" ref="T892:T955" ca="1" si="515">IF(F892&lt;&gt;"","F","")</f>
        <v/>
      </c>
      <c r="U892" s="2">
        <f ca="1">IF(IF(OP!$C$83=1,$Z891,IF(OP!$C$83=2,$AA891,IF(OP!$C$83=3,$AB891,)))+$K892-$O892-$P892-$AS892&lt;OP!$C$142,0,$AS892)</f>
        <v>0</v>
      </c>
      <c r="V892" s="9"/>
      <c r="W892" s="19">
        <f ca="1">MAX(SUM($K$4:K892),0)</f>
        <v>2000000</v>
      </c>
      <c r="X892" s="19"/>
      <c r="Y892" s="19">
        <f t="shared" ca="1" si="506"/>
        <v>1920000</v>
      </c>
      <c r="Z892" s="2">
        <f ca="1">IF(MIN($Z$4:Z891)=0,0,MAX(0,($Z891+$K892-$O892-$P892)*IF(AND(F892="F",$D$3&lt;&gt;$G$3),((1+(-J892))^(H892/MIN(G892,365))),((1+(-J892))^(1/12)))-$U892))</f>
        <v>42952.817213551811</v>
      </c>
      <c r="AA892" s="2">
        <f ca="1">IF(MIN($AA$4:AA891)=0,0,MAX(0,($AA891+$K892-$O892-$P892)*IF(AND(F892="F",$D$3&lt;&gt;$G$3),((1+$AA$1)^(H892/MIN(G892,365))),((1+$AA$1)^(1/12)))-$U892))</f>
        <v>1920000</v>
      </c>
      <c r="AB892" s="2">
        <f ca="1">IF(MIN($AB$4:AB891)=0,0,MAX(0,($AB891+$K892-$O892-$P892)*IF(AND(F892="F",$D$3&lt;&gt;$G$3),((1+(J892))^(H892/MIN(G892,365))),((1+(J892))^(1/12)))-$U892))</f>
        <v>71297636.741599351</v>
      </c>
      <c r="AC892" s="21"/>
      <c r="AD892" s="21"/>
      <c r="AE892" s="21"/>
      <c r="AF892" s="282">
        <f t="shared" ca="1" si="489"/>
        <v>42953</v>
      </c>
      <c r="AG892" s="282">
        <f t="shared" ca="1" si="490"/>
        <v>1920000</v>
      </c>
      <c r="AH892" s="282">
        <f t="shared" ca="1" si="491"/>
        <v>71297637</v>
      </c>
      <c r="AI892" s="23" t="str">
        <f t="shared" ca="1" si="507"/>
        <v>75-2</v>
      </c>
      <c r="AJ892" s="281">
        <f ca="1">IF(E892&gt;111,,IF(AND(OP!$C$99=1,T892="F"),Z892,IF(AND(OP!$C$99=2,COUNTIF($T$4:T892,"F")=1),OP!$C$97+IF(F892="F",OP!$C$98,0),"")))</f>
        <v>0</v>
      </c>
      <c r="AK892" s="281">
        <f ca="1">IF(E892&gt;111,,IF(AND(OP!$D$99=1,T892="F"),AA892,IF(AND(OP!$D$99=2,COUNTIF($T$4:T892,"F")=1),OP!$D$97+IF(F892="F",OP!$D$98,0),"")))</f>
        <v>0</v>
      </c>
      <c r="AL892" s="281">
        <f ca="1">IF(E892&gt;111,,IF(AND(OP!$E$99=1,T892="F"),AB892,IF(AND(OP!$E$99=2,COUNTIF($T$4:T892,"F")=1),OP!$E$97+IF(F892="F",OP!$E$98,0),"")))</f>
        <v>0</v>
      </c>
      <c r="AM892" s="1">
        <f t="shared" ref="AM892:AM955" ca="1" si="516">IF(AND(AK892&lt;&gt;"",AM891=""),1,IF(AND(AK892&lt;&gt;"",AM891&gt;0),IF(AM891=12,1,AM891+1),""))</f>
        <v>2</v>
      </c>
      <c r="AN892" s="1" t="e">
        <f ca="1">IF(OR(VLOOKUP($A892,MP,5,0)="年繳",VLOOKUP($A892,MP,5,0)="半年繳",VLOOKUP($A892,MP,5,0)="季繳",VLOOKUP($A892,MP,5,0)="月繳"),1,"")</f>
        <v>#N/A</v>
      </c>
      <c r="AO892" s="1">
        <f t="shared" ca="1" si="492"/>
        <v>0</v>
      </c>
      <c r="AP892" s="1" t="str">
        <f ca="1">IF(AND(A892&lt;=OP!$C$120,COUNTIF(PAY,C892)=1),1,"")</f>
        <v/>
      </c>
      <c r="AR892" s="301">
        <f ca="1">IF(繳費報酬率資料!$A$1=1,$AY892+$AZ892,$BF892+$BG892)</f>
        <v>0</v>
      </c>
      <c r="AS892" s="1">
        <f ca="1">IF(C892&lt;&gt;IF($C$3=1,12,$C$3-1),0,IF(繳費報酬率資料!$A$1&lt;&gt;1,VLOOKUP($A892,MP,8,0),IF(AND($A892&gt;=OP!$C$79,$A892&lt;=OP!$C$80),OP!$C$78,)))</f>
        <v>0</v>
      </c>
      <c r="AT892" s="298">
        <f t="shared" ca="1" si="493"/>
        <v>0</v>
      </c>
      <c r="AU892" s="298">
        <f ca="1">IF(AND(A892&lt;=OP!$C$120,COUNTIF(PAY,C892)=1),OP!$C$123,0)</f>
        <v>0</v>
      </c>
      <c r="AV892" s="298">
        <f ca="1">IF(AND(A892&gt;=OP!$C$132,A892&lt;=OP!$C$133,$C$3=C892),OP!$C$135,0)</f>
        <v>0</v>
      </c>
      <c r="AW892" s="180">
        <f t="shared" ca="1" si="494"/>
        <v>0.05</v>
      </c>
      <c r="AX892" s="180">
        <f t="shared" ca="1" si="495"/>
        <v>0.05</v>
      </c>
      <c r="AY892" s="286">
        <f t="shared" ca="1" si="496"/>
        <v>0</v>
      </c>
      <c r="AZ892" s="286">
        <f t="shared" ca="1" si="497"/>
        <v>0</v>
      </c>
      <c r="BA892" s="286">
        <f t="shared" ca="1" si="498"/>
        <v>0</v>
      </c>
      <c r="BB892" s="286">
        <f t="shared" ca="1" si="499"/>
        <v>0</v>
      </c>
      <c r="BC892" s="286">
        <f t="shared" ca="1" si="500"/>
        <v>0</v>
      </c>
      <c r="BD892" s="180">
        <f t="shared" ca="1" si="501"/>
        <v>0.05</v>
      </c>
      <c r="BE892" s="180">
        <f t="shared" ca="1" si="502"/>
        <v>0.05</v>
      </c>
      <c r="BF892" s="286">
        <f t="shared" ca="1" si="503"/>
        <v>0</v>
      </c>
      <c r="BG892" s="286">
        <f t="shared" ca="1" si="504"/>
        <v>0</v>
      </c>
    </row>
    <row r="893" spans="1:59">
      <c r="A893" s="1">
        <f t="shared" ca="1" si="484"/>
        <v>75</v>
      </c>
      <c r="B893" s="1">
        <f t="shared" ca="1" si="512"/>
        <v>180</v>
      </c>
      <c r="C893" s="1">
        <f t="shared" ca="1" si="513"/>
        <v>7</v>
      </c>
      <c r="D893" s="1">
        <f ca="1">MIN($D$3,VLOOKUP(C893,OP!$S$30:$T$41,2))</f>
        <v>2</v>
      </c>
      <c r="E893" s="1" t="str">
        <f t="shared" ca="1" si="514"/>
        <v/>
      </c>
      <c r="F893" s="11" t="str">
        <f t="shared" ca="1" si="485"/>
        <v/>
      </c>
      <c r="G893" s="8">
        <f t="shared" ref="G893:G903" ca="1" si="517">G892</f>
        <v>366</v>
      </c>
      <c r="H893" s="8">
        <f t="shared" ca="1" si="486"/>
        <v>31</v>
      </c>
      <c r="I893" s="8" t="str">
        <f t="shared" ca="1" si="483"/>
        <v>757</v>
      </c>
      <c r="J893" s="13">
        <f>IF(繳費報酬率資料!$A$1=1,VALUE(OP!$C$121),VLOOKUP(A893,MP,2,0))</f>
        <v>0.05</v>
      </c>
      <c r="K893" s="14">
        <f ca="1">IF(SUM($K$4:K892,IF(繳費報酬率資料!$A$1=1,$AU893+$AV893,$BB893+$BC893))&gt;OP!$L$58,0,IF(繳費報酬率資料!$A$1=1,$AU893+$AV893,$BB893+$BC893))</f>
        <v>0</v>
      </c>
      <c r="L893" s="2"/>
      <c r="M893" s="2"/>
      <c r="N893" s="2"/>
      <c r="O893" s="261">
        <f t="shared" ca="1" si="487"/>
        <v>0</v>
      </c>
      <c r="P893" s="261">
        <f t="shared" ca="1" si="505"/>
        <v>0</v>
      </c>
      <c r="Q893" s="3">
        <f ca="1">IF(A893&gt;MAX(OP!$R$17:$R$26),0,VLOOKUP(A893,fees,3,FALSE))</f>
        <v>0</v>
      </c>
      <c r="R893" s="200" t="str">
        <f t="shared" ca="1" si="488"/>
        <v/>
      </c>
      <c r="S893" s="9" t="str">
        <f ca="1">IF(COUNTIF(($T$4:T892),"F")&gt;=1,"",IF(OR(C894&lt;&gt;$C$3,E893=""),"",A893))</f>
        <v/>
      </c>
      <c r="T893" s="20" t="str">
        <f t="shared" ca="1" si="515"/>
        <v/>
      </c>
      <c r="U893" s="2">
        <f ca="1">IF(IF(OP!$C$83=1,$Z892,IF(OP!$C$83=2,$AA892,IF(OP!$C$83=3,$AB892,)))+$K893-$O893-$P893-$AS893&lt;OP!$C$142,0,$AS893)</f>
        <v>0</v>
      </c>
      <c r="V893" s="9"/>
      <c r="W893" s="19">
        <f ca="1">MAX(SUM($K$4:K893),0)</f>
        <v>2000000</v>
      </c>
      <c r="X893" s="19"/>
      <c r="Y893" s="19">
        <f t="shared" ca="1" si="506"/>
        <v>1920000</v>
      </c>
      <c r="Z893" s="2">
        <f ca="1">IF(MIN($Z$4:Z892)=0,0,MAX(0,($Z892+$K893-$O893-$P893)*IF(AND(F893="F",$D$3&lt;&gt;$G$3),((1+(-J893))^(H893/MIN(G893,365))),((1+(-J893))^(1/12)))-$U893))</f>
        <v>42769.609755741716</v>
      </c>
      <c r="AA893" s="2">
        <f ca="1">IF(MIN($AA$4:AA892)=0,0,MAX(0,($AA892+$K893-$O893-$P893)*IF(AND(F893="F",$D$3&lt;&gt;$G$3),((1+$AA$1)^(H893/MIN(G893,365))),((1+$AA$1)^(1/12)))-$U893))</f>
        <v>1920000</v>
      </c>
      <c r="AB893" s="2">
        <f ca="1">IF(MIN($AB$4:AB892)=0,0,MAX(0,($AB892+$K893-$O893-$P893)*IF(AND(F893="F",$D$3&lt;&gt;$G$3),((1+(J893))^(H893/MIN(G893,365))),((1+(J893))^(1/12)))-$U893))</f>
        <v>71588112.139166221</v>
      </c>
      <c r="AC893" s="5"/>
      <c r="AD893" s="5"/>
      <c r="AE893" s="5"/>
      <c r="AF893" s="282">
        <f t="shared" ca="1" si="489"/>
        <v>42770</v>
      </c>
      <c r="AG893" s="282">
        <f t="shared" ca="1" si="490"/>
        <v>1920000</v>
      </c>
      <c r="AH893" s="282">
        <f t="shared" ca="1" si="491"/>
        <v>71588112</v>
      </c>
      <c r="AI893" s="23" t="str">
        <f t="shared" ca="1" si="507"/>
        <v>75-3</v>
      </c>
      <c r="AJ893" s="282">
        <f ca="1">IF(E893&gt;111,,IF(AND(OP!$C$99=1,T893="F"),Z893,IF(AND(OP!$C$99=2,COUNTIF($T$4:T893,"F")=1),OP!$C$97+IF(F893="F",OP!$C$98,0),"")))</f>
        <v>0</v>
      </c>
      <c r="AK893" s="282">
        <f ca="1">IF(E893&gt;111,,IF(AND(OP!$D$99=1,T893="F"),AA893,IF(AND(OP!$D$99=2,COUNTIF($T$4:T893,"F")=1),OP!$D$97+IF(F893="F",OP!$D$98,0),"")))</f>
        <v>0</v>
      </c>
      <c r="AL893" s="282">
        <f ca="1">IF(E893&gt;111,,IF(AND(OP!$E$99=1,T893="F"),AB893,IF(AND(OP!$E$99=2,COUNTIF($T$4:T893,"F")=1),OP!$E$97+IF(F893="F",OP!$E$98,0),"")))</f>
        <v>0</v>
      </c>
      <c r="AM893" s="1">
        <f t="shared" ca="1" si="516"/>
        <v>3</v>
      </c>
      <c r="AN893" s="1" t="e">
        <f ca="1">IF(OR(VLOOKUP($A893,MP,5,0)="月繳"),1,"")</f>
        <v>#N/A</v>
      </c>
      <c r="AO893" s="1">
        <f t="shared" ca="1" si="492"/>
        <v>0</v>
      </c>
      <c r="AP893" s="1" t="str">
        <f ca="1">IF(AND(A893&lt;=OP!$C$120,COUNTIF(PAY,C893)=1),1,"")</f>
        <v/>
      </c>
      <c r="AR893" s="301">
        <f ca="1">IF(繳費報酬率資料!$A$1=1,$AY893+$AZ893,$BF893+$BG893)</f>
        <v>0</v>
      </c>
      <c r="AS893" s="1">
        <f ca="1">IF(C893&lt;&gt;IF($C$3=1,12,$C$3-1),0,IF(繳費報酬率資料!$A$1&lt;&gt;1,VLOOKUP($A893,MP,8,0),IF(AND($A893&gt;=OP!$C$79,$A893&lt;=OP!$C$80),OP!$C$78,)))</f>
        <v>0</v>
      </c>
      <c r="AT893" s="298">
        <f t="shared" ca="1" si="493"/>
        <v>0</v>
      </c>
      <c r="AU893" s="298">
        <f ca="1">IF(AND(A893&lt;=OP!$C$120,COUNTIF(PAY,C893)=1),OP!$C$123,0)</f>
        <v>0</v>
      </c>
      <c r="AV893" s="298">
        <f ca="1">IF(AND(A893&gt;=OP!$C$132,A893&lt;=OP!$C$133,$C$3=C893),OP!$C$135,0)</f>
        <v>0</v>
      </c>
      <c r="AW893" s="180">
        <f t="shared" ca="1" si="494"/>
        <v>0.05</v>
      </c>
      <c r="AX893" s="180">
        <f t="shared" ca="1" si="495"/>
        <v>0.05</v>
      </c>
      <c r="AY893" s="286">
        <f t="shared" ca="1" si="496"/>
        <v>0</v>
      </c>
      <c r="AZ893" s="286">
        <f t="shared" ca="1" si="497"/>
        <v>0</v>
      </c>
      <c r="BA893" s="286">
        <f t="shared" ca="1" si="498"/>
        <v>0</v>
      </c>
      <c r="BB893" s="286">
        <f t="shared" ca="1" si="499"/>
        <v>0</v>
      </c>
      <c r="BC893" s="286">
        <f t="shared" ca="1" si="500"/>
        <v>0</v>
      </c>
      <c r="BD893" s="180">
        <f t="shared" ca="1" si="501"/>
        <v>0.05</v>
      </c>
      <c r="BE893" s="180">
        <f t="shared" ca="1" si="502"/>
        <v>0.05</v>
      </c>
      <c r="BF893" s="286">
        <f t="shared" ca="1" si="503"/>
        <v>0</v>
      </c>
      <c r="BG893" s="286">
        <f t="shared" ca="1" si="504"/>
        <v>0</v>
      </c>
    </row>
    <row r="894" spans="1:59">
      <c r="A894" s="1">
        <f t="shared" ca="1" si="484"/>
        <v>75</v>
      </c>
      <c r="B894" s="1">
        <f t="shared" ca="1" si="512"/>
        <v>180</v>
      </c>
      <c r="C894" s="1">
        <f t="shared" ca="1" si="513"/>
        <v>8</v>
      </c>
      <c r="D894" s="1">
        <f ca="1">MIN($D$3,VLOOKUP(C894,OP!$S$30:$T$41,2))</f>
        <v>2</v>
      </c>
      <c r="E894" s="1" t="str">
        <f t="shared" ca="1" si="514"/>
        <v/>
      </c>
      <c r="F894" s="11" t="str">
        <f t="shared" ca="1" si="485"/>
        <v/>
      </c>
      <c r="G894" s="8">
        <f t="shared" ca="1" si="517"/>
        <v>366</v>
      </c>
      <c r="H894" s="8">
        <f t="shared" ca="1" si="486"/>
        <v>31</v>
      </c>
      <c r="I894" s="8" t="str">
        <f t="shared" ca="1" si="483"/>
        <v>758</v>
      </c>
      <c r="J894" s="13">
        <f>IF(繳費報酬率資料!$A$1=1,VALUE(OP!$C$121),VLOOKUP(A894,MP,2,0))</f>
        <v>0.05</v>
      </c>
      <c r="K894" s="14">
        <f ca="1">IF(SUM($K$4:K893,IF(繳費報酬率資料!$A$1=1,$AU894+$AV894,$BB894+$BC894))&gt;OP!$L$58,0,IF(繳費報酬率資料!$A$1=1,$AU894+$AV894,$BB894+$BC894))</f>
        <v>0</v>
      </c>
      <c r="L894" s="2"/>
      <c r="M894" s="2"/>
      <c r="N894" s="2"/>
      <c r="O894" s="261">
        <f t="shared" ca="1" si="487"/>
        <v>0</v>
      </c>
      <c r="P894" s="261">
        <f t="shared" ca="1" si="505"/>
        <v>0</v>
      </c>
      <c r="Q894" s="3">
        <f ca="1">IF(A894&gt;MAX(OP!$R$17:$R$26),0,VLOOKUP(A894,fees,3,FALSE))</f>
        <v>0</v>
      </c>
      <c r="R894" s="200" t="str">
        <f t="shared" ca="1" si="488"/>
        <v/>
      </c>
      <c r="S894" s="9" t="str">
        <f ca="1">IF(COUNTIF(($T$4:T893),"F")&gt;=1,"",IF(OR(C895&lt;&gt;$C$3,E894=""),"",A894))</f>
        <v/>
      </c>
      <c r="T894" s="20" t="str">
        <f t="shared" ca="1" si="515"/>
        <v/>
      </c>
      <c r="U894" s="2">
        <f ca="1">IF(IF(OP!$C$83=1,$Z893,IF(OP!$C$83=2,$AA893,IF(OP!$C$83=3,$AB893,)))+$K894-$O894-$P894-$AS894&lt;OP!$C$142,0,$AS894)</f>
        <v>0</v>
      </c>
      <c r="V894" s="9"/>
      <c r="W894" s="19">
        <f ca="1">MAX(SUM($K$4:K894),0)</f>
        <v>2000000</v>
      </c>
      <c r="X894" s="19"/>
      <c r="Y894" s="19">
        <f t="shared" ca="1" si="506"/>
        <v>1920000</v>
      </c>
      <c r="Z894" s="2">
        <f ca="1">IF(MIN($Z$4:Z893)=0,0,MAX(0,($Z893+$K894-$O894-$P894)*IF(AND(F894="F",$D$3&lt;&gt;$G$3),((1+(-J894))^(H894/MIN(G894,365))),((1+(-J894))^(1/12)))-$U894))</f>
        <v>42587.183736141611</v>
      </c>
      <c r="AA894" s="2">
        <f ca="1">IF(MIN($AA$4:AA893)=0,0,MAX(0,($AA893+$K894-$O894-$P894)*IF(AND(F894="F",$D$3&lt;&gt;$G$3),((1+$AA$1)^(H894/MIN(G894,365))),((1+$AA$1)^(1/12)))-$U894))</f>
        <v>1920000</v>
      </c>
      <c r="AB894" s="2">
        <f ca="1">IF(MIN($AB$4:AB893)=0,0,MAX(0,($AB893+$K894-$O894-$P894)*IF(AND(F894="F",$D$3&lt;&gt;$G$3),((1+(J894))^(H894/MIN(G894,365))),((1+(J894))^(1/12)))-$U894))</f>
        <v>71879770.969458878</v>
      </c>
      <c r="AC894" s="5"/>
      <c r="AD894" s="5"/>
      <c r="AE894" s="5"/>
      <c r="AF894" s="282">
        <f t="shared" ca="1" si="489"/>
        <v>42587</v>
      </c>
      <c r="AG894" s="282">
        <f t="shared" ca="1" si="490"/>
        <v>1920000</v>
      </c>
      <c r="AH894" s="282">
        <f t="shared" ca="1" si="491"/>
        <v>71879771</v>
      </c>
      <c r="AI894" s="23" t="str">
        <f t="shared" ca="1" si="507"/>
        <v>75-4</v>
      </c>
      <c r="AJ894" s="282">
        <f ca="1">IF(E894&gt;111,,IF(AND(OP!$C$99=1,T894="F"),Z894,IF(AND(OP!$C$99=2,COUNTIF($T$4:T894,"F")=1),OP!$C$97+IF(F894="F",OP!$C$98,0),"")))</f>
        <v>0</v>
      </c>
      <c r="AK894" s="282">
        <f ca="1">IF(E894&gt;111,,IF(AND(OP!$D$99=1,T894="F"),AA894,IF(AND(OP!$D$99=2,COUNTIF($T$4:T894,"F")=1),OP!$D$97+IF(F894="F",OP!$D$98,0),"")))</f>
        <v>0</v>
      </c>
      <c r="AL894" s="282">
        <f ca="1">IF(E894&gt;111,,IF(AND(OP!$E$99=1,T894="F"),AB894,IF(AND(OP!$E$99=2,COUNTIF($T$4:T894,"F")=1),OP!$E$97+IF(F894="F",OP!$E$98,0),"")))</f>
        <v>0</v>
      </c>
      <c r="AM894" s="1">
        <f t="shared" ca="1" si="516"/>
        <v>4</v>
      </c>
      <c r="AN894" s="1" t="e">
        <f ca="1">IF(OR(VLOOKUP($A894,MP,5,0)="月繳"),1,"")</f>
        <v>#N/A</v>
      </c>
      <c r="AO894" s="1">
        <f t="shared" ca="1" si="492"/>
        <v>0</v>
      </c>
      <c r="AP894" s="1" t="str">
        <f ca="1">IF(AND(A894&lt;=OP!$C$120,COUNTIF(PAY,C894)=1),1,"")</f>
        <v/>
      </c>
      <c r="AR894" s="301">
        <f ca="1">IF(繳費報酬率資料!$A$1=1,$AY894+$AZ894,$BF894+$BG894)</f>
        <v>0</v>
      </c>
      <c r="AS894" s="1">
        <f ca="1">IF(C894&lt;&gt;IF($C$3=1,12,$C$3-1),0,IF(繳費報酬率資料!$A$1&lt;&gt;1,VLOOKUP($A894,MP,8,0),IF(AND($A894&gt;=OP!$C$79,$A894&lt;=OP!$C$80),OP!$C$78,)))</f>
        <v>0</v>
      </c>
      <c r="AT894" s="298">
        <f t="shared" ca="1" si="493"/>
        <v>0</v>
      </c>
      <c r="AU894" s="298">
        <f ca="1">IF(AND(A894&lt;=OP!$C$120,COUNTIF(PAY,C894)=1),OP!$C$123,0)</f>
        <v>0</v>
      </c>
      <c r="AV894" s="298">
        <f ca="1">IF(AND(A894&gt;=OP!$C$132,A894&lt;=OP!$C$133,$C$3=C894),OP!$C$135,0)</f>
        <v>0</v>
      </c>
      <c r="AW894" s="180">
        <f t="shared" ca="1" si="494"/>
        <v>0.05</v>
      </c>
      <c r="AX894" s="180">
        <f t="shared" ca="1" si="495"/>
        <v>0.05</v>
      </c>
      <c r="AY894" s="286">
        <f t="shared" ca="1" si="496"/>
        <v>0</v>
      </c>
      <c r="AZ894" s="286">
        <f t="shared" ca="1" si="497"/>
        <v>0</v>
      </c>
      <c r="BA894" s="286">
        <f t="shared" ca="1" si="498"/>
        <v>0</v>
      </c>
      <c r="BB894" s="286">
        <f t="shared" ca="1" si="499"/>
        <v>0</v>
      </c>
      <c r="BC894" s="286">
        <f t="shared" ca="1" si="500"/>
        <v>0</v>
      </c>
      <c r="BD894" s="180">
        <f t="shared" ca="1" si="501"/>
        <v>0.05</v>
      </c>
      <c r="BE894" s="180">
        <f t="shared" ca="1" si="502"/>
        <v>0.05</v>
      </c>
      <c r="BF894" s="286">
        <f t="shared" ca="1" si="503"/>
        <v>0</v>
      </c>
      <c r="BG894" s="286">
        <f t="shared" ca="1" si="504"/>
        <v>0</v>
      </c>
    </row>
    <row r="895" spans="1:59">
      <c r="A895" s="1">
        <f t="shared" ca="1" si="484"/>
        <v>75</v>
      </c>
      <c r="B895" s="1">
        <f t="shared" ca="1" si="512"/>
        <v>180</v>
      </c>
      <c r="C895" s="1">
        <f t="shared" ca="1" si="513"/>
        <v>9</v>
      </c>
      <c r="D895" s="1">
        <f ca="1">MIN($D$3,VLOOKUP(C895,OP!$S$30:$T$41,2))</f>
        <v>2</v>
      </c>
      <c r="E895" s="1" t="str">
        <f t="shared" ca="1" si="514"/>
        <v/>
      </c>
      <c r="F895" s="11" t="str">
        <f t="shared" ca="1" si="485"/>
        <v/>
      </c>
      <c r="G895" s="8">
        <f t="shared" ca="1" si="517"/>
        <v>366</v>
      </c>
      <c r="H895" s="8">
        <f t="shared" ca="1" si="486"/>
        <v>30</v>
      </c>
      <c r="I895" s="8" t="str">
        <f t="shared" ca="1" si="483"/>
        <v>759</v>
      </c>
      <c r="J895" s="13">
        <f>IF(繳費報酬率資料!$A$1=1,VALUE(OP!$C$121),VLOOKUP(A895,MP,2,0))</f>
        <v>0.05</v>
      </c>
      <c r="K895" s="14">
        <f ca="1">IF(SUM($K$4:K894,IF(繳費報酬率資料!$A$1=1,$AU895+$AV895,$BB895+$BC895))&gt;OP!$L$58,0,IF(繳費報酬率資料!$A$1=1,$AU895+$AV895,$BB895+$BC895))</f>
        <v>0</v>
      </c>
      <c r="L895" s="2"/>
      <c r="M895" s="2"/>
      <c r="N895" s="2"/>
      <c r="O895" s="261">
        <f t="shared" ca="1" si="487"/>
        <v>0</v>
      </c>
      <c r="P895" s="261">
        <f t="shared" ca="1" si="505"/>
        <v>0</v>
      </c>
      <c r="Q895" s="3">
        <f ca="1">IF(A895&gt;MAX(OP!$R$17:$R$26),0,VLOOKUP(A895,fees,3,FALSE))</f>
        <v>0</v>
      </c>
      <c r="R895" s="200" t="str">
        <f t="shared" ca="1" si="488"/>
        <v/>
      </c>
      <c r="S895" s="9" t="str">
        <f ca="1">IF(COUNTIF(($T$4:T894),"F")&gt;=1,"",IF(OR(C896&lt;&gt;$C$3,E895=""),"",A895))</f>
        <v/>
      </c>
      <c r="T895" s="20" t="str">
        <f t="shared" ca="1" si="515"/>
        <v/>
      </c>
      <c r="U895" s="2">
        <f ca="1">IF(IF(OP!$C$83=1,$Z894,IF(OP!$C$83=2,$AA894,IF(OP!$C$83=3,$AB894,)))+$K895-$O895-$P895-$AS895&lt;OP!$C$142,0,$AS895)</f>
        <v>0</v>
      </c>
      <c r="V895" s="9"/>
      <c r="W895" s="19">
        <f ca="1">MAX(SUM($K$4:K895),0)</f>
        <v>2000000</v>
      </c>
      <c r="X895" s="19"/>
      <c r="Y895" s="19">
        <f t="shared" ca="1" si="506"/>
        <v>1920000</v>
      </c>
      <c r="Z895" s="2">
        <f ca="1">IF(MIN($Z$4:Z894)=0,0,MAX(0,($Z894+$K895-$O895-$P895)*IF(AND(F895="F",$D$3&lt;&gt;$G$3),((1+(-J895))^(H895/MIN(G895,365))),((1+(-J895))^(1/12)))-$U895))</f>
        <v>42405.535821668418</v>
      </c>
      <c r="AA895" s="2">
        <f ca="1">IF(MIN($AA$4:AA894)=0,0,MAX(0,($AA894+$K895-$O895-$P895)*IF(AND(F895="F",$D$3&lt;&gt;$G$3),((1+$AA$1)^(H895/MIN(G895,365))),((1+$AA$1)^(1/12)))-$U895))</f>
        <v>1920000</v>
      </c>
      <c r="AB895" s="2">
        <f ca="1">IF(MIN($AB$4:AB894)=0,0,MAX(0,($AB894+$K895-$O895-$P895)*IF(AND(F895="F",$D$3&lt;&gt;$G$3),((1+(J895))^(H895/MIN(G895,365))),((1+(J895))^(1/12)))-$U895))</f>
        <v>72172618.053928748</v>
      </c>
      <c r="AC895" s="5"/>
      <c r="AD895" s="5"/>
      <c r="AE895" s="5"/>
      <c r="AF895" s="282">
        <f t="shared" ca="1" si="489"/>
        <v>42406</v>
      </c>
      <c r="AG895" s="282">
        <f t="shared" ca="1" si="490"/>
        <v>1920000</v>
      </c>
      <c r="AH895" s="282">
        <f t="shared" ca="1" si="491"/>
        <v>72172618</v>
      </c>
      <c r="AI895" s="23" t="str">
        <f t="shared" ca="1" si="507"/>
        <v>75-5</v>
      </c>
      <c r="AJ895" s="282">
        <f ca="1">IF(E895&gt;111,,IF(AND(OP!$C$99=1,T895="F"),Z895,IF(AND(OP!$C$99=2,COUNTIF($T$4:T895,"F")=1),OP!$C$97+IF(F895="F",OP!$C$98,0),"")))</f>
        <v>0</v>
      </c>
      <c r="AK895" s="282">
        <f ca="1">IF(E895&gt;111,,IF(AND(OP!$D$99=1,T895="F"),AA895,IF(AND(OP!$D$99=2,COUNTIF($T$4:T895,"F")=1),OP!$D$97+IF(F895="F",OP!$D$98,0),"")))</f>
        <v>0</v>
      </c>
      <c r="AL895" s="282">
        <f ca="1">IF(E895&gt;111,,IF(AND(OP!$E$99=1,T895="F"),AB895,IF(AND(OP!$E$99=2,COUNTIF($T$4:T895,"F")=1),OP!$E$97+IF(F895="F",OP!$E$98,0),"")))</f>
        <v>0</v>
      </c>
      <c r="AM895" s="1">
        <f t="shared" ca="1" si="516"/>
        <v>5</v>
      </c>
      <c r="AN895" s="1" t="e">
        <f ca="1">IF(OR(VLOOKUP($A895,MP,5,0)="季繳",VLOOKUP($A895,MP,5,0)="月繳"),1,"")</f>
        <v>#N/A</v>
      </c>
      <c r="AO895" s="1">
        <f t="shared" ca="1" si="492"/>
        <v>0</v>
      </c>
      <c r="AP895" s="1" t="str">
        <f ca="1">IF(AND(A895&lt;=OP!$C$120,COUNTIF(PAY,C895)=1),1,"")</f>
        <v/>
      </c>
      <c r="AR895" s="301">
        <f ca="1">IF(繳費報酬率資料!$A$1=1,$AY895+$AZ895,$BF895+$BG895)</f>
        <v>0</v>
      </c>
      <c r="AS895" s="1">
        <f ca="1">IF(C895&lt;&gt;IF($C$3=1,12,$C$3-1),0,IF(繳費報酬率資料!$A$1&lt;&gt;1,VLOOKUP($A895,MP,8,0),IF(AND($A895&gt;=OP!$C$79,$A895&lt;=OP!$C$80),OP!$C$78,)))</f>
        <v>0</v>
      </c>
      <c r="AT895" s="298">
        <f t="shared" ca="1" si="493"/>
        <v>0</v>
      </c>
      <c r="AU895" s="298">
        <f ca="1">IF(AND(A895&lt;=OP!$C$120,COUNTIF(PAY,C895)=1),OP!$C$123,0)</f>
        <v>0</v>
      </c>
      <c r="AV895" s="298">
        <f ca="1">IF(AND(A895&gt;=OP!$C$132,A895&lt;=OP!$C$133,$C$3=C895),OP!$C$135,0)</f>
        <v>0</v>
      </c>
      <c r="AW895" s="180">
        <f t="shared" ca="1" si="494"/>
        <v>0.05</v>
      </c>
      <c r="AX895" s="180">
        <f t="shared" ca="1" si="495"/>
        <v>0.05</v>
      </c>
      <c r="AY895" s="286">
        <f t="shared" ca="1" si="496"/>
        <v>0</v>
      </c>
      <c r="AZ895" s="286">
        <f t="shared" ca="1" si="497"/>
        <v>0</v>
      </c>
      <c r="BA895" s="286">
        <f t="shared" ca="1" si="498"/>
        <v>0</v>
      </c>
      <c r="BB895" s="286">
        <f t="shared" ca="1" si="499"/>
        <v>0</v>
      </c>
      <c r="BC895" s="286">
        <f t="shared" ca="1" si="500"/>
        <v>0</v>
      </c>
      <c r="BD895" s="180">
        <f t="shared" ca="1" si="501"/>
        <v>0.05</v>
      </c>
      <c r="BE895" s="180">
        <f t="shared" ca="1" si="502"/>
        <v>0.05</v>
      </c>
      <c r="BF895" s="286">
        <f t="shared" ca="1" si="503"/>
        <v>0</v>
      </c>
      <c r="BG895" s="286">
        <f t="shared" ca="1" si="504"/>
        <v>0</v>
      </c>
    </row>
    <row r="896" spans="1:59">
      <c r="A896" s="1">
        <f t="shared" ca="1" si="484"/>
        <v>75</v>
      </c>
      <c r="B896" s="1">
        <f t="shared" ca="1" si="512"/>
        <v>180</v>
      </c>
      <c r="C896" s="1">
        <f t="shared" ca="1" si="513"/>
        <v>10</v>
      </c>
      <c r="D896" s="1">
        <f ca="1">MIN($D$3,VLOOKUP(C896,OP!$S$30:$T$41,2))</f>
        <v>2</v>
      </c>
      <c r="E896" s="1" t="str">
        <f t="shared" ca="1" si="514"/>
        <v/>
      </c>
      <c r="F896" s="11" t="str">
        <f t="shared" ca="1" si="485"/>
        <v/>
      </c>
      <c r="G896" s="8">
        <f t="shared" ca="1" si="517"/>
        <v>366</v>
      </c>
      <c r="H896" s="8">
        <f t="shared" ca="1" si="486"/>
        <v>31</v>
      </c>
      <c r="I896" s="8" t="str">
        <f t="shared" ca="1" si="483"/>
        <v>7510</v>
      </c>
      <c r="J896" s="13">
        <f>IF(繳費報酬率資料!$A$1=1,VALUE(OP!$C$121),VLOOKUP(A896,MP,2,0))</f>
        <v>0.05</v>
      </c>
      <c r="K896" s="14">
        <f ca="1">IF(SUM($K$4:K895,IF(繳費報酬率資料!$A$1=1,$AU896+$AV896,$BB896+$BC896))&gt;OP!$L$58,0,IF(繳費報酬率資料!$A$1=1,$AU896+$AV896,$BB896+$BC896))</f>
        <v>0</v>
      </c>
      <c r="L896" s="2"/>
      <c r="M896" s="2"/>
      <c r="N896" s="2"/>
      <c r="O896" s="261">
        <f t="shared" ca="1" si="487"/>
        <v>0</v>
      </c>
      <c r="P896" s="261">
        <f t="shared" ca="1" si="505"/>
        <v>0</v>
      </c>
      <c r="Q896" s="3">
        <f ca="1">IF(A896&gt;MAX(OP!$R$17:$R$26),0,VLOOKUP(A896,fees,3,FALSE))</f>
        <v>0</v>
      </c>
      <c r="R896" s="200" t="str">
        <f t="shared" ca="1" si="488"/>
        <v/>
      </c>
      <c r="S896" s="9" t="str">
        <f ca="1">IF(COUNTIF(($T$4:T895),"F")&gt;=1,"",IF(OR(C897&lt;&gt;$C$3,E896=""),"",A896))</f>
        <v/>
      </c>
      <c r="T896" s="20" t="str">
        <f t="shared" ca="1" si="515"/>
        <v/>
      </c>
      <c r="U896" s="2">
        <f ca="1">IF(IF(OP!$C$83=1,$Z895,IF(OP!$C$83=2,$AA895,IF(OP!$C$83=3,$AB895,)))+$K896-$O896-$P896-$AS896&lt;OP!$C$142,0,$AS896)</f>
        <v>0</v>
      </c>
      <c r="V896" s="9"/>
      <c r="W896" s="19">
        <f ca="1">MAX(SUM($K$4:K896),0)</f>
        <v>2000000</v>
      </c>
      <c r="X896" s="19"/>
      <c r="Y896" s="19">
        <f t="shared" ca="1" si="506"/>
        <v>1920000</v>
      </c>
      <c r="Z896" s="2">
        <f ca="1">IF(MIN($Z$4:Z895)=0,0,MAX(0,($Z895+$K896-$O896-$P896)*IF(AND(F896="F",$D$3&lt;&gt;$G$3),((1+(-J896))^(H896/MIN(G896,365))),((1+(-J896))^(1/12)))-$U896))</f>
        <v>42224.662693455735</v>
      </c>
      <c r="AA896" s="2">
        <f ca="1">IF(MIN($AA$4:AA895)=0,0,MAX(0,($AA895+$K896-$O896-$P896)*IF(AND(F896="F",$D$3&lt;&gt;$G$3),((1+$AA$1)^(H896/MIN(G896,365))),((1+$AA$1)^(1/12)))-$U896))</f>
        <v>1920000</v>
      </c>
      <c r="AB896" s="2">
        <f ca="1">IF(MIN($AB$4:AB895)=0,0,MAX(0,($AB895+$K896-$O896-$P896)*IF(AND(F896="F",$D$3&lt;&gt;$G$3),((1+(J896))^(H896/MIN(G896,365))),((1+(J896))^(1/12)))-$U896))</f>
        <v>72466658.233670428</v>
      </c>
      <c r="AC896" s="5"/>
      <c r="AD896" s="5"/>
      <c r="AE896" s="5"/>
      <c r="AF896" s="282">
        <f t="shared" ca="1" si="489"/>
        <v>42225</v>
      </c>
      <c r="AG896" s="282">
        <f t="shared" ca="1" si="490"/>
        <v>1920000</v>
      </c>
      <c r="AH896" s="282">
        <f t="shared" ca="1" si="491"/>
        <v>72466658</v>
      </c>
      <c r="AI896" s="23" t="str">
        <f t="shared" ca="1" si="507"/>
        <v>75-6</v>
      </c>
      <c r="AJ896" s="282">
        <f ca="1">IF(E896&gt;111,,IF(AND(OP!$C$99=1,T896="F"),Z896,IF(AND(OP!$C$99=2,COUNTIF($T$4:T896,"F")=1),OP!$C$97+IF(F896="F",OP!$C$98,0),"")))</f>
        <v>0</v>
      </c>
      <c r="AK896" s="282">
        <f ca="1">IF(E896&gt;111,,IF(AND(OP!$D$99=1,T896="F"),AA896,IF(AND(OP!$D$99=2,COUNTIF($T$4:T896,"F")=1),OP!$D$97+IF(F896="F",OP!$D$98,0),"")))</f>
        <v>0</v>
      </c>
      <c r="AL896" s="282">
        <f ca="1">IF(E896&gt;111,,IF(AND(OP!$E$99=1,T896="F"),AB896,IF(AND(OP!$E$99=2,COUNTIF($T$4:T896,"F")=1),OP!$E$97+IF(F896="F",OP!$E$98,0),"")))</f>
        <v>0</v>
      </c>
      <c r="AM896" s="1">
        <f t="shared" ca="1" si="516"/>
        <v>6</v>
      </c>
      <c r="AN896" s="1" t="e">
        <f ca="1">IF(OR(VLOOKUP($A896,MP,5,0)="月繳"),1,"")</f>
        <v>#N/A</v>
      </c>
      <c r="AO896" s="1">
        <f t="shared" ca="1" si="492"/>
        <v>0</v>
      </c>
      <c r="AP896" s="1" t="str">
        <f ca="1">IF(AND(A896&lt;=OP!$C$120,COUNTIF(PAY,C896)=1),1,"")</f>
        <v/>
      </c>
      <c r="AR896" s="301">
        <f ca="1">IF(繳費報酬率資料!$A$1=1,$AY896+$AZ896,$BF896+$BG896)</f>
        <v>0</v>
      </c>
      <c r="AS896" s="1">
        <f ca="1">IF(C896&lt;&gt;IF($C$3=1,12,$C$3-1),0,IF(繳費報酬率資料!$A$1&lt;&gt;1,VLOOKUP($A896,MP,8,0),IF(AND($A896&gt;=OP!$C$79,$A896&lt;=OP!$C$80),OP!$C$78,)))</f>
        <v>0</v>
      </c>
      <c r="AT896" s="298">
        <f t="shared" ca="1" si="493"/>
        <v>0</v>
      </c>
      <c r="AU896" s="298">
        <f ca="1">IF(AND(A896&lt;=OP!$C$120,COUNTIF(PAY,C896)=1),OP!$C$123,0)</f>
        <v>0</v>
      </c>
      <c r="AV896" s="298">
        <f ca="1">IF(AND(A896&gt;=OP!$C$132,A896&lt;=OP!$C$133,$C$3=C896),OP!$C$135,0)</f>
        <v>0</v>
      </c>
      <c r="AW896" s="180">
        <f t="shared" ca="1" si="494"/>
        <v>0.05</v>
      </c>
      <c r="AX896" s="180">
        <f t="shared" ca="1" si="495"/>
        <v>0.05</v>
      </c>
      <c r="AY896" s="286">
        <f t="shared" ca="1" si="496"/>
        <v>0</v>
      </c>
      <c r="AZ896" s="286">
        <f t="shared" ca="1" si="497"/>
        <v>0</v>
      </c>
      <c r="BA896" s="286">
        <f t="shared" ca="1" si="498"/>
        <v>0</v>
      </c>
      <c r="BB896" s="286">
        <f t="shared" ca="1" si="499"/>
        <v>0</v>
      </c>
      <c r="BC896" s="286">
        <f t="shared" ca="1" si="500"/>
        <v>0</v>
      </c>
      <c r="BD896" s="180">
        <f t="shared" ca="1" si="501"/>
        <v>0.05</v>
      </c>
      <c r="BE896" s="180">
        <f t="shared" ca="1" si="502"/>
        <v>0.05</v>
      </c>
      <c r="BF896" s="286">
        <f t="shared" ca="1" si="503"/>
        <v>0</v>
      </c>
      <c r="BG896" s="286">
        <f t="shared" ca="1" si="504"/>
        <v>0</v>
      </c>
    </row>
    <row r="897" spans="1:59">
      <c r="A897" s="1">
        <f t="shared" ca="1" si="484"/>
        <v>75</v>
      </c>
      <c r="B897" s="1">
        <f t="shared" ca="1" si="512"/>
        <v>180</v>
      </c>
      <c r="C897" s="1">
        <f t="shared" ca="1" si="513"/>
        <v>11</v>
      </c>
      <c r="D897" s="1">
        <f ca="1">MIN($D$3,VLOOKUP(C897,OP!$S$30:$T$41,2))</f>
        <v>2</v>
      </c>
      <c r="E897" s="1" t="str">
        <f t="shared" ca="1" si="514"/>
        <v/>
      </c>
      <c r="F897" s="11" t="str">
        <f t="shared" ca="1" si="485"/>
        <v/>
      </c>
      <c r="G897" s="8">
        <f t="shared" ca="1" si="517"/>
        <v>366</v>
      </c>
      <c r="H897" s="8">
        <f t="shared" ca="1" si="486"/>
        <v>30</v>
      </c>
      <c r="I897" s="8" t="str">
        <f t="shared" ca="1" si="483"/>
        <v>7511</v>
      </c>
      <c r="J897" s="13">
        <f>IF(繳費報酬率資料!$A$1=1,VALUE(OP!$C$121),VLOOKUP(A897,MP,2,0))</f>
        <v>0.05</v>
      </c>
      <c r="K897" s="14">
        <f ca="1">IF(SUM($K$4:K896,IF(繳費報酬率資料!$A$1=1,$AU897+$AV897,$BB897+$BC897))&gt;OP!$L$58,0,IF(繳費報酬率資料!$A$1=1,$AU897+$AV897,$BB897+$BC897))</f>
        <v>0</v>
      </c>
      <c r="L897" s="2"/>
      <c r="M897" s="2"/>
      <c r="N897" s="2"/>
      <c r="O897" s="261">
        <f t="shared" ca="1" si="487"/>
        <v>0</v>
      </c>
      <c r="P897" s="261">
        <f t="shared" ca="1" si="505"/>
        <v>0</v>
      </c>
      <c r="Q897" s="3">
        <f ca="1">IF(A897&gt;MAX(OP!$R$17:$R$26),0,VLOOKUP(A897,fees,3,FALSE))</f>
        <v>0</v>
      </c>
      <c r="R897" s="200" t="str">
        <f t="shared" ca="1" si="488"/>
        <v/>
      </c>
      <c r="S897" s="9" t="str">
        <f ca="1">IF(COUNTIF(($T$4:T896),"F")&gt;=1,"",IF(OR(C898&lt;&gt;$C$3,E897=""),"",A897))</f>
        <v/>
      </c>
      <c r="T897" s="20" t="str">
        <f t="shared" ca="1" si="515"/>
        <v/>
      </c>
      <c r="U897" s="2">
        <f ca="1">IF(IF(OP!$C$83=1,$Z896,IF(OP!$C$83=2,$AA896,IF(OP!$C$83=3,$AB896,)))+$K897-$O897-$P897-$AS897&lt;OP!$C$142,0,$AS897)</f>
        <v>0</v>
      </c>
      <c r="V897" s="9"/>
      <c r="W897" s="19">
        <f ca="1">MAX(SUM($K$4:K897),0)</f>
        <v>2000000</v>
      </c>
      <c r="X897" s="19"/>
      <c r="Y897" s="19">
        <f t="shared" ca="1" si="506"/>
        <v>1920000</v>
      </c>
      <c r="Z897" s="2">
        <f ca="1">IF(MIN($Z$4:Z896)=0,0,MAX(0,($Z896+$K897-$O897-$P897)*IF(AND(F897="F",$D$3&lt;&gt;$G$3),((1+(-J897))^(H897/MIN(G897,365))),((1+(-J897))^(1/12)))-$U897))</f>
        <v>42044.561046793177</v>
      </c>
      <c r="AA897" s="2">
        <f ca="1">IF(MIN($AA$4:AA896)=0,0,MAX(0,($AA896+$K897-$O897-$P897)*IF(AND(F897="F",$D$3&lt;&gt;$G$3),((1+$AA$1)^(H897/MIN(G897,365))),((1+$AA$1)^(1/12)))-$U897))</f>
        <v>1920000</v>
      </c>
      <c r="AB897" s="2">
        <f ca="1">IF(MIN($AB$4:AB896)=0,0,MAX(0,($AB896+$K897-$O897-$P897)*IF(AND(F897="F",$D$3&lt;&gt;$G$3),((1+(J897))^(H897/MIN(G897,365))),((1+(J897))^(1/12)))-$U897))</f>
        <v>72761896.36950174</v>
      </c>
      <c r="AC897" s="5"/>
      <c r="AD897" s="5"/>
      <c r="AE897" s="5"/>
      <c r="AF897" s="282">
        <f t="shared" ca="1" si="489"/>
        <v>42045</v>
      </c>
      <c r="AG897" s="282">
        <f t="shared" ca="1" si="490"/>
        <v>1920000</v>
      </c>
      <c r="AH897" s="282">
        <f t="shared" ca="1" si="491"/>
        <v>72761896</v>
      </c>
      <c r="AI897" s="23" t="str">
        <f t="shared" ca="1" si="507"/>
        <v>75-7</v>
      </c>
      <c r="AJ897" s="282">
        <f ca="1">IF(E897&gt;111,,IF(AND(OP!$C$99=1,T897="F"),Z897,IF(AND(OP!$C$99=2,COUNTIF($T$4:T897,"F")=1),OP!$C$97+IF(F897="F",OP!$C$98,0),"")))</f>
        <v>0</v>
      </c>
      <c r="AK897" s="282">
        <f ca="1">IF(E897&gt;111,,IF(AND(OP!$D$99=1,T897="F"),AA897,IF(AND(OP!$D$99=2,COUNTIF($T$4:T897,"F")=1),OP!$D$97+IF(F897="F",OP!$D$98,0),"")))</f>
        <v>0</v>
      </c>
      <c r="AL897" s="282">
        <f ca="1">IF(E897&gt;111,,IF(AND(OP!$E$99=1,T897="F"),AB897,IF(AND(OP!$E$99=2,COUNTIF($T$4:T897,"F")=1),OP!$E$97+IF(F897="F",OP!$E$98,0),"")))</f>
        <v>0</v>
      </c>
      <c r="AM897" s="1">
        <f t="shared" ca="1" si="516"/>
        <v>7</v>
      </c>
      <c r="AN897" s="1" t="e">
        <f ca="1">IF(OR(VLOOKUP($A897,MP,5,0)="月繳"),1,"")</f>
        <v>#N/A</v>
      </c>
      <c r="AO897" s="1">
        <f t="shared" ca="1" si="492"/>
        <v>0</v>
      </c>
      <c r="AP897" s="1" t="str">
        <f ca="1">IF(AND(A897&lt;=OP!$C$120,COUNTIF(PAY,C897)=1),1,"")</f>
        <v/>
      </c>
      <c r="AR897" s="301">
        <f ca="1">IF(繳費報酬率資料!$A$1=1,$AY897+$AZ897,$BF897+$BG897)</f>
        <v>0</v>
      </c>
      <c r="AS897" s="1">
        <f ca="1">IF(C897&lt;&gt;IF($C$3=1,12,$C$3-1),0,IF(繳費報酬率資料!$A$1&lt;&gt;1,VLOOKUP($A897,MP,8,0),IF(AND($A897&gt;=OP!$C$79,$A897&lt;=OP!$C$80),OP!$C$78,)))</f>
        <v>0</v>
      </c>
      <c r="AT897" s="298">
        <f t="shared" ca="1" si="493"/>
        <v>0</v>
      </c>
      <c r="AU897" s="298">
        <f ca="1">IF(AND(A897&lt;=OP!$C$120,COUNTIF(PAY,C897)=1),OP!$C$123,0)</f>
        <v>0</v>
      </c>
      <c r="AV897" s="298">
        <f ca="1">IF(AND(A897&gt;=OP!$C$132,A897&lt;=OP!$C$133,$C$3=C897),OP!$C$135,0)</f>
        <v>0</v>
      </c>
      <c r="AW897" s="180">
        <f t="shared" ca="1" si="494"/>
        <v>0.05</v>
      </c>
      <c r="AX897" s="180">
        <f t="shared" ca="1" si="495"/>
        <v>0.05</v>
      </c>
      <c r="AY897" s="286">
        <f t="shared" ca="1" si="496"/>
        <v>0</v>
      </c>
      <c r="AZ897" s="286">
        <f t="shared" ca="1" si="497"/>
        <v>0</v>
      </c>
      <c r="BA897" s="286">
        <f t="shared" ca="1" si="498"/>
        <v>0</v>
      </c>
      <c r="BB897" s="286">
        <f t="shared" ca="1" si="499"/>
        <v>0</v>
      </c>
      <c r="BC897" s="286">
        <f t="shared" ca="1" si="500"/>
        <v>0</v>
      </c>
      <c r="BD897" s="180">
        <f t="shared" ca="1" si="501"/>
        <v>0.05</v>
      </c>
      <c r="BE897" s="180">
        <f t="shared" ca="1" si="502"/>
        <v>0.05</v>
      </c>
      <c r="BF897" s="286">
        <f t="shared" ca="1" si="503"/>
        <v>0</v>
      </c>
      <c r="BG897" s="286">
        <f t="shared" ca="1" si="504"/>
        <v>0</v>
      </c>
    </row>
    <row r="898" spans="1:59">
      <c r="A898" s="1">
        <f t="shared" ca="1" si="484"/>
        <v>75</v>
      </c>
      <c r="B898" s="1">
        <f t="shared" ca="1" si="512"/>
        <v>180</v>
      </c>
      <c r="C898" s="1">
        <f t="shared" ca="1" si="513"/>
        <v>12</v>
      </c>
      <c r="D898" s="1">
        <f ca="1">MIN($D$3,VLOOKUP(C898,OP!$S$30:$T$41,2))</f>
        <v>2</v>
      </c>
      <c r="E898" s="1" t="str">
        <f t="shared" ca="1" si="514"/>
        <v/>
      </c>
      <c r="F898" s="11" t="str">
        <f t="shared" ca="1" si="485"/>
        <v/>
      </c>
      <c r="G898" s="8">
        <f t="shared" ca="1" si="517"/>
        <v>366</v>
      </c>
      <c r="H898" s="8">
        <f t="shared" ca="1" si="486"/>
        <v>31</v>
      </c>
      <c r="I898" s="8" t="str">
        <f t="shared" ca="1" si="483"/>
        <v>7512</v>
      </c>
      <c r="J898" s="13">
        <f>IF(繳費報酬率資料!$A$1=1,VALUE(OP!$C$121),VLOOKUP(A898,MP,2,0))</f>
        <v>0.05</v>
      </c>
      <c r="K898" s="14">
        <f ca="1">IF(SUM($K$4:K897,IF(繳費報酬率資料!$A$1=1,$AU898+$AV898,$BB898+$BC898))&gt;OP!$L$58,0,IF(繳費報酬率資料!$A$1=1,$AU898+$AV898,$BB898+$BC898))</f>
        <v>0</v>
      </c>
      <c r="L898" s="2"/>
      <c r="M898" s="2"/>
      <c r="N898" s="2"/>
      <c r="O898" s="261">
        <f t="shared" ca="1" si="487"/>
        <v>0</v>
      </c>
      <c r="P898" s="261">
        <f t="shared" ca="1" si="505"/>
        <v>0</v>
      </c>
      <c r="Q898" s="3">
        <f ca="1">IF(A898&gt;MAX(OP!$R$17:$R$26),0,VLOOKUP(A898,fees,3,FALSE))</f>
        <v>0</v>
      </c>
      <c r="R898" s="200" t="str">
        <f t="shared" ca="1" si="488"/>
        <v/>
      </c>
      <c r="S898" s="9" t="str">
        <f ca="1">IF(COUNTIF(($T$4:T897),"F")&gt;=1,"",IF(OR(C899&lt;&gt;$C$3,E898=""),"",A898))</f>
        <v/>
      </c>
      <c r="T898" s="20" t="str">
        <f t="shared" ca="1" si="515"/>
        <v/>
      </c>
      <c r="U898" s="2">
        <f ca="1">IF(IF(OP!$C$83=1,$Z897,IF(OP!$C$83=2,$AA897,IF(OP!$C$83=3,$AB897,)))+$K898-$O898-$P898-$AS898&lt;OP!$C$142,0,$AS898)</f>
        <v>0</v>
      </c>
      <c r="V898" s="9"/>
      <c r="W898" s="19">
        <f ca="1">MAX(SUM($K$4:K898),0)</f>
        <v>2000000</v>
      </c>
      <c r="X898" s="19"/>
      <c r="Y898" s="19">
        <f t="shared" ca="1" si="506"/>
        <v>1920000</v>
      </c>
      <c r="Z898" s="2">
        <f ca="1">IF(MIN($Z$4:Z897)=0,0,MAX(0,($Z897+$K898-$O898-$P898)*IF(AND(F898="F",$D$3&lt;&gt;$G$3),((1+(-J898))^(H898/MIN(G898,365))),((1+(-J898))^(1/12)))-$U898))</f>
        <v>41865.227591065996</v>
      </c>
      <c r="AA898" s="2">
        <f ca="1">IF(MIN($AA$4:AA897)=0,0,MAX(0,($AA897+$K898-$O898-$P898)*IF(AND(F898="F",$D$3&lt;&gt;$G$3),((1+$AA$1)^(H898/MIN(G898,365))),((1+$AA$1)^(1/12)))-$U898))</f>
        <v>1920000</v>
      </c>
      <c r="AB898" s="2">
        <f ca="1">IF(MIN($AB$4:AB897)=0,0,MAX(0,($AB897+$K898-$O898-$P898)*IF(AND(F898="F",$D$3&lt;&gt;$G$3),((1+(J898))^(H898/MIN(G898,365))),((1+(J898))^(1/12)))-$U898))</f>
        <v>73058337.342044085</v>
      </c>
      <c r="AC898" s="5"/>
      <c r="AD898" s="5"/>
      <c r="AE898" s="5"/>
      <c r="AF898" s="282">
        <f t="shared" ca="1" si="489"/>
        <v>41865</v>
      </c>
      <c r="AG898" s="282">
        <f t="shared" ca="1" si="490"/>
        <v>1920000</v>
      </c>
      <c r="AH898" s="282">
        <f t="shared" ca="1" si="491"/>
        <v>73058337</v>
      </c>
      <c r="AI898" s="23" t="str">
        <f t="shared" ca="1" si="507"/>
        <v>75-8</v>
      </c>
      <c r="AJ898" s="282">
        <f ca="1">IF(E898&gt;111,,IF(AND(OP!$C$99=1,T898="F"),Z898,IF(AND(OP!$C$99=2,COUNTIF($T$4:T898,"F")=1),OP!$C$97+IF(F898="F",OP!$C$98,0),"")))</f>
        <v>0</v>
      </c>
      <c r="AK898" s="282">
        <f ca="1">IF(E898&gt;111,,IF(AND(OP!$D$99=1,T898="F"),AA898,IF(AND(OP!$D$99=2,COUNTIF($T$4:T898,"F")=1),OP!$D$97+IF(F898="F",OP!$D$98,0),"")))</f>
        <v>0</v>
      </c>
      <c r="AL898" s="282">
        <f ca="1">IF(E898&gt;111,,IF(AND(OP!$E$99=1,T898="F"),AB898,IF(AND(OP!$E$99=2,COUNTIF($T$4:T898,"F")=1),OP!$E$97+IF(F898="F",OP!$E$98,0),"")))</f>
        <v>0</v>
      </c>
      <c r="AM898" s="1">
        <f t="shared" ca="1" si="516"/>
        <v>8</v>
      </c>
      <c r="AN898" s="1" t="e">
        <f ca="1">IF(OR(VLOOKUP($A898,MP,5,0)="半年繳",VLOOKUP($A898,MP,5,0)="季繳",VLOOKUP($A898,MP,5,0)="月繳"),1,"")</f>
        <v>#N/A</v>
      </c>
      <c r="AO898" s="1">
        <f t="shared" ca="1" si="492"/>
        <v>0</v>
      </c>
      <c r="AP898" s="1" t="str">
        <f ca="1">IF(AND(A898&lt;=OP!$C$120,COUNTIF(PAY,C898)=1),1,"")</f>
        <v/>
      </c>
      <c r="AR898" s="301">
        <f ca="1">IF(繳費報酬率資料!$A$1=1,$AY898+$AZ898,$BF898+$BG898)</f>
        <v>0</v>
      </c>
      <c r="AS898" s="1">
        <f ca="1">IF(C898&lt;&gt;IF($C$3=1,12,$C$3-1),0,IF(繳費報酬率資料!$A$1&lt;&gt;1,VLOOKUP($A898,MP,8,0),IF(AND($A898&gt;=OP!$C$79,$A898&lt;=OP!$C$80),OP!$C$78,)))</f>
        <v>0</v>
      </c>
      <c r="AT898" s="298">
        <f t="shared" ca="1" si="493"/>
        <v>0</v>
      </c>
      <c r="AU898" s="298">
        <f ca="1">IF(AND(A898&lt;=OP!$C$120,COUNTIF(PAY,C898)=1),OP!$C$123,0)</f>
        <v>0</v>
      </c>
      <c r="AV898" s="298">
        <f ca="1">IF(AND(A898&gt;=OP!$C$132,A898&lt;=OP!$C$133,$C$3=C898),OP!$C$135,0)</f>
        <v>0</v>
      </c>
      <c r="AW898" s="180">
        <f t="shared" ca="1" si="494"/>
        <v>0.05</v>
      </c>
      <c r="AX898" s="180">
        <f t="shared" ca="1" si="495"/>
        <v>0.05</v>
      </c>
      <c r="AY898" s="286">
        <f t="shared" ca="1" si="496"/>
        <v>0</v>
      </c>
      <c r="AZ898" s="286">
        <f t="shared" ca="1" si="497"/>
        <v>0</v>
      </c>
      <c r="BA898" s="286">
        <f t="shared" ca="1" si="498"/>
        <v>0</v>
      </c>
      <c r="BB898" s="286">
        <f t="shared" ca="1" si="499"/>
        <v>0</v>
      </c>
      <c r="BC898" s="286">
        <f t="shared" ca="1" si="500"/>
        <v>0</v>
      </c>
      <c r="BD898" s="180">
        <f t="shared" ca="1" si="501"/>
        <v>0.05</v>
      </c>
      <c r="BE898" s="180">
        <f t="shared" ca="1" si="502"/>
        <v>0.05</v>
      </c>
      <c r="BF898" s="286">
        <f t="shared" ca="1" si="503"/>
        <v>0</v>
      </c>
      <c r="BG898" s="286">
        <f t="shared" ca="1" si="504"/>
        <v>0</v>
      </c>
    </row>
    <row r="899" spans="1:59">
      <c r="A899" s="1">
        <f t="shared" ca="1" si="484"/>
        <v>75</v>
      </c>
      <c r="B899" s="1">
        <f t="shared" ca="1" si="512"/>
        <v>181</v>
      </c>
      <c r="C899" s="1">
        <f t="shared" ca="1" si="513"/>
        <v>1</v>
      </c>
      <c r="D899" s="1">
        <f ca="1">MIN($D$3,VLOOKUP(C899,OP!$S$30:$T$41,2))</f>
        <v>2</v>
      </c>
      <c r="E899" s="1" t="str">
        <f t="shared" ca="1" si="514"/>
        <v/>
      </c>
      <c r="F899" s="11" t="str">
        <f t="shared" ca="1" si="485"/>
        <v/>
      </c>
      <c r="G899" s="8">
        <f t="shared" ca="1" si="517"/>
        <v>366</v>
      </c>
      <c r="H899" s="8">
        <f t="shared" ca="1" si="486"/>
        <v>31</v>
      </c>
      <c r="I899" s="8" t="str">
        <f t="shared" ca="1" si="483"/>
        <v>751</v>
      </c>
      <c r="J899" s="13">
        <f>IF(繳費報酬率資料!$A$1=1,VALUE(OP!$C$121),VLOOKUP(A899,MP,2,0))</f>
        <v>0.05</v>
      </c>
      <c r="K899" s="14">
        <f ca="1">IF(SUM($K$4:K898,IF(繳費報酬率資料!$A$1=1,$AU899+$AV899,$BB899+$BC899))&gt;OP!$L$58,0,IF(繳費報酬率資料!$A$1=1,$AU899+$AV899,$BB899+$BC899))</f>
        <v>0</v>
      </c>
      <c r="L899" s="2"/>
      <c r="M899" s="2"/>
      <c r="N899" s="2"/>
      <c r="O899" s="261">
        <f t="shared" ca="1" si="487"/>
        <v>0</v>
      </c>
      <c r="P899" s="261">
        <f t="shared" ca="1" si="505"/>
        <v>0</v>
      </c>
      <c r="Q899" s="3">
        <f ca="1">IF(A899&gt;MAX(OP!$R$17:$R$26),0,VLOOKUP(A899,fees,3,FALSE))</f>
        <v>0</v>
      </c>
      <c r="R899" s="200" t="str">
        <f t="shared" ca="1" si="488"/>
        <v/>
      </c>
      <c r="S899" s="9" t="str">
        <f ca="1">IF(COUNTIF(($T$4:T898),"F")&gt;=1,"",IF(OR(C900&lt;&gt;$C$3,E899=""),"",A899))</f>
        <v/>
      </c>
      <c r="T899" s="20" t="str">
        <f t="shared" ca="1" si="515"/>
        <v/>
      </c>
      <c r="U899" s="2">
        <f ca="1">IF(IF(OP!$C$83=1,$Z898,IF(OP!$C$83=2,$AA898,IF(OP!$C$83=3,$AB898,)))+$K899-$O899-$P899-$AS899&lt;OP!$C$142,0,$AS899)</f>
        <v>0</v>
      </c>
      <c r="V899" s="9"/>
      <c r="W899" s="19">
        <f ca="1">MAX(SUM($K$4:K899),0)</f>
        <v>2000000</v>
      </c>
      <c r="X899" s="19"/>
      <c r="Y899" s="19">
        <f t="shared" ca="1" si="506"/>
        <v>1920000</v>
      </c>
      <c r="Z899" s="2">
        <f ca="1">IF(MIN($Z$4:Z898)=0,0,MAX(0,($Z898+$K899-$O899-$P899)*IF(AND(F899="F",$D$3&lt;&gt;$G$3),((1+(-J899))^(H899/MIN(G899,365))),((1+(-J899))^(1/12)))-$U899))</f>
        <v>41686.659049694972</v>
      </c>
      <c r="AA899" s="2">
        <f ca="1">IF(MIN($AA$4:AA898)=0,0,MAX(0,($AA898+$K899-$O899-$P899)*IF(AND(F899="F",$D$3&lt;&gt;$G$3),((1+$AA$1)^(H899/MIN(G899,365))),((1+$AA$1)^(1/12)))-$U899))</f>
        <v>1920000</v>
      </c>
      <c r="AB899" s="2">
        <f ca="1">IF(MIN($AB$4:AB898)=0,0,MAX(0,($AB898+$K899-$O899-$P899)*IF(AND(F899="F",$D$3&lt;&gt;$G$3),((1+(J899))^(H899/MIN(G899,365))),((1+(J899))^(1/12)))-$U899))</f>
        <v>73355986.051803112</v>
      </c>
      <c r="AC899" s="5"/>
      <c r="AD899" s="5"/>
      <c r="AE899" s="5"/>
      <c r="AF899" s="282">
        <f t="shared" ca="1" si="489"/>
        <v>41687</v>
      </c>
      <c r="AG899" s="282">
        <f t="shared" ca="1" si="490"/>
        <v>1920000</v>
      </c>
      <c r="AH899" s="282">
        <f t="shared" ca="1" si="491"/>
        <v>73355986</v>
      </c>
      <c r="AI899" s="23" t="str">
        <f t="shared" ca="1" si="507"/>
        <v>75-9</v>
      </c>
      <c r="AJ899" s="282">
        <f ca="1">IF(E899&gt;111,,IF(AND(OP!$C$99=1,T899="F"),Z899,IF(AND(OP!$C$99=2,COUNTIF($T$4:T899,"F")=1),OP!$C$97+IF(F899="F",OP!$C$98,0),"")))</f>
        <v>0</v>
      </c>
      <c r="AK899" s="282">
        <f ca="1">IF(E899&gt;111,,IF(AND(OP!$D$99=1,T899="F"),AA899,IF(AND(OP!$D$99=2,COUNTIF($T$4:T899,"F")=1),OP!$D$97+IF(F899="F",OP!$D$98,0),"")))</f>
        <v>0</v>
      </c>
      <c r="AL899" s="282">
        <f ca="1">IF(E899&gt;111,,IF(AND(OP!$E$99=1,T899="F"),AB899,IF(AND(OP!$E$99=2,COUNTIF($T$4:T899,"F")=1),OP!$E$97+IF(F899="F",OP!$E$98,0),"")))</f>
        <v>0</v>
      </c>
      <c r="AM899" s="1">
        <f t="shared" ca="1" si="516"/>
        <v>9</v>
      </c>
      <c r="AN899" s="1" t="e">
        <f ca="1">IF(OR(VLOOKUP($A899,MP,5,0)="月繳"),1,"")</f>
        <v>#N/A</v>
      </c>
      <c r="AO899" s="1">
        <f t="shared" ca="1" si="492"/>
        <v>0</v>
      </c>
      <c r="AP899" s="1" t="str">
        <f ca="1">IF(AND(A899&lt;=OP!$C$120,COUNTIF(PAY,C899)=1),1,"")</f>
        <v/>
      </c>
      <c r="AR899" s="301">
        <f ca="1">IF(繳費報酬率資料!$A$1=1,$AY899+$AZ899,$BF899+$BG899)</f>
        <v>0</v>
      </c>
      <c r="AS899" s="1">
        <f ca="1">IF(C899&lt;&gt;IF($C$3=1,12,$C$3-1),0,IF(繳費報酬率資料!$A$1&lt;&gt;1,VLOOKUP($A899,MP,8,0),IF(AND($A899&gt;=OP!$C$79,$A899&lt;=OP!$C$80),OP!$C$78,)))</f>
        <v>0</v>
      </c>
      <c r="AT899" s="298">
        <f t="shared" ca="1" si="493"/>
        <v>0</v>
      </c>
      <c r="AU899" s="298">
        <f ca="1">IF(AND(A899&lt;=OP!$C$120,COUNTIF(PAY,C899)=1),OP!$C$123,0)</f>
        <v>0</v>
      </c>
      <c r="AV899" s="298">
        <f ca="1">IF(AND(A899&gt;=OP!$C$132,A899&lt;=OP!$C$133,$C$3=C899),OP!$C$135,0)</f>
        <v>0</v>
      </c>
      <c r="AW899" s="180">
        <f t="shared" ca="1" si="494"/>
        <v>0.05</v>
      </c>
      <c r="AX899" s="180">
        <f t="shared" ca="1" si="495"/>
        <v>0.05</v>
      </c>
      <c r="AY899" s="286">
        <f t="shared" ca="1" si="496"/>
        <v>0</v>
      </c>
      <c r="AZ899" s="286">
        <f t="shared" ca="1" si="497"/>
        <v>0</v>
      </c>
      <c r="BA899" s="286">
        <f t="shared" ca="1" si="498"/>
        <v>0</v>
      </c>
      <c r="BB899" s="286">
        <f t="shared" ca="1" si="499"/>
        <v>0</v>
      </c>
      <c r="BC899" s="286">
        <f t="shared" ca="1" si="500"/>
        <v>0</v>
      </c>
      <c r="BD899" s="180">
        <f t="shared" ca="1" si="501"/>
        <v>0.05</v>
      </c>
      <c r="BE899" s="180">
        <f t="shared" ca="1" si="502"/>
        <v>0.05</v>
      </c>
      <c r="BF899" s="286">
        <f t="shared" ca="1" si="503"/>
        <v>0</v>
      </c>
      <c r="BG899" s="286">
        <f t="shared" ca="1" si="504"/>
        <v>0</v>
      </c>
    </row>
    <row r="900" spans="1:59">
      <c r="A900" s="1">
        <f t="shared" ca="1" si="484"/>
        <v>75</v>
      </c>
      <c r="B900" s="1">
        <f t="shared" ca="1" si="512"/>
        <v>181</v>
      </c>
      <c r="C900" s="1">
        <f t="shared" ca="1" si="513"/>
        <v>2</v>
      </c>
      <c r="D900" s="1">
        <f ca="1">MIN($D$3,VLOOKUP(C900,OP!$S$30:$T$41,2))</f>
        <v>2</v>
      </c>
      <c r="E900" s="1" t="str">
        <f t="shared" ca="1" si="514"/>
        <v/>
      </c>
      <c r="F900" s="11" t="str">
        <f t="shared" ca="1" si="485"/>
        <v/>
      </c>
      <c r="G900" s="8">
        <f t="shared" ca="1" si="517"/>
        <v>366</v>
      </c>
      <c r="H900" s="8">
        <f t="shared" ca="1" si="486"/>
        <v>29</v>
      </c>
      <c r="I900" s="8" t="str">
        <f t="shared" ref="I900:I963" ca="1" si="518">A900&amp;C900</f>
        <v>752</v>
      </c>
      <c r="J900" s="13">
        <f>IF(繳費報酬率資料!$A$1=1,VALUE(OP!$C$121),VLOOKUP(A900,MP,2,0))</f>
        <v>0.05</v>
      </c>
      <c r="K900" s="14">
        <f ca="1">IF(SUM($K$4:K899,IF(繳費報酬率資料!$A$1=1,$AU900+$AV900,$BB900+$BC900))&gt;OP!$L$58,0,IF(繳費報酬率資料!$A$1=1,$AU900+$AV900,$BB900+$BC900))</f>
        <v>0</v>
      </c>
      <c r="L900" s="2"/>
      <c r="M900" s="2"/>
      <c r="N900" s="2"/>
      <c r="O900" s="261">
        <f t="shared" ca="1" si="487"/>
        <v>0</v>
      </c>
      <c r="P900" s="261">
        <f t="shared" ca="1" si="505"/>
        <v>0</v>
      </c>
      <c r="Q900" s="3">
        <f ca="1">IF(A900&gt;MAX(OP!$R$17:$R$26),0,VLOOKUP(A900,fees,3,FALSE))</f>
        <v>0</v>
      </c>
      <c r="R900" s="200" t="str">
        <f t="shared" ca="1" si="488"/>
        <v/>
      </c>
      <c r="S900" s="9" t="str">
        <f ca="1">IF(COUNTIF(($T$4:T899),"F")&gt;=1,"",IF(OR(C901&lt;&gt;$C$3,E900=""),"",A900))</f>
        <v/>
      </c>
      <c r="T900" s="20" t="str">
        <f t="shared" ca="1" si="515"/>
        <v/>
      </c>
      <c r="U900" s="2">
        <f ca="1">IF(IF(OP!$C$83=1,$Z899,IF(OP!$C$83=2,$AA899,IF(OP!$C$83=3,$AB899,)))+$K900-$O900-$P900-$AS900&lt;OP!$C$142,0,$AS900)</f>
        <v>0</v>
      </c>
      <c r="V900" s="9"/>
      <c r="W900" s="19">
        <f ca="1">MAX(SUM($K$4:K900),0)</f>
        <v>2000000</v>
      </c>
      <c r="X900" s="19"/>
      <c r="Y900" s="19">
        <f t="shared" ca="1" si="506"/>
        <v>1920000</v>
      </c>
      <c r="Z900" s="2">
        <f ca="1">IF(MIN($Z$4:Z899)=0,0,MAX(0,($Z899+$K900-$O900-$P900)*IF(AND(F900="F",$D$3&lt;&gt;$G$3),((1+(-J900))^(H900/MIN(G900,365))),((1+(-J900))^(1/12)))-$U900))</f>
        <v>41508.852160076538</v>
      </c>
      <c r="AA900" s="2">
        <f ca="1">IF(MIN($AA$4:AA899)=0,0,MAX(0,($AA899+$K900-$O900-$P900)*IF(AND(F900="F",$D$3&lt;&gt;$G$3),((1+$AA$1)^(H900/MIN(G900,365))),((1+$AA$1)^(1/12)))-$U900))</f>
        <v>1920000</v>
      </c>
      <c r="AB900" s="2">
        <f ca="1">IF(MIN($AB$4:AB899)=0,0,MAX(0,($AB899+$K900-$O900-$P900)*IF(AND(F900="F",$D$3&lt;&gt;$G$3),((1+(J900))^(H900/MIN(G900,365))),((1+(J900))^(1/12)))-$U900))</f>
        <v>73654847.419249743</v>
      </c>
      <c r="AC900" s="5"/>
      <c r="AD900" s="5"/>
      <c r="AE900" s="5"/>
      <c r="AF900" s="282">
        <f t="shared" ca="1" si="489"/>
        <v>41509</v>
      </c>
      <c r="AG900" s="282">
        <f t="shared" ca="1" si="490"/>
        <v>1920000</v>
      </c>
      <c r="AH900" s="282">
        <f t="shared" ca="1" si="491"/>
        <v>73654847</v>
      </c>
      <c r="AI900" s="23" t="str">
        <f t="shared" ca="1" si="507"/>
        <v>75-10</v>
      </c>
      <c r="AJ900" s="282">
        <f ca="1">IF(E900&gt;111,,IF(AND(OP!$C$99=1,T900="F"),Z900,IF(AND(OP!$C$99=2,COUNTIF($T$4:T900,"F")=1),OP!$C$97+IF(F900="F",OP!$C$98,0),"")))</f>
        <v>0</v>
      </c>
      <c r="AK900" s="282">
        <f ca="1">IF(E900&gt;111,,IF(AND(OP!$D$99=1,T900="F"),AA900,IF(AND(OP!$D$99=2,COUNTIF($T$4:T900,"F")=1),OP!$D$97+IF(F900="F",OP!$D$98,0),"")))</f>
        <v>0</v>
      </c>
      <c r="AL900" s="282">
        <f ca="1">IF(E900&gt;111,,IF(AND(OP!$E$99=1,T900="F"),AB900,IF(AND(OP!$E$99=2,COUNTIF($T$4:T900,"F")=1),OP!$E$97+IF(F900="F",OP!$E$98,0),"")))</f>
        <v>0</v>
      </c>
      <c r="AM900" s="1">
        <f t="shared" ca="1" si="516"/>
        <v>10</v>
      </c>
      <c r="AN900" s="1" t="e">
        <f ca="1">IF(OR(VLOOKUP($A900,MP,5,0)="月繳"),1,"")</f>
        <v>#N/A</v>
      </c>
      <c r="AO900" s="1">
        <f t="shared" ca="1" si="492"/>
        <v>0</v>
      </c>
      <c r="AP900" s="1" t="str">
        <f ca="1">IF(AND(A900&lt;=OP!$C$120,COUNTIF(PAY,C900)=1),1,"")</f>
        <v/>
      </c>
      <c r="AR900" s="301">
        <f ca="1">IF(繳費報酬率資料!$A$1=1,$AY900+$AZ900,$BF900+$BG900)</f>
        <v>0</v>
      </c>
      <c r="AS900" s="1">
        <f ca="1">IF(C900&lt;&gt;IF($C$3=1,12,$C$3-1),0,IF(繳費報酬率資料!$A$1&lt;&gt;1,VLOOKUP($A900,MP,8,0),IF(AND($A900&gt;=OP!$C$79,$A900&lt;=OP!$C$80),OP!$C$78,)))</f>
        <v>0</v>
      </c>
      <c r="AT900" s="298">
        <f t="shared" ca="1" si="493"/>
        <v>0</v>
      </c>
      <c r="AU900" s="298">
        <f ca="1">IF(AND(A900&lt;=OP!$C$120,COUNTIF(PAY,C900)=1),OP!$C$123,0)</f>
        <v>0</v>
      </c>
      <c r="AV900" s="298">
        <f ca="1">IF(AND(A900&gt;=OP!$C$132,A900&lt;=OP!$C$133,$C$3=C900),OP!$C$135,0)</f>
        <v>0</v>
      </c>
      <c r="AW900" s="180">
        <f t="shared" ca="1" si="494"/>
        <v>0.05</v>
      </c>
      <c r="AX900" s="180">
        <f t="shared" ca="1" si="495"/>
        <v>0.05</v>
      </c>
      <c r="AY900" s="286">
        <f t="shared" ca="1" si="496"/>
        <v>0</v>
      </c>
      <c r="AZ900" s="286">
        <f t="shared" ca="1" si="497"/>
        <v>0</v>
      </c>
      <c r="BA900" s="286">
        <f t="shared" ca="1" si="498"/>
        <v>0</v>
      </c>
      <c r="BB900" s="286">
        <f t="shared" ca="1" si="499"/>
        <v>0</v>
      </c>
      <c r="BC900" s="286">
        <f t="shared" ca="1" si="500"/>
        <v>0</v>
      </c>
      <c r="BD900" s="180">
        <f t="shared" ca="1" si="501"/>
        <v>0.05</v>
      </c>
      <c r="BE900" s="180">
        <f t="shared" ca="1" si="502"/>
        <v>0.05</v>
      </c>
      <c r="BF900" s="286">
        <f t="shared" ca="1" si="503"/>
        <v>0</v>
      </c>
      <c r="BG900" s="286">
        <f t="shared" ca="1" si="504"/>
        <v>0</v>
      </c>
    </row>
    <row r="901" spans="1:59">
      <c r="A901" s="1">
        <f t="shared" ref="A901:A964" ca="1" si="519">IF(C901=$C$4,A900+1,A900)</f>
        <v>75</v>
      </c>
      <c r="B901" s="1">
        <f t="shared" ca="1" si="512"/>
        <v>181</v>
      </c>
      <c r="C901" s="1">
        <f t="shared" ca="1" si="513"/>
        <v>3</v>
      </c>
      <c r="D901" s="1">
        <f ca="1">MIN($D$3,VLOOKUP(C901,OP!$S$30:$T$41,2))</f>
        <v>2</v>
      </c>
      <c r="E901" s="1" t="str">
        <f t="shared" ca="1" si="514"/>
        <v/>
      </c>
      <c r="F901" s="11" t="str">
        <f t="shared" ref="F901:F964" ca="1" si="520">IF(AND(DATE($E$3+1911,$F$3,$G$3)&gt;DATE(B901+1911,C901,D901),DATE($E$3+1911,$F$3,$G$3)&lt;=DATE(B902+1911,C902,D902)),"F","")</f>
        <v/>
      </c>
      <c r="G901" s="8">
        <f t="shared" ca="1" si="517"/>
        <v>366</v>
      </c>
      <c r="H901" s="8">
        <f t="shared" ref="H901:H964" ca="1" si="521">DATEDIF(DATE(B901+1911,C901,D901),IF(F901="F",DATE($E$3+1911,$F$3,$G$3),DATE(B902+1911,C902,D902)),"d")</f>
        <v>31</v>
      </c>
      <c r="I901" s="8" t="str">
        <f t="shared" ca="1" si="518"/>
        <v>753</v>
      </c>
      <c r="J901" s="13">
        <f>IF(繳費報酬率資料!$A$1=1,VALUE(OP!$C$121),VLOOKUP(A901,MP,2,0))</f>
        <v>0.05</v>
      </c>
      <c r="K901" s="14">
        <f ca="1">IF(SUM($K$4:K900,IF(繳費報酬率資料!$A$1=1,$AU901+$AV901,$BB901+$BC901))&gt;OP!$L$58,0,IF(繳費報酬率資料!$A$1=1,$AU901+$AV901,$BB901+$BC901))</f>
        <v>0</v>
      </c>
      <c r="L901" s="2"/>
      <c r="M901" s="2"/>
      <c r="N901" s="2"/>
      <c r="O901" s="261">
        <f t="shared" ref="O901:O964" ca="1" si="522">IF(K901=0,0,$AR901)</f>
        <v>0</v>
      </c>
      <c r="P901" s="261">
        <f t="shared" ca="1" si="505"/>
        <v>0</v>
      </c>
      <c r="Q901" s="3">
        <f ca="1">IF(A901&gt;MAX(OP!$R$17:$R$26),0,VLOOKUP(A901,fees,3,FALSE))</f>
        <v>0</v>
      </c>
      <c r="R901" s="200" t="str">
        <f t="shared" ref="R901:R964" ca="1" si="523">IF(OR(C902&lt;&gt;$C$3,E901=""),"",A901)</f>
        <v/>
      </c>
      <c r="S901" s="9" t="str">
        <f ca="1">IF(COUNTIF(($T$4:T900),"F")&gt;=1,"",IF(OR(C902&lt;&gt;$C$3,E901=""),"",A901))</f>
        <v/>
      </c>
      <c r="T901" s="20" t="str">
        <f t="shared" ca="1" si="515"/>
        <v/>
      </c>
      <c r="U901" s="2">
        <f ca="1">IF(IF(OP!$C$83=1,$Z900,IF(OP!$C$83=2,$AA900,IF(OP!$C$83=3,$AB900,)))+$K901-$O901-$P901-$AS901&lt;OP!$C$142,0,$AS901)</f>
        <v>0</v>
      </c>
      <c r="V901" s="9"/>
      <c r="W901" s="19">
        <f ca="1">MAX(SUM($K$4:K901),0)</f>
        <v>2000000</v>
      </c>
      <c r="X901" s="19"/>
      <c r="Y901" s="19">
        <f t="shared" ca="1" si="506"/>
        <v>1920000</v>
      </c>
      <c r="Z901" s="2">
        <f ca="1">IF(MIN($Z$4:Z900)=0,0,MAX(0,($Z900+$K901-$O901-$P901)*IF(AND(F901="F",$D$3&lt;&gt;$G$3),((1+(-J901))^(H901/MIN(G901,365))),((1+(-J901))^(1/12)))-$U901))</f>
        <v>41331.803673523173</v>
      </c>
      <c r="AA901" s="2">
        <f ca="1">IF(MIN($AA$4:AA900)=0,0,MAX(0,($AA900+$K901-$O901-$P901)*IF(AND(F901="F",$D$3&lt;&gt;$G$3),((1+$AA$1)^(H901/MIN(G901,365))),((1+$AA$1)^(1/12)))-$U901))</f>
        <v>1920000</v>
      </c>
      <c r="AB901" s="2">
        <f ca="1">IF(MIN($AB$4:AB900)=0,0,MAX(0,($AB900+$K901-$O901-$P901)*IF(AND(F901="F",$D$3&lt;&gt;$G$3),((1+(J901))^(H901/MIN(G901,365))),((1+(J901))^(1/12)))-$U901))</f>
        <v>73954926.384901494</v>
      </c>
      <c r="AC901" s="5"/>
      <c r="AD901" s="5"/>
      <c r="AE901" s="5"/>
      <c r="AF901" s="282">
        <f t="shared" ref="AF901:AF964" ca="1" si="524">ROUND(Z901*(1-$Q901),$AF$1)</f>
        <v>41332</v>
      </c>
      <c r="AG901" s="282">
        <f t="shared" ref="AG901:AG964" ca="1" si="525">ROUND(AA901*(1-$Q901),$AF$1)</f>
        <v>1920000</v>
      </c>
      <c r="AH901" s="282">
        <f t="shared" ref="AH901:AH964" ca="1" si="526">ROUND(AB901*(1-$Q901),$AF$1)</f>
        <v>73954926</v>
      </c>
      <c r="AI901" s="23" t="str">
        <f t="shared" ca="1" si="507"/>
        <v>75-11</v>
      </c>
      <c r="AJ901" s="282">
        <f ca="1">IF(E901&gt;111,,IF(AND(OP!$C$99=1,T901="F"),Z901,IF(AND(OP!$C$99=2,COUNTIF($T$4:T901,"F")=1),OP!$C$97+IF(F901="F",OP!$C$98,0),"")))</f>
        <v>0</v>
      </c>
      <c r="AK901" s="282">
        <f ca="1">IF(E901&gt;111,,IF(AND(OP!$D$99=1,T901="F"),AA901,IF(AND(OP!$D$99=2,COUNTIF($T$4:T901,"F")=1),OP!$D$97+IF(F901="F",OP!$D$98,0),"")))</f>
        <v>0</v>
      </c>
      <c r="AL901" s="282">
        <f ca="1">IF(E901&gt;111,,IF(AND(OP!$E$99=1,T901="F"),AB901,IF(AND(OP!$E$99=2,COUNTIF($T$4:T901,"F")=1),OP!$E$97+IF(F901="F",OP!$E$98,0),"")))</f>
        <v>0</v>
      </c>
      <c r="AM901" s="1">
        <f t="shared" ca="1" si="516"/>
        <v>11</v>
      </c>
      <c r="AN901" s="1" t="e">
        <f ca="1">IF(OR(VLOOKUP($A901,MP,5,0)="季繳",VLOOKUP($A901,MP,5,0)="月繳"),1,"")</f>
        <v>#N/A</v>
      </c>
      <c r="AO901" s="1">
        <f t="shared" ref="AO901:AO964" ca="1" si="527">IF(ISNA(VLOOKUP(A901,MP,2,0)),,IF(C901=$C$3,ROUND(VLOOKUP(A901,MP,4,0),0),0)+IF(AN901=1,ROUND(VLOOKUP(A901,MP,6,0),0),0))</f>
        <v>0</v>
      </c>
      <c r="AP901" s="1" t="str">
        <f ca="1">IF(AND(A901&lt;=OP!$C$120,COUNTIF(PAY,C901)=1),1,"")</f>
        <v/>
      </c>
      <c r="AR901" s="301">
        <f ca="1">IF(繳費報酬率資料!$A$1=1,$AY901+$AZ901,$BF901+$BG901)</f>
        <v>0</v>
      </c>
      <c r="AS901" s="1">
        <f ca="1">IF(C901&lt;&gt;IF($C$3=1,12,$C$3-1),0,IF(繳費報酬率資料!$A$1&lt;&gt;1,VLOOKUP($A901,MP,8,0),IF(AND($A901&gt;=OP!$C$79,$A901&lt;=OP!$C$80),OP!$C$78,)))</f>
        <v>0</v>
      </c>
      <c r="AT901" s="298">
        <f t="shared" ref="AT901:AT964" ca="1" si="528">AU901+AV901</f>
        <v>0</v>
      </c>
      <c r="AU901" s="298">
        <f ca="1">IF(AND(A901&lt;=OP!$C$120,COUNTIF(PAY,C901)=1),OP!$C$123,0)</f>
        <v>0</v>
      </c>
      <c r="AV901" s="298">
        <f ca="1">IF(AND(A901&gt;=OP!$C$132,A901&lt;=OP!$C$133,$C$3=C901),OP!$C$135,0)</f>
        <v>0</v>
      </c>
      <c r="AW901" s="180">
        <f t="shared" ref="AW901:AW964" ca="1" si="529">HLOOKUP(IF($AU901&lt;$AY$1,1,IF(AND($AU901&gt;=$AY$1,$AU901&lt;$AZ$1),2,IF(AND($AU901&gt;=$AZ$1,$AU901&lt;$BA$1),3,IF(AND($AU901&gt;=$BA$1),4,1)))),PR,2,0)</f>
        <v>0.05</v>
      </c>
      <c r="AX901" s="180">
        <f t="shared" ref="AX901:AX964" ca="1" si="530">HLOOKUP(IF($AV901&lt;$AY$1,1,IF(AND($AV901&gt;=$AY$1,$AV901&lt;$AZ$1),2,IF(AND($AV901&gt;=$AZ$1,$AV901&lt;$BA$1),3,IF(AND($AV901&gt;=$BA$1),4,1)))),PR,2,0)</f>
        <v>0.05</v>
      </c>
      <c r="AY901" s="286">
        <f t="shared" ref="AY901:AY964" ca="1" si="531">ROUND(AU901*AW901,0)</f>
        <v>0</v>
      </c>
      <c r="AZ901" s="286">
        <f t="shared" ref="AZ901:AZ964" ca="1" si="532">ROUND(AV901*AX901,0)</f>
        <v>0</v>
      </c>
      <c r="BA901" s="286">
        <f t="shared" ref="BA901:BA964" ca="1" si="533">BB901+BC901</f>
        <v>0</v>
      </c>
      <c r="BB901" s="286">
        <f t="shared" ref="BB901:BB964" ca="1" si="534">IF(ISNA(VLOOKUP(A901,MP,2,0)),,IF(C901=$C$3,ROUND(VLOOKUP(A901,MP,6,0),0),0))</f>
        <v>0</v>
      </c>
      <c r="BC901" s="286">
        <f t="shared" ref="BC901:BC964" ca="1" si="535">IF(ISNA(VLOOKUP(A901,MP,4,0)),,IF(AND(C901=$C$3,AN901=1),ROUND(VLOOKUP(A901,MP,4,0),0),0))</f>
        <v>0</v>
      </c>
      <c r="BD901" s="180">
        <f t="shared" ref="BD901:BD964" ca="1" si="536">HLOOKUP(IF($BB901&lt;$AY$1,1,IF(AND($BB901&gt;=$AY$1,$BB901&lt;$AZ$1),2,IF(AND($BB901&gt;=$AZ$1,$BB901&lt;$BA$1),3,IF(AND($BB901&gt;=$BA$1),4,1)))),PR,2,0)</f>
        <v>0.05</v>
      </c>
      <c r="BE901" s="180">
        <f t="shared" ref="BE901:BE964" ca="1" si="537">HLOOKUP(IF($BC901&lt;$AY$1,1,IF(AND($BC901&gt;=$AY$1,$BC901&lt;$AZ$1),2,IF(AND($BC901&gt;=$AZ$1,$BC901&lt;$BA$1),3,IF(AND($BC901&gt;=$BA$1),4,1)))),PR,2,0)</f>
        <v>0.05</v>
      </c>
      <c r="BF901" s="286">
        <f t="shared" ref="BF901:BF964" ca="1" si="538">ROUND(BB901*BD901,0)</f>
        <v>0</v>
      </c>
      <c r="BG901" s="286">
        <f t="shared" ref="BG901:BG964" ca="1" si="539">ROUND(BC901*BE901,0)</f>
        <v>0</v>
      </c>
    </row>
    <row r="902" spans="1:59">
      <c r="A902" s="1">
        <f t="shared" ca="1" si="519"/>
        <v>75</v>
      </c>
      <c r="B902" s="1">
        <f t="shared" ca="1" si="512"/>
        <v>181</v>
      </c>
      <c r="C902" s="1">
        <f t="shared" ca="1" si="513"/>
        <v>4</v>
      </c>
      <c r="D902" s="1">
        <f ca="1">MIN($D$3,VLOOKUP(C902,OP!$S$30:$T$41,2))</f>
        <v>2</v>
      </c>
      <c r="E902" s="1" t="str">
        <f t="shared" ca="1" si="514"/>
        <v/>
      </c>
      <c r="F902" s="11" t="str">
        <f t="shared" ca="1" si="520"/>
        <v/>
      </c>
      <c r="G902" s="8">
        <f t="shared" ca="1" si="517"/>
        <v>366</v>
      </c>
      <c r="H902" s="8">
        <f t="shared" ca="1" si="521"/>
        <v>30</v>
      </c>
      <c r="I902" s="8" t="str">
        <f t="shared" ca="1" si="518"/>
        <v>754</v>
      </c>
      <c r="J902" s="13">
        <f>IF(繳費報酬率資料!$A$1=1,VALUE(OP!$C$121),VLOOKUP(A902,MP,2,0))</f>
        <v>0.05</v>
      </c>
      <c r="K902" s="14">
        <f ca="1">IF(SUM($K$4:K901,IF(繳費報酬率資料!$A$1=1,$AU902+$AV902,$BB902+$BC902))&gt;OP!$L$58,0,IF(繳費報酬率資料!$A$1=1,$AU902+$AV902,$BB902+$BC902))</f>
        <v>0</v>
      </c>
      <c r="L902" s="2"/>
      <c r="M902" s="2"/>
      <c r="N902" s="2"/>
      <c r="O902" s="261">
        <f t="shared" ca="1" si="522"/>
        <v>0</v>
      </c>
      <c r="P902" s="261">
        <f t="shared" ref="P902:P965" ca="1" si="540">IF(MAX(Z901:AB901)=0,0,P901)</f>
        <v>0</v>
      </c>
      <c r="Q902" s="3">
        <f ca="1">IF(A902&gt;MAX(OP!$R$17:$R$26),0,VLOOKUP(A902,fees,3,FALSE))</f>
        <v>0</v>
      </c>
      <c r="R902" s="200" t="str">
        <f t="shared" ca="1" si="523"/>
        <v/>
      </c>
      <c r="S902" s="9" t="str">
        <f ca="1">IF(COUNTIF(($T$4:T901),"F")&gt;=1,"",IF(OR(C903&lt;&gt;$C$3,E902=""),"",A902))</f>
        <v/>
      </c>
      <c r="T902" s="20" t="str">
        <f t="shared" ca="1" si="515"/>
        <v/>
      </c>
      <c r="U902" s="2">
        <f ca="1">IF(IF(OP!$C$83=1,$Z901,IF(OP!$C$83=2,$AA901,IF(OP!$C$83=3,$AB901,)))+$K902-$O902-$P902-$AS902&lt;OP!$C$142,0,$AS902)</f>
        <v>0</v>
      </c>
      <c r="V902" s="9"/>
      <c r="W902" s="19">
        <f ca="1">MAX(SUM($K$4:K902),0)</f>
        <v>2000000</v>
      </c>
      <c r="X902" s="19"/>
      <c r="Y902" s="19">
        <f t="shared" ref="Y902:Y965" ca="1" si="541">Y901+K902-O902</f>
        <v>1920000</v>
      </c>
      <c r="Z902" s="2">
        <f ca="1">IF(MIN($Z$4:Z901)=0,0,MAX(0,($Z901+$K902-$O902-$P902)*IF(AND(F902="F",$D$3&lt;&gt;$G$3),((1+(-J902))^(H902/MIN(G902,365))),((1+(-J902))^(1/12)))-$U902))</f>
        <v>41155.510355204045</v>
      </c>
      <c r="AA902" s="2">
        <f ca="1">IF(MIN($AA$4:AA901)=0,0,MAX(0,($AA901+$K902-$O902-$P902)*IF(AND(F902="F",$D$3&lt;&gt;$G$3),((1+$AA$1)^(H902/MIN(G902,365))),((1+$AA$1)^(1/12)))-$U902))</f>
        <v>1920000</v>
      </c>
      <c r="AB902" s="2">
        <f ca="1">IF(MIN($AB$4:AB901)=0,0,MAX(0,($AB901+$K902-$O902-$P902)*IF(AND(F902="F",$D$3&lt;&gt;$G$3),((1+(J902))^(H902/MIN(G902,365))),((1+(J902))^(1/12)))-$U902))</f>
        <v>74256227.909404188</v>
      </c>
      <c r="AC902" s="5"/>
      <c r="AD902" s="5"/>
      <c r="AE902" s="5"/>
      <c r="AF902" s="282">
        <f t="shared" ca="1" si="524"/>
        <v>41156</v>
      </c>
      <c r="AG902" s="282">
        <f t="shared" ca="1" si="525"/>
        <v>1920000</v>
      </c>
      <c r="AH902" s="282">
        <f t="shared" ca="1" si="526"/>
        <v>74256228</v>
      </c>
      <c r="AI902" s="23" t="str">
        <f t="shared" ca="1" si="507"/>
        <v>75-12</v>
      </c>
      <c r="AJ902" s="282">
        <f ca="1">IF(E902&gt;111,,IF(AND(OP!$C$99=1,T902="F"),Z902,IF(AND(OP!$C$99=2,COUNTIF($T$4:T902,"F")=1),OP!$C$97+IF(F902="F",OP!$C$98,0),"")))</f>
        <v>0</v>
      </c>
      <c r="AK902" s="282">
        <f ca="1">IF(E902&gt;111,,IF(AND(OP!$D$99=1,T902="F"),AA902,IF(AND(OP!$D$99=2,COUNTIF($T$4:T902,"F")=1),OP!$D$97+IF(F902="F",OP!$D$98,0),"")))</f>
        <v>0</v>
      </c>
      <c r="AL902" s="282">
        <f ca="1">IF(E902&gt;111,,IF(AND(OP!$E$99=1,T902="F"),AB902,IF(AND(OP!$E$99=2,COUNTIF($T$4:T902,"F")=1),OP!$E$97+IF(F902="F",OP!$E$98,0),"")))</f>
        <v>0</v>
      </c>
      <c r="AM902" s="1">
        <f t="shared" ca="1" si="516"/>
        <v>12</v>
      </c>
      <c r="AN902" s="1" t="e">
        <f ca="1">IF(OR(VLOOKUP($A902,MP,5,0)="月繳"),1,"")</f>
        <v>#N/A</v>
      </c>
      <c r="AO902" s="1">
        <f t="shared" ca="1" si="527"/>
        <v>0</v>
      </c>
      <c r="AP902" s="1" t="str">
        <f ca="1">IF(AND(A902&lt;=OP!$C$120,COUNTIF(PAY,C902)=1),1,"")</f>
        <v/>
      </c>
      <c r="AR902" s="301">
        <f ca="1">IF(繳費報酬率資料!$A$1=1,$AY902+$AZ902,$BF902+$BG902)</f>
        <v>0</v>
      </c>
      <c r="AS902" s="1">
        <f ca="1">IF(C902&lt;&gt;IF($C$3=1,12,$C$3-1),0,IF(繳費報酬率資料!$A$1&lt;&gt;1,VLOOKUP($A902,MP,8,0),IF(AND($A902&gt;=OP!$C$79,$A902&lt;=OP!$C$80),OP!$C$78,)))</f>
        <v>0</v>
      </c>
      <c r="AT902" s="298">
        <f t="shared" ca="1" si="528"/>
        <v>0</v>
      </c>
      <c r="AU902" s="298">
        <f ca="1">IF(AND(A902&lt;=OP!$C$120,COUNTIF(PAY,C902)=1),OP!$C$123,0)</f>
        <v>0</v>
      </c>
      <c r="AV902" s="298">
        <f ca="1">IF(AND(A902&gt;=OP!$C$132,A902&lt;=OP!$C$133,$C$3=C902),OP!$C$135,0)</f>
        <v>0</v>
      </c>
      <c r="AW902" s="180">
        <f t="shared" ca="1" si="529"/>
        <v>0.05</v>
      </c>
      <c r="AX902" s="180">
        <f t="shared" ca="1" si="530"/>
        <v>0.05</v>
      </c>
      <c r="AY902" s="286">
        <f t="shared" ca="1" si="531"/>
        <v>0</v>
      </c>
      <c r="AZ902" s="286">
        <f t="shared" ca="1" si="532"/>
        <v>0</v>
      </c>
      <c r="BA902" s="286">
        <f t="shared" ca="1" si="533"/>
        <v>0</v>
      </c>
      <c r="BB902" s="286">
        <f t="shared" ca="1" si="534"/>
        <v>0</v>
      </c>
      <c r="BC902" s="286">
        <f t="shared" ca="1" si="535"/>
        <v>0</v>
      </c>
      <c r="BD902" s="180">
        <f t="shared" ca="1" si="536"/>
        <v>0.05</v>
      </c>
      <c r="BE902" s="180">
        <f t="shared" ca="1" si="537"/>
        <v>0.05</v>
      </c>
      <c r="BF902" s="286">
        <f t="shared" ca="1" si="538"/>
        <v>0</v>
      </c>
      <c r="BG902" s="286">
        <f t="shared" ca="1" si="539"/>
        <v>0</v>
      </c>
    </row>
    <row r="903" spans="1:59">
      <c r="A903" s="1">
        <f t="shared" ca="1" si="519"/>
        <v>75</v>
      </c>
      <c r="B903" s="1">
        <f t="shared" ca="1" si="512"/>
        <v>181</v>
      </c>
      <c r="C903" s="1">
        <f t="shared" ca="1" si="513"/>
        <v>5</v>
      </c>
      <c r="D903" s="1">
        <f ca="1">MIN($D$3,VLOOKUP(C903,OP!$S$30:$T$41,2))</f>
        <v>2</v>
      </c>
      <c r="E903" s="1" t="str">
        <f t="shared" ca="1" si="514"/>
        <v/>
      </c>
      <c r="F903" s="11" t="str">
        <f t="shared" ca="1" si="520"/>
        <v/>
      </c>
      <c r="G903" s="8">
        <f t="shared" ca="1" si="517"/>
        <v>366</v>
      </c>
      <c r="H903" s="8">
        <f t="shared" ca="1" si="521"/>
        <v>31</v>
      </c>
      <c r="I903" s="8" t="str">
        <f t="shared" ca="1" si="518"/>
        <v>755</v>
      </c>
      <c r="J903" s="13">
        <f>IF(繳費報酬率資料!$A$1=1,VALUE(OP!$C$121),VLOOKUP(A903,MP,2,0))</f>
        <v>0.05</v>
      </c>
      <c r="K903" s="14">
        <f ca="1">IF(SUM($K$4:K902,IF(繳費報酬率資料!$A$1=1,$AU903+$AV903,$BB903+$BC903))&gt;OP!$L$58,0,IF(繳費報酬率資料!$A$1=1,$AU903+$AV903,$BB903+$BC903))</f>
        <v>0</v>
      </c>
      <c r="L903" s="2">
        <f ca="1">ROUND(IF(OP!$C$78&lt;(IF(OR($T903="F",$E903&gt;=111),0,Z902+$K903-$O903+IF($C$1=1,OP!$C$78,IF($C904=$C$3,SUM(AC892:AC903,0)))))*5%,0,(OP!$C$78-((IF(OR($T903="F",$E903&gt;=111),0,Z902+$K903-$O903+IF($C$1=1,AC903,IF($C904=$C$3,SUM(AC892:AC903,0)))))*5%))*$Q903),0)</f>
        <v>0</v>
      </c>
      <c r="M903" s="2">
        <f ca="1">ROUND(IF(OP!$C$78&lt;(IF(OR($T903="F",$E903&gt;=111),0,AA902+$K903-$O903+IF($C$1=1,AD903,IF($C904=$C$3,SUM(AD892:AD903,0)))))*5%,0,(OP!$C$78-((IF(OR($T903="F",$E903&gt;=111),0,AA902+$K903-$O903+IF($C$1=1,AD903,IF($C904=$C$3,SUM(AD892:AD903,0)))))*5%))*$Q903),0)</f>
        <v>0</v>
      </c>
      <c r="N903" s="2">
        <f ca="1">ROUND(IF(OP!$C$78&lt;(IF(OR($T903="F",$E903&gt;=111),0,AB902+$K903-$O903+IF($C$1=1,AE903,IF($C904=$C$3,SUM(AE892:AE903,0)))))*5%,0,(OP!$C$78-((IF(OR($T903="F",$E903&gt;=111),0,AB902+$K903-$O903+IF($C$1=1,AE903,IF($C904=$C$3,SUM(AE892:AE903,0)))))*5%))*$Q903),0)</f>
        <v>0</v>
      </c>
      <c r="O903" s="261">
        <f t="shared" ca="1" si="522"/>
        <v>0</v>
      </c>
      <c r="P903" s="261">
        <f t="shared" ca="1" si="540"/>
        <v>0</v>
      </c>
      <c r="Q903" s="3">
        <f ca="1">IF(A903&gt;MAX(OP!$R$17:$R$26),0,VLOOKUP(A903,fees,3,FALSE))</f>
        <v>0</v>
      </c>
      <c r="R903" s="200" t="str">
        <f t="shared" ca="1" si="523"/>
        <v/>
      </c>
      <c r="S903" s="9" t="str">
        <f ca="1">IF(COUNTIF(($T$4:T902),"F")&gt;=1,"",IF(OR(C904&lt;&gt;$C$3,E903=""),"",A903))</f>
        <v/>
      </c>
      <c r="T903" s="20" t="str">
        <f t="shared" ca="1" si="515"/>
        <v/>
      </c>
      <c r="U903" s="2">
        <f ca="1">IF(IF(OP!$C$83=1,$Z902,IF(OP!$C$83=2,$AA902,IF(OP!$C$83=3,$AB902,)))+$K903-$O903-$P903-$AS903&lt;OP!$C$142,0,$AS903)</f>
        <v>0</v>
      </c>
      <c r="V903" s="19">
        <f ca="1">SUM(K892:K903)</f>
        <v>0</v>
      </c>
      <c r="W903" s="19">
        <f ca="1">MAX(SUM($K$4:K903),0)</f>
        <v>2000000</v>
      </c>
      <c r="X903" s="19">
        <f ca="1">SUM(O892:P903)</f>
        <v>0</v>
      </c>
      <c r="Y903" s="19">
        <f t="shared" ca="1" si="541"/>
        <v>1920000</v>
      </c>
      <c r="Z903" s="2">
        <f ca="1">IF(MIN($Z$4:Z902)=0,0,MAX(0,($Z902+$K903-$O903-$P903)*IF(AND(F903="F",$D$3&lt;&gt;$G$3),((1+(-J903))^(H903/MIN(G903,365))),((1+(-J903))^(1/12)))-$U903))</f>
        <v>40979.968984085899</v>
      </c>
      <c r="AA903" s="2">
        <f ca="1">IF(MIN($AA$4:AA902)=0,0,MAX(0,($AA902+$K903-$O903-$P903)*IF(AND(F903="F",$D$3&lt;&gt;$G$3),((1+$AA$1)^(H903/MIN(G903,365))),((1+$AA$1)^(1/12)))-$U903))</f>
        <v>1920000</v>
      </c>
      <c r="AB903" s="2">
        <f ca="1">IF(MIN($AB$4:AB902)=0,0,MAX(0,($AB902+$K903-$O903-$P903)*IF(AND(F903="F",$D$3&lt;&gt;$G$3),((1+(J903))^(H903/MIN(G903,365))),((1+(J903))^(1/12)))-$U903))</f>
        <v>74558756.973613903</v>
      </c>
      <c r="AC903" s="5"/>
      <c r="AD903" s="5"/>
      <c r="AE903" s="5"/>
      <c r="AF903" s="282">
        <f t="shared" ca="1" si="524"/>
        <v>40980</v>
      </c>
      <c r="AG903" s="282">
        <f t="shared" ca="1" si="525"/>
        <v>1920000</v>
      </c>
      <c r="AH903" s="282">
        <f t="shared" ca="1" si="526"/>
        <v>74558757</v>
      </c>
      <c r="AI903" s="23" t="str">
        <f t="shared" ca="1" si="507"/>
        <v>76-1</v>
      </c>
      <c r="AJ903" s="282">
        <f ca="1">IF(E903&gt;111,,IF(AND(OP!$C$99=1,T903="F"),Z903,IF(AND(OP!$C$99=2,COUNTIF($T$4:T903,"F")=1),OP!$C$97+IF(F903="F",OP!$C$98,0),"")))</f>
        <v>0</v>
      </c>
      <c r="AK903" s="282">
        <f ca="1">IF(E903&gt;111,,IF(AND(OP!$D$99=1,T903="F"),AA903,IF(AND(OP!$D$99=2,COUNTIF($T$4:T903,"F")=1),OP!$D$97+IF(F903="F",OP!$D$98,0),"")))</f>
        <v>0</v>
      </c>
      <c r="AL903" s="282">
        <f ca="1">IF(E903&gt;111,,IF(AND(OP!$E$99=1,T903="F"),AB903,IF(AND(OP!$E$99=2,COUNTIF($T$4:T903,"F")=1),OP!$E$97+IF(F903="F",OP!$E$98,0),"")))</f>
        <v>0</v>
      </c>
      <c r="AM903" s="1">
        <f t="shared" ca="1" si="516"/>
        <v>1</v>
      </c>
      <c r="AN903" s="1" t="e">
        <f ca="1">IF(OR(VLOOKUP($A903,MP,5,0)="月繳"),1,"")</f>
        <v>#N/A</v>
      </c>
      <c r="AO903" s="1">
        <f t="shared" ca="1" si="527"/>
        <v>0</v>
      </c>
      <c r="AP903" s="1" t="str">
        <f ca="1">IF(AND(A903&lt;=OP!$C$120,COUNTIF(PAY,C903)=1),1,"")</f>
        <v/>
      </c>
      <c r="AR903" s="301">
        <f ca="1">IF(繳費報酬率資料!$A$1=1,$AY903+$AZ903,$BF903+$BG903)</f>
        <v>0</v>
      </c>
      <c r="AS903" s="1">
        <f ca="1">IF(C903&lt;&gt;IF($C$3=1,12,$C$3-1),0,IF(繳費報酬率資料!$A$1&lt;&gt;1,VLOOKUP($A903,MP,8,0),IF(AND($A903&gt;=OP!$C$79,$A903&lt;=OP!$C$80),OP!$C$78,)))</f>
        <v>0</v>
      </c>
      <c r="AT903" s="298">
        <f t="shared" ca="1" si="528"/>
        <v>0</v>
      </c>
      <c r="AU903" s="298">
        <f ca="1">IF(AND(A903&lt;=OP!$C$120,COUNTIF(PAY,C903)=1),OP!$C$123,0)</f>
        <v>0</v>
      </c>
      <c r="AV903" s="298">
        <f ca="1">IF(AND(A903&gt;=OP!$C$132,A903&lt;=OP!$C$133,$C$3=C903),OP!$C$135,0)</f>
        <v>0</v>
      </c>
      <c r="AW903" s="180">
        <f t="shared" ca="1" si="529"/>
        <v>0.05</v>
      </c>
      <c r="AX903" s="180">
        <f t="shared" ca="1" si="530"/>
        <v>0.05</v>
      </c>
      <c r="AY903" s="286">
        <f t="shared" ca="1" si="531"/>
        <v>0</v>
      </c>
      <c r="AZ903" s="286">
        <f t="shared" ca="1" si="532"/>
        <v>0</v>
      </c>
      <c r="BA903" s="286">
        <f t="shared" ca="1" si="533"/>
        <v>0</v>
      </c>
      <c r="BB903" s="286">
        <f t="shared" ca="1" si="534"/>
        <v>0</v>
      </c>
      <c r="BC903" s="286">
        <f t="shared" ca="1" si="535"/>
        <v>0</v>
      </c>
      <c r="BD903" s="180">
        <f t="shared" ca="1" si="536"/>
        <v>0.05</v>
      </c>
      <c r="BE903" s="180">
        <f t="shared" ca="1" si="537"/>
        <v>0.05</v>
      </c>
      <c r="BF903" s="286">
        <f t="shared" ca="1" si="538"/>
        <v>0</v>
      </c>
      <c r="BG903" s="286">
        <f t="shared" ca="1" si="539"/>
        <v>0</v>
      </c>
    </row>
    <row r="904" spans="1:59">
      <c r="A904" s="1">
        <f t="shared" ca="1" si="519"/>
        <v>76</v>
      </c>
      <c r="B904" s="1">
        <f t="shared" ca="1" si="512"/>
        <v>181</v>
      </c>
      <c r="C904" s="1">
        <f t="shared" ca="1" si="513"/>
        <v>6</v>
      </c>
      <c r="D904" s="1">
        <f ca="1">MIN($D$3,VLOOKUP(C904,OP!$S$30:$T$41,2))</f>
        <v>2</v>
      </c>
      <c r="E904" s="1" t="str">
        <f t="shared" ca="1" si="514"/>
        <v/>
      </c>
      <c r="F904" s="11" t="str">
        <f t="shared" ca="1" si="520"/>
        <v/>
      </c>
      <c r="G904" s="6">
        <f ca="1">DATEDIF(DATE(B904+1911,C904,D904),DATE(B916+1911,C916,D916),"d")</f>
        <v>365</v>
      </c>
      <c r="H904" s="8">
        <f t="shared" ca="1" si="521"/>
        <v>30</v>
      </c>
      <c r="I904" s="8" t="str">
        <f t="shared" ca="1" si="518"/>
        <v>766</v>
      </c>
      <c r="J904" s="13">
        <f>IF(繳費報酬率資料!$A$1=1,VALUE(OP!$C$121),VLOOKUP(A904,MP,2,0))</f>
        <v>0.05</v>
      </c>
      <c r="K904" s="14">
        <f ca="1">IF(SUM($K$4:K903,IF(繳費報酬率資料!$A$1=1,$AU904+$AV904,$BB904+$BC904))&gt;OP!$L$58,0,IF(繳費報酬率資料!$A$1=1,$AU904+$AV904,$BB904+$BC904))</f>
        <v>0</v>
      </c>
      <c r="L904" s="2"/>
      <c r="M904" s="2"/>
      <c r="N904" s="2"/>
      <c r="O904" s="261">
        <f t="shared" ca="1" si="522"/>
        <v>0</v>
      </c>
      <c r="P904" s="261">
        <f t="shared" ca="1" si="540"/>
        <v>0</v>
      </c>
      <c r="Q904" s="3">
        <f ca="1">IF(A904&gt;MAX(OP!$R$17:$R$26),0,VLOOKUP(A904,fees,3,FALSE))</f>
        <v>0</v>
      </c>
      <c r="R904" s="200" t="str">
        <f t="shared" ca="1" si="523"/>
        <v/>
      </c>
      <c r="S904" s="9" t="str">
        <f ca="1">IF(COUNTIF(($T$4:T903),"F")&gt;=1,"",IF(OR(C905&lt;&gt;$C$3,E904=""),"",A904))</f>
        <v/>
      </c>
      <c r="T904" s="20" t="str">
        <f t="shared" ca="1" si="515"/>
        <v/>
      </c>
      <c r="U904" s="2">
        <f ca="1">IF(IF(OP!$C$83=1,$Z903,IF(OP!$C$83=2,$AA903,IF(OP!$C$83=3,$AB903,)))+$K904-$O904-$P904-$AS904&lt;OP!$C$142,0,$AS904)</f>
        <v>0</v>
      </c>
      <c r="V904" s="9"/>
      <c r="W904" s="19">
        <f ca="1">MAX(SUM($K$4:K904),0)</f>
        <v>2000000</v>
      </c>
      <c r="X904" s="19"/>
      <c r="Y904" s="19">
        <f t="shared" ca="1" si="541"/>
        <v>1920000</v>
      </c>
      <c r="Z904" s="2">
        <f ca="1">IF(MIN($Z$4:Z903)=0,0,MAX(0,($Z903+$K904-$O904-$P904)*IF(AND(F904="F",$D$3&lt;&gt;$G$3),((1+(-J904))^(H904/MIN(G904,365))),((1+(-J904))^(1/12)))-$U904))</f>
        <v>40805.176352874223</v>
      </c>
      <c r="AA904" s="2">
        <f ca="1">IF(MIN($AA$4:AA903)=0,0,MAX(0,($AA903+$K904-$O904-$P904)*IF(AND(F904="F",$D$3&lt;&gt;$G$3),((1+$AA$1)^(H904/MIN(G904,365))),((1+$AA$1)^(1/12)))-$U904))</f>
        <v>1920000</v>
      </c>
      <c r="AB904" s="2">
        <f ca="1">IF(MIN($AB$4:AB903)=0,0,MAX(0,($AB903+$K904-$O904-$P904)*IF(AND(F904="F",$D$3&lt;&gt;$G$3),((1+(J904))^(H904/MIN(G904,365))),((1+(J904))^(1/12)))-$U904))</f>
        <v>74862518.578679368</v>
      </c>
      <c r="AC904" s="21"/>
      <c r="AD904" s="21"/>
      <c r="AE904" s="21"/>
      <c r="AF904" s="282">
        <f t="shared" ca="1" si="524"/>
        <v>40805</v>
      </c>
      <c r="AG904" s="282">
        <f t="shared" ca="1" si="525"/>
        <v>1920000</v>
      </c>
      <c r="AH904" s="282">
        <f t="shared" ca="1" si="526"/>
        <v>74862519</v>
      </c>
      <c r="AI904" s="23" t="str">
        <f t="shared" ca="1" si="507"/>
        <v>76-2</v>
      </c>
      <c r="AJ904" s="281">
        <f ca="1">IF(E904&gt;111,,IF(AND(OP!$C$99=1,T904="F"),Z904,IF(AND(OP!$C$99=2,COUNTIF($T$4:T904,"F")=1),OP!$C$97+IF(F904="F",OP!$C$98,0),"")))</f>
        <v>0</v>
      </c>
      <c r="AK904" s="281">
        <f ca="1">IF(E904&gt;111,,IF(AND(OP!$D$99=1,T904="F"),AA904,IF(AND(OP!$D$99=2,COUNTIF($T$4:T904,"F")=1),OP!$D$97+IF(F904="F",OP!$D$98,0),"")))</f>
        <v>0</v>
      </c>
      <c r="AL904" s="281">
        <f ca="1">IF(E904&gt;111,,IF(AND(OP!$E$99=1,T904="F"),AB904,IF(AND(OP!$E$99=2,COUNTIF($T$4:T904,"F")=1),OP!$E$97+IF(F904="F",OP!$E$98,0),"")))</f>
        <v>0</v>
      </c>
      <c r="AM904" s="1">
        <f t="shared" ca="1" si="516"/>
        <v>2</v>
      </c>
      <c r="AN904" s="1" t="e">
        <f ca="1">IF(OR(VLOOKUP($A904,MP,5,0)="年繳",VLOOKUP($A904,MP,5,0)="半年繳",VLOOKUP($A904,MP,5,0)="季繳",VLOOKUP($A904,MP,5,0)="月繳"),1,"")</f>
        <v>#N/A</v>
      </c>
      <c r="AO904" s="1">
        <f t="shared" ca="1" si="527"/>
        <v>0</v>
      </c>
      <c r="AP904" s="1" t="str">
        <f ca="1">IF(AND(A904&lt;=OP!$C$120,COUNTIF(PAY,C904)=1),1,"")</f>
        <v/>
      </c>
      <c r="AR904" s="301">
        <f ca="1">IF(繳費報酬率資料!$A$1=1,$AY904+$AZ904,$BF904+$BG904)</f>
        <v>0</v>
      </c>
      <c r="AS904" s="1">
        <f ca="1">IF(C904&lt;&gt;IF($C$3=1,12,$C$3-1),0,IF(繳費報酬率資料!$A$1&lt;&gt;1,VLOOKUP($A904,MP,8,0),IF(AND($A904&gt;=OP!$C$79,$A904&lt;=OP!$C$80),OP!$C$78,)))</f>
        <v>0</v>
      </c>
      <c r="AT904" s="298">
        <f t="shared" ca="1" si="528"/>
        <v>0</v>
      </c>
      <c r="AU904" s="298">
        <f ca="1">IF(AND(A904&lt;=OP!$C$120,COUNTIF(PAY,C904)=1),OP!$C$123,0)</f>
        <v>0</v>
      </c>
      <c r="AV904" s="298">
        <f ca="1">IF(AND(A904&gt;=OP!$C$132,A904&lt;=OP!$C$133,$C$3=C904),OP!$C$135,0)</f>
        <v>0</v>
      </c>
      <c r="AW904" s="180">
        <f t="shared" ca="1" si="529"/>
        <v>0.05</v>
      </c>
      <c r="AX904" s="180">
        <f t="shared" ca="1" si="530"/>
        <v>0.05</v>
      </c>
      <c r="AY904" s="286">
        <f t="shared" ca="1" si="531"/>
        <v>0</v>
      </c>
      <c r="AZ904" s="286">
        <f t="shared" ca="1" si="532"/>
        <v>0</v>
      </c>
      <c r="BA904" s="286">
        <f t="shared" ca="1" si="533"/>
        <v>0</v>
      </c>
      <c r="BB904" s="286">
        <f t="shared" ca="1" si="534"/>
        <v>0</v>
      </c>
      <c r="BC904" s="286">
        <f t="shared" ca="1" si="535"/>
        <v>0</v>
      </c>
      <c r="BD904" s="180">
        <f t="shared" ca="1" si="536"/>
        <v>0.05</v>
      </c>
      <c r="BE904" s="180">
        <f t="shared" ca="1" si="537"/>
        <v>0.05</v>
      </c>
      <c r="BF904" s="286">
        <f t="shared" ca="1" si="538"/>
        <v>0</v>
      </c>
      <c r="BG904" s="286">
        <f t="shared" ca="1" si="539"/>
        <v>0</v>
      </c>
    </row>
    <row r="905" spans="1:59">
      <c r="A905" s="1">
        <f t="shared" ca="1" si="519"/>
        <v>76</v>
      </c>
      <c r="B905" s="1">
        <f t="shared" ca="1" si="512"/>
        <v>181</v>
      </c>
      <c r="C905" s="1">
        <f t="shared" ca="1" si="513"/>
        <v>7</v>
      </c>
      <c r="D905" s="1">
        <f ca="1">MIN($D$3,VLOOKUP(C905,OP!$S$30:$T$41,2))</f>
        <v>2</v>
      </c>
      <c r="E905" s="1" t="str">
        <f t="shared" ca="1" si="514"/>
        <v/>
      </c>
      <c r="F905" s="11" t="str">
        <f t="shared" ca="1" si="520"/>
        <v/>
      </c>
      <c r="G905" s="8">
        <f t="shared" ref="G905:G915" ca="1" si="542">G904</f>
        <v>365</v>
      </c>
      <c r="H905" s="8">
        <f t="shared" ca="1" si="521"/>
        <v>31</v>
      </c>
      <c r="I905" s="8" t="str">
        <f t="shared" ca="1" si="518"/>
        <v>767</v>
      </c>
      <c r="J905" s="13">
        <f>IF(繳費報酬率資料!$A$1=1,VALUE(OP!$C$121),VLOOKUP(A905,MP,2,0))</f>
        <v>0.05</v>
      </c>
      <c r="K905" s="14">
        <f ca="1">IF(SUM($K$4:K904,IF(繳費報酬率資料!$A$1=1,$AU905+$AV905,$BB905+$BC905))&gt;OP!$L$58,0,IF(繳費報酬率資料!$A$1=1,$AU905+$AV905,$BB905+$BC905))</f>
        <v>0</v>
      </c>
      <c r="L905" s="2"/>
      <c r="M905" s="2"/>
      <c r="N905" s="2"/>
      <c r="O905" s="261">
        <f t="shared" ca="1" si="522"/>
        <v>0</v>
      </c>
      <c r="P905" s="261">
        <f t="shared" ca="1" si="540"/>
        <v>0</v>
      </c>
      <c r="Q905" s="3">
        <f ca="1">IF(A905&gt;MAX(OP!$R$17:$R$26),0,VLOOKUP(A905,fees,3,FALSE))</f>
        <v>0</v>
      </c>
      <c r="R905" s="200" t="str">
        <f t="shared" ca="1" si="523"/>
        <v/>
      </c>
      <c r="S905" s="9" t="str">
        <f ca="1">IF(COUNTIF(($T$4:T904),"F")&gt;=1,"",IF(OR(C906&lt;&gt;$C$3,E905=""),"",A905))</f>
        <v/>
      </c>
      <c r="T905" s="20" t="str">
        <f t="shared" ca="1" si="515"/>
        <v/>
      </c>
      <c r="U905" s="2">
        <f ca="1">IF(IF(OP!$C$83=1,$Z904,IF(OP!$C$83=2,$AA904,IF(OP!$C$83=3,$AB904,)))+$K905-$O905-$P905-$AS905&lt;OP!$C$142,0,$AS905)</f>
        <v>0</v>
      </c>
      <c r="V905" s="9"/>
      <c r="W905" s="19">
        <f ca="1">MAX(SUM($K$4:K905),0)</f>
        <v>2000000</v>
      </c>
      <c r="X905" s="19"/>
      <c r="Y905" s="19">
        <f t="shared" ca="1" si="541"/>
        <v>1920000</v>
      </c>
      <c r="Z905" s="2">
        <f ca="1">IF(MIN($Z$4:Z904)=0,0,MAX(0,($Z904+$K905-$O905-$P905)*IF(AND(F905="F",$D$3&lt;&gt;$G$3),((1+(-J905))^(H905/MIN(G905,365))),((1+(-J905))^(1/12)))-$U905))</f>
        <v>40631.129267954639</v>
      </c>
      <c r="AA905" s="2">
        <f ca="1">IF(MIN($AA$4:AA904)=0,0,MAX(0,($AA904+$K905-$O905-$P905)*IF(AND(F905="F",$D$3&lt;&gt;$G$3),((1+$AA$1)^(H905/MIN(G905,365))),((1+$AA$1)^(1/12)))-$U905))</f>
        <v>1920000</v>
      </c>
      <c r="AB905" s="2">
        <f ca="1">IF(MIN($AB$4:AB904)=0,0,MAX(0,($AB904+$K905-$O905-$P905)*IF(AND(F905="F",$D$3&lt;&gt;$G$3),((1+(J905))^(H905/MIN(G905,365))),((1+(J905))^(1/12)))-$U905))</f>
        <v>75167517.746124581</v>
      </c>
      <c r="AC905" s="5"/>
      <c r="AD905" s="5"/>
      <c r="AE905" s="5"/>
      <c r="AF905" s="282">
        <f t="shared" ca="1" si="524"/>
        <v>40631</v>
      </c>
      <c r="AG905" s="282">
        <f t="shared" ca="1" si="525"/>
        <v>1920000</v>
      </c>
      <c r="AH905" s="282">
        <f t="shared" ca="1" si="526"/>
        <v>75167518</v>
      </c>
      <c r="AI905" s="23" t="str">
        <f t="shared" ca="1" si="507"/>
        <v>76-3</v>
      </c>
      <c r="AJ905" s="282">
        <f ca="1">IF(E905&gt;111,,IF(AND(OP!$C$99=1,T905="F"),Z905,IF(AND(OP!$C$99=2,COUNTIF($T$4:T905,"F")=1),OP!$C$97+IF(F905="F",OP!$C$98,0),"")))</f>
        <v>0</v>
      </c>
      <c r="AK905" s="282">
        <f ca="1">IF(E905&gt;111,,IF(AND(OP!$D$99=1,T905="F"),AA905,IF(AND(OP!$D$99=2,COUNTIF($T$4:T905,"F")=1),OP!$D$97+IF(F905="F",OP!$D$98,0),"")))</f>
        <v>0</v>
      </c>
      <c r="AL905" s="282">
        <f ca="1">IF(E905&gt;111,,IF(AND(OP!$E$99=1,T905="F"),AB905,IF(AND(OP!$E$99=2,COUNTIF($T$4:T905,"F")=1),OP!$E$97+IF(F905="F",OP!$E$98,0),"")))</f>
        <v>0</v>
      </c>
      <c r="AM905" s="1">
        <f t="shared" ca="1" si="516"/>
        <v>3</v>
      </c>
      <c r="AN905" s="1" t="e">
        <f ca="1">IF(OR(VLOOKUP($A905,MP,5,0)="月繳"),1,"")</f>
        <v>#N/A</v>
      </c>
      <c r="AO905" s="1">
        <f t="shared" ca="1" si="527"/>
        <v>0</v>
      </c>
      <c r="AP905" s="1" t="str">
        <f ca="1">IF(AND(A905&lt;=OP!$C$120,COUNTIF(PAY,C905)=1),1,"")</f>
        <v/>
      </c>
      <c r="AR905" s="301">
        <f ca="1">IF(繳費報酬率資料!$A$1=1,$AY905+$AZ905,$BF905+$BG905)</f>
        <v>0</v>
      </c>
      <c r="AS905" s="1">
        <f ca="1">IF(C905&lt;&gt;IF($C$3=1,12,$C$3-1),0,IF(繳費報酬率資料!$A$1&lt;&gt;1,VLOOKUP($A905,MP,8,0),IF(AND($A905&gt;=OP!$C$79,$A905&lt;=OP!$C$80),OP!$C$78,)))</f>
        <v>0</v>
      </c>
      <c r="AT905" s="298">
        <f t="shared" ca="1" si="528"/>
        <v>0</v>
      </c>
      <c r="AU905" s="298">
        <f ca="1">IF(AND(A905&lt;=OP!$C$120,COUNTIF(PAY,C905)=1),OP!$C$123,0)</f>
        <v>0</v>
      </c>
      <c r="AV905" s="298">
        <f ca="1">IF(AND(A905&gt;=OP!$C$132,A905&lt;=OP!$C$133,$C$3=C905),OP!$C$135,0)</f>
        <v>0</v>
      </c>
      <c r="AW905" s="180">
        <f t="shared" ca="1" si="529"/>
        <v>0.05</v>
      </c>
      <c r="AX905" s="180">
        <f t="shared" ca="1" si="530"/>
        <v>0.05</v>
      </c>
      <c r="AY905" s="286">
        <f t="shared" ca="1" si="531"/>
        <v>0</v>
      </c>
      <c r="AZ905" s="286">
        <f t="shared" ca="1" si="532"/>
        <v>0</v>
      </c>
      <c r="BA905" s="286">
        <f t="shared" ca="1" si="533"/>
        <v>0</v>
      </c>
      <c r="BB905" s="286">
        <f t="shared" ca="1" si="534"/>
        <v>0</v>
      </c>
      <c r="BC905" s="286">
        <f t="shared" ca="1" si="535"/>
        <v>0</v>
      </c>
      <c r="BD905" s="180">
        <f t="shared" ca="1" si="536"/>
        <v>0.05</v>
      </c>
      <c r="BE905" s="180">
        <f t="shared" ca="1" si="537"/>
        <v>0.05</v>
      </c>
      <c r="BF905" s="286">
        <f t="shared" ca="1" si="538"/>
        <v>0</v>
      </c>
      <c r="BG905" s="286">
        <f t="shared" ca="1" si="539"/>
        <v>0</v>
      </c>
    </row>
    <row r="906" spans="1:59">
      <c r="A906" s="1">
        <f t="shared" ca="1" si="519"/>
        <v>76</v>
      </c>
      <c r="B906" s="1">
        <f t="shared" ca="1" si="512"/>
        <v>181</v>
      </c>
      <c r="C906" s="1">
        <f t="shared" ca="1" si="513"/>
        <v>8</v>
      </c>
      <c r="D906" s="1">
        <f ca="1">MIN($D$3,VLOOKUP(C906,OP!$S$30:$T$41,2))</f>
        <v>2</v>
      </c>
      <c r="E906" s="1" t="str">
        <f t="shared" ca="1" si="514"/>
        <v/>
      </c>
      <c r="F906" s="11" t="str">
        <f t="shared" ca="1" si="520"/>
        <v/>
      </c>
      <c r="G906" s="8">
        <f t="shared" ca="1" si="542"/>
        <v>365</v>
      </c>
      <c r="H906" s="8">
        <f t="shared" ca="1" si="521"/>
        <v>31</v>
      </c>
      <c r="I906" s="8" t="str">
        <f t="shared" ca="1" si="518"/>
        <v>768</v>
      </c>
      <c r="J906" s="13">
        <f>IF(繳費報酬率資料!$A$1=1,VALUE(OP!$C$121),VLOOKUP(A906,MP,2,0))</f>
        <v>0.05</v>
      </c>
      <c r="K906" s="14">
        <f ca="1">IF(SUM($K$4:K905,IF(繳費報酬率資料!$A$1=1,$AU906+$AV906,$BB906+$BC906))&gt;OP!$L$58,0,IF(繳費報酬率資料!$A$1=1,$AU906+$AV906,$BB906+$BC906))</f>
        <v>0</v>
      </c>
      <c r="L906" s="2"/>
      <c r="M906" s="2"/>
      <c r="N906" s="2"/>
      <c r="O906" s="261">
        <f t="shared" ca="1" si="522"/>
        <v>0</v>
      </c>
      <c r="P906" s="261">
        <f t="shared" ca="1" si="540"/>
        <v>0</v>
      </c>
      <c r="Q906" s="3">
        <f ca="1">IF(A906&gt;MAX(OP!$R$17:$R$26),0,VLOOKUP(A906,fees,3,FALSE))</f>
        <v>0</v>
      </c>
      <c r="R906" s="200" t="str">
        <f t="shared" ca="1" si="523"/>
        <v/>
      </c>
      <c r="S906" s="9" t="str">
        <f ca="1">IF(COUNTIF(($T$4:T905),"F")&gt;=1,"",IF(OR(C907&lt;&gt;$C$3,E906=""),"",A906))</f>
        <v/>
      </c>
      <c r="T906" s="20" t="str">
        <f t="shared" ca="1" si="515"/>
        <v/>
      </c>
      <c r="U906" s="2">
        <f ca="1">IF(IF(OP!$C$83=1,$Z905,IF(OP!$C$83=2,$AA905,IF(OP!$C$83=3,$AB905,)))+$K906-$O906-$P906-$AS906&lt;OP!$C$142,0,$AS906)</f>
        <v>0</v>
      </c>
      <c r="V906" s="9"/>
      <c r="W906" s="19">
        <f ca="1">MAX(SUM($K$4:K906),0)</f>
        <v>2000000</v>
      </c>
      <c r="X906" s="19"/>
      <c r="Y906" s="19">
        <f t="shared" ca="1" si="541"/>
        <v>1920000</v>
      </c>
      <c r="Z906" s="2">
        <f ca="1">IF(MIN($Z$4:Z905)=0,0,MAX(0,($Z905+$K906-$O906-$P906)*IF(AND(F906="F",$D$3&lt;&gt;$G$3),((1+(-J906))^(H906/MIN(G906,365))),((1+(-J906))^(1/12)))-$U906))</f>
        <v>40457.824549334538</v>
      </c>
      <c r="AA906" s="2">
        <f ca="1">IF(MIN($AA$4:AA905)=0,0,MAX(0,($AA905+$K906-$O906-$P906)*IF(AND(F906="F",$D$3&lt;&gt;$G$3),((1+$AA$1)^(H906/MIN(G906,365))),((1+$AA$1)^(1/12)))-$U906))</f>
        <v>1920000</v>
      </c>
      <c r="AB906" s="2">
        <f ca="1">IF(MIN($AB$4:AB905)=0,0,MAX(0,($AB905+$K906-$O906-$P906)*IF(AND(F906="F",$D$3&lt;&gt;$G$3),((1+(J906))^(H906/MIN(G906,365))),((1+(J906))^(1/12)))-$U906))</f>
        <v>75473759.517931879</v>
      </c>
      <c r="AC906" s="5"/>
      <c r="AD906" s="5"/>
      <c r="AE906" s="5"/>
      <c r="AF906" s="282">
        <f t="shared" ca="1" si="524"/>
        <v>40458</v>
      </c>
      <c r="AG906" s="282">
        <f t="shared" ca="1" si="525"/>
        <v>1920000</v>
      </c>
      <c r="AH906" s="282">
        <f t="shared" ca="1" si="526"/>
        <v>75473760</v>
      </c>
      <c r="AI906" s="23" t="str">
        <f t="shared" ca="1" si="507"/>
        <v>76-4</v>
      </c>
      <c r="AJ906" s="282">
        <f ca="1">IF(E906&gt;111,,IF(AND(OP!$C$99=1,T906="F"),Z906,IF(AND(OP!$C$99=2,COUNTIF($T$4:T906,"F")=1),OP!$C$97+IF(F906="F",OP!$C$98,0),"")))</f>
        <v>0</v>
      </c>
      <c r="AK906" s="282">
        <f ca="1">IF(E906&gt;111,,IF(AND(OP!$D$99=1,T906="F"),AA906,IF(AND(OP!$D$99=2,COUNTIF($T$4:T906,"F")=1),OP!$D$97+IF(F906="F",OP!$D$98,0),"")))</f>
        <v>0</v>
      </c>
      <c r="AL906" s="282">
        <f ca="1">IF(E906&gt;111,,IF(AND(OP!$E$99=1,T906="F"),AB906,IF(AND(OP!$E$99=2,COUNTIF($T$4:T906,"F")=1),OP!$E$97+IF(F906="F",OP!$E$98,0),"")))</f>
        <v>0</v>
      </c>
      <c r="AM906" s="1">
        <f t="shared" ca="1" si="516"/>
        <v>4</v>
      </c>
      <c r="AN906" s="1" t="e">
        <f ca="1">IF(OR(VLOOKUP($A906,MP,5,0)="月繳"),1,"")</f>
        <v>#N/A</v>
      </c>
      <c r="AO906" s="1">
        <f t="shared" ca="1" si="527"/>
        <v>0</v>
      </c>
      <c r="AP906" s="1" t="str">
        <f ca="1">IF(AND(A906&lt;=OP!$C$120,COUNTIF(PAY,C906)=1),1,"")</f>
        <v/>
      </c>
      <c r="AR906" s="301">
        <f ca="1">IF(繳費報酬率資料!$A$1=1,$AY906+$AZ906,$BF906+$BG906)</f>
        <v>0</v>
      </c>
      <c r="AS906" s="1">
        <f ca="1">IF(C906&lt;&gt;IF($C$3=1,12,$C$3-1),0,IF(繳費報酬率資料!$A$1&lt;&gt;1,VLOOKUP($A906,MP,8,0),IF(AND($A906&gt;=OP!$C$79,$A906&lt;=OP!$C$80),OP!$C$78,)))</f>
        <v>0</v>
      </c>
      <c r="AT906" s="298">
        <f t="shared" ca="1" si="528"/>
        <v>0</v>
      </c>
      <c r="AU906" s="298">
        <f ca="1">IF(AND(A906&lt;=OP!$C$120,COUNTIF(PAY,C906)=1),OP!$C$123,0)</f>
        <v>0</v>
      </c>
      <c r="AV906" s="298">
        <f ca="1">IF(AND(A906&gt;=OP!$C$132,A906&lt;=OP!$C$133,$C$3=C906),OP!$C$135,0)</f>
        <v>0</v>
      </c>
      <c r="AW906" s="180">
        <f t="shared" ca="1" si="529"/>
        <v>0.05</v>
      </c>
      <c r="AX906" s="180">
        <f t="shared" ca="1" si="530"/>
        <v>0.05</v>
      </c>
      <c r="AY906" s="286">
        <f t="shared" ca="1" si="531"/>
        <v>0</v>
      </c>
      <c r="AZ906" s="286">
        <f t="shared" ca="1" si="532"/>
        <v>0</v>
      </c>
      <c r="BA906" s="286">
        <f t="shared" ca="1" si="533"/>
        <v>0</v>
      </c>
      <c r="BB906" s="286">
        <f t="shared" ca="1" si="534"/>
        <v>0</v>
      </c>
      <c r="BC906" s="286">
        <f t="shared" ca="1" si="535"/>
        <v>0</v>
      </c>
      <c r="BD906" s="180">
        <f t="shared" ca="1" si="536"/>
        <v>0.05</v>
      </c>
      <c r="BE906" s="180">
        <f t="shared" ca="1" si="537"/>
        <v>0.05</v>
      </c>
      <c r="BF906" s="286">
        <f t="shared" ca="1" si="538"/>
        <v>0</v>
      </c>
      <c r="BG906" s="286">
        <f t="shared" ca="1" si="539"/>
        <v>0</v>
      </c>
    </row>
    <row r="907" spans="1:59">
      <c r="A907" s="1">
        <f t="shared" ca="1" si="519"/>
        <v>76</v>
      </c>
      <c r="B907" s="1">
        <f t="shared" ca="1" si="512"/>
        <v>181</v>
      </c>
      <c r="C907" s="1">
        <f t="shared" ca="1" si="513"/>
        <v>9</v>
      </c>
      <c r="D907" s="1">
        <f ca="1">MIN($D$3,VLOOKUP(C907,OP!$S$30:$T$41,2))</f>
        <v>2</v>
      </c>
      <c r="E907" s="1" t="str">
        <f t="shared" ca="1" si="514"/>
        <v/>
      </c>
      <c r="F907" s="11" t="str">
        <f t="shared" ca="1" si="520"/>
        <v/>
      </c>
      <c r="G907" s="8">
        <f t="shared" ca="1" si="542"/>
        <v>365</v>
      </c>
      <c r="H907" s="8">
        <f t="shared" ca="1" si="521"/>
        <v>30</v>
      </c>
      <c r="I907" s="8" t="str">
        <f t="shared" ca="1" si="518"/>
        <v>769</v>
      </c>
      <c r="J907" s="13">
        <f>IF(繳費報酬率資料!$A$1=1,VALUE(OP!$C$121),VLOOKUP(A907,MP,2,0))</f>
        <v>0.05</v>
      </c>
      <c r="K907" s="14">
        <f ca="1">IF(SUM($K$4:K906,IF(繳費報酬率資料!$A$1=1,$AU907+$AV907,$BB907+$BC907))&gt;OP!$L$58,0,IF(繳費報酬率資料!$A$1=1,$AU907+$AV907,$BB907+$BC907))</f>
        <v>0</v>
      </c>
      <c r="L907" s="2"/>
      <c r="M907" s="2"/>
      <c r="N907" s="2"/>
      <c r="O907" s="261">
        <f t="shared" ca="1" si="522"/>
        <v>0</v>
      </c>
      <c r="P907" s="261">
        <f t="shared" ca="1" si="540"/>
        <v>0</v>
      </c>
      <c r="Q907" s="3">
        <f ca="1">IF(A907&gt;MAX(OP!$R$17:$R$26),0,VLOOKUP(A907,fees,3,FALSE))</f>
        <v>0</v>
      </c>
      <c r="R907" s="200" t="str">
        <f t="shared" ca="1" si="523"/>
        <v/>
      </c>
      <c r="S907" s="9" t="str">
        <f ca="1">IF(COUNTIF(($T$4:T906),"F")&gt;=1,"",IF(OR(C908&lt;&gt;$C$3,E907=""),"",A907))</f>
        <v/>
      </c>
      <c r="T907" s="20" t="str">
        <f t="shared" ca="1" si="515"/>
        <v/>
      </c>
      <c r="U907" s="2">
        <f ca="1">IF(IF(OP!$C$83=1,$Z906,IF(OP!$C$83=2,$AA906,IF(OP!$C$83=3,$AB906,)))+$K907-$O907-$P907-$AS907&lt;OP!$C$142,0,$AS907)</f>
        <v>0</v>
      </c>
      <c r="V907" s="9"/>
      <c r="W907" s="19">
        <f ca="1">MAX(SUM($K$4:K907),0)</f>
        <v>2000000</v>
      </c>
      <c r="X907" s="19"/>
      <c r="Y907" s="19">
        <f t="shared" ca="1" si="541"/>
        <v>1920000</v>
      </c>
      <c r="Z907" s="2">
        <f ca="1">IF(MIN($Z$4:Z906)=0,0,MAX(0,($Z906+$K907-$O907-$P907)*IF(AND(F907="F",$D$3&lt;&gt;$G$3),((1+(-J907))^(H907/MIN(G907,365))),((1+(-J907))^(1/12)))-$U907))</f>
        <v>40285.25903058501</v>
      </c>
      <c r="AA907" s="2">
        <f ca="1">IF(MIN($AA$4:AA906)=0,0,MAX(0,($AA906+$K907-$O907-$P907)*IF(AND(F907="F",$D$3&lt;&gt;$G$3),((1+$AA$1)^(H907/MIN(G907,365))),((1+$AA$1)^(1/12)))-$U907))</f>
        <v>1920000</v>
      </c>
      <c r="AB907" s="2">
        <f ca="1">IF(MIN($AB$4:AB906)=0,0,MAX(0,($AB906+$K907-$O907-$P907)*IF(AND(F907="F",$D$3&lt;&gt;$G$3),((1+(J907))^(H907/MIN(G907,365))),((1+(J907))^(1/12)))-$U907))</f>
        <v>75781248.956625238</v>
      </c>
      <c r="AC907" s="5"/>
      <c r="AD907" s="5"/>
      <c r="AE907" s="5"/>
      <c r="AF907" s="282">
        <f t="shared" ca="1" si="524"/>
        <v>40285</v>
      </c>
      <c r="AG907" s="282">
        <f t="shared" ca="1" si="525"/>
        <v>1920000</v>
      </c>
      <c r="AH907" s="282">
        <f t="shared" ca="1" si="526"/>
        <v>75781249</v>
      </c>
      <c r="AI907" s="23" t="str">
        <f t="shared" ca="1" si="507"/>
        <v>76-5</v>
      </c>
      <c r="AJ907" s="282">
        <f ca="1">IF(E907&gt;111,,IF(AND(OP!$C$99=1,T907="F"),Z907,IF(AND(OP!$C$99=2,COUNTIF($T$4:T907,"F")=1),OP!$C$97+IF(F907="F",OP!$C$98,0),"")))</f>
        <v>0</v>
      </c>
      <c r="AK907" s="282">
        <f ca="1">IF(E907&gt;111,,IF(AND(OP!$D$99=1,T907="F"),AA907,IF(AND(OP!$D$99=2,COUNTIF($T$4:T907,"F")=1),OP!$D$97+IF(F907="F",OP!$D$98,0),"")))</f>
        <v>0</v>
      </c>
      <c r="AL907" s="282">
        <f ca="1">IF(E907&gt;111,,IF(AND(OP!$E$99=1,T907="F"),AB907,IF(AND(OP!$E$99=2,COUNTIF($T$4:T907,"F")=1),OP!$E$97+IF(F907="F",OP!$E$98,0),"")))</f>
        <v>0</v>
      </c>
      <c r="AM907" s="1">
        <f t="shared" ca="1" si="516"/>
        <v>5</v>
      </c>
      <c r="AN907" s="1" t="e">
        <f ca="1">IF(OR(VLOOKUP($A907,MP,5,0)="季繳",VLOOKUP($A907,MP,5,0)="月繳"),1,"")</f>
        <v>#N/A</v>
      </c>
      <c r="AO907" s="1">
        <f t="shared" ca="1" si="527"/>
        <v>0</v>
      </c>
      <c r="AP907" s="1" t="str">
        <f ca="1">IF(AND(A907&lt;=OP!$C$120,COUNTIF(PAY,C907)=1),1,"")</f>
        <v/>
      </c>
      <c r="AR907" s="301">
        <f ca="1">IF(繳費報酬率資料!$A$1=1,$AY907+$AZ907,$BF907+$BG907)</f>
        <v>0</v>
      </c>
      <c r="AS907" s="1">
        <f ca="1">IF(C907&lt;&gt;IF($C$3=1,12,$C$3-1),0,IF(繳費報酬率資料!$A$1&lt;&gt;1,VLOOKUP($A907,MP,8,0),IF(AND($A907&gt;=OP!$C$79,$A907&lt;=OP!$C$80),OP!$C$78,)))</f>
        <v>0</v>
      </c>
      <c r="AT907" s="298">
        <f t="shared" ca="1" si="528"/>
        <v>0</v>
      </c>
      <c r="AU907" s="298">
        <f ca="1">IF(AND(A907&lt;=OP!$C$120,COUNTIF(PAY,C907)=1),OP!$C$123,0)</f>
        <v>0</v>
      </c>
      <c r="AV907" s="298">
        <f ca="1">IF(AND(A907&gt;=OP!$C$132,A907&lt;=OP!$C$133,$C$3=C907),OP!$C$135,0)</f>
        <v>0</v>
      </c>
      <c r="AW907" s="180">
        <f t="shared" ca="1" si="529"/>
        <v>0.05</v>
      </c>
      <c r="AX907" s="180">
        <f t="shared" ca="1" si="530"/>
        <v>0.05</v>
      </c>
      <c r="AY907" s="286">
        <f t="shared" ca="1" si="531"/>
        <v>0</v>
      </c>
      <c r="AZ907" s="286">
        <f t="shared" ca="1" si="532"/>
        <v>0</v>
      </c>
      <c r="BA907" s="286">
        <f t="shared" ca="1" si="533"/>
        <v>0</v>
      </c>
      <c r="BB907" s="286">
        <f t="shared" ca="1" si="534"/>
        <v>0</v>
      </c>
      <c r="BC907" s="286">
        <f t="shared" ca="1" si="535"/>
        <v>0</v>
      </c>
      <c r="BD907" s="180">
        <f t="shared" ca="1" si="536"/>
        <v>0.05</v>
      </c>
      <c r="BE907" s="180">
        <f t="shared" ca="1" si="537"/>
        <v>0.05</v>
      </c>
      <c r="BF907" s="286">
        <f t="shared" ca="1" si="538"/>
        <v>0</v>
      </c>
      <c r="BG907" s="286">
        <f t="shared" ca="1" si="539"/>
        <v>0</v>
      </c>
    </row>
    <row r="908" spans="1:59">
      <c r="A908" s="1">
        <f t="shared" ca="1" si="519"/>
        <v>76</v>
      </c>
      <c r="B908" s="1">
        <f t="shared" ca="1" si="512"/>
        <v>181</v>
      </c>
      <c r="C908" s="1">
        <f t="shared" ca="1" si="513"/>
        <v>10</v>
      </c>
      <c r="D908" s="1">
        <f ca="1">MIN($D$3,VLOOKUP(C908,OP!$S$30:$T$41,2))</f>
        <v>2</v>
      </c>
      <c r="E908" s="1" t="str">
        <f t="shared" ca="1" si="514"/>
        <v/>
      </c>
      <c r="F908" s="11" t="str">
        <f t="shared" ca="1" si="520"/>
        <v/>
      </c>
      <c r="G908" s="8">
        <f t="shared" ca="1" si="542"/>
        <v>365</v>
      </c>
      <c r="H908" s="8">
        <f t="shared" ca="1" si="521"/>
        <v>31</v>
      </c>
      <c r="I908" s="8" t="str">
        <f t="shared" ca="1" si="518"/>
        <v>7610</v>
      </c>
      <c r="J908" s="13">
        <f>IF(繳費報酬率資料!$A$1=1,VALUE(OP!$C$121),VLOOKUP(A908,MP,2,0))</f>
        <v>0.05</v>
      </c>
      <c r="K908" s="14">
        <f ca="1">IF(SUM($K$4:K907,IF(繳費報酬率資料!$A$1=1,$AU908+$AV908,$BB908+$BC908))&gt;OP!$L$58,0,IF(繳費報酬率資料!$A$1=1,$AU908+$AV908,$BB908+$BC908))</f>
        <v>0</v>
      </c>
      <c r="L908" s="2"/>
      <c r="M908" s="2"/>
      <c r="N908" s="2"/>
      <c r="O908" s="261">
        <f t="shared" ca="1" si="522"/>
        <v>0</v>
      </c>
      <c r="P908" s="261">
        <f t="shared" ca="1" si="540"/>
        <v>0</v>
      </c>
      <c r="Q908" s="3">
        <f ca="1">IF(A908&gt;MAX(OP!$R$17:$R$26),0,VLOOKUP(A908,fees,3,FALSE))</f>
        <v>0</v>
      </c>
      <c r="R908" s="200" t="str">
        <f t="shared" ca="1" si="523"/>
        <v/>
      </c>
      <c r="S908" s="9" t="str">
        <f ca="1">IF(COUNTIF(($T$4:T907),"F")&gt;=1,"",IF(OR(C909&lt;&gt;$C$3,E908=""),"",A908))</f>
        <v/>
      </c>
      <c r="T908" s="20" t="str">
        <f t="shared" ca="1" si="515"/>
        <v/>
      </c>
      <c r="U908" s="2">
        <f ca="1">IF(IF(OP!$C$83=1,$Z907,IF(OP!$C$83=2,$AA907,IF(OP!$C$83=3,$AB907,)))+$K908-$O908-$P908-$AS908&lt;OP!$C$142,0,$AS908)</f>
        <v>0</v>
      </c>
      <c r="V908" s="9"/>
      <c r="W908" s="19">
        <f ca="1">MAX(SUM($K$4:K908),0)</f>
        <v>2000000</v>
      </c>
      <c r="X908" s="19"/>
      <c r="Y908" s="19">
        <f t="shared" ca="1" si="541"/>
        <v>1920000</v>
      </c>
      <c r="Z908" s="2">
        <f ca="1">IF(MIN($Z$4:Z907)=0,0,MAX(0,($Z907+$K908-$O908-$P908)*IF(AND(F908="F",$D$3&lt;&gt;$G$3),((1+(-J908))^(H908/MIN(G908,365))),((1+(-J908))^(1/12)))-$U908))</f>
        <v>40113.429558782962</v>
      </c>
      <c r="AA908" s="2">
        <f ca="1">IF(MIN($AA$4:AA907)=0,0,MAX(0,($AA907+$K908-$O908-$P908)*IF(AND(F908="F",$D$3&lt;&gt;$G$3),((1+$AA$1)^(H908/MIN(G908,365))),((1+$AA$1)^(1/12)))-$U908))</f>
        <v>1920000</v>
      </c>
      <c r="AB908" s="2">
        <f ca="1">IF(MIN($AB$4:AB907)=0,0,MAX(0,($AB907+$K908-$O908-$P908)*IF(AND(F908="F",$D$3&lt;&gt;$G$3),((1+(J908))^(H908/MIN(G908,365))),((1+(J908))^(1/12)))-$U908))</f>
        <v>76089991.145354003</v>
      </c>
      <c r="AC908" s="5"/>
      <c r="AD908" s="5"/>
      <c r="AE908" s="5"/>
      <c r="AF908" s="282">
        <f t="shared" ca="1" si="524"/>
        <v>40113</v>
      </c>
      <c r="AG908" s="282">
        <f t="shared" ca="1" si="525"/>
        <v>1920000</v>
      </c>
      <c r="AH908" s="282">
        <f t="shared" ca="1" si="526"/>
        <v>76089991</v>
      </c>
      <c r="AI908" s="23" t="str">
        <f t="shared" ref="AI908:AI971" ca="1" si="543">IF($G$3=D909,A909,A908)&amp;"-"&amp;AM908</f>
        <v>76-6</v>
      </c>
      <c r="AJ908" s="282">
        <f ca="1">IF(E908&gt;111,,IF(AND(OP!$C$99=1,T908="F"),Z908,IF(AND(OP!$C$99=2,COUNTIF($T$4:T908,"F")=1),OP!$C$97+IF(F908="F",OP!$C$98,0),"")))</f>
        <v>0</v>
      </c>
      <c r="AK908" s="282">
        <f ca="1">IF(E908&gt;111,,IF(AND(OP!$D$99=1,T908="F"),AA908,IF(AND(OP!$D$99=2,COUNTIF($T$4:T908,"F")=1),OP!$D$97+IF(F908="F",OP!$D$98,0),"")))</f>
        <v>0</v>
      </c>
      <c r="AL908" s="282">
        <f ca="1">IF(E908&gt;111,,IF(AND(OP!$E$99=1,T908="F"),AB908,IF(AND(OP!$E$99=2,COUNTIF($T$4:T908,"F")=1),OP!$E$97+IF(F908="F",OP!$E$98,0),"")))</f>
        <v>0</v>
      </c>
      <c r="AM908" s="1">
        <f t="shared" ca="1" si="516"/>
        <v>6</v>
      </c>
      <c r="AN908" s="1" t="e">
        <f ca="1">IF(OR(VLOOKUP($A908,MP,5,0)="月繳"),1,"")</f>
        <v>#N/A</v>
      </c>
      <c r="AO908" s="1">
        <f t="shared" ca="1" si="527"/>
        <v>0</v>
      </c>
      <c r="AP908" s="1" t="str">
        <f ca="1">IF(AND(A908&lt;=OP!$C$120,COUNTIF(PAY,C908)=1),1,"")</f>
        <v/>
      </c>
      <c r="AR908" s="301">
        <f ca="1">IF(繳費報酬率資料!$A$1=1,$AY908+$AZ908,$BF908+$BG908)</f>
        <v>0</v>
      </c>
      <c r="AS908" s="1">
        <f ca="1">IF(C908&lt;&gt;IF($C$3=1,12,$C$3-1),0,IF(繳費報酬率資料!$A$1&lt;&gt;1,VLOOKUP($A908,MP,8,0),IF(AND($A908&gt;=OP!$C$79,$A908&lt;=OP!$C$80),OP!$C$78,)))</f>
        <v>0</v>
      </c>
      <c r="AT908" s="298">
        <f t="shared" ca="1" si="528"/>
        <v>0</v>
      </c>
      <c r="AU908" s="298">
        <f ca="1">IF(AND(A908&lt;=OP!$C$120,COUNTIF(PAY,C908)=1),OP!$C$123,0)</f>
        <v>0</v>
      </c>
      <c r="AV908" s="298">
        <f ca="1">IF(AND(A908&gt;=OP!$C$132,A908&lt;=OP!$C$133,$C$3=C908),OP!$C$135,0)</f>
        <v>0</v>
      </c>
      <c r="AW908" s="180">
        <f t="shared" ca="1" si="529"/>
        <v>0.05</v>
      </c>
      <c r="AX908" s="180">
        <f t="shared" ca="1" si="530"/>
        <v>0.05</v>
      </c>
      <c r="AY908" s="286">
        <f t="shared" ca="1" si="531"/>
        <v>0</v>
      </c>
      <c r="AZ908" s="286">
        <f t="shared" ca="1" si="532"/>
        <v>0</v>
      </c>
      <c r="BA908" s="286">
        <f t="shared" ca="1" si="533"/>
        <v>0</v>
      </c>
      <c r="BB908" s="286">
        <f t="shared" ca="1" si="534"/>
        <v>0</v>
      </c>
      <c r="BC908" s="286">
        <f t="shared" ca="1" si="535"/>
        <v>0</v>
      </c>
      <c r="BD908" s="180">
        <f t="shared" ca="1" si="536"/>
        <v>0.05</v>
      </c>
      <c r="BE908" s="180">
        <f t="shared" ca="1" si="537"/>
        <v>0.05</v>
      </c>
      <c r="BF908" s="286">
        <f t="shared" ca="1" si="538"/>
        <v>0</v>
      </c>
      <c r="BG908" s="286">
        <f t="shared" ca="1" si="539"/>
        <v>0</v>
      </c>
    </row>
    <row r="909" spans="1:59">
      <c r="A909" s="1">
        <f t="shared" ca="1" si="519"/>
        <v>76</v>
      </c>
      <c r="B909" s="1">
        <f t="shared" ca="1" si="512"/>
        <v>181</v>
      </c>
      <c r="C909" s="1">
        <f t="shared" ca="1" si="513"/>
        <v>11</v>
      </c>
      <c r="D909" s="1">
        <f ca="1">MIN($D$3,VLOOKUP(C909,OP!$S$30:$T$41,2))</f>
        <v>2</v>
      </c>
      <c r="E909" s="1" t="str">
        <f t="shared" ca="1" si="514"/>
        <v/>
      </c>
      <c r="F909" s="11" t="str">
        <f t="shared" ca="1" si="520"/>
        <v/>
      </c>
      <c r="G909" s="8">
        <f t="shared" ca="1" si="542"/>
        <v>365</v>
      </c>
      <c r="H909" s="8">
        <f t="shared" ca="1" si="521"/>
        <v>30</v>
      </c>
      <c r="I909" s="8" t="str">
        <f t="shared" ca="1" si="518"/>
        <v>7611</v>
      </c>
      <c r="J909" s="13">
        <f>IF(繳費報酬率資料!$A$1=1,VALUE(OP!$C$121),VLOOKUP(A909,MP,2,0))</f>
        <v>0.05</v>
      </c>
      <c r="K909" s="14">
        <f ca="1">IF(SUM($K$4:K908,IF(繳費報酬率資料!$A$1=1,$AU909+$AV909,$BB909+$BC909))&gt;OP!$L$58,0,IF(繳費報酬率資料!$A$1=1,$AU909+$AV909,$BB909+$BC909))</f>
        <v>0</v>
      </c>
      <c r="L909" s="2"/>
      <c r="M909" s="2"/>
      <c r="N909" s="2"/>
      <c r="O909" s="261">
        <f t="shared" ca="1" si="522"/>
        <v>0</v>
      </c>
      <c r="P909" s="261">
        <f t="shared" ca="1" si="540"/>
        <v>0</v>
      </c>
      <c r="Q909" s="3">
        <f ca="1">IF(A909&gt;MAX(OP!$R$17:$R$26),0,VLOOKUP(A909,fees,3,FALSE))</f>
        <v>0</v>
      </c>
      <c r="R909" s="200" t="str">
        <f t="shared" ca="1" si="523"/>
        <v/>
      </c>
      <c r="S909" s="9" t="str">
        <f ca="1">IF(COUNTIF(($T$4:T908),"F")&gt;=1,"",IF(OR(C910&lt;&gt;$C$3,E909=""),"",A909))</f>
        <v/>
      </c>
      <c r="T909" s="20" t="str">
        <f t="shared" ca="1" si="515"/>
        <v/>
      </c>
      <c r="U909" s="2">
        <f ca="1">IF(IF(OP!$C$83=1,$Z908,IF(OP!$C$83=2,$AA908,IF(OP!$C$83=3,$AB908,)))+$K909-$O909-$P909-$AS909&lt;OP!$C$142,0,$AS909)</f>
        <v>0</v>
      </c>
      <c r="V909" s="9"/>
      <c r="W909" s="19">
        <f ca="1">MAX(SUM($K$4:K909),0)</f>
        <v>2000000</v>
      </c>
      <c r="X909" s="19"/>
      <c r="Y909" s="19">
        <f t="shared" ca="1" si="541"/>
        <v>1920000</v>
      </c>
      <c r="Z909" s="2">
        <f ca="1">IF(MIN($Z$4:Z908)=0,0,MAX(0,($Z908+$K909-$O909-$P909)*IF(AND(F909="F",$D$3&lt;&gt;$G$3),((1+(-J909))^(H909/MIN(G909,365))),((1+(-J909))^(1/12)))-$U909))</f>
        <v>39942.332994453529</v>
      </c>
      <c r="AA909" s="2">
        <f ca="1">IF(MIN($AA$4:AA908)=0,0,MAX(0,($AA908+$K909-$O909-$P909)*IF(AND(F909="F",$D$3&lt;&gt;$G$3),((1+$AA$1)^(H909/MIN(G909,365))),((1+$AA$1)^(1/12)))-$U909))</f>
        <v>1920000</v>
      </c>
      <c r="AB909" s="2">
        <f ca="1">IF(MIN($AB$4:AB908)=0,0,MAX(0,($AB908+$K909-$O909-$P909)*IF(AND(F909="F",$D$3&lt;&gt;$G$3),((1+(J909))^(H909/MIN(G909,365))),((1+(J909))^(1/12)))-$U909))</f>
        <v>76399991.187976882</v>
      </c>
      <c r="AC909" s="5"/>
      <c r="AD909" s="5"/>
      <c r="AE909" s="5"/>
      <c r="AF909" s="282">
        <f t="shared" ca="1" si="524"/>
        <v>39942</v>
      </c>
      <c r="AG909" s="282">
        <f t="shared" ca="1" si="525"/>
        <v>1920000</v>
      </c>
      <c r="AH909" s="282">
        <f t="shared" ca="1" si="526"/>
        <v>76399991</v>
      </c>
      <c r="AI909" s="23" t="str">
        <f t="shared" ca="1" si="543"/>
        <v>76-7</v>
      </c>
      <c r="AJ909" s="282">
        <f ca="1">IF(E909&gt;111,,IF(AND(OP!$C$99=1,T909="F"),Z909,IF(AND(OP!$C$99=2,COUNTIF($T$4:T909,"F")=1),OP!$C$97+IF(F909="F",OP!$C$98,0),"")))</f>
        <v>0</v>
      </c>
      <c r="AK909" s="282">
        <f ca="1">IF(E909&gt;111,,IF(AND(OP!$D$99=1,T909="F"),AA909,IF(AND(OP!$D$99=2,COUNTIF($T$4:T909,"F")=1),OP!$D$97+IF(F909="F",OP!$D$98,0),"")))</f>
        <v>0</v>
      </c>
      <c r="AL909" s="282">
        <f ca="1">IF(E909&gt;111,,IF(AND(OP!$E$99=1,T909="F"),AB909,IF(AND(OP!$E$99=2,COUNTIF($T$4:T909,"F")=1),OP!$E$97+IF(F909="F",OP!$E$98,0),"")))</f>
        <v>0</v>
      </c>
      <c r="AM909" s="1">
        <f t="shared" ca="1" si="516"/>
        <v>7</v>
      </c>
      <c r="AN909" s="1" t="e">
        <f ca="1">IF(OR(VLOOKUP($A909,MP,5,0)="月繳"),1,"")</f>
        <v>#N/A</v>
      </c>
      <c r="AO909" s="1">
        <f t="shared" ca="1" si="527"/>
        <v>0</v>
      </c>
      <c r="AP909" s="1" t="str">
        <f ca="1">IF(AND(A909&lt;=OP!$C$120,COUNTIF(PAY,C909)=1),1,"")</f>
        <v/>
      </c>
      <c r="AR909" s="301">
        <f ca="1">IF(繳費報酬率資料!$A$1=1,$AY909+$AZ909,$BF909+$BG909)</f>
        <v>0</v>
      </c>
      <c r="AS909" s="1">
        <f ca="1">IF(C909&lt;&gt;IF($C$3=1,12,$C$3-1),0,IF(繳費報酬率資料!$A$1&lt;&gt;1,VLOOKUP($A909,MP,8,0),IF(AND($A909&gt;=OP!$C$79,$A909&lt;=OP!$C$80),OP!$C$78,)))</f>
        <v>0</v>
      </c>
      <c r="AT909" s="298">
        <f t="shared" ca="1" si="528"/>
        <v>0</v>
      </c>
      <c r="AU909" s="298">
        <f ca="1">IF(AND(A909&lt;=OP!$C$120,COUNTIF(PAY,C909)=1),OP!$C$123,0)</f>
        <v>0</v>
      </c>
      <c r="AV909" s="298">
        <f ca="1">IF(AND(A909&gt;=OP!$C$132,A909&lt;=OP!$C$133,$C$3=C909),OP!$C$135,0)</f>
        <v>0</v>
      </c>
      <c r="AW909" s="180">
        <f t="shared" ca="1" si="529"/>
        <v>0.05</v>
      </c>
      <c r="AX909" s="180">
        <f t="shared" ca="1" si="530"/>
        <v>0.05</v>
      </c>
      <c r="AY909" s="286">
        <f t="shared" ca="1" si="531"/>
        <v>0</v>
      </c>
      <c r="AZ909" s="286">
        <f t="shared" ca="1" si="532"/>
        <v>0</v>
      </c>
      <c r="BA909" s="286">
        <f t="shared" ca="1" si="533"/>
        <v>0</v>
      </c>
      <c r="BB909" s="286">
        <f t="shared" ca="1" si="534"/>
        <v>0</v>
      </c>
      <c r="BC909" s="286">
        <f t="shared" ca="1" si="535"/>
        <v>0</v>
      </c>
      <c r="BD909" s="180">
        <f t="shared" ca="1" si="536"/>
        <v>0.05</v>
      </c>
      <c r="BE909" s="180">
        <f t="shared" ca="1" si="537"/>
        <v>0.05</v>
      </c>
      <c r="BF909" s="286">
        <f t="shared" ca="1" si="538"/>
        <v>0</v>
      </c>
      <c r="BG909" s="286">
        <f t="shared" ca="1" si="539"/>
        <v>0</v>
      </c>
    </row>
    <row r="910" spans="1:59">
      <c r="A910" s="1">
        <f t="shared" ca="1" si="519"/>
        <v>76</v>
      </c>
      <c r="B910" s="1">
        <f t="shared" ca="1" si="512"/>
        <v>181</v>
      </c>
      <c r="C910" s="1">
        <f t="shared" ca="1" si="513"/>
        <v>12</v>
      </c>
      <c r="D910" s="1">
        <f ca="1">MIN($D$3,VLOOKUP(C910,OP!$S$30:$T$41,2))</f>
        <v>2</v>
      </c>
      <c r="E910" s="1" t="str">
        <f t="shared" ca="1" si="514"/>
        <v/>
      </c>
      <c r="F910" s="11" t="str">
        <f t="shared" ca="1" si="520"/>
        <v/>
      </c>
      <c r="G910" s="8">
        <f t="shared" ca="1" si="542"/>
        <v>365</v>
      </c>
      <c r="H910" s="8">
        <f t="shared" ca="1" si="521"/>
        <v>31</v>
      </c>
      <c r="I910" s="8" t="str">
        <f t="shared" ca="1" si="518"/>
        <v>7612</v>
      </c>
      <c r="J910" s="13">
        <f>IF(繳費報酬率資料!$A$1=1,VALUE(OP!$C$121),VLOOKUP(A910,MP,2,0))</f>
        <v>0.05</v>
      </c>
      <c r="K910" s="14">
        <f ca="1">IF(SUM($K$4:K909,IF(繳費報酬率資料!$A$1=1,$AU910+$AV910,$BB910+$BC910))&gt;OP!$L$58,0,IF(繳費報酬率資料!$A$1=1,$AU910+$AV910,$BB910+$BC910))</f>
        <v>0</v>
      </c>
      <c r="L910" s="2"/>
      <c r="M910" s="2"/>
      <c r="N910" s="2"/>
      <c r="O910" s="261">
        <f t="shared" ca="1" si="522"/>
        <v>0</v>
      </c>
      <c r="P910" s="261">
        <f t="shared" ca="1" si="540"/>
        <v>0</v>
      </c>
      <c r="Q910" s="3">
        <f ca="1">IF(A910&gt;MAX(OP!$R$17:$R$26),0,VLOOKUP(A910,fees,3,FALSE))</f>
        <v>0</v>
      </c>
      <c r="R910" s="200" t="str">
        <f t="shared" ca="1" si="523"/>
        <v/>
      </c>
      <c r="S910" s="9" t="str">
        <f ca="1">IF(COUNTIF(($T$4:T909),"F")&gt;=1,"",IF(OR(C911&lt;&gt;$C$3,E910=""),"",A910))</f>
        <v/>
      </c>
      <c r="T910" s="20" t="str">
        <f t="shared" ca="1" si="515"/>
        <v/>
      </c>
      <c r="U910" s="2">
        <f ca="1">IF(IF(OP!$C$83=1,$Z909,IF(OP!$C$83=2,$AA909,IF(OP!$C$83=3,$AB909,)))+$K910-$O910-$P910-$AS910&lt;OP!$C$142,0,$AS910)</f>
        <v>0</v>
      </c>
      <c r="V910" s="9"/>
      <c r="W910" s="19">
        <f ca="1">MAX(SUM($K$4:K910),0)</f>
        <v>2000000</v>
      </c>
      <c r="X910" s="19"/>
      <c r="Y910" s="19">
        <f t="shared" ca="1" si="541"/>
        <v>1920000</v>
      </c>
      <c r="Z910" s="2">
        <f ca="1">IF(MIN($Z$4:Z909)=0,0,MAX(0,($Z909+$K910-$O910-$P910)*IF(AND(F910="F",$D$3&lt;&gt;$G$3),((1+(-J910))^(H910/MIN(G910,365))),((1+(-J910))^(1/12)))-$U910))</f>
        <v>39771.966211512707</v>
      </c>
      <c r="AA910" s="2">
        <f ca="1">IF(MIN($AA$4:AA909)=0,0,MAX(0,($AA909+$K910-$O910-$P910)*IF(AND(F910="F",$D$3&lt;&gt;$G$3),((1+$AA$1)^(H910/MIN(G910,365))),((1+$AA$1)^(1/12)))-$U910))</f>
        <v>1920000</v>
      </c>
      <c r="AB910" s="2">
        <f ca="1">IF(MIN($AB$4:AB909)=0,0,MAX(0,($AB909+$K910-$O910-$P910)*IF(AND(F910="F",$D$3&lt;&gt;$G$3),((1+(J910))^(H910/MIN(G910,365))),((1+(J910))^(1/12)))-$U910))</f>
        <v>76711254.209146336</v>
      </c>
      <c r="AC910" s="5"/>
      <c r="AD910" s="5"/>
      <c r="AE910" s="5"/>
      <c r="AF910" s="282">
        <f t="shared" ca="1" si="524"/>
        <v>39772</v>
      </c>
      <c r="AG910" s="282">
        <f t="shared" ca="1" si="525"/>
        <v>1920000</v>
      </c>
      <c r="AH910" s="282">
        <f t="shared" ca="1" si="526"/>
        <v>76711254</v>
      </c>
      <c r="AI910" s="23" t="str">
        <f t="shared" ca="1" si="543"/>
        <v>76-8</v>
      </c>
      <c r="AJ910" s="282">
        <f ca="1">IF(E910&gt;111,,IF(AND(OP!$C$99=1,T910="F"),Z910,IF(AND(OP!$C$99=2,COUNTIF($T$4:T910,"F")=1),OP!$C$97+IF(F910="F",OP!$C$98,0),"")))</f>
        <v>0</v>
      </c>
      <c r="AK910" s="282">
        <f ca="1">IF(E910&gt;111,,IF(AND(OP!$D$99=1,T910="F"),AA910,IF(AND(OP!$D$99=2,COUNTIF($T$4:T910,"F")=1),OP!$D$97+IF(F910="F",OP!$D$98,0),"")))</f>
        <v>0</v>
      </c>
      <c r="AL910" s="282">
        <f ca="1">IF(E910&gt;111,,IF(AND(OP!$E$99=1,T910="F"),AB910,IF(AND(OP!$E$99=2,COUNTIF($T$4:T910,"F")=1),OP!$E$97+IF(F910="F",OP!$E$98,0),"")))</f>
        <v>0</v>
      </c>
      <c r="AM910" s="1">
        <f t="shared" ca="1" si="516"/>
        <v>8</v>
      </c>
      <c r="AN910" s="1" t="e">
        <f ca="1">IF(OR(VLOOKUP($A910,MP,5,0)="半年繳",VLOOKUP($A910,MP,5,0)="季繳",VLOOKUP($A910,MP,5,0)="月繳"),1,"")</f>
        <v>#N/A</v>
      </c>
      <c r="AO910" s="1">
        <f t="shared" ca="1" si="527"/>
        <v>0</v>
      </c>
      <c r="AP910" s="1" t="str">
        <f ca="1">IF(AND(A910&lt;=OP!$C$120,COUNTIF(PAY,C910)=1),1,"")</f>
        <v/>
      </c>
      <c r="AR910" s="301">
        <f ca="1">IF(繳費報酬率資料!$A$1=1,$AY910+$AZ910,$BF910+$BG910)</f>
        <v>0</v>
      </c>
      <c r="AS910" s="1">
        <f ca="1">IF(C910&lt;&gt;IF($C$3=1,12,$C$3-1),0,IF(繳費報酬率資料!$A$1&lt;&gt;1,VLOOKUP($A910,MP,8,0),IF(AND($A910&gt;=OP!$C$79,$A910&lt;=OP!$C$80),OP!$C$78,)))</f>
        <v>0</v>
      </c>
      <c r="AT910" s="298">
        <f t="shared" ca="1" si="528"/>
        <v>0</v>
      </c>
      <c r="AU910" s="298">
        <f ca="1">IF(AND(A910&lt;=OP!$C$120,COUNTIF(PAY,C910)=1),OP!$C$123,0)</f>
        <v>0</v>
      </c>
      <c r="AV910" s="298">
        <f ca="1">IF(AND(A910&gt;=OP!$C$132,A910&lt;=OP!$C$133,$C$3=C910),OP!$C$135,0)</f>
        <v>0</v>
      </c>
      <c r="AW910" s="180">
        <f t="shared" ca="1" si="529"/>
        <v>0.05</v>
      </c>
      <c r="AX910" s="180">
        <f t="shared" ca="1" si="530"/>
        <v>0.05</v>
      </c>
      <c r="AY910" s="286">
        <f t="shared" ca="1" si="531"/>
        <v>0</v>
      </c>
      <c r="AZ910" s="286">
        <f t="shared" ca="1" si="532"/>
        <v>0</v>
      </c>
      <c r="BA910" s="286">
        <f t="shared" ca="1" si="533"/>
        <v>0</v>
      </c>
      <c r="BB910" s="286">
        <f t="shared" ca="1" si="534"/>
        <v>0</v>
      </c>
      <c r="BC910" s="286">
        <f t="shared" ca="1" si="535"/>
        <v>0</v>
      </c>
      <c r="BD910" s="180">
        <f t="shared" ca="1" si="536"/>
        <v>0.05</v>
      </c>
      <c r="BE910" s="180">
        <f t="shared" ca="1" si="537"/>
        <v>0.05</v>
      </c>
      <c r="BF910" s="286">
        <f t="shared" ca="1" si="538"/>
        <v>0</v>
      </c>
      <c r="BG910" s="286">
        <f t="shared" ca="1" si="539"/>
        <v>0</v>
      </c>
    </row>
    <row r="911" spans="1:59">
      <c r="A911" s="1">
        <f t="shared" ca="1" si="519"/>
        <v>76</v>
      </c>
      <c r="B911" s="1">
        <f t="shared" ca="1" si="512"/>
        <v>182</v>
      </c>
      <c r="C911" s="1">
        <f t="shared" ca="1" si="513"/>
        <v>1</v>
      </c>
      <c r="D911" s="1">
        <f ca="1">MIN($D$3,VLOOKUP(C911,OP!$S$30:$T$41,2))</f>
        <v>2</v>
      </c>
      <c r="E911" s="1" t="str">
        <f t="shared" ca="1" si="514"/>
        <v/>
      </c>
      <c r="F911" s="11" t="str">
        <f t="shared" ca="1" si="520"/>
        <v/>
      </c>
      <c r="G911" s="8">
        <f t="shared" ca="1" si="542"/>
        <v>365</v>
      </c>
      <c r="H911" s="8">
        <f t="shared" ca="1" si="521"/>
        <v>31</v>
      </c>
      <c r="I911" s="8" t="str">
        <f t="shared" ca="1" si="518"/>
        <v>761</v>
      </c>
      <c r="J911" s="13">
        <f>IF(繳費報酬率資料!$A$1=1,VALUE(OP!$C$121),VLOOKUP(A911,MP,2,0))</f>
        <v>0.05</v>
      </c>
      <c r="K911" s="14">
        <f ca="1">IF(SUM($K$4:K910,IF(繳費報酬率資料!$A$1=1,$AU911+$AV911,$BB911+$BC911))&gt;OP!$L$58,0,IF(繳費報酬率資料!$A$1=1,$AU911+$AV911,$BB911+$BC911))</f>
        <v>0</v>
      </c>
      <c r="L911" s="2"/>
      <c r="M911" s="2"/>
      <c r="N911" s="2"/>
      <c r="O911" s="261">
        <f t="shared" ca="1" si="522"/>
        <v>0</v>
      </c>
      <c r="P911" s="261">
        <f t="shared" ca="1" si="540"/>
        <v>0</v>
      </c>
      <c r="Q911" s="3">
        <f ca="1">IF(A911&gt;MAX(OP!$R$17:$R$26),0,VLOOKUP(A911,fees,3,FALSE))</f>
        <v>0</v>
      </c>
      <c r="R911" s="200" t="str">
        <f t="shared" ca="1" si="523"/>
        <v/>
      </c>
      <c r="S911" s="9" t="str">
        <f ca="1">IF(COUNTIF(($T$4:T910),"F")&gt;=1,"",IF(OR(C912&lt;&gt;$C$3,E911=""),"",A911))</f>
        <v/>
      </c>
      <c r="T911" s="20" t="str">
        <f t="shared" ca="1" si="515"/>
        <v/>
      </c>
      <c r="U911" s="2">
        <f ca="1">IF(IF(OP!$C$83=1,$Z910,IF(OP!$C$83=2,$AA910,IF(OP!$C$83=3,$AB910,)))+$K911-$O911-$P911-$AS911&lt;OP!$C$142,0,$AS911)</f>
        <v>0</v>
      </c>
      <c r="V911" s="9"/>
      <c r="W911" s="19">
        <f ca="1">MAX(SUM($K$4:K911),0)</f>
        <v>2000000</v>
      </c>
      <c r="X911" s="19"/>
      <c r="Y911" s="19">
        <f t="shared" ca="1" si="541"/>
        <v>1920000</v>
      </c>
      <c r="Z911" s="2">
        <f ca="1">IF(MIN($Z$4:Z910)=0,0,MAX(0,($Z910+$K911-$O911-$P911)*IF(AND(F911="F",$D$3&lt;&gt;$G$3),((1+(-J911))^(H911/MIN(G911,365))),((1+(-J911))^(1/12)))-$U911))</f>
        <v>39602.326097210236</v>
      </c>
      <c r="AA911" s="2">
        <f ca="1">IF(MIN($AA$4:AA910)=0,0,MAX(0,($AA910+$K911-$O911-$P911)*IF(AND(F911="F",$D$3&lt;&gt;$G$3),((1+$AA$1)^(H911/MIN(G911,365))),((1+$AA$1)^(1/12)))-$U911))</f>
        <v>1920000</v>
      </c>
      <c r="AB911" s="2">
        <f ca="1">IF(MIN($AB$4:AB910)=0,0,MAX(0,($AB910+$K911-$O911-$P911)*IF(AND(F911="F",$D$3&lt;&gt;$G$3),((1+(J911))^(H911/MIN(G911,365))),((1+(J911))^(1/12)))-$U911))</f>
        <v>77023785.354393318</v>
      </c>
      <c r="AC911" s="5"/>
      <c r="AD911" s="5"/>
      <c r="AE911" s="5"/>
      <c r="AF911" s="282">
        <f t="shared" ca="1" si="524"/>
        <v>39602</v>
      </c>
      <c r="AG911" s="282">
        <f t="shared" ca="1" si="525"/>
        <v>1920000</v>
      </c>
      <c r="AH911" s="282">
        <f t="shared" ca="1" si="526"/>
        <v>77023785</v>
      </c>
      <c r="AI911" s="23" t="str">
        <f t="shared" ca="1" si="543"/>
        <v>76-9</v>
      </c>
      <c r="AJ911" s="282">
        <f ca="1">IF(E911&gt;111,,IF(AND(OP!$C$99=1,T911="F"),Z911,IF(AND(OP!$C$99=2,COUNTIF($T$4:T911,"F")=1),OP!$C$97+IF(F911="F",OP!$C$98,0),"")))</f>
        <v>0</v>
      </c>
      <c r="AK911" s="282">
        <f ca="1">IF(E911&gt;111,,IF(AND(OP!$D$99=1,T911="F"),AA911,IF(AND(OP!$D$99=2,COUNTIF($T$4:T911,"F")=1),OP!$D$97+IF(F911="F",OP!$D$98,0),"")))</f>
        <v>0</v>
      </c>
      <c r="AL911" s="282">
        <f ca="1">IF(E911&gt;111,,IF(AND(OP!$E$99=1,T911="F"),AB911,IF(AND(OP!$E$99=2,COUNTIF($T$4:T911,"F")=1),OP!$E$97+IF(F911="F",OP!$E$98,0),"")))</f>
        <v>0</v>
      </c>
      <c r="AM911" s="1">
        <f t="shared" ca="1" si="516"/>
        <v>9</v>
      </c>
      <c r="AN911" s="1" t="e">
        <f ca="1">IF(OR(VLOOKUP($A911,MP,5,0)="月繳"),1,"")</f>
        <v>#N/A</v>
      </c>
      <c r="AO911" s="1">
        <f t="shared" ca="1" si="527"/>
        <v>0</v>
      </c>
      <c r="AP911" s="1" t="str">
        <f ca="1">IF(AND(A911&lt;=OP!$C$120,COUNTIF(PAY,C911)=1),1,"")</f>
        <v/>
      </c>
      <c r="AR911" s="301">
        <f ca="1">IF(繳費報酬率資料!$A$1=1,$AY911+$AZ911,$BF911+$BG911)</f>
        <v>0</v>
      </c>
      <c r="AS911" s="1">
        <f ca="1">IF(C911&lt;&gt;IF($C$3=1,12,$C$3-1),0,IF(繳費報酬率資料!$A$1&lt;&gt;1,VLOOKUP($A911,MP,8,0),IF(AND($A911&gt;=OP!$C$79,$A911&lt;=OP!$C$80),OP!$C$78,)))</f>
        <v>0</v>
      </c>
      <c r="AT911" s="298">
        <f t="shared" ca="1" si="528"/>
        <v>0</v>
      </c>
      <c r="AU911" s="298">
        <f ca="1">IF(AND(A911&lt;=OP!$C$120,COUNTIF(PAY,C911)=1),OP!$C$123,0)</f>
        <v>0</v>
      </c>
      <c r="AV911" s="298">
        <f ca="1">IF(AND(A911&gt;=OP!$C$132,A911&lt;=OP!$C$133,$C$3=C911),OP!$C$135,0)</f>
        <v>0</v>
      </c>
      <c r="AW911" s="180">
        <f t="shared" ca="1" si="529"/>
        <v>0.05</v>
      </c>
      <c r="AX911" s="180">
        <f t="shared" ca="1" si="530"/>
        <v>0.05</v>
      </c>
      <c r="AY911" s="286">
        <f t="shared" ca="1" si="531"/>
        <v>0</v>
      </c>
      <c r="AZ911" s="286">
        <f t="shared" ca="1" si="532"/>
        <v>0</v>
      </c>
      <c r="BA911" s="286">
        <f t="shared" ca="1" si="533"/>
        <v>0</v>
      </c>
      <c r="BB911" s="286">
        <f t="shared" ca="1" si="534"/>
        <v>0</v>
      </c>
      <c r="BC911" s="286">
        <f t="shared" ca="1" si="535"/>
        <v>0</v>
      </c>
      <c r="BD911" s="180">
        <f t="shared" ca="1" si="536"/>
        <v>0.05</v>
      </c>
      <c r="BE911" s="180">
        <f t="shared" ca="1" si="537"/>
        <v>0.05</v>
      </c>
      <c r="BF911" s="286">
        <f t="shared" ca="1" si="538"/>
        <v>0</v>
      </c>
      <c r="BG911" s="286">
        <f t="shared" ca="1" si="539"/>
        <v>0</v>
      </c>
    </row>
    <row r="912" spans="1:59">
      <c r="A912" s="1">
        <f t="shared" ca="1" si="519"/>
        <v>76</v>
      </c>
      <c r="B912" s="1">
        <f t="shared" ca="1" si="512"/>
        <v>182</v>
      </c>
      <c r="C912" s="1">
        <f t="shared" ca="1" si="513"/>
        <v>2</v>
      </c>
      <c r="D912" s="1">
        <f ca="1">MIN($D$3,VLOOKUP(C912,OP!$S$30:$T$41,2))</f>
        <v>2</v>
      </c>
      <c r="E912" s="1" t="str">
        <f t="shared" ca="1" si="514"/>
        <v/>
      </c>
      <c r="F912" s="11" t="str">
        <f t="shared" ca="1" si="520"/>
        <v/>
      </c>
      <c r="G912" s="8">
        <f t="shared" ca="1" si="542"/>
        <v>365</v>
      </c>
      <c r="H912" s="8">
        <f t="shared" ca="1" si="521"/>
        <v>28</v>
      </c>
      <c r="I912" s="8" t="str">
        <f t="shared" ca="1" si="518"/>
        <v>762</v>
      </c>
      <c r="J912" s="13">
        <f>IF(繳費報酬率資料!$A$1=1,VALUE(OP!$C$121),VLOOKUP(A912,MP,2,0))</f>
        <v>0.05</v>
      </c>
      <c r="K912" s="14">
        <f ca="1">IF(SUM($K$4:K911,IF(繳費報酬率資料!$A$1=1,$AU912+$AV912,$BB912+$BC912))&gt;OP!$L$58,0,IF(繳費報酬率資料!$A$1=1,$AU912+$AV912,$BB912+$BC912))</f>
        <v>0</v>
      </c>
      <c r="L912" s="2"/>
      <c r="M912" s="2"/>
      <c r="N912" s="2"/>
      <c r="O912" s="261">
        <f t="shared" ca="1" si="522"/>
        <v>0</v>
      </c>
      <c r="P912" s="261">
        <f t="shared" ca="1" si="540"/>
        <v>0</v>
      </c>
      <c r="Q912" s="3">
        <f ca="1">IF(A912&gt;MAX(OP!$R$17:$R$26),0,VLOOKUP(A912,fees,3,FALSE))</f>
        <v>0</v>
      </c>
      <c r="R912" s="200" t="str">
        <f t="shared" ca="1" si="523"/>
        <v/>
      </c>
      <c r="S912" s="9" t="str">
        <f ca="1">IF(COUNTIF(($T$4:T911),"F")&gt;=1,"",IF(OR(C913&lt;&gt;$C$3,E912=""),"",A912))</f>
        <v/>
      </c>
      <c r="T912" s="20" t="str">
        <f t="shared" ca="1" si="515"/>
        <v/>
      </c>
      <c r="U912" s="2">
        <f ca="1">IF(IF(OP!$C$83=1,$Z911,IF(OP!$C$83=2,$AA911,IF(OP!$C$83=3,$AB911,)))+$K912-$O912-$P912-$AS912&lt;OP!$C$142,0,$AS912)</f>
        <v>0</v>
      </c>
      <c r="V912" s="9"/>
      <c r="W912" s="19">
        <f ca="1">MAX(SUM($K$4:K912),0)</f>
        <v>2000000</v>
      </c>
      <c r="X912" s="19"/>
      <c r="Y912" s="19">
        <f t="shared" ca="1" si="541"/>
        <v>1920000</v>
      </c>
      <c r="Z912" s="2">
        <f ca="1">IF(MIN($Z$4:Z911)=0,0,MAX(0,($Z911+$K912-$O912-$P912)*IF(AND(F912="F",$D$3&lt;&gt;$G$3),((1+(-J912))^(H912/MIN(G912,365))),((1+(-J912))^(1/12)))-$U912))</f>
        <v>39433.409552072728</v>
      </c>
      <c r="AA912" s="2">
        <f ca="1">IF(MIN($AA$4:AA911)=0,0,MAX(0,($AA911+$K912-$O912-$P912)*IF(AND(F912="F",$D$3&lt;&gt;$G$3),((1+$AA$1)^(H912/MIN(G912,365))),((1+$AA$1)^(1/12)))-$U912))</f>
        <v>1920000</v>
      </c>
      <c r="AB912" s="2">
        <f ca="1">IF(MIN($AB$4:AB911)=0,0,MAX(0,($AB911+$K912-$O912-$P912)*IF(AND(F912="F",$D$3&lt;&gt;$G$3),((1+(J912))^(H912/MIN(G912,365))),((1+(J912))^(1/12)))-$U912))</f>
        <v>77337589.790212274</v>
      </c>
      <c r="AC912" s="5"/>
      <c r="AD912" s="5"/>
      <c r="AE912" s="5"/>
      <c r="AF912" s="282">
        <f t="shared" ca="1" si="524"/>
        <v>39433</v>
      </c>
      <c r="AG912" s="282">
        <f t="shared" ca="1" si="525"/>
        <v>1920000</v>
      </c>
      <c r="AH912" s="282">
        <f t="shared" ca="1" si="526"/>
        <v>77337590</v>
      </c>
      <c r="AI912" s="23" t="str">
        <f t="shared" ca="1" si="543"/>
        <v>76-10</v>
      </c>
      <c r="AJ912" s="282">
        <f ca="1">IF(E912&gt;111,,IF(AND(OP!$C$99=1,T912="F"),Z912,IF(AND(OP!$C$99=2,COUNTIF($T$4:T912,"F")=1),OP!$C$97+IF(F912="F",OP!$C$98,0),"")))</f>
        <v>0</v>
      </c>
      <c r="AK912" s="282">
        <f ca="1">IF(E912&gt;111,,IF(AND(OP!$D$99=1,T912="F"),AA912,IF(AND(OP!$D$99=2,COUNTIF($T$4:T912,"F")=1),OP!$D$97+IF(F912="F",OP!$D$98,0),"")))</f>
        <v>0</v>
      </c>
      <c r="AL912" s="282">
        <f ca="1">IF(E912&gt;111,,IF(AND(OP!$E$99=1,T912="F"),AB912,IF(AND(OP!$E$99=2,COUNTIF($T$4:T912,"F")=1),OP!$E$97+IF(F912="F",OP!$E$98,0),"")))</f>
        <v>0</v>
      </c>
      <c r="AM912" s="1">
        <f t="shared" ca="1" si="516"/>
        <v>10</v>
      </c>
      <c r="AN912" s="1" t="e">
        <f ca="1">IF(OR(VLOOKUP($A912,MP,5,0)="月繳"),1,"")</f>
        <v>#N/A</v>
      </c>
      <c r="AO912" s="1">
        <f t="shared" ca="1" si="527"/>
        <v>0</v>
      </c>
      <c r="AP912" s="1" t="str">
        <f ca="1">IF(AND(A912&lt;=OP!$C$120,COUNTIF(PAY,C912)=1),1,"")</f>
        <v/>
      </c>
      <c r="AR912" s="301">
        <f ca="1">IF(繳費報酬率資料!$A$1=1,$AY912+$AZ912,$BF912+$BG912)</f>
        <v>0</v>
      </c>
      <c r="AS912" s="1">
        <f ca="1">IF(C912&lt;&gt;IF($C$3=1,12,$C$3-1),0,IF(繳費報酬率資料!$A$1&lt;&gt;1,VLOOKUP($A912,MP,8,0),IF(AND($A912&gt;=OP!$C$79,$A912&lt;=OP!$C$80),OP!$C$78,)))</f>
        <v>0</v>
      </c>
      <c r="AT912" s="298">
        <f t="shared" ca="1" si="528"/>
        <v>0</v>
      </c>
      <c r="AU912" s="298">
        <f ca="1">IF(AND(A912&lt;=OP!$C$120,COUNTIF(PAY,C912)=1),OP!$C$123,0)</f>
        <v>0</v>
      </c>
      <c r="AV912" s="298">
        <f ca="1">IF(AND(A912&gt;=OP!$C$132,A912&lt;=OP!$C$133,$C$3=C912),OP!$C$135,0)</f>
        <v>0</v>
      </c>
      <c r="AW912" s="180">
        <f t="shared" ca="1" si="529"/>
        <v>0.05</v>
      </c>
      <c r="AX912" s="180">
        <f t="shared" ca="1" si="530"/>
        <v>0.05</v>
      </c>
      <c r="AY912" s="286">
        <f t="shared" ca="1" si="531"/>
        <v>0</v>
      </c>
      <c r="AZ912" s="286">
        <f t="shared" ca="1" si="532"/>
        <v>0</v>
      </c>
      <c r="BA912" s="286">
        <f t="shared" ca="1" si="533"/>
        <v>0</v>
      </c>
      <c r="BB912" s="286">
        <f t="shared" ca="1" si="534"/>
        <v>0</v>
      </c>
      <c r="BC912" s="286">
        <f t="shared" ca="1" si="535"/>
        <v>0</v>
      </c>
      <c r="BD912" s="180">
        <f t="shared" ca="1" si="536"/>
        <v>0.05</v>
      </c>
      <c r="BE912" s="180">
        <f t="shared" ca="1" si="537"/>
        <v>0.05</v>
      </c>
      <c r="BF912" s="286">
        <f t="shared" ca="1" si="538"/>
        <v>0</v>
      </c>
      <c r="BG912" s="286">
        <f t="shared" ca="1" si="539"/>
        <v>0</v>
      </c>
    </row>
    <row r="913" spans="1:59">
      <c r="A913" s="1">
        <f t="shared" ca="1" si="519"/>
        <v>76</v>
      </c>
      <c r="B913" s="1">
        <f t="shared" ca="1" si="512"/>
        <v>182</v>
      </c>
      <c r="C913" s="1">
        <f t="shared" ca="1" si="513"/>
        <v>3</v>
      </c>
      <c r="D913" s="1">
        <f ca="1">MIN($D$3,VLOOKUP(C913,OP!$S$30:$T$41,2))</f>
        <v>2</v>
      </c>
      <c r="E913" s="1" t="str">
        <f t="shared" ca="1" si="514"/>
        <v/>
      </c>
      <c r="F913" s="11" t="str">
        <f t="shared" ca="1" si="520"/>
        <v/>
      </c>
      <c r="G913" s="8">
        <f t="shared" ca="1" si="542"/>
        <v>365</v>
      </c>
      <c r="H913" s="8">
        <f t="shared" ca="1" si="521"/>
        <v>31</v>
      </c>
      <c r="I913" s="8" t="str">
        <f t="shared" ca="1" si="518"/>
        <v>763</v>
      </c>
      <c r="J913" s="13">
        <f>IF(繳費報酬率資料!$A$1=1,VALUE(OP!$C$121),VLOOKUP(A913,MP,2,0))</f>
        <v>0.05</v>
      </c>
      <c r="K913" s="14">
        <f ca="1">IF(SUM($K$4:K912,IF(繳費報酬率資料!$A$1=1,$AU913+$AV913,$BB913+$BC913))&gt;OP!$L$58,0,IF(繳費報酬率資料!$A$1=1,$AU913+$AV913,$BB913+$BC913))</f>
        <v>0</v>
      </c>
      <c r="L913" s="2"/>
      <c r="M913" s="2"/>
      <c r="N913" s="2"/>
      <c r="O913" s="261">
        <f t="shared" ca="1" si="522"/>
        <v>0</v>
      </c>
      <c r="P913" s="261">
        <f t="shared" ca="1" si="540"/>
        <v>0</v>
      </c>
      <c r="Q913" s="3">
        <f ca="1">IF(A913&gt;MAX(OP!$R$17:$R$26),0,VLOOKUP(A913,fees,3,FALSE))</f>
        <v>0</v>
      </c>
      <c r="R913" s="200" t="str">
        <f t="shared" ca="1" si="523"/>
        <v/>
      </c>
      <c r="S913" s="9" t="str">
        <f ca="1">IF(COUNTIF(($T$4:T912),"F")&gt;=1,"",IF(OR(C914&lt;&gt;$C$3,E913=""),"",A913))</f>
        <v/>
      </c>
      <c r="T913" s="20" t="str">
        <f t="shared" ca="1" si="515"/>
        <v/>
      </c>
      <c r="U913" s="2">
        <f ca="1">IF(IF(OP!$C$83=1,$Z912,IF(OP!$C$83=2,$AA912,IF(OP!$C$83=3,$AB912,)))+$K913-$O913-$P913-$AS913&lt;OP!$C$142,0,$AS913)</f>
        <v>0</v>
      </c>
      <c r="V913" s="9"/>
      <c r="W913" s="19">
        <f ca="1">MAX(SUM($K$4:K913),0)</f>
        <v>2000000</v>
      </c>
      <c r="X913" s="19"/>
      <c r="Y913" s="19">
        <f t="shared" ca="1" si="541"/>
        <v>1920000</v>
      </c>
      <c r="Z913" s="2">
        <f ca="1">IF(MIN($Z$4:Z912)=0,0,MAX(0,($Z912+$K913-$O913-$P913)*IF(AND(F913="F",$D$3&lt;&gt;$G$3),((1+(-J913))^(H913/MIN(G913,365))),((1+(-J913))^(1/12)))-$U913))</f>
        <v>39265.213489847032</v>
      </c>
      <c r="AA913" s="2">
        <f ca="1">IF(MIN($AA$4:AA912)=0,0,MAX(0,($AA912+$K913-$O913-$P913)*IF(AND(F913="F",$D$3&lt;&gt;$G$3),((1+$AA$1)^(H913/MIN(G913,365))),((1+$AA$1)^(1/12)))-$U913))</f>
        <v>1920000</v>
      </c>
      <c r="AB913" s="2">
        <f ca="1">IF(MIN($AB$4:AB912)=0,0,MAX(0,($AB912+$K913-$O913-$P913)*IF(AND(F913="F",$D$3&lt;&gt;$G$3),((1+(J913))^(H913/MIN(G913,365))),((1+(J913))^(1/12)))-$U913))</f>
        <v>77652672.704146624</v>
      </c>
      <c r="AC913" s="5"/>
      <c r="AD913" s="5"/>
      <c r="AE913" s="5"/>
      <c r="AF913" s="282">
        <f t="shared" ca="1" si="524"/>
        <v>39265</v>
      </c>
      <c r="AG913" s="282">
        <f t="shared" ca="1" si="525"/>
        <v>1920000</v>
      </c>
      <c r="AH913" s="282">
        <f t="shared" ca="1" si="526"/>
        <v>77652673</v>
      </c>
      <c r="AI913" s="23" t="str">
        <f t="shared" ca="1" si="543"/>
        <v>76-11</v>
      </c>
      <c r="AJ913" s="282">
        <f ca="1">IF(E913&gt;111,,IF(AND(OP!$C$99=1,T913="F"),Z913,IF(AND(OP!$C$99=2,COUNTIF($T$4:T913,"F")=1),OP!$C$97+IF(F913="F",OP!$C$98,0),"")))</f>
        <v>0</v>
      </c>
      <c r="AK913" s="282">
        <f ca="1">IF(E913&gt;111,,IF(AND(OP!$D$99=1,T913="F"),AA913,IF(AND(OP!$D$99=2,COUNTIF($T$4:T913,"F")=1),OP!$D$97+IF(F913="F",OP!$D$98,0),"")))</f>
        <v>0</v>
      </c>
      <c r="AL913" s="282">
        <f ca="1">IF(E913&gt;111,,IF(AND(OP!$E$99=1,T913="F"),AB913,IF(AND(OP!$E$99=2,COUNTIF($T$4:T913,"F")=1),OP!$E$97+IF(F913="F",OP!$E$98,0),"")))</f>
        <v>0</v>
      </c>
      <c r="AM913" s="1">
        <f t="shared" ca="1" si="516"/>
        <v>11</v>
      </c>
      <c r="AN913" s="1" t="e">
        <f ca="1">IF(OR(VLOOKUP($A913,MP,5,0)="季繳",VLOOKUP($A913,MP,5,0)="月繳"),1,"")</f>
        <v>#N/A</v>
      </c>
      <c r="AO913" s="1">
        <f t="shared" ca="1" si="527"/>
        <v>0</v>
      </c>
      <c r="AP913" s="1" t="str">
        <f ca="1">IF(AND(A913&lt;=OP!$C$120,COUNTIF(PAY,C913)=1),1,"")</f>
        <v/>
      </c>
      <c r="AR913" s="301">
        <f ca="1">IF(繳費報酬率資料!$A$1=1,$AY913+$AZ913,$BF913+$BG913)</f>
        <v>0</v>
      </c>
      <c r="AS913" s="1">
        <f ca="1">IF(C913&lt;&gt;IF($C$3=1,12,$C$3-1),0,IF(繳費報酬率資料!$A$1&lt;&gt;1,VLOOKUP($A913,MP,8,0),IF(AND($A913&gt;=OP!$C$79,$A913&lt;=OP!$C$80),OP!$C$78,)))</f>
        <v>0</v>
      </c>
      <c r="AT913" s="298">
        <f t="shared" ca="1" si="528"/>
        <v>0</v>
      </c>
      <c r="AU913" s="298">
        <f ca="1">IF(AND(A913&lt;=OP!$C$120,COUNTIF(PAY,C913)=1),OP!$C$123,0)</f>
        <v>0</v>
      </c>
      <c r="AV913" s="298">
        <f ca="1">IF(AND(A913&gt;=OP!$C$132,A913&lt;=OP!$C$133,$C$3=C913),OP!$C$135,0)</f>
        <v>0</v>
      </c>
      <c r="AW913" s="180">
        <f t="shared" ca="1" si="529"/>
        <v>0.05</v>
      </c>
      <c r="AX913" s="180">
        <f t="shared" ca="1" si="530"/>
        <v>0.05</v>
      </c>
      <c r="AY913" s="286">
        <f t="shared" ca="1" si="531"/>
        <v>0</v>
      </c>
      <c r="AZ913" s="286">
        <f t="shared" ca="1" si="532"/>
        <v>0</v>
      </c>
      <c r="BA913" s="286">
        <f t="shared" ca="1" si="533"/>
        <v>0</v>
      </c>
      <c r="BB913" s="286">
        <f t="shared" ca="1" si="534"/>
        <v>0</v>
      </c>
      <c r="BC913" s="286">
        <f t="shared" ca="1" si="535"/>
        <v>0</v>
      </c>
      <c r="BD913" s="180">
        <f t="shared" ca="1" si="536"/>
        <v>0.05</v>
      </c>
      <c r="BE913" s="180">
        <f t="shared" ca="1" si="537"/>
        <v>0.05</v>
      </c>
      <c r="BF913" s="286">
        <f t="shared" ca="1" si="538"/>
        <v>0</v>
      </c>
      <c r="BG913" s="286">
        <f t="shared" ca="1" si="539"/>
        <v>0</v>
      </c>
    </row>
    <row r="914" spans="1:59">
      <c r="A914" s="1">
        <f t="shared" ca="1" si="519"/>
        <v>76</v>
      </c>
      <c r="B914" s="1">
        <f t="shared" ca="1" si="512"/>
        <v>182</v>
      </c>
      <c r="C914" s="1">
        <f t="shared" ca="1" si="513"/>
        <v>4</v>
      </c>
      <c r="D914" s="1">
        <f ca="1">MIN($D$3,VLOOKUP(C914,OP!$S$30:$T$41,2))</f>
        <v>2</v>
      </c>
      <c r="E914" s="1" t="str">
        <f t="shared" ca="1" si="514"/>
        <v/>
      </c>
      <c r="F914" s="11" t="str">
        <f t="shared" ca="1" si="520"/>
        <v/>
      </c>
      <c r="G914" s="8">
        <f t="shared" ca="1" si="542"/>
        <v>365</v>
      </c>
      <c r="H914" s="8">
        <f t="shared" ca="1" si="521"/>
        <v>30</v>
      </c>
      <c r="I914" s="8" t="str">
        <f t="shared" ca="1" si="518"/>
        <v>764</v>
      </c>
      <c r="J914" s="13">
        <f>IF(繳費報酬率資料!$A$1=1,VALUE(OP!$C$121),VLOOKUP(A914,MP,2,0))</f>
        <v>0.05</v>
      </c>
      <c r="K914" s="14">
        <f ca="1">IF(SUM($K$4:K913,IF(繳費報酬率資料!$A$1=1,$AU914+$AV914,$BB914+$BC914))&gt;OP!$L$58,0,IF(繳費報酬率資料!$A$1=1,$AU914+$AV914,$BB914+$BC914))</f>
        <v>0</v>
      </c>
      <c r="L914" s="2"/>
      <c r="M914" s="2"/>
      <c r="N914" s="2"/>
      <c r="O914" s="261">
        <f t="shared" ca="1" si="522"/>
        <v>0</v>
      </c>
      <c r="P914" s="261">
        <f t="shared" ca="1" si="540"/>
        <v>0</v>
      </c>
      <c r="Q914" s="3">
        <f ca="1">IF(A914&gt;MAX(OP!$R$17:$R$26),0,VLOOKUP(A914,fees,3,FALSE))</f>
        <v>0</v>
      </c>
      <c r="R914" s="200" t="str">
        <f t="shared" ca="1" si="523"/>
        <v/>
      </c>
      <c r="S914" s="9" t="str">
        <f ca="1">IF(COUNTIF(($T$4:T913),"F")&gt;=1,"",IF(OR(C915&lt;&gt;$C$3,E914=""),"",A914))</f>
        <v/>
      </c>
      <c r="T914" s="20" t="str">
        <f t="shared" ca="1" si="515"/>
        <v/>
      </c>
      <c r="U914" s="2">
        <f ca="1">IF(IF(OP!$C$83=1,$Z913,IF(OP!$C$83=2,$AA913,IF(OP!$C$83=3,$AB913,)))+$K914-$O914-$P914-$AS914&lt;OP!$C$142,0,$AS914)</f>
        <v>0</v>
      </c>
      <c r="V914" s="9"/>
      <c r="W914" s="19">
        <f ca="1">MAX(SUM($K$4:K914),0)</f>
        <v>2000000</v>
      </c>
      <c r="X914" s="19"/>
      <c r="Y914" s="19">
        <f t="shared" ca="1" si="541"/>
        <v>1920000</v>
      </c>
      <c r="Z914" s="2">
        <f ca="1">IF(MIN($Z$4:Z913)=0,0,MAX(0,($Z913+$K914-$O914-$P914)*IF(AND(F914="F",$D$3&lt;&gt;$G$3),((1+(-J914))^(H914/MIN(G914,365))),((1+(-J914))^(1/12)))-$U914))</f>
        <v>39097.734837443859</v>
      </c>
      <c r="AA914" s="2">
        <f ca="1">IF(MIN($AA$4:AA913)=0,0,MAX(0,($AA913+$K914-$O914-$P914)*IF(AND(F914="F",$D$3&lt;&gt;$G$3),((1+$AA$1)^(H914/MIN(G914,365))),((1+$AA$1)^(1/12)))-$U914))</f>
        <v>1920000</v>
      </c>
      <c r="AB914" s="2">
        <f ca="1">IF(MIN($AB$4:AB913)=0,0,MAX(0,($AB913+$K914-$O914-$P914)*IF(AND(F914="F",$D$3&lt;&gt;$G$3),((1+(J914))^(H914/MIN(G914,365))),((1+(J914))^(1/12)))-$U914))</f>
        <v>77969039.30487445</v>
      </c>
      <c r="AC914" s="5"/>
      <c r="AD914" s="5"/>
      <c r="AE914" s="5"/>
      <c r="AF914" s="282">
        <f t="shared" ca="1" si="524"/>
        <v>39098</v>
      </c>
      <c r="AG914" s="282">
        <f t="shared" ca="1" si="525"/>
        <v>1920000</v>
      </c>
      <c r="AH914" s="282">
        <f t="shared" ca="1" si="526"/>
        <v>77969039</v>
      </c>
      <c r="AI914" s="23" t="str">
        <f t="shared" ca="1" si="543"/>
        <v>76-12</v>
      </c>
      <c r="AJ914" s="282">
        <f ca="1">IF(E914&gt;111,,IF(AND(OP!$C$99=1,T914="F"),Z914,IF(AND(OP!$C$99=2,COUNTIF($T$4:T914,"F")=1),OP!$C$97+IF(F914="F",OP!$C$98,0),"")))</f>
        <v>0</v>
      </c>
      <c r="AK914" s="282">
        <f ca="1">IF(E914&gt;111,,IF(AND(OP!$D$99=1,T914="F"),AA914,IF(AND(OP!$D$99=2,COUNTIF($T$4:T914,"F")=1),OP!$D$97+IF(F914="F",OP!$D$98,0),"")))</f>
        <v>0</v>
      </c>
      <c r="AL914" s="282">
        <f ca="1">IF(E914&gt;111,,IF(AND(OP!$E$99=1,T914="F"),AB914,IF(AND(OP!$E$99=2,COUNTIF($T$4:T914,"F")=1),OP!$E$97+IF(F914="F",OP!$E$98,0),"")))</f>
        <v>0</v>
      </c>
      <c r="AM914" s="1">
        <f t="shared" ca="1" si="516"/>
        <v>12</v>
      </c>
      <c r="AN914" s="1" t="e">
        <f ca="1">IF(OR(VLOOKUP($A914,MP,5,0)="月繳"),1,"")</f>
        <v>#N/A</v>
      </c>
      <c r="AO914" s="1">
        <f t="shared" ca="1" si="527"/>
        <v>0</v>
      </c>
      <c r="AP914" s="1" t="str">
        <f ca="1">IF(AND(A914&lt;=OP!$C$120,COUNTIF(PAY,C914)=1),1,"")</f>
        <v/>
      </c>
      <c r="AR914" s="301">
        <f ca="1">IF(繳費報酬率資料!$A$1=1,$AY914+$AZ914,$BF914+$BG914)</f>
        <v>0</v>
      </c>
      <c r="AS914" s="1">
        <f ca="1">IF(C914&lt;&gt;IF($C$3=1,12,$C$3-1),0,IF(繳費報酬率資料!$A$1&lt;&gt;1,VLOOKUP($A914,MP,8,0),IF(AND($A914&gt;=OP!$C$79,$A914&lt;=OP!$C$80),OP!$C$78,)))</f>
        <v>0</v>
      </c>
      <c r="AT914" s="298">
        <f t="shared" ca="1" si="528"/>
        <v>0</v>
      </c>
      <c r="AU914" s="298">
        <f ca="1">IF(AND(A914&lt;=OP!$C$120,COUNTIF(PAY,C914)=1),OP!$C$123,0)</f>
        <v>0</v>
      </c>
      <c r="AV914" s="298">
        <f ca="1">IF(AND(A914&gt;=OP!$C$132,A914&lt;=OP!$C$133,$C$3=C914),OP!$C$135,0)</f>
        <v>0</v>
      </c>
      <c r="AW914" s="180">
        <f t="shared" ca="1" si="529"/>
        <v>0.05</v>
      </c>
      <c r="AX914" s="180">
        <f t="shared" ca="1" si="530"/>
        <v>0.05</v>
      </c>
      <c r="AY914" s="286">
        <f t="shared" ca="1" si="531"/>
        <v>0</v>
      </c>
      <c r="AZ914" s="286">
        <f t="shared" ca="1" si="532"/>
        <v>0</v>
      </c>
      <c r="BA914" s="286">
        <f t="shared" ca="1" si="533"/>
        <v>0</v>
      </c>
      <c r="BB914" s="286">
        <f t="shared" ca="1" si="534"/>
        <v>0</v>
      </c>
      <c r="BC914" s="286">
        <f t="shared" ca="1" si="535"/>
        <v>0</v>
      </c>
      <c r="BD914" s="180">
        <f t="shared" ca="1" si="536"/>
        <v>0.05</v>
      </c>
      <c r="BE914" s="180">
        <f t="shared" ca="1" si="537"/>
        <v>0.05</v>
      </c>
      <c r="BF914" s="286">
        <f t="shared" ca="1" si="538"/>
        <v>0</v>
      </c>
      <c r="BG914" s="286">
        <f t="shared" ca="1" si="539"/>
        <v>0</v>
      </c>
    </row>
    <row r="915" spans="1:59">
      <c r="A915" s="1">
        <f t="shared" ca="1" si="519"/>
        <v>76</v>
      </c>
      <c r="B915" s="1">
        <f t="shared" ca="1" si="512"/>
        <v>182</v>
      </c>
      <c r="C915" s="1">
        <f t="shared" ca="1" si="513"/>
        <v>5</v>
      </c>
      <c r="D915" s="1">
        <f ca="1">MIN($D$3,VLOOKUP(C915,OP!$S$30:$T$41,2))</f>
        <v>2</v>
      </c>
      <c r="E915" s="1" t="str">
        <f t="shared" ca="1" si="514"/>
        <v/>
      </c>
      <c r="F915" s="11" t="str">
        <f t="shared" ca="1" si="520"/>
        <v/>
      </c>
      <c r="G915" s="8">
        <f t="shared" ca="1" si="542"/>
        <v>365</v>
      </c>
      <c r="H915" s="8">
        <f t="shared" ca="1" si="521"/>
        <v>31</v>
      </c>
      <c r="I915" s="8" t="str">
        <f t="shared" ca="1" si="518"/>
        <v>765</v>
      </c>
      <c r="J915" s="13">
        <f>IF(繳費報酬率資料!$A$1=1,VALUE(OP!$C$121),VLOOKUP(A915,MP,2,0))</f>
        <v>0.05</v>
      </c>
      <c r="K915" s="14">
        <f ca="1">IF(SUM($K$4:K914,IF(繳費報酬率資料!$A$1=1,$AU915+$AV915,$BB915+$BC915))&gt;OP!$L$58,0,IF(繳費報酬率資料!$A$1=1,$AU915+$AV915,$BB915+$BC915))</f>
        <v>0</v>
      </c>
      <c r="L915" s="2">
        <f ca="1">ROUND(IF(OP!$C$78&lt;(IF(OR($T915="F",$E915&gt;=111),0,Z914+$K915-$O915+IF($C$1=1,OP!$C$78,IF($C916=$C$3,SUM(AC904:AC915,0)))))*5%,0,(OP!$C$78-((IF(OR($T915="F",$E915&gt;=111),0,Z914+$K915-$O915+IF($C$1=1,AC915,IF($C916=$C$3,SUM(AC904:AC915,0)))))*5%))*$Q915),0)</f>
        <v>0</v>
      </c>
      <c r="M915" s="2">
        <f ca="1">ROUND(IF(OP!$C$78&lt;(IF(OR($T915="F",$E915&gt;=111),0,AA914+$K915-$O915+IF($C$1=1,AD915,IF($C916=$C$3,SUM(AD904:AD915,0)))))*5%,0,(OP!$C$78-((IF(OR($T915="F",$E915&gt;=111),0,AA914+$K915-$O915+IF($C$1=1,AD915,IF($C916=$C$3,SUM(AD904:AD915,0)))))*5%))*$Q915),0)</f>
        <v>0</v>
      </c>
      <c r="N915" s="2">
        <f ca="1">ROUND(IF(OP!$C$78&lt;(IF(OR($T915="F",$E915&gt;=111),0,AB914+$K915-$O915+IF($C$1=1,AE915,IF($C916=$C$3,SUM(AE904:AE915,0)))))*5%,0,(OP!$C$78-((IF(OR($T915="F",$E915&gt;=111),0,AB914+$K915-$O915+IF($C$1=1,AE915,IF($C916=$C$3,SUM(AE904:AE915,0)))))*5%))*$Q915),0)</f>
        <v>0</v>
      </c>
      <c r="O915" s="261">
        <f t="shared" ca="1" si="522"/>
        <v>0</v>
      </c>
      <c r="P915" s="261">
        <f t="shared" ca="1" si="540"/>
        <v>0</v>
      </c>
      <c r="Q915" s="3">
        <f ca="1">IF(A915&gt;MAX(OP!$R$17:$R$26),0,VLOOKUP(A915,fees,3,FALSE))</f>
        <v>0</v>
      </c>
      <c r="R915" s="200" t="str">
        <f t="shared" ca="1" si="523"/>
        <v/>
      </c>
      <c r="S915" s="9" t="str">
        <f ca="1">IF(COUNTIF(($T$4:T914),"F")&gt;=1,"",IF(OR(C916&lt;&gt;$C$3,E915=""),"",A915))</f>
        <v/>
      </c>
      <c r="T915" s="20" t="str">
        <f t="shared" ca="1" si="515"/>
        <v/>
      </c>
      <c r="U915" s="2">
        <f ca="1">IF(IF(OP!$C$83=1,$Z914,IF(OP!$C$83=2,$AA914,IF(OP!$C$83=3,$AB914,)))+$K915-$O915-$P915-$AS915&lt;OP!$C$142,0,$AS915)</f>
        <v>0</v>
      </c>
      <c r="V915" s="19">
        <f ca="1">SUM(K904:K915)</f>
        <v>0</v>
      </c>
      <c r="W915" s="19">
        <f ca="1">MAX(SUM($K$4:K915),0)</f>
        <v>2000000</v>
      </c>
      <c r="X915" s="19">
        <f ca="1">SUM(O904:P915)</f>
        <v>0</v>
      </c>
      <c r="Y915" s="19">
        <f t="shared" ca="1" si="541"/>
        <v>1920000</v>
      </c>
      <c r="Z915" s="2">
        <f ca="1">IF(MIN($Z$4:Z914)=0,0,MAX(0,($Z914+$K915-$O915-$P915)*IF(AND(F915="F",$D$3&lt;&gt;$G$3),((1+(-J915))^(H915/MIN(G915,365))),((1+(-J915))^(1/12)))-$U915))</f>
        <v>38930.970534881621</v>
      </c>
      <c r="AA915" s="2">
        <f ca="1">IF(MIN($AA$4:AA914)=0,0,MAX(0,($AA914+$K915-$O915-$P915)*IF(AND(F915="F",$D$3&lt;&gt;$G$3),((1+$AA$1)^(H915/MIN(G915,365))),((1+$AA$1)^(1/12)))-$U915))</f>
        <v>1920000</v>
      </c>
      <c r="AB915" s="2">
        <f ca="1">IF(MIN($AB$4:AB914)=0,0,MAX(0,($AB914+$K915-$O915-$P915)*IF(AND(F915="F",$D$3&lt;&gt;$G$3),((1+(J915))^(H915/MIN(G915,365))),((1+(J915))^(1/12)))-$U915))</f>
        <v>78286694.822294652</v>
      </c>
      <c r="AC915" s="5"/>
      <c r="AD915" s="5"/>
      <c r="AE915" s="5"/>
      <c r="AF915" s="282">
        <f t="shared" ca="1" si="524"/>
        <v>38931</v>
      </c>
      <c r="AG915" s="282">
        <f t="shared" ca="1" si="525"/>
        <v>1920000</v>
      </c>
      <c r="AH915" s="282">
        <f t="shared" ca="1" si="526"/>
        <v>78286695</v>
      </c>
      <c r="AI915" s="23" t="str">
        <f t="shared" ca="1" si="543"/>
        <v>77-1</v>
      </c>
      <c r="AJ915" s="282">
        <f ca="1">IF(E915&gt;111,,IF(AND(OP!$C$99=1,T915="F"),Z915,IF(AND(OP!$C$99=2,COUNTIF($T$4:T915,"F")=1),OP!$C$97+IF(F915="F",OP!$C$98,0),"")))</f>
        <v>0</v>
      </c>
      <c r="AK915" s="282">
        <f ca="1">IF(E915&gt;111,,IF(AND(OP!$D$99=1,T915="F"),AA915,IF(AND(OP!$D$99=2,COUNTIF($T$4:T915,"F")=1),OP!$D$97+IF(F915="F",OP!$D$98,0),"")))</f>
        <v>0</v>
      </c>
      <c r="AL915" s="282">
        <f ca="1">IF(E915&gt;111,,IF(AND(OP!$E$99=1,T915="F"),AB915,IF(AND(OP!$E$99=2,COUNTIF($T$4:T915,"F")=1),OP!$E$97+IF(F915="F",OP!$E$98,0),"")))</f>
        <v>0</v>
      </c>
      <c r="AM915" s="1">
        <f t="shared" ca="1" si="516"/>
        <v>1</v>
      </c>
      <c r="AN915" s="1" t="e">
        <f ca="1">IF(OR(VLOOKUP($A915,MP,5,0)="月繳"),1,"")</f>
        <v>#N/A</v>
      </c>
      <c r="AO915" s="1">
        <f t="shared" ca="1" si="527"/>
        <v>0</v>
      </c>
      <c r="AP915" s="1" t="str">
        <f ca="1">IF(AND(A915&lt;=OP!$C$120,COUNTIF(PAY,C915)=1),1,"")</f>
        <v/>
      </c>
      <c r="AR915" s="301">
        <f ca="1">IF(繳費報酬率資料!$A$1=1,$AY915+$AZ915,$BF915+$BG915)</f>
        <v>0</v>
      </c>
      <c r="AS915" s="1">
        <f ca="1">IF(C915&lt;&gt;IF($C$3=1,12,$C$3-1),0,IF(繳費報酬率資料!$A$1&lt;&gt;1,VLOOKUP($A915,MP,8,0),IF(AND($A915&gt;=OP!$C$79,$A915&lt;=OP!$C$80),OP!$C$78,)))</f>
        <v>0</v>
      </c>
      <c r="AT915" s="298">
        <f t="shared" ca="1" si="528"/>
        <v>0</v>
      </c>
      <c r="AU915" s="298">
        <f ca="1">IF(AND(A915&lt;=OP!$C$120,COUNTIF(PAY,C915)=1),OP!$C$123,0)</f>
        <v>0</v>
      </c>
      <c r="AV915" s="298">
        <f ca="1">IF(AND(A915&gt;=OP!$C$132,A915&lt;=OP!$C$133,$C$3=C915),OP!$C$135,0)</f>
        <v>0</v>
      </c>
      <c r="AW915" s="180">
        <f t="shared" ca="1" si="529"/>
        <v>0.05</v>
      </c>
      <c r="AX915" s="180">
        <f t="shared" ca="1" si="530"/>
        <v>0.05</v>
      </c>
      <c r="AY915" s="286">
        <f t="shared" ca="1" si="531"/>
        <v>0</v>
      </c>
      <c r="AZ915" s="286">
        <f t="shared" ca="1" si="532"/>
        <v>0</v>
      </c>
      <c r="BA915" s="286">
        <f t="shared" ca="1" si="533"/>
        <v>0</v>
      </c>
      <c r="BB915" s="286">
        <f t="shared" ca="1" si="534"/>
        <v>0</v>
      </c>
      <c r="BC915" s="286">
        <f t="shared" ca="1" si="535"/>
        <v>0</v>
      </c>
      <c r="BD915" s="180">
        <f t="shared" ca="1" si="536"/>
        <v>0.05</v>
      </c>
      <c r="BE915" s="180">
        <f t="shared" ca="1" si="537"/>
        <v>0.05</v>
      </c>
      <c r="BF915" s="286">
        <f t="shared" ca="1" si="538"/>
        <v>0</v>
      </c>
      <c r="BG915" s="286">
        <f t="shared" ca="1" si="539"/>
        <v>0</v>
      </c>
    </row>
    <row r="916" spans="1:59">
      <c r="A916" s="1">
        <f t="shared" ca="1" si="519"/>
        <v>77</v>
      </c>
      <c r="B916" s="1">
        <f t="shared" ca="1" si="512"/>
        <v>182</v>
      </c>
      <c r="C916" s="1">
        <f t="shared" ca="1" si="513"/>
        <v>6</v>
      </c>
      <c r="D916" s="1">
        <f ca="1">MIN($D$3,VLOOKUP(C916,OP!$S$30:$T$41,2))</f>
        <v>2</v>
      </c>
      <c r="E916" s="1" t="str">
        <f t="shared" ca="1" si="514"/>
        <v/>
      </c>
      <c r="F916" s="11" t="str">
        <f t="shared" ca="1" si="520"/>
        <v/>
      </c>
      <c r="G916" s="6">
        <f ca="1">DATEDIF(DATE(B916+1911,C916,D916),DATE(B928+1911,C928,D928),"d")</f>
        <v>365</v>
      </c>
      <c r="H916" s="8">
        <f t="shared" ca="1" si="521"/>
        <v>30</v>
      </c>
      <c r="I916" s="8" t="str">
        <f t="shared" ca="1" si="518"/>
        <v>776</v>
      </c>
      <c r="J916" s="13">
        <f>IF(繳費報酬率資料!$A$1=1,VALUE(OP!$C$121),VLOOKUP(A916,MP,2,0))</f>
        <v>0.05</v>
      </c>
      <c r="K916" s="14">
        <f ca="1">IF(SUM($K$4:K915,IF(繳費報酬率資料!$A$1=1,$AU916+$AV916,$BB916+$BC916))&gt;OP!$L$58,0,IF(繳費報酬率資料!$A$1=1,$AU916+$AV916,$BB916+$BC916))</f>
        <v>0</v>
      </c>
      <c r="L916" s="2"/>
      <c r="M916" s="2"/>
      <c r="N916" s="2"/>
      <c r="O916" s="261">
        <f t="shared" ca="1" si="522"/>
        <v>0</v>
      </c>
      <c r="P916" s="261">
        <f t="shared" ca="1" si="540"/>
        <v>0</v>
      </c>
      <c r="Q916" s="3">
        <f ca="1">IF(A916&gt;MAX(OP!$R$17:$R$26),0,VLOOKUP(A916,fees,3,FALSE))</f>
        <v>0</v>
      </c>
      <c r="R916" s="200" t="str">
        <f t="shared" ca="1" si="523"/>
        <v/>
      </c>
      <c r="S916" s="9" t="str">
        <f ca="1">IF(COUNTIF(($T$4:T915),"F")&gt;=1,"",IF(OR(C917&lt;&gt;$C$3,E916=""),"",A916))</f>
        <v/>
      </c>
      <c r="T916" s="20" t="str">
        <f t="shared" ca="1" si="515"/>
        <v/>
      </c>
      <c r="U916" s="2">
        <f ca="1">IF(IF(OP!$C$83=1,$Z915,IF(OP!$C$83=2,$AA915,IF(OP!$C$83=3,$AB915,)))+$K916-$O916-$P916-$AS916&lt;OP!$C$142,0,$AS916)</f>
        <v>0</v>
      </c>
      <c r="V916" s="9"/>
      <c r="W916" s="19">
        <f ca="1">MAX(SUM($K$4:K916),0)</f>
        <v>2000000</v>
      </c>
      <c r="X916" s="19"/>
      <c r="Y916" s="19">
        <f t="shared" ca="1" si="541"/>
        <v>1920000</v>
      </c>
      <c r="Z916" s="2">
        <f ca="1">IF(MIN($Z$4:Z915)=0,0,MAX(0,($Z915+$K916-$O916-$P916)*IF(AND(F916="F",$D$3&lt;&gt;$G$3),((1+(-J916))^(H916/MIN(G916,365))),((1+(-J916))^(1/12)))-$U916))</f>
        <v>38764.917535230532</v>
      </c>
      <c r="AA916" s="2">
        <f ca="1">IF(MIN($AA$4:AA915)=0,0,MAX(0,($AA915+$K916-$O916-$P916)*IF(AND(F916="F",$D$3&lt;&gt;$G$3),((1+$AA$1)^(H916/MIN(G916,365))),((1+$AA$1)^(1/12)))-$U916))</f>
        <v>1920000</v>
      </c>
      <c r="AB916" s="2">
        <f ca="1">IF(MIN($AB$4:AB915)=0,0,MAX(0,($AB915+$K916-$O916-$P916)*IF(AND(F916="F",$D$3&lt;&gt;$G$3),((1+(J916))^(H916/MIN(G916,365))),((1+(J916))^(1/12)))-$U916))</f>
        <v>78605644.507613391</v>
      </c>
      <c r="AC916" s="21"/>
      <c r="AD916" s="21"/>
      <c r="AE916" s="21"/>
      <c r="AF916" s="282">
        <f t="shared" ca="1" si="524"/>
        <v>38765</v>
      </c>
      <c r="AG916" s="282">
        <f t="shared" ca="1" si="525"/>
        <v>1920000</v>
      </c>
      <c r="AH916" s="282">
        <f t="shared" ca="1" si="526"/>
        <v>78605645</v>
      </c>
      <c r="AI916" s="23" t="str">
        <f t="shared" ca="1" si="543"/>
        <v>77-2</v>
      </c>
      <c r="AJ916" s="281">
        <f ca="1">IF(E916&gt;111,,IF(AND(OP!$C$99=1,T916="F"),Z916,IF(AND(OP!$C$99=2,COUNTIF($T$4:T916,"F")=1),OP!$C$97+IF(F916="F",OP!$C$98,0),"")))</f>
        <v>0</v>
      </c>
      <c r="AK916" s="281">
        <f ca="1">IF(E916&gt;111,,IF(AND(OP!$D$99=1,T916="F"),AA916,IF(AND(OP!$D$99=2,COUNTIF($T$4:T916,"F")=1),OP!$D$97+IF(F916="F",OP!$D$98,0),"")))</f>
        <v>0</v>
      </c>
      <c r="AL916" s="281">
        <f ca="1">IF(E916&gt;111,,IF(AND(OP!$E$99=1,T916="F"),AB916,IF(AND(OP!$E$99=2,COUNTIF($T$4:T916,"F")=1),OP!$E$97+IF(F916="F",OP!$E$98,0),"")))</f>
        <v>0</v>
      </c>
      <c r="AM916" s="1">
        <f t="shared" ca="1" si="516"/>
        <v>2</v>
      </c>
      <c r="AN916" s="1" t="e">
        <f ca="1">IF(OR(VLOOKUP($A916,MP,5,0)="年繳",VLOOKUP($A916,MP,5,0)="半年繳",VLOOKUP($A916,MP,5,0)="季繳",VLOOKUP($A916,MP,5,0)="月繳"),1,"")</f>
        <v>#N/A</v>
      </c>
      <c r="AO916" s="1">
        <f t="shared" ca="1" si="527"/>
        <v>0</v>
      </c>
      <c r="AP916" s="1" t="str">
        <f ca="1">IF(AND(A916&lt;=OP!$C$120,COUNTIF(PAY,C916)=1),1,"")</f>
        <v/>
      </c>
      <c r="AR916" s="301">
        <f ca="1">IF(繳費報酬率資料!$A$1=1,$AY916+$AZ916,$BF916+$BG916)</f>
        <v>0</v>
      </c>
      <c r="AS916" s="1">
        <f ca="1">IF(C916&lt;&gt;IF($C$3=1,12,$C$3-1),0,IF(繳費報酬率資料!$A$1&lt;&gt;1,VLOOKUP($A916,MP,8,0),IF(AND($A916&gt;=OP!$C$79,$A916&lt;=OP!$C$80),OP!$C$78,)))</f>
        <v>0</v>
      </c>
      <c r="AT916" s="298">
        <f t="shared" ca="1" si="528"/>
        <v>0</v>
      </c>
      <c r="AU916" s="298">
        <f ca="1">IF(AND(A916&lt;=OP!$C$120,COUNTIF(PAY,C916)=1),OP!$C$123,0)</f>
        <v>0</v>
      </c>
      <c r="AV916" s="298">
        <f ca="1">IF(AND(A916&gt;=OP!$C$132,A916&lt;=OP!$C$133,$C$3=C916),OP!$C$135,0)</f>
        <v>0</v>
      </c>
      <c r="AW916" s="180">
        <f t="shared" ca="1" si="529"/>
        <v>0.05</v>
      </c>
      <c r="AX916" s="180">
        <f t="shared" ca="1" si="530"/>
        <v>0.05</v>
      </c>
      <c r="AY916" s="286">
        <f t="shared" ca="1" si="531"/>
        <v>0</v>
      </c>
      <c r="AZ916" s="286">
        <f t="shared" ca="1" si="532"/>
        <v>0</v>
      </c>
      <c r="BA916" s="286">
        <f t="shared" ca="1" si="533"/>
        <v>0</v>
      </c>
      <c r="BB916" s="286">
        <f t="shared" ca="1" si="534"/>
        <v>0</v>
      </c>
      <c r="BC916" s="286">
        <f t="shared" ca="1" si="535"/>
        <v>0</v>
      </c>
      <c r="BD916" s="180">
        <f t="shared" ca="1" si="536"/>
        <v>0.05</v>
      </c>
      <c r="BE916" s="180">
        <f t="shared" ca="1" si="537"/>
        <v>0.05</v>
      </c>
      <c r="BF916" s="286">
        <f t="shared" ca="1" si="538"/>
        <v>0</v>
      </c>
      <c r="BG916" s="286">
        <f t="shared" ca="1" si="539"/>
        <v>0</v>
      </c>
    </row>
    <row r="917" spans="1:59">
      <c r="A917" s="1">
        <f t="shared" ca="1" si="519"/>
        <v>77</v>
      </c>
      <c r="B917" s="1">
        <f t="shared" ca="1" si="512"/>
        <v>182</v>
      </c>
      <c r="C917" s="1">
        <f t="shared" ca="1" si="513"/>
        <v>7</v>
      </c>
      <c r="D917" s="1">
        <f ca="1">MIN($D$3,VLOOKUP(C917,OP!$S$30:$T$41,2))</f>
        <v>2</v>
      </c>
      <c r="E917" s="1" t="str">
        <f t="shared" ca="1" si="514"/>
        <v/>
      </c>
      <c r="F917" s="11" t="str">
        <f t="shared" ca="1" si="520"/>
        <v/>
      </c>
      <c r="G917" s="8">
        <f t="shared" ref="G917:G927" ca="1" si="544">G916</f>
        <v>365</v>
      </c>
      <c r="H917" s="8">
        <f t="shared" ca="1" si="521"/>
        <v>31</v>
      </c>
      <c r="I917" s="8" t="str">
        <f t="shared" ca="1" si="518"/>
        <v>777</v>
      </c>
      <c r="J917" s="13">
        <f>IF(繳費報酬率資料!$A$1=1,VALUE(OP!$C$121),VLOOKUP(A917,MP,2,0))</f>
        <v>0.05</v>
      </c>
      <c r="K917" s="14">
        <f ca="1">IF(SUM($K$4:K916,IF(繳費報酬率資料!$A$1=1,$AU917+$AV917,$BB917+$BC917))&gt;OP!$L$58,0,IF(繳費報酬率資料!$A$1=1,$AU917+$AV917,$BB917+$BC917))</f>
        <v>0</v>
      </c>
      <c r="L917" s="2"/>
      <c r="M917" s="2"/>
      <c r="N917" s="2"/>
      <c r="O917" s="261">
        <f t="shared" ca="1" si="522"/>
        <v>0</v>
      </c>
      <c r="P917" s="261">
        <f t="shared" ca="1" si="540"/>
        <v>0</v>
      </c>
      <c r="Q917" s="3">
        <f ca="1">IF(A917&gt;MAX(OP!$R$17:$R$26),0,VLOOKUP(A917,fees,3,FALSE))</f>
        <v>0</v>
      </c>
      <c r="R917" s="200" t="str">
        <f t="shared" ca="1" si="523"/>
        <v/>
      </c>
      <c r="S917" s="9" t="str">
        <f ca="1">IF(COUNTIF(($T$4:T916),"F")&gt;=1,"",IF(OR(C918&lt;&gt;$C$3,E917=""),"",A917))</f>
        <v/>
      </c>
      <c r="T917" s="20" t="str">
        <f t="shared" ca="1" si="515"/>
        <v/>
      </c>
      <c r="U917" s="2">
        <f ca="1">IF(IF(OP!$C$83=1,$Z916,IF(OP!$C$83=2,$AA916,IF(OP!$C$83=3,$AB916,)))+$K917-$O917-$P917-$AS917&lt;OP!$C$142,0,$AS917)</f>
        <v>0</v>
      </c>
      <c r="V917" s="9"/>
      <c r="W917" s="19">
        <f ca="1">MAX(SUM($K$4:K917),0)</f>
        <v>2000000</v>
      </c>
      <c r="X917" s="19"/>
      <c r="Y917" s="19">
        <f t="shared" ca="1" si="541"/>
        <v>1920000</v>
      </c>
      <c r="Z917" s="2">
        <f ca="1">IF(MIN($Z$4:Z916)=0,0,MAX(0,($Z916+$K917-$O917-$P917)*IF(AND(F917="F",$D$3&lt;&gt;$G$3),((1+(-J917))^(H917/MIN(G917,365))),((1+(-J917))^(1/12)))-$U917))</f>
        <v>38599.572804556927</v>
      </c>
      <c r="AA917" s="2">
        <f ca="1">IF(MIN($AA$4:AA916)=0,0,MAX(0,($AA916+$K917-$O917-$P917)*IF(AND(F917="F",$D$3&lt;&gt;$G$3),((1+$AA$1)^(H917/MIN(G917,365))),((1+$AA$1)^(1/12)))-$U917))</f>
        <v>1920000</v>
      </c>
      <c r="AB917" s="2">
        <f ca="1">IF(MIN($AB$4:AB916)=0,0,MAX(0,($AB916+$K917-$O917-$P917)*IF(AND(F917="F",$D$3&lt;&gt;$G$3),((1+(J917))^(H917/MIN(G917,365))),((1+(J917))^(1/12)))-$U917))</f>
        <v>78925893.633430868</v>
      </c>
      <c r="AC917" s="5"/>
      <c r="AD917" s="5"/>
      <c r="AE917" s="5"/>
      <c r="AF917" s="282">
        <f t="shared" ca="1" si="524"/>
        <v>38600</v>
      </c>
      <c r="AG917" s="282">
        <f t="shared" ca="1" si="525"/>
        <v>1920000</v>
      </c>
      <c r="AH917" s="282">
        <f t="shared" ca="1" si="526"/>
        <v>78925894</v>
      </c>
      <c r="AI917" s="23" t="str">
        <f t="shared" ca="1" si="543"/>
        <v>77-3</v>
      </c>
      <c r="AJ917" s="282">
        <f ca="1">IF(E917&gt;111,,IF(AND(OP!$C$99=1,T917="F"),Z917,IF(AND(OP!$C$99=2,COUNTIF($T$4:T917,"F")=1),OP!$C$97+IF(F917="F",OP!$C$98,0),"")))</f>
        <v>0</v>
      </c>
      <c r="AK917" s="282">
        <f ca="1">IF(E917&gt;111,,IF(AND(OP!$D$99=1,T917="F"),AA917,IF(AND(OP!$D$99=2,COUNTIF($T$4:T917,"F")=1),OP!$D$97+IF(F917="F",OP!$D$98,0),"")))</f>
        <v>0</v>
      </c>
      <c r="AL917" s="282">
        <f ca="1">IF(E917&gt;111,,IF(AND(OP!$E$99=1,T917="F"),AB917,IF(AND(OP!$E$99=2,COUNTIF($T$4:T917,"F")=1),OP!$E$97+IF(F917="F",OP!$E$98,0),"")))</f>
        <v>0</v>
      </c>
      <c r="AM917" s="1">
        <f t="shared" ca="1" si="516"/>
        <v>3</v>
      </c>
      <c r="AN917" s="1" t="e">
        <f ca="1">IF(OR(VLOOKUP($A917,MP,5,0)="月繳"),1,"")</f>
        <v>#N/A</v>
      </c>
      <c r="AO917" s="1">
        <f t="shared" ca="1" si="527"/>
        <v>0</v>
      </c>
      <c r="AP917" s="1" t="str">
        <f ca="1">IF(AND(A917&lt;=OP!$C$120,COUNTIF(PAY,C917)=1),1,"")</f>
        <v/>
      </c>
      <c r="AR917" s="301">
        <f ca="1">IF(繳費報酬率資料!$A$1=1,$AY917+$AZ917,$BF917+$BG917)</f>
        <v>0</v>
      </c>
      <c r="AS917" s="1">
        <f ca="1">IF(C917&lt;&gt;IF($C$3=1,12,$C$3-1),0,IF(繳費報酬率資料!$A$1&lt;&gt;1,VLOOKUP($A917,MP,8,0),IF(AND($A917&gt;=OP!$C$79,$A917&lt;=OP!$C$80),OP!$C$78,)))</f>
        <v>0</v>
      </c>
      <c r="AT917" s="298">
        <f t="shared" ca="1" si="528"/>
        <v>0</v>
      </c>
      <c r="AU917" s="298">
        <f ca="1">IF(AND(A917&lt;=OP!$C$120,COUNTIF(PAY,C917)=1),OP!$C$123,0)</f>
        <v>0</v>
      </c>
      <c r="AV917" s="298">
        <f ca="1">IF(AND(A917&gt;=OP!$C$132,A917&lt;=OP!$C$133,$C$3=C917),OP!$C$135,0)</f>
        <v>0</v>
      </c>
      <c r="AW917" s="180">
        <f t="shared" ca="1" si="529"/>
        <v>0.05</v>
      </c>
      <c r="AX917" s="180">
        <f t="shared" ca="1" si="530"/>
        <v>0.05</v>
      </c>
      <c r="AY917" s="286">
        <f t="shared" ca="1" si="531"/>
        <v>0</v>
      </c>
      <c r="AZ917" s="286">
        <f t="shared" ca="1" si="532"/>
        <v>0</v>
      </c>
      <c r="BA917" s="286">
        <f t="shared" ca="1" si="533"/>
        <v>0</v>
      </c>
      <c r="BB917" s="286">
        <f t="shared" ca="1" si="534"/>
        <v>0</v>
      </c>
      <c r="BC917" s="286">
        <f t="shared" ca="1" si="535"/>
        <v>0</v>
      </c>
      <c r="BD917" s="180">
        <f t="shared" ca="1" si="536"/>
        <v>0.05</v>
      </c>
      <c r="BE917" s="180">
        <f t="shared" ca="1" si="537"/>
        <v>0.05</v>
      </c>
      <c r="BF917" s="286">
        <f t="shared" ca="1" si="538"/>
        <v>0</v>
      </c>
      <c r="BG917" s="286">
        <f t="shared" ca="1" si="539"/>
        <v>0</v>
      </c>
    </row>
    <row r="918" spans="1:59">
      <c r="A918" s="1">
        <f t="shared" ca="1" si="519"/>
        <v>77</v>
      </c>
      <c r="B918" s="1">
        <f t="shared" ca="1" si="512"/>
        <v>182</v>
      </c>
      <c r="C918" s="1">
        <f t="shared" ca="1" si="513"/>
        <v>8</v>
      </c>
      <c r="D918" s="1">
        <f ca="1">MIN($D$3,VLOOKUP(C918,OP!$S$30:$T$41,2))</f>
        <v>2</v>
      </c>
      <c r="E918" s="1" t="str">
        <f t="shared" ca="1" si="514"/>
        <v/>
      </c>
      <c r="F918" s="11" t="str">
        <f t="shared" ca="1" si="520"/>
        <v/>
      </c>
      <c r="G918" s="8">
        <f t="shared" ca="1" si="544"/>
        <v>365</v>
      </c>
      <c r="H918" s="8">
        <f t="shared" ca="1" si="521"/>
        <v>31</v>
      </c>
      <c r="I918" s="8" t="str">
        <f t="shared" ca="1" si="518"/>
        <v>778</v>
      </c>
      <c r="J918" s="13">
        <f>IF(繳費報酬率資料!$A$1=1,VALUE(OP!$C$121),VLOOKUP(A918,MP,2,0))</f>
        <v>0.05</v>
      </c>
      <c r="K918" s="14">
        <f ca="1">IF(SUM($K$4:K917,IF(繳費報酬率資料!$A$1=1,$AU918+$AV918,$BB918+$BC918))&gt;OP!$L$58,0,IF(繳費報酬率資料!$A$1=1,$AU918+$AV918,$BB918+$BC918))</f>
        <v>0</v>
      </c>
      <c r="L918" s="2"/>
      <c r="M918" s="2"/>
      <c r="N918" s="2"/>
      <c r="O918" s="261">
        <f t="shared" ca="1" si="522"/>
        <v>0</v>
      </c>
      <c r="P918" s="261">
        <f t="shared" ca="1" si="540"/>
        <v>0</v>
      </c>
      <c r="Q918" s="3">
        <f ca="1">IF(A918&gt;MAX(OP!$R$17:$R$26),0,VLOOKUP(A918,fees,3,FALSE))</f>
        <v>0</v>
      </c>
      <c r="R918" s="200" t="str">
        <f t="shared" ca="1" si="523"/>
        <v/>
      </c>
      <c r="S918" s="9" t="str">
        <f ca="1">IF(COUNTIF(($T$4:T917),"F")&gt;=1,"",IF(OR(C919&lt;&gt;$C$3,E918=""),"",A918))</f>
        <v/>
      </c>
      <c r="T918" s="20" t="str">
        <f t="shared" ca="1" si="515"/>
        <v/>
      </c>
      <c r="U918" s="2">
        <f ca="1">IF(IF(OP!$C$83=1,$Z917,IF(OP!$C$83=2,$AA917,IF(OP!$C$83=3,$AB917,)))+$K918-$O918-$P918-$AS918&lt;OP!$C$142,0,$AS918)</f>
        <v>0</v>
      </c>
      <c r="V918" s="9"/>
      <c r="W918" s="19">
        <f ca="1">MAX(SUM($K$4:K918),0)</f>
        <v>2000000</v>
      </c>
      <c r="X918" s="19"/>
      <c r="Y918" s="19">
        <f t="shared" ca="1" si="541"/>
        <v>1920000</v>
      </c>
      <c r="Z918" s="2">
        <f ca="1">IF(MIN($Z$4:Z917)=0,0,MAX(0,($Z917+$K918-$O918-$P918)*IF(AND(F918="F",$D$3&lt;&gt;$G$3),((1+(-J918))^(H918/MIN(G918,365))),((1+(-J918))^(1/12)))-$U918))</f>
        <v>38434.933321867829</v>
      </c>
      <c r="AA918" s="2">
        <f ca="1">IF(MIN($AA$4:AA917)=0,0,MAX(0,($AA917+$K918-$O918-$P918)*IF(AND(F918="F",$D$3&lt;&gt;$G$3),((1+$AA$1)^(H918/MIN(G918,365))),((1+$AA$1)^(1/12)))-$U918))</f>
        <v>1920000</v>
      </c>
      <c r="AB918" s="2">
        <f ca="1">IF(MIN($AB$4:AB917)=0,0,MAX(0,($AB917+$K918-$O918-$P918)*IF(AND(F918="F",$D$3&lt;&gt;$G$3),((1+(J918))^(H918/MIN(G918,365))),((1+(J918))^(1/12)))-$U918))</f>
        <v>79247447.493828535</v>
      </c>
      <c r="AC918" s="5"/>
      <c r="AD918" s="5"/>
      <c r="AE918" s="5"/>
      <c r="AF918" s="282">
        <f t="shared" ca="1" si="524"/>
        <v>38435</v>
      </c>
      <c r="AG918" s="282">
        <f t="shared" ca="1" si="525"/>
        <v>1920000</v>
      </c>
      <c r="AH918" s="282">
        <f t="shared" ca="1" si="526"/>
        <v>79247447</v>
      </c>
      <c r="AI918" s="23" t="str">
        <f t="shared" ca="1" si="543"/>
        <v>77-4</v>
      </c>
      <c r="AJ918" s="282">
        <f ca="1">IF(E918&gt;111,,IF(AND(OP!$C$99=1,T918="F"),Z918,IF(AND(OP!$C$99=2,COUNTIF($T$4:T918,"F")=1),OP!$C$97+IF(F918="F",OP!$C$98,0),"")))</f>
        <v>0</v>
      </c>
      <c r="AK918" s="282">
        <f ca="1">IF(E918&gt;111,,IF(AND(OP!$D$99=1,T918="F"),AA918,IF(AND(OP!$D$99=2,COUNTIF($T$4:T918,"F")=1),OP!$D$97+IF(F918="F",OP!$D$98,0),"")))</f>
        <v>0</v>
      </c>
      <c r="AL918" s="282">
        <f ca="1">IF(E918&gt;111,,IF(AND(OP!$E$99=1,T918="F"),AB918,IF(AND(OP!$E$99=2,COUNTIF($T$4:T918,"F")=1),OP!$E$97+IF(F918="F",OP!$E$98,0),"")))</f>
        <v>0</v>
      </c>
      <c r="AM918" s="1">
        <f t="shared" ca="1" si="516"/>
        <v>4</v>
      </c>
      <c r="AN918" s="1" t="e">
        <f ca="1">IF(OR(VLOOKUP($A918,MP,5,0)="月繳"),1,"")</f>
        <v>#N/A</v>
      </c>
      <c r="AO918" s="1">
        <f t="shared" ca="1" si="527"/>
        <v>0</v>
      </c>
      <c r="AP918" s="1" t="str">
        <f ca="1">IF(AND(A918&lt;=OP!$C$120,COUNTIF(PAY,C918)=1),1,"")</f>
        <v/>
      </c>
      <c r="AR918" s="301">
        <f ca="1">IF(繳費報酬率資料!$A$1=1,$AY918+$AZ918,$BF918+$BG918)</f>
        <v>0</v>
      </c>
      <c r="AS918" s="1">
        <f ca="1">IF(C918&lt;&gt;IF($C$3=1,12,$C$3-1),0,IF(繳費報酬率資料!$A$1&lt;&gt;1,VLOOKUP($A918,MP,8,0),IF(AND($A918&gt;=OP!$C$79,$A918&lt;=OP!$C$80),OP!$C$78,)))</f>
        <v>0</v>
      </c>
      <c r="AT918" s="298">
        <f t="shared" ca="1" si="528"/>
        <v>0</v>
      </c>
      <c r="AU918" s="298">
        <f ca="1">IF(AND(A918&lt;=OP!$C$120,COUNTIF(PAY,C918)=1),OP!$C$123,0)</f>
        <v>0</v>
      </c>
      <c r="AV918" s="298">
        <f ca="1">IF(AND(A918&gt;=OP!$C$132,A918&lt;=OP!$C$133,$C$3=C918),OP!$C$135,0)</f>
        <v>0</v>
      </c>
      <c r="AW918" s="180">
        <f t="shared" ca="1" si="529"/>
        <v>0.05</v>
      </c>
      <c r="AX918" s="180">
        <f t="shared" ca="1" si="530"/>
        <v>0.05</v>
      </c>
      <c r="AY918" s="286">
        <f t="shared" ca="1" si="531"/>
        <v>0</v>
      </c>
      <c r="AZ918" s="286">
        <f t="shared" ca="1" si="532"/>
        <v>0</v>
      </c>
      <c r="BA918" s="286">
        <f t="shared" ca="1" si="533"/>
        <v>0</v>
      </c>
      <c r="BB918" s="286">
        <f t="shared" ca="1" si="534"/>
        <v>0</v>
      </c>
      <c r="BC918" s="286">
        <f t="shared" ca="1" si="535"/>
        <v>0</v>
      </c>
      <c r="BD918" s="180">
        <f t="shared" ca="1" si="536"/>
        <v>0.05</v>
      </c>
      <c r="BE918" s="180">
        <f t="shared" ca="1" si="537"/>
        <v>0.05</v>
      </c>
      <c r="BF918" s="286">
        <f t="shared" ca="1" si="538"/>
        <v>0</v>
      </c>
      <c r="BG918" s="286">
        <f t="shared" ca="1" si="539"/>
        <v>0</v>
      </c>
    </row>
    <row r="919" spans="1:59">
      <c r="A919" s="1">
        <f t="shared" ca="1" si="519"/>
        <v>77</v>
      </c>
      <c r="B919" s="1">
        <f t="shared" ca="1" si="512"/>
        <v>182</v>
      </c>
      <c r="C919" s="1">
        <f t="shared" ca="1" si="513"/>
        <v>9</v>
      </c>
      <c r="D919" s="1">
        <f ca="1">MIN($D$3,VLOOKUP(C919,OP!$S$30:$T$41,2))</f>
        <v>2</v>
      </c>
      <c r="E919" s="1" t="str">
        <f t="shared" ca="1" si="514"/>
        <v/>
      </c>
      <c r="F919" s="11" t="str">
        <f t="shared" ca="1" si="520"/>
        <v/>
      </c>
      <c r="G919" s="8">
        <f t="shared" ca="1" si="544"/>
        <v>365</v>
      </c>
      <c r="H919" s="8">
        <f t="shared" ca="1" si="521"/>
        <v>30</v>
      </c>
      <c r="I919" s="8" t="str">
        <f t="shared" ca="1" si="518"/>
        <v>779</v>
      </c>
      <c r="J919" s="13">
        <f>IF(繳費報酬率資料!$A$1=1,VALUE(OP!$C$121),VLOOKUP(A919,MP,2,0))</f>
        <v>0.05</v>
      </c>
      <c r="K919" s="14">
        <f ca="1">IF(SUM($K$4:K918,IF(繳費報酬率資料!$A$1=1,$AU919+$AV919,$BB919+$BC919))&gt;OP!$L$58,0,IF(繳費報酬率資料!$A$1=1,$AU919+$AV919,$BB919+$BC919))</f>
        <v>0</v>
      </c>
      <c r="L919" s="2"/>
      <c r="M919" s="2"/>
      <c r="N919" s="2"/>
      <c r="O919" s="261">
        <f t="shared" ca="1" si="522"/>
        <v>0</v>
      </c>
      <c r="P919" s="261">
        <f t="shared" ca="1" si="540"/>
        <v>0</v>
      </c>
      <c r="Q919" s="3">
        <f ca="1">IF(A919&gt;MAX(OP!$R$17:$R$26),0,VLOOKUP(A919,fees,3,FALSE))</f>
        <v>0</v>
      </c>
      <c r="R919" s="200" t="str">
        <f t="shared" ca="1" si="523"/>
        <v/>
      </c>
      <c r="S919" s="9" t="str">
        <f ca="1">IF(COUNTIF(($T$4:T918),"F")&gt;=1,"",IF(OR(C920&lt;&gt;$C$3,E919=""),"",A919))</f>
        <v/>
      </c>
      <c r="T919" s="20" t="str">
        <f t="shared" ca="1" si="515"/>
        <v/>
      </c>
      <c r="U919" s="2">
        <f ca="1">IF(IF(OP!$C$83=1,$Z918,IF(OP!$C$83=2,$AA918,IF(OP!$C$83=3,$AB918,)))+$K919-$O919-$P919-$AS919&lt;OP!$C$142,0,$AS919)</f>
        <v>0</v>
      </c>
      <c r="V919" s="9"/>
      <c r="W919" s="19">
        <f ca="1">MAX(SUM($K$4:K919),0)</f>
        <v>2000000</v>
      </c>
      <c r="X919" s="19"/>
      <c r="Y919" s="19">
        <f t="shared" ca="1" si="541"/>
        <v>1920000</v>
      </c>
      <c r="Z919" s="2">
        <f ca="1">IF(MIN($Z$4:Z918)=0,0,MAX(0,($Z918+$K919-$O919-$P919)*IF(AND(F919="F",$D$3&lt;&gt;$G$3),((1+(-J919))^(H919/MIN(G919,365))),((1+(-J919))^(1/12)))-$U919))</f>
        <v>38270.996079055774</v>
      </c>
      <c r="AA919" s="2">
        <f ca="1">IF(MIN($AA$4:AA918)=0,0,MAX(0,($AA918+$K919-$O919-$P919)*IF(AND(F919="F",$D$3&lt;&gt;$G$3),((1+$AA$1)^(H919/MIN(G919,365))),((1+$AA$1)^(1/12)))-$U919))</f>
        <v>1920000</v>
      </c>
      <c r="AB919" s="2">
        <f ca="1">IF(MIN($AB$4:AB918)=0,0,MAX(0,($AB918+$K919-$O919-$P919)*IF(AND(F919="F",$D$3&lt;&gt;$G$3),((1+(J919))^(H919/MIN(G919,365))),((1+(J919))^(1/12)))-$U919))</f>
        <v>79570311.404456571</v>
      </c>
      <c r="AC919" s="5"/>
      <c r="AD919" s="5"/>
      <c r="AE919" s="5"/>
      <c r="AF919" s="282">
        <f t="shared" ca="1" si="524"/>
        <v>38271</v>
      </c>
      <c r="AG919" s="282">
        <f t="shared" ca="1" si="525"/>
        <v>1920000</v>
      </c>
      <c r="AH919" s="282">
        <f t="shared" ca="1" si="526"/>
        <v>79570311</v>
      </c>
      <c r="AI919" s="23" t="str">
        <f t="shared" ca="1" si="543"/>
        <v>77-5</v>
      </c>
      <c r="AJ919" s="282">
        <f ca="1">IF(E919&gt;111,,IF(AND(OP!$C$99=1,T919="F"),Z919,IF(AND(OP!$C$99=2,COUNTIF($T$4:T919,"F")=1),OP!$C$97+IF(F919="F",OP!$C$98,0),"")))</f>
        <v>0</v>
      </c>
      <c r="AK919" s="282">
        <f ca="1">IF(E919&gt;111,,IF(AND(OP!$D$99=1,T919="F"),AA919,IF(AND(OP!$D$99=2,COUNTIF($T$4:T919,"F")=1),OP!$D$97+IF(F919="F",OP!$D$98,0),"")))</f>
        <v>0</v>
      </c>
      <c r="AL919" s="282">
        <f ca="1">IF(E919&gt;111,,IF(AND(OP!$E$99=1,T919="F"),AB919,IF(AND(OP!$E$99=2,COUNTIF($T$4:T919,"F")=1),OP!$E$97+IF(F919="F",OP!$E$98,0),"")))</f>
        <v>0</v>
      </c>
      <c r="AM919" s="1">
        <f t="shared" ca="1" si="516"/>
        <v>5</v>
      </c>
      <c r="AN919" s="1" t="e">
        <f ca="1">IF(OR(VLOOKUP($A919,MP,5,0)="季繳",VLOOKUP($A919,MP,5,0)="月繳"),1,"")</f>
        <v>#N/A</v>
      </c>
      <c r="AO919" s="1">
        <f t="shared" ca="1" si="527"/>
        <v>0</v>
      </c>
      <c r="AP919" s="1" t="str">
        <f ca="1">IF(AND(A919&lt;=OP!$C$120,COUNTIF(PAY,C919)=1),1,"")</f>
        <v/>
      </c>
      <c r="AR919" s="301">
        <f ca="1">IF(繳費報酬率資料!$A$1=1,$AY919+$AZ919,$BF919+$BG919)</f>
        <v>0</v>
      </c>
      <c r="AS919" s="1">
        <f ca="1">IF(C919&lt;&gt;IF($C$3=1,12,$C$3-1),0,IF(繳費報酬率資料!$A$1&lt;&gt;1,VLOOKUP($A919,MP,8,0),IF(AND($A919&gt;=OP!$C$79,$A919&lt;=OP!$C$80),OP!$C$78,)))</f>
        <v>0</v>
      </c>
      <c r="AT919" s="298">
        <f t="shared" ca="1" si="528"/>
        <v>0</v>
      </c>
      <c r="AU919" s="298">
        <f ca="1">IF(AND(A919&lt;=OP!$C$120,COUNTIF(PAY,C919)=1),OP!$C$123,0)</f>
        <v>0</v>
      </c>
      <c r="AV919" s="298">
        <f ca="1">IF(AND(A919&gt;=OP!$C$132,A919&lt;=OP!$C$133,$C$3=C919),OP!$C$135,0)</f>
        <v>0</v>
      </c>
      <c r="AW919" s="180">
        <f t="shared" ca="1" si="529"/>
        <v>0.05</v>
      </c>
      <c r="AX919" s="180">
        <f t="shared" ca="1" si="530"/>
        <v>0.05</v>
      </c>
      <c r="AY919" s="286">
        <f t="shared" ca="1" si="531"/>
        <v>0</v>
      </c>
      <c r="AZ919" s="286">
        <f t="shared" ca="1" si="532"/>
        <v>0</v>
      </c>
      <c r="BA919" s="286">
        <f t="shared" ca="1" si="533"/>
        <v>0</v>
      </c>
      <c r="BB919" s="286">
        <f t="shared" ca="1" si="534"/>
        <v>0</v>
      </c>
      <c r="BC919" s="286">
        <f t="shared" ca="1" si="535"/>
        <v>0</v>
      </c>
      <c r="BD919" s="180">
        <f t="shared" ca="1" si="536"/>
        <v>0.05</v>
      </c>
      <c r="BE919" s="180">
        <f t="shared" ca="1" si="537"/>
        <v>0.05</v>
      </c>
      <c r="BF919" s="286">
        <f t="shared" ca="1" si="538"/>
        <v>0</v>
      </c>
      <c r="BG919" s="286">
        <f t="shared" ca="1" si="539"/>
        <v>0</v>
      </c>
    </row>
    <row r="920" spans="1:59">
      <c r="A920" s="1">
        <f t="shared" ca="1" si="519"/>
        <v>77</v>
      </c>
      <c r="B920" s="1">
        <f t="shared" ca="1" si="512"/>
        <v>182</v>
      </c>
      <c r="C920" s="1">
        <f t="shared" ca="1" si="513"/>
        <v>10</v>
      </c>
      <c r="D920" s="1">
        <f ca="1">MIN($D$3,VLOOKUP(C920,OP!$S$30:$T$41,2))</f>
        <v>2</v>
      </c>
      <c r="E920" s="1" t="str">
        <f t="shared" ca="1" si="514"/>
        <v/>
      </c>
      <c r="F920" s="11" t="str">
        <f t="shared" ca="1" si="520"/>
        <v/>
      </c>
      <c r="G920" s="8">
        <f t="shared" ca="1" si="544"/>
        <v>365</v>
      </c>
      <c r="H920" s="8">
        <f t="shared" ca="1" si="521"/>
        <v>31</v>
      </c>
      <c r="I920" s="8" t="str">
        <f t="shared" ca="1" si="518"/>
        <v>7710</v>
      </c>
      <c r="J920" s="13">
        <f>IF(繳費報酬率資料!$A$1=1,VALUE(OP!$C$121),VLOOKUP(A920,MP,2,0))</f>
        <v>0.05</v>
      </c>
      <c r="K920" s="14">
        <f ca="1">IF(SUM($K$4:K919,IF(繳費報酬率資料!$A$1=1,$AU920+$AV920,$BB920+$BC920))&gt;OP!$L$58,0,IF(繳費報酬率資料!$A$1=1,$AU920+$AV920,$BB920+$BC920))</f>
        <v>0</v>
      </c>
      <c r="L920" s="2"/>
      <c r="M920" s="2"/>
      <c r="N920" s="2"/>
      <c r="O920" s="261">
        <f t="shared" ca="1" si="522"/>
        <v>0</v>
      </c>
      <c r="P920" s="261">
        <f t="shared" ca="1" si="540"/>
        <v>0</v>
      </c>
      <c r="Q920" s="3">
        <f ca="1">IF(A920&gt;MAX(OP!$R$17:$R$26),0,VLOOKUP(A920,fees,3,FALSE))</f>
        <v>0</v>
      </c>
      <c r="R920" s="200" t="str">
        <f t="shared" ca="1" si="523"/>
        <v/>
      </c>
      <c r="S920" s="9" t="str">
        <f ca="1">IF(COUNTIF(($T$4:T919),"F")&gt;=1,"",IF(OR(C921&lt;&gt;$C$3,E920=""),"",A920))</f>
        <v/>
      </c>
      <c r="T920" s="20" t="str">
        <f t="shared" ca="1" si="515"/>
        <v/>
      </c>
      <c r="U920" s="2">
        <f ca="1">IF(IF(OP!$C$83=1,$Z919,IF(OP!$C$83=2,$AA919,IF(OP!$C$83=3,$AB919,)))+$K920-$O920-$P920-$AS920&lt;OP!$C$142,0,$AS920)</f>
        <v>0</v>
      </c>
      <c r="V920" s="9"/>
      <c r="W920" s="19">
        <f ca="1">MAX(SUM($K$4:K920),0)</f>
        <v>2000000</v>
      </c>
      <c r="X920" s="19"/>
      <c r="Y920" s="19">
        <f t="shared" ca="1" si="541"/>
        <v>1920000</v>
      </c>
      <c r="Z920" s="2">
        <f ca="1">IF(MIN($Z$4:Z919)=0,0,MAX(0,($Z919+$K920-$O920-$P920)*IF(AND(F920="F",$D$3&lt;&gt;$G$3),((1+(-J920))^(H920/MIN(G920,365))),((1+(-J920))^(1/12)))-$U920))</f>
        <v>38107.758080843829</v>
      </c>
      <c r="AA920" s="2">
        <f ca="1">IF(MIN($AA$4:AA919)=0,0,MAX(0,($AA919+$K920-$O920-$P920)*IF(AND(F920="F",$D$3&lt;&gt;$G$3),((1+$AA$1)^(H920/MIN(G920,365))),((1+$AA$1)^(1/12)))-$U920))</f>
        <v>1920000</v>
      </c>
      <c r="AB920" s="2">
        <f ca="1">IF(MIN($AB$4:AB919)=0,0,MAX(0,($AB919+$K920-$O920-$P920)*IF(AND(F920="F",$D$3&lt;&gt;$G$3),((1+(J920))^(H920/MIN(G920,365))),((1+(J920))^(1/12)))-$U920))</f>
        <v>79894490.702621773</v>
      </c>
      <c r="AC920" s="5"/>
      <c r="AD920" s="5"/>
      <c r="AE920" s="5"/>
      <c r="AF920" s="282">
        <f t="shared" ca="1" si="524"/>
        <v>38108</v>
      </c>
      <c r="AG920" s="282">
        <f t="shared" ca="1" si="525"/>
        <v>1920000</v>
      </c>
      <c r="AH920" s="282">
        <f t="shared" ca="1" si="526"/>
        <v>79894491</v>
      </c>
      <c r="AI920" s="23" t="str">
        <f t="shared" ca="1" si="543"/>
        <v>77-6</v>
      </c>
      <c r="AJ920" s="282">
        <f ca="1">IF(E920&gt;111,,IF(AND(OP!$C$99=1,T920="F"),Z920,IF(AND(OP!$C$99=2,COUNTIF($T$4:T920,"F")=1),OP!$C$97+IF(F920="F",OP!$C$98,0),"")))</f>
        <v>0</v>
      </c>
      <c r="AK920" s="282">
        <f ca="1">IF(E920&gt;111,,IF(AND(OP!$D$99=1,T920="F"),AA920,IF(AND(OP!$D$99=2,COUNTIF($T$4:T920,"F")=1),OP!$D$97+IF(F920="F",OP!$D$98,0),"")))</f>
        <v>0</v>
      </c>
      <c r="AL920" s="282">
        <f ca="1">IF(E920&gt;111,,IF(AND(OP!$E$99=1,T920="F"),AB920,IF(AND(OP!$E$99=2,COUNTIF($T$4:T920,"F")=1),OP!$E$97+IF(F920="F",OP!$E$98,0),"")))</f>
        <v>0</v>
      </c>
      <c r="AM920" s="1">
        <f t="shared" ca="1" si="516"/>
        <v>6</v>
      </c>
      <c r="AN920" s="1" t="e">
        <f ca="1">IF(OR(VLOOKUP($A920,MP,5,0)="月繳"),1,"")</f>
        <v>#N/A</v>
      </c>
      <c r="AO920" s="1">
        <f t="shared" ca="1" si="527"/>
        <v>0</v>
      </c>
      <c r="AP920" s="1" t="str">
        <f ca="1">IF(AND(A920&lt;=OP!$C$120,COUNTIF(PAY,C920)=1),1,"")</f>
        <v/>
      </c>
      <c r="AR920" s="301">
        <f ca="1">IF(繳費報酬率資料!$A$1=1,$AY920+$AZ920,$BF920+$BG920)</f>
        <v>0</v>
      </c>
      <c r="AS920" s="1">
        <f ca="1">IF(C920&lt;&gt;IF($C$3=1,12,$C$3-1),0,IF(繳費報酬率資料!$A$1&lt;&gt;1,VLOOKUP($A920,MP,8,0),IF(AND($A920&gt;=OP!$C$79,$A920&lt;=OP!$C$80),OP!$C$78,)))</f>
        <v>0</v>
      </c>
      <c r="AT920" s="298">
        <f t="shared" ca="1" si="528"/>
        <v>0</v>
      </c>
      <c r="AU920" s="298">
        <f ca="1">IF(AND(A920&lt;=OP!$C$120,COUNTIF(PAY,C920)=1),OP!$C$123,0)</f>
        <v>0</v>
      </c>
      <c r="AV920" s="298">
        <f ca="1">IF(AND(A920&gt;=OP!$C$132,A920&lt;=OP!$C$133,$C$3=C920),OP!$C$135,0)</f>
        <v>0</v>
      </c>
      <c r="AW920" s="180">
        <f t="shared" ca="1" si="529"/>
        <v>0.05</v>
      </c>
      <c r="AX920" s="180">
        <f t="shared" ca="1" si="530"/>
        <v>0.05</v>
      </c>
      <c r="AY920" s="286">
        <f t="shared" ca="1" si="531"/>
        <v>0</v>
      </c>
      <c r="AZ920" s="286">
        <f t="shared" ca="1" si="532"/>
        <v>0</v>
      </c>
      <c r="BA920" s="286">
        <f t="shared" ca="1" si="533"/>
        <v>0</v>
      </c>
      <c r="BB920" s="286">
        <f t="shared" ca="1" si="534"/>
        <v>0</v>
      </c>
      <c r="BC920" s="286">
        <f t="shared" ca="1" si="535"/>
        <v>0</v>
      </c>
      <c r="BD920" s="180">
        <f t="shared" ca="1" si="536"/>
        <v>0.05</v>
      </c>
      <c r="BE920" s="180">
        <f t="shared" ca="1" si="537"/>
        <v>0.05</v>
      </c>
      <c r="BF920" s="286">
        <f t="shared" ca="1" si="538"/>
        <v>0</v>
      </c>
      <c r="BG920" s="286">
        <f t="shared" ca="1" si="539"/>
        <v>0</v>
      </c>
    </row>
    <row r="921" spans="1:59">
      <c r="A921" s="1">
        <f t="shared" ca="1" si="519"/>
        <v>77</v>
      </c>
      <c r="B921" s="1">
        <f t="shared" ca="1" si="512"/>
        <v>182</v>
      </c>
      <c r="C921" s="1">
        <f t="shared" ca="1" si="513"/>
        <v>11</v>
      </c>
      <c r="D921" s="1">
        <f ca="1">MIN($D$3,VLOOKUP(C921,OP!$S$30:$T$41,2))</f>
        <v>2</v>
      </c>
      <c r="E921" s="1" t="str">
        <f t="shared" ca="1" si="514"/>
        <v/>
      </c>
      <c r="F921" s="11" t="str">
        <f t="shared" ca="1" si="520"/>
        <v/>
      </c>
      <c r="G921" s="8">
        <f t="shared" ca="1" si="544"/>
        <v>365</v>
      </c>
      <c r="H921" s="8">
        <f t="shared" ca="1" si="521"/>
        <v>30</v>
      </c>
      <c r="I921" s="8" t="str">
        <f t="shared" ca="1" si="518"/>
        <v>7711</v>
      </c>
      <c r="J921" s="13">
        <f>IF(繳費報酬率資料!$A$1=1,VALUE(OP!$C$121),VLOOKUP(A921,MP,2,0))</f>
        <v>0.05</v>
      </c>
      <c r="K921" s="14">
        <f ca="1">IF(SUM($K$4:K920,IF(繳費報酬率資料!$A$1=1,$AU921+$AV921,$BB921+$BC921))&gt;OP!$L$58,0,IF(繳費報酬率資料!$A$1=1,$AU921+$AV921,$BB921+$BC921))</f>
        <v>0</v>
      </c>
      <c r="L921" s="2"/>
      <c r="M921" s="2"/>
      <c r="N921" s="2"/>
      <c r="O921" s="261">
        <f t="shared" ca="1" si="522"/>
        <v>0</v>
      </c>
      <c r="P921" s="261">
        <f t="shared" ca="1" si="540"/>
        <v>0</v>
      </c>
      <c r="Q921" s="3">
        <f ca="1">IF(A921&gt;MAX(OP!$R$17:$R$26),0,VLOOKUP(A921,fees,3,FALSE))</f>
        <v>0</v>
      </c>
      <c r="R921" s="200" t="str">
        <f t="shared" ca="1" si="523"/>
        <v/>
      </c>
      <c r="S921" s="9" t="str">
        <f ca="1">IF(COUNTIF(($T$4:T920),"F")&gt;=1,"",IF(OR(C922&lt;&gt;$C$3,E921=""),"",A921))</f>
        <v/>
      </c>
      <c r="T921" s="20" t="str">
        <f t="shared" ca="1" si="515"/>
        <v/>
      </c>
      <c r="U921" s="2">
        <f ca="1">IF(IF(OP!$C$83=1,$Z920,IF(OP!$C$83=2,$AA920,IF(OP!$C$83=3,$AB920,)))+$K921-$O921-$P921-$AS921&lt;OP!$C$142,0,$AS921)</f>
        <v>0</v>
      </c>
      <c r="V921" s="9"/>
      <c r="W921" s="19">
        <f ca="1">MAX(SUM($K$4:K921),0)</f>
        <v>2000000</v>
      </c>
      <c r="X921" s="19"/>
      <c r="Y921" s="19">
        <f t="shared" ca="1" si="541"/>
        <v>1920000</v>
      </c>
      <c r="Z921" s="2">
        <f ca="1">IF(MIN($Z$4:Z920)=0,0,MAX(0,($Z920+$K921-$O921-$P921)*IF(AND(F921="F",$D$3&lt;&gt;$G$3),((1+(-J921))^(H921/MIN(G921,365))),((1+(-J921))^(1/12)))-$U921))</f>
        <v>37945.21634473087</v>
      </c>
      <c r="AA921" s="2">
        <f ca="1">IF(MIN($AA$4:AA920)=0,0,MAX(0,($AA920+$K921-$O921-$P921)*IF(AND(F921="F",$D$3&lt;&gt;$G$3),((1+$AA$1)^(H921/MIN(G921,365))),((1+$AA$1)^(1/12)))-$U921))</f>
        <v>1920000</v>
      </c>
      <c r="AB921" s="2">
        <f ca="1">IF(MIN($AB$4:AB920)=0,0,MAX(0,($AB920+$K921-$O921-$P921)*IF(AND(F921="F",$D$3&lt;&gt;$G$3),((1+(J921))^(H921/MIN(G921,365))),((1+(J921))^(1/12)))-$U921))</f>
        <v>80219990.747375801</v>
      </c>
      <c r="AC921" s="5"/>
      <c r="AD921" s="5"/>
      <c r="AE921" s="5"/>
      <c r="AF921" s="282">
        <f t="shared" ca="1" si="524"/>
        <v>37945</v>
      </c>
      <c r="AG921" s="282">
        <f t="shared" ca="1" si="525"/>
        <v>1920000</v>
      </c>
      <c r="AH921" s="282">
        <f t="shared" ca="1" si="526"/>
        <v>80219991</v>
      </c>
      <c r="AI921" s="23" t="str">
        <f t="shared" ca="1" si="543"/>
        <v>77-7</v>
      </c>
      <c r="AJ921" s="282">
        <f ca="1">IF(E921&gt;111,,IF(AND(OP!$C$99=1,T921="F"),Z921,IF(AND(OP!$C$99=2,COUNTIF($T$4:T921,"F")=1),OP!$C$97+IF(F921="F",OP!$C$98,0),"")))</f>
        <v>0</v>
      </c>
      <c r="AK921" s="282">
        <f ca="1">IF(E921&gt;111,,IF(AND(OP!$D$99=1,T921="F"),AA921,IF(AND(OP!$D$99=2,COUNTIF($T$4:T921,"F")=1),OP!$D$97+IF(F921="F",OP!$D$98,0),"")))</f>
        <v>0</v>
      </c>
      <c r="AL921" s="282">
        <f ca="1">IF(E921&gt;111,,IF(AND(OP!$E$99=1,T921="F"),AB921,IF(AND(OP!$E$99=2,COUNTIF($T$4:T921,"F")=1),OP!$E$97+IF(F921="F",OP!$E$98,0),"")))</f>
        <v>0</v>
      </c>
      <c r="AM921" s="1">
        <f t="shared" ca="1" si="516"/>
        <v>7</v>
      </c>
      <c r="AN921" s="1" t="e">
        <f ca="1">IF(OR(VLOOKUP($A921,MP,5,0)="月繳"),1,"")</f>
        <v>#N/A</v>
      </c>
      <c r="AO921" s="1">
        <f t="shared" ca="1" si="527"/>
        <v>0</v>
      </c>
      <c r="AP921" s="1" t="str">
        <f ca="1">IF(AND(A921&lt;=OP!$C$120,COUNTIF(PAY,C921)=1),1,"")</f>
        <v/>
      </c>
      <c r="AR921" s="301">
        <f ca="1">IF(繳費報酬率資料!$A$1=1,$AY921+$AZ921,$BF921+$BG921)</f>
        <v>0</v>
      </c>
      <c r="AS921" s="1">
        <f ca="1">IF(C921&lt;&gt;IF($C$3=1,12,$C$3-1),0,IF(繳費報酬率資料!$A$1&lt;&gt;1,VLOOKUP($A921,MP,8,0),IF(AND($A921&gt;=OP!$C$79,$A921&lt;=OP!$C$80),OP!$C$78,)))</f>
        <v>0</v>
      </c>
      <c r="AT921" s="298">
        <f t="shared" ca="1" si="528"/>
        <v>0</v>
      </c>
      <c r="AU921" s="298">
        <f ca="1">IF(AND(A921&lt;=OP!$C$120,COUNTIF(PAY,C921)=1),OP!$C$123,0)</f>
        <v>0</v>
      </c>
      <c r="AV921" s="298">
        <f ca="1">IF(AND(A921&gt;=OP!$C$132,A921&lt;=OP!$C$133,$C$3=C921),OP!$C$135,0)</f>
        <v>0</v>
      </c>
      <c r="AW921" s="180">
        <f t="shared" ca="1" si="529"/>
        <v>0.05</v>
      </c>
      <c r="AX921" s="180">
        <f t="shared" ca="1" si="530"/>
        <v>0.05</v>
      </c>
      <c r="AY921" s="286">
        <f t="shared" ca="1" si="531"/>
        <v>0</v>
      </c>
      <c r="AZ921" s="286">
        <f t="shared" ca="1" si="532"/>
        <v>0</v>
      </c>
      <c r="BA921" s="286">
        <f t="shared" ca="1" si="533"/>
        <v>0</v>
      </c>
      <c r="BB921" s="286">
        <f t="shared" ca="1" si="534"/>
        <v>0</v>
      </c>
      <c r="BC921" s="286">
        <f t="shared" ca="1" si="535"/>
        <v>0</v>
      </c>
      <c r="BD921" s="180">
        <f t="shared" ca="1" si="536"/>
        <v>0.05</v>
      </c>
      <c r="BE921" s="180">
        <f t="shared" ca="1" si="537"/>
        <v>0.05</v>
      </c>
      <c r="BF921" s="286">
        <f t="shared" ca="1" si="538"/>
        <v>0</v>
      </c>
      <c r="BG921" s="286">
        <f t="shared" ca="1" si="539"/>
        <v>0</v>
      </c>
    </row>
    <row r="922" spans="1:59">
      <c r="A922" s="1">
        <f t="shared" ca="1" si="519"/>
        <v>77</v>
      </c>
      <c r="B922" s="1">
        <f t="shared" ca="1" si="512"/>
        <v>182</v>
      </c>
      <c r="C922" s="1">
        <f t="shared" ca="1" si="513"/>
        <v>12</v>
      </c>
      <c r="D922" s="1">
        <f ca="1">MIN($D$3,VLOOKUP(C922,OP!$S$30:$T$41,2))</f>
        <v>2</v>
      </c>
      <c r="E922" s="1" t="str">
        <f t="shared" ca="1" si="514"/>
        <v/>
      </c>
      <c r="F922" s="11" t="str">
        <f t="shared" ca="1" si="520"/>
        <v/>
      </c>
      <c r="G922" s="8">
        <f t="shared" ca="1" si="544"/>
        <v>365</v>
      </c>
      <c r="H922" s="8">
        <f t="shared" ca="1" si="521"/>
        <v>31</v>
      </c>
      <c r="I922" s="8" t="str">
        <f t="shared" ca="1" si="518"/>
        <v>7712</v>
      </c>
      <c r="J922" s="13">
        <f>IF(繳費報酬率資料!$A$1=1,VALUE(OP!$C$121),VLOOKUP(A922,MP,2,0))</f>
        <v>0.05</v>
      </c>
      <c r="K922" s="14">
        <f ca="1">IF(SUM($K$4:K921,IF(繳費報酬率資料!$A$1=1,$AU922+$AV922,$BB922+$BC922))&gt;OP!$L$58,0,IF(繳費報酬率資料!$A$1=1,$AU922+$AV922,$BB922+$BC922))</f>
        <v>0</v>
      </c>
      <c r="L922" s="2"/>
      <c r="M922" s="2"/>
      <c r="N922" s="2"/>
      <c r="O922" s="261">
        <f t="shared" ca="1" si="522"/>
        <v>0</v>
      </c>
      <c r="P922" s="261">
        <f t="shared" ca="1" si="540"/>
        <v>0</v>
      </c>
      <c r="Q922" s="3">
        <f ca="1">IF(A922&gt;MAX(OP!$R$17:$R$26),0,VLOOKUP(A922,fees,3,FALSE))</f>
        <v>0</v>
      </c>
      <c r="R922" s="200" t="str">
        <f t="shared" ca="1" si="523"/>
        <v/>
      </c>
      <c r="S922" s="9" t="str">
        <f ca="1">IF(COUNTIF(($T$4:T921),"F")&gt;=1,"",IF(OR(C923&lt;&gt;$C$3,E922=""),"",A922))</f>
        <v/>
      </c>
      <c r="T922" s="20" t="str">
        <f t="shared" ca="1" si="515"/>
        <v/>
      </c>
      <c r="U922" s="2">
        <f ca="1">IF(IF(OP!$C$83=1,$Z921,IF(OP!$C$83=2,$AA921,IF(OP!$C$83=3,$AB921,)))+$K922-$O922-$P922-$AS922&lt;OP!$C$142,0,$AS922)</f>
        <v>0</v>
      </c>
      <c r="V922" s="9"/>
      <c r="W922" s="19">
        <f ca="1">MAX(SUM($K$4:K922),0)</f>
        <v>2000000</v>
      </c>
      <c r="X922" s="19"/>
      <c r="Y922" s="19">
        <f t="shared" ca="1" si="541"/>
        <v>1920000</v>
      </c>
      <c r="Z922" s="2">
        <f ca="1">IF(MIN($Z$4:Z921)=0,0,MAX(0,($Z921+$K922-$O922-$P922)*IF(AND(F922="F",$D$3&lt;&gt;$G$3),((1+(-J922))^(H922/MIN(G922,365))),((1+(-J922))^(1/12)))-$U922))</f>
        <v>37783.36790093709</v>
      </c>
      <c r="AA922" s="2">
        <f ca="1">IF(MIN($AA$4:AA921)=0,0,MAX(0,($AA921+$K922-$O922-$P922)*IF(AND(F922="F",$D$3&lt;&gt;$G$3),((1+$AA$1)^(H922/MIN(G922,365))),((1+$AA$1)^(1/12)))-$U922))</f>
        <v>1920000</v>
      </c>
      <c r="AB922" s="2">
        <f ca="1">IF(MIN($AB$4:AB921)=0,0,MAX(0,($AB921+$K922-$O922-$P922)*IF(AND(F922="F",$D$3&lt;&gt;$G$3),((1+(J922))^(H922/MIN(G922,365))),((1+(J922))^(1/12)))-$U922))</f>
        <v>80546816.919603735</v>
      </c>
      <c r="AC922" s="5"/>
      <c r="AD922" s="5"/>
      <c r="AE922" s="5"/>
      <c r="AF922" s="282">
        <f t="shared" ca="1" si="524"/>
        <v>37783</v>
      </c>
      <c r="AG922" s="282">
        <f t="shared" ca="1" si="525"/>
        <v>1920000</v>
      </c>
      <c r="AH922" s="282">
        <f t="shared" ca="1" si="526"/>
        <v>80546817</v>
      </c>
      <c r="AI922" s="23" t="str">
        <f t="shared" ca="1" si="543"/>
        <v>77-8</v>
      </c>
      <c r="AJ922" s="282">
        <f ca="1">IF(E922&gt;111,,IF(AND(OP!$C$99=1,T922="F"),Z922,IF(AND(OP!$C$99=2,COUNTIF($T$4:T922,"F")=1),OP!$C$97+IF(F922="F",OP!$C$98,0),"")))</f>
        <v>0</v>
      </c>
      <c r="AK922" s="282">
        <f ca="1">IF(E922&gt;111,,IF(AND(OP!$D$99=1,T922="F"),AA922,IF(AND(OP!$D$99=2,COUNTIF($T$4:T922,"F")=1),OP!$D$97+IF(F922="F",OP!$D$98,0),"")))</f>
        <v>0</v>
      </c>
      <c r="AL922" s="282">
        <f ca="1">IF(E922&gt;111,,IF(AND(OP!$E$99=1,T922="F"),AB922,IF(AND(OP!$E$99=2,COUNTIF($T$4:T922,"F")=1),OP!$E$97+IF(F922="F",OP!$E$98,0),"")))</f>
        <v>0</v>
      </c>
      <c r="AM922" s="1">
        <f t="shared" ca="1" si="516"/>
        <v>8</v>
      </c>
      <c r="AN922" s="1" t="e">
        <f ca="1">IF(OR(VLOOKUP($A922,MP,5,0)="半年繳",VLOOKUP($A922,MP,5,0)="季繳",VLOOKUP($A922,MP,5,0)="月繳"),1,"")</f>
        <v>#N/A</v>
      </c>
      <c r="AO922" s="1">
        <f t="shared" ca="1" si="527"/>
        <v>0</v>
      </c>
      <c r="AP922" s="1" t="str">
        <f ca="1">IF(AND(A922&lt;=OP!$C$120,COUNTIF(PAY,C922)=1),1,"")</f>
        <v/>
      </c>
      <c r="AR922" s="301">
        <f ca="1">IF(繳費報酬率資料!$A$1=1,$AY922+$AZ922,$BF922+$BG922)</f>
        <v>0</v>
      </c>
      <c r="AS922" s="1">
        <f ca="1">IF(C922&lt;&gt;IF($C$3=1,12,$C$3-1),0,IF(繳費報酬率資料!$A$1&lt;&gt;1,VLOOKUP($A922,MP,8,0),IF(AND($A922&gt;=OP!$C$79,$A922&lt;=OP!$C$80),OP!$C$78,)))</f>
        <v>0</v>
      </c>
      <c r="AT922" s="298">
        <f t="shared" ca="1" si="528"/>
        <v>0</v>
      </c>
      <c r="AU922" s="298">
        <f ca="1">IF(AND(A922&lt;=OP!$C$120,COUNTIF(PAY,C922)=1),OP!$C$123,0)</f>
        <v>0</v>
      </c>
      <c r="AV922" s="298">
        <f ca="1">IF(AND(A922&gt;=OP!$C$132,A922&lt;=OP!$C$133,$C$3=C922),OP!$C$135,0)</f>
        <v>0</v>
      </c>
      <c r="AW922" s="180">
        <f t="shared" ca="1" si="529"/>
        <v>0.05</v>
      </c>
      <c r="AX922" s="180">
        <f t="shared" ca="1" si="530"/>
        <v>0.05</v>
      </c>
      <c r="AY922" s="286">
        <f t="shared" ca="1" si="531"/>
        <v>0</v>
      </c>
      <c r="AZ922" s="286">
        <f t="shared" ca="1" si="532"/>
        <v>0</v>
      </c>
      <c r="BA922" s="286">
        <f t="shared" ca="1" si="533"/>
        <v>0</v>
      </c>
      <c r="BB922" s="286">
        <f t="shared" ca="1" si="534"/>
        <v>0</v>
      </c>
      <c r="BC922" s="286">
        <f t="shared" ca="1" si="535"/>
        <v>0</v>
      </c>
      <c r="BD922" s="180">
        <f t="shared" ca="1" si="536"/>
        <v>0.05</v>
      </c>
      <c r="BE922" s="180">
        <f t="shared" ca="1" si="537"/>
        <v>0.05</v>
      </c>
      <c r="BF922" s="286">
        <f t="shared" ca="1" si="538"/>
        <v>0</v>
      </c>
      <c r="BG922" s="286">
        <f t="shared" ca="1" si="539"/>
        <v>0</v>
      </c>
    </row>
    <row r="923" spans="1:59">
      <c r="A923" s="1">
        <f t="shared" ca="1" si="519"/>
        <v>77</v>
      </c>
      <c r="B923" s="1">
        <f t="shared" ca="1" si="512"/>
        <v>183</v>
      </c>
      <c r="C923" s="1">
        <f t="shared" ca="1" si="513"/>
        <v>1</v>
      </c>
      <c r="D923" s="1">
        <f ca="1">MIN($D$3,VLOOKUP(C923,OP!$S$30:$T$41,2))</f>
        <v>2</v>
      </c>
      <c r="E923" s="1" t="str">
        <f t="shared" ca="1" si="514"/>
        <v/>
      </c>
      <c r="F923" s="11" t="str">
        <f t="shared" ca="1" si="520"/>
        <v/>
      </c>
      <c r="G923" s="8">
        <f t="shared" ca="1" si="544"/>
        <v>365</v>
      </c>
      <c r="H923" s="8">
        <f t="shared" ca="1" si="521"/>
        <v>31</v>
      </c>
      <c r="I923" s="8" t="str">
        <f t="shared" ca="1" si="518"/>
        <v>771</v>
      </c>
      <c r="J923" s="13">
        <f>IF(繳費報酬率資料!$A$1=1,VALUE(OP!$C$121),VLOOKUP(A923,MP,2,0))</f>
        <v>0.05</v>
      </c>
      <c r="K923" s="14">
        <f ca="1">IF(SUM($K$4:K922,IF(繳費報酬率資料!$A$1=1,$AU923+$AV923,$BB923+$BC923))&gt;OP!$L$58,0,IF(繳費報酬率資料!$A$1=1,$AU923+$AV923,$BB923+$BC923))</f>
        <v>0</v>
      </c>
      <c r="L923" s="2"/>
      <c r="M923" s="2"/>
      <c r="N923" s="2"/>
      <c r="O923" s="261">
        <f t="shared" ca="1" si="522"/>
        <v>0</v>
      </c>
      <c r="P923" s="261">
        <f t="shared" ca="1" si="540"/>
        <v>0</v>
      </c>
      <c r="Q923" s="3">
        <f ca="1">IF(A923&gt;MAX(OP!$R$17:$R$26),0,VLOOKUP(A923,fees,3,FALSE))</f>
        <v>0</v>
      </c>
      <c r="R923" s="200" t="str">
        <f t="shared" ca="1" si="523"/>
        <v/>
      </c>
      <c r="S923" s="9" t="str">
        <f ca="1">IF(COUNTIF(($T$4:T922),"F")&gt;=1,"",IF(OR(C924&lt;&gt;$C$3,E923=""),"",A923))</f>
        <v/>
      </c>
      <c r="T923" s="20" t="str">
        <f t="shared" ca="1" si="515"/>
        <v/>
      </c>
      <c r="U923" s="2">
        <f ca="1">IF(IF(OP!$C$83=1,$Z922,IF(OP!$C$83=2,$AA922,IF(OP!$C$83=3,$AB922,)))+$K923-$O923-$P923-$AS923&lt;OP!$C$142,0,$AS923)</f>
        <v>0</v>
      </c>
      <c r="V923" s="9"/>
      <c r="W923" s="19">
        <f ca="1">MAX(SUM($K$4:K923),0)</f>
        <v>2000000</v>
      </c>
      <c r="X923" s="19"/>
      <c r="Y923" s="19">
        <f t="shared" ca="1" si="541"/>
        <v>1920000</v>
      </c>
      <c r="Z923" s="2">
        <f ca="1">IF(MIN($Z$4:Z922)=0,0,MAX(0,($Z922+$K923-$O923-$P923)*IF(AND(F923="F",$D$3&lt;&gt;$G$3),((1+(-J923))^(H923/MIN(G923,365))),((1+(-J923))^(1/12)))-$U923))</f>
        <v>37622.209792349742</v>
      </c>
      <c r="AA923" s="2">
        <f ca="1">IF(MIN($AA$4:AA922)=0,0,MAX(0,($AA922+$K923-$O923-$P923)*IF(AND(F923="F",$D$3&lt;&gt;$G$3),((1+$AA$1)^(H923/MIN(G923,365))),((1+$AA$1)^(1/12)))-$U923))</f>
        <v>1920000</v>
      </c>
      <c r="AB923" s="2">
        <f ca="1">IF(MIN($AB$4:AB922)=0,0,MAX(0,($AB922+$K923-$O923-$P923)*IF(AND(F923="F",$D$3&lt;&gt;$G$3),((1+(J923))^(H923/MIN(G923,365))),((1+(J923))^(1/12)))-$U923))</f>
        <v>80874974.622113064</v>
      </c>
      <c r="AC923" s="5"/>
      <c r="AD923" s="5"/>
      <c r="AE923" s="5"/>
      <c r="AF923" s="282">
        <f t="shared" ca="1" si="524"/>
        <v>37622</v>
      </c>
      <c r="AG923" s="282">
        <f t="shared" ca="1" si="525"/>
        <v>1920000</v>
      </c>
      <c r="AH923" s="282">
        <f t="shared" ca="1" si="526"/>
        <v>80874975</v>
      </c>
      <c r="AI923" s="23" t="str">
        <f t="shared" ca="1" si="543"/>
        <v>77-9</v>
      </c>
      <c r="AJ923" s="282">
        <f ca="1">IF(E923&gt;111,,IF(AND(OP!$C$99=1,T923="F"),Z923,IF(AND(OP!$C$99=2,COUNTIF($T$4:T923,"F")=1),OP!$C$97+IF(F923="F",OP!$C$98,0),"")))</f>
        <v>0</v>
      </c>
      <c r="AK923" s="282">
        <f ca="1">IF(E923&gt;111,,IF(AND(OP!$D$99=1,T923="F"),AA923,IF(AND(OP!$D$99=2,COUNTIF($T$4:T923,"F")=1),OP!$D$97+IF(F923="F",OP!$D$98,0),"")))</f>
        <v>0</v>
      </c>
      <c r="AL923" s="282">
        <f ca="1">IF(E923&gt;111,,IF(AND(OP!$E$99=1,T923="F"),AB923,IF(AND(OP!$E$99=2,COUNTIF($T$4:T923,"F")=1),OP!$E$97+IF(F923="F",OP!$E$98,0),"")))</f>
        <v>0</v>
      </c>
      <c r="AM923" s="1">
        <f t="shared" ca="1" si="516"/>
        <v>9</v>
      </c>
      <c r="AN923" s="1" t="e">
        <f ca="1">IF(OR(VLOOKUP($A923,MP,5,0)="月繳"),1,"")</f>
        <v>#N/A</v>
      </c>
      <c r="AO923" s="1">
        <f t="shared" ca="1" si="527"/>
        <v>0</v>
      </c>
      <c r="AP923" s="1" t="str">
        <f ca="1">IF(AND(A923&lt;=OP!$C$120,COUNTIF(PAY,C923)=1),1,"")</f>
        <v/>
      </c>
      <c r="AR923" s="301">
        <f ca="1">IF(繳費報酬率資料!$A$1=1,$AY923+$AZ923,$BF923+$BG923)</f>
        <v>0</v>
      </c>
      <c r="AS923" s="1">
        <f ca="1">IF(C923&lt;&gt;IF($C$3=1,12,$C$3-1),0,IF(繳費報酬率資料!$A$1&lt;&gt;1,VLOOKUP($A923,MP,8,0),IF(AND($A923&gt;=OP!$C$79,$A923&lt;=OP!$C$80),OP!$C$78,)))</f>
        <v>0</v>
      </c>
      <c r="AT923" s="298">
        <f t="shared" ca="1" si="528"/>
        <v>0</v>
      </c>
      <c r="AU923" s="298">
        <f ca="1">IF(AND(A923&lt;=OP!$C$120,COUNTIF(PAY,C923)=1),OP!$C$123,0)</f>
        <v>0</v>
      </c>
      <c r="AV923" s="298">
        <f ca="1">IF(AND(A923&gt;=OP!$C$132,A923&lt;=OP!$C$133,$C$3=C923),OP!$C$135,0)</f>
        <v>0</v>
      </c>
      <c r="AW923" s="180">
        <f t="shared" ca="1" si="529"/>
        <v>0.05</v>
      </c>
      <c r="AX923" s="180">
        <f t="shared" ca="1" si="530"/>
        <v>0.05</v>
      </c>
      <c r="AY923" s="286">
        <f t="shared" ca="1" si="531"/>
        <v>0</v>
      </c>
      <c r="AZ923" s="286">
        <f t="shared" ca="1" si="532"/>
        <v>0</v>
      </c>
      <c r="BA923" s="286">
        <f t="shared" ca="1" si="533"/>
        <v>0</v>
      </c>
      <c r="BB923" s="286">
        <f t="shared" ca="1" si="534"/>
        <v>0</v>
      </c>
      <c r="BC923" s="286">
        <f t="shared" ca="1" si="535"/>
        <v>0</v>
      </c>
      <c r="BD923" s="180">
        <f t="shared" ca="1" si="536"/>
        <v>0.05</v>
      </c>
      <c r="BE923" s="180">
        <f t="shared" ca="1" si="537"/>
        <v>0.05</v>
      </c>
      <c r="BF923" s="286">
        <f t="shared" ca="1" si="538"/>
        <v>0</v>
      </c>
      <c r="BG923" s="286">
        <f t="shared" ca="1" si="539"/>
        <v>0</v>
      </c>
    </row>
    <row r="924" spans="1:59">
      <c r="A924" s="1">
        <f t="shared" ca="1" si="519"/>
        <v>77</v>
      </c>
      <c r="B924" s="1">
        <f t="shared" ca="1" si="512"/>
        <v>183</v>
      </c>
      <c r="C924" s="1">
        <f t="shared" ca="1" si="513"/>
        <v>2</v>
      </c>
      <c r="D924" s="1">
        <f ca="1">MIN($D$3,VLOOKUP(C924,OP!$S$30:$T$41,2))</f>
        <v>2</v>
      </c>
      <c r="E924" s="1" t="str">
        <f t="shared" ca="1" si="514"/>
        <v/>
      </c>
      <c r="F924" s="11" t="str">
        <f t="shared" ca="1" si="520"/>
        <v/>
      </c>
      <c r="G924" s="8">
        <f t="shared" ca="1" si="544"/>
        <v>365</v>
      </c>
      <c r="H924" s="8">
        <f t="shared" ca="1" si="521"/>
        <v>28</v>
      </c>
      <c r="I924" s="8" t="str">
        <f t="shared" ca="1" si="518"/>
        <v>772</v>
      </c>
      <c r="J924" s="13">
        <f>IF(繳費報酬率資料!$A$1=1,VALUE(OP!$C$121),VLOOKUP(A924,MP,2,0))</f>
        <v>0.05</v>
      </c>
      <c r="K924" s="14">
        <f ca="1">IF(SUM($K$4:K923,IF(繳費報酬率資料!$A$1=1,$AU924+$AV924,$BB924+$BC924))&gt;OP!$L$58,0,IF(繳費報酬率資料!$A$1=1,$AU924+$AV924,$BB924+$BC924))</f>
        <v>0</v>
      </c>
      <c r="L924" s="2"/>
      <c r="M924" s="2"/>
      <c r="N924" s="2"/>
      <c r="O924" s="261">
        <f t="shared" ca="1" si="522"/>
        <v>0</v>
      </c>
      <c r="P924" s="261">
        <f t="shared" ca="1" si="540"/>
        <v>0</v>
      </c>
      <c r="Q924" s="3">
        <f ca="1">IF(A924&gt;MAX(OP!$R$17:$R$26),0,VLOOKUP(A924,fees,3,FALSE))</f>
        <v>0</v>
      </c>
      <c r="R924" s="200" t="str">
        <f t="shared" ca="1" si="523"/>
        <v/>
      </c>
      <c r="S924" s="9" t="str">
        <f ca="1">IF(COUNTIF(($T$4:T923),"F")&gt;=1,"",IF(OR(C925&lt;&gt;$C$3,E924=""),"",A924))</f>
        <v/>
      </c>
      <c r="T924" s="20" t="str">
        <f t="shared" ca="1" si="515"/>
        <v/>
      </c>
      <c r="U924" s="2">
        <f ca="1">IF(IF(OP!$C$83=1,$Z923,IF(OP!$C$83=2,$AA923,IF(OP!$C$83=3,$AB923,)))+$K924-$O924-$P924-$AS924&lt;OP!$C$142,0,$AS924)</f>
        <v>0</v>
      </c>
      <c r="V924" s="9"/>
      <c r="W924" s="19">
        <f ca="1">MAX(SUM($K$4:K924),0)</f>
        <v>2000000</v>
      </c>
      <c r="X924" s="19"/>
      <c r="Y924" s="19">
        <f t="shared" ca="1" si="541"/>
        <v>1920000</v>
      </c>
      <c r="Z924" s="2">
        <f ca="1">IF(MIN($Z$4:Z923)=0,0,MAX(0,($Z923+$K924-$O924-$P924)*IF(AND(F924="F",$D$3&lt;&gt;$G$3),((1+(-J924))^(H924/MIN(G924,365))),((1+(-J924))^(1/12)))-$U924))</f>
        <v>37461.739074469107</v>
      </c>
      <c r="AA924" s="2">
        <f ca="1">IF(MIN($AA$4:AA923)=0,0,MAX(0,($AA923+$K924-$O924-$P924)*IF(AND(F924="F",$D$3&lt;&gt;$G$3),((1+$AA$1)^(H924/MIN(G924,365))),((1+$AA$1)^(1/12)))-$U924))</f>
        <v>1920000</v>
      </c>
      <c r="AB924" s="2">
        <f ca="1">IF(MIN($AB$4:AB923)=0,0,MAX(0,($AB923+$K924-$O924-$P924)*IF(AND(F924="F",$D$3&lt;&gt;$G$3),((1+(J924))^(H924/MIN(G924,365))),((1+(J924))^(1/12)))-$U924))</f>
        <v>81204469.279722974</v>
      </c>
      <c r="AC924" s="5"/>
      <c r="AD924" s="5"/>
      <c r="AE924" s="5"/>
      <c r="AF924" s="282">
        <f t="shared" ca="1" si="524"/>
        <v>37462</v>
      </c>
      <c r="AG924" s="282">
        <f t="shared" ca="1" si="525"/>
        <v>1920000</v>
      </c>
      <c r="AH924" s="282">
        <f t="shared" ca="1" si="526"/>
        <v>81204469</v>
      </c>
      <c r="AI924" s="23" t="str">
        <f t="shared" ca="1" si="543"/>
        <v>77-10</v>
      </c>
      <c r="AJ924" s="282">
        <f ca="1">IF(E924&gt;111,,IF(AND(OP!$C$99=1,T924="F"),Z924,IF(AND(OP!$C$99=2,COUNTIF($T$4:T924,"F")=1),OP!$C$97+IF(F924="F",OP!$C$98,0),"")))</f>
        <v>0</v>
      </c>
      <c r="AK924" s="282">
        <f ca="1">IF(E924&gt;111,,IF(AND(OP!$D$99=1,T924="F"),AA924,IF(AND(OP!$D$99=2,COUNTIF($T$4:T924,"F")=1),OP!$D$97+IF(F924="F",OP!$D$98,0),"")))</f>
        <v>0</v>
      </c>
      <c r="AL924" s="282">
        <f ca="1">IF(E924&gt;111,,IF(AND(OP!$E$99=1,T924="F"),AB924,IF(AND(OP!$E$99=2,COUNTIF($T$4:T924,"F")=1),OP!$E$97+IF(F924="F",OP!$E$98,0),"")))</f>
        <v>0</v>
      </c>
      <c r="AM924" s="1">
        <f t="shared" ca="1" si="516"/>
        <v>10</v>
      </c>
      <c r="AN924" s="1" t="e">
        <f ca="1">IF(OR(VLOOKUP($A924,MP,5,0)="月繳"),1,"")</f>
        <v>#N/A</v>
      </c>
      <c r="AO924" s="1">
        <f t="shared" ca="1" si="527"/>
        <v>0</v>
      </c>
      <c r="AP924" s="1" t="str">
        <f ca="1">IF(AND(A924&lt;=OP!$C$120,COUNTIF(PAY,C924)=1),1,"")</f>
        <v/>
      </c>
      <c r="AR924" s="301">
        <f ca="1">IF(繳費報酬率資料!$A$1=1,$AY924+$AZ924,$BF924+$BG924)</f>
        <v>0</v>
      </c>
      <c r="AS924" s="1">
        <f ca="1">IF(C924&lt;&gt;IF($C$3=1,12,$C$3-1),0,IF(繳費報酬率資料!$A$1&lt;&gt;1,VLOOKUP($A924,MP,8,0),IF(AND($A924&gt;=OP!$C$79,$A924&lt;=OP!$C$80),OP!$C$78,)))</f>
        <v>0</v>
      </c>
      <c r="AT924" s="298">
        <f t="shared" ca="1" si="528"/>
        <v>0</v>
      </c>
      <c r="AU924" s="298">
        <f ca="1">IF(AND(A924&lt;=OP!$C$120,COUNTIF(PAY,C924)=1),OP!$C$123,0)</f>
        <v>0</v>
      </c>
      <c r="AV924" s="298">
        <f ca="1">IF(AND(A924&gt;=OP!$C$132,A924&lt;=OP!$C$133,$C$3=C924),OP!$C$135,0)</f>
        <v>0</v>
      </c>
      <c r="AW924" s="180">
        <f t="shared" ca="1" si="529"/>
        <v>0.05</v>
      </c>
      <c r="AX924" s="180">
        <f t="shared" ca="1" si="530"/>
        <v>0.05</v>
      </c>
      <c r="AY924" s="286">
        <f t="shared" ca="1" si="531"/>
        <v>0</v>
      </c>
      <c r="AZ924" s="286">
        <f t="shared" ca="1" si="532"/>
        <v>0</v>
      </c>
      <c r="BA924" s="286">
        <f t="shared" ca="1" si="533"/>
        <v>0</v>
      </c>
      <c r="BB924" s="286">
        <f t="shared" ca="1" si="534"/>
        <v>0</v>
      </c>
      <c r="BC924" s="286">
        <f t="shared" ca="1" si="535"/>
        <v>0</v>
      </c>
      <c r="BD924" s="180">
        <f t="shared" ca="1" si="536"/>
        <v>0.05</v>
      </c>
      <c r="BE924" s="180">
        <f t="shared" ca="1" si="537"/>
        <v>0.05</v>
      </c>
      <c r="BF924" s="286">
        <f t="shared" ca="1" si="538"/>
        <v>0</v>
      </c>
      <c r="BG924" s="286">
        <f t="shared" ca="1" si="539"/>
        <v>0</v>
      </c>
    </row>
    <row r="925" spans="1:59">
      <c r="A925" s="1">
        <f t="shared" ca="1" si="519"/>
        <v>77</v>
      </c>
      <c r="B925" s="1">
        <f t="shared" ca="1" si="512"/>
        <v>183</v>
      </c>
      <c r="C925" s="1">
        <f t="shared" ca="1" si="513"/>
        <v>3</v>
      </c>
      <c r="D925" s="1">
        <f ca="1">MIN($D$3,VLOOKUP(C925,OP!$S$30:$T$41,2))</f>
        <v>2</v>
      </c>
      <c r="E925" s="1" t="str">
        <f t="shared" ca="1" si="514"/>
        <v/>
      </c>
      <c r="F925" s="11" t="str">
        <f t="shared" ca="1" si="520"/>
        <v/>
      </c>
      <c r="G925" s="8">
        <f t="shared" ca="1" si="544"/>
        <v>365</v>
      </c>
      <c r="H925" s="8">
        <f t="shared" ca="1" si="521"/>
        <v>31</v>
      </c>
      <c r="I925" s="8" t="str">
        <f t="shared" ca="1" si="518"/>
        <v>773</v>
      </c>
      <c r="J925" s="13">
        <f>IF(繳費報酬率資料!$A$1=1,VALUE(OP!$C$121),VLOOKUP(A925,MP,2,0))</f>
        <v>0.05</v>
      </c>
      <c r="K925" s="14">
        <f ca="1">IF(SUM($K$4:K924,IF(繳費報酬率資料!$A$1=1,$AU925+$AV925,$BB925+$BC925))&gt;OP!$L$58,0,IF(繳費報酬率資料!$A$1=1,$AU925+$AV925,$BB925+$BC925))</f>
        <v>0</v>
      </c>
      <c r="L925" s="2"/>
      <c r="M925" s="2"/>
      <c r="N925" s="2"/>
      <c r="O925" s="261">
        <f t="shared" ca="1" si="522"/>
        <v>0</v>
      </c>
      <c r="P925" s="261">
        <f t="shared" ca="1" si="540"/>
        <v>0</v>
      </c>
      <c r="Q925" s="3">
        <f ca="1">IF(A925&gt;MAX(OP!$R$17:$R$26),0,VLOOKUP(A925,fees,3,FALSE))</f>
        <v>0</v>
      </c>
      <c r="R925" s="200" t="str">
        <f t="shared" ca="1" si="523"/>
        <v/>
      </c>
      <c r="S925" s="9" t="str">
        <f ca="1">IF(COUNTIF(($T$4:T924),"F")&gt;=1,"",IF(OR(C926&lt;&gt;$C$3,E925=""),"",A925))</f>
        <v/>
      </c>
      <c r="T925" s="20" t="str">
        <f t="shared" ca="1" si="515"/>
        <v/>
      </c>
      <c r="U925" s="2">
        <f ca="1">IF(IF(OP!$C$83=1,$Z924,IF(OP!$C$83=2,$AA924,IF(OP!$C$83=3,$AB924,)))+$K925-$O925-$P925-$AS925&lt;OP!$C$142,0,$AS925)</f>
        <v>0</v>
      </c>
      <c r="V925" s="9"/>
      <c r="W925" s="19">
        <f ca="1">MAX(SUM($K$4:K925),0)</f>
        <v>2000000</v>
      </c>
      <c r="X925" s="19"/>
      <c r="Y925" s="19">
        <f t="shared" ca="1" si="541"/>
        <v>1920000</v>
      </c>
      <c r="Z925" s="2">
        <f ca="1">IF(MIN($Z$4:Z924)=0,0,MAX(0,($Z924+$K925-$O925-$P925)*IF(AND(F925="F",$D$3&lt;&gt;$G$3),((1+(-J925))^(H925/MIN(G925,365))),((1+(-J925))^(1/12)))-$U925))</f>
        <v>37301.9528153547</v>
      </c>
      <c r="AA925" s="2">
        <f ca="1">IF(MIN($AA$4:AA924)=0,0,MAX(0,($AA924+$K925-$O925-$P925)*IF(AND(F925="F",$D$3&lt;&gt;$G$3),((1+$AA$1)^(H925/MIN(G925,365))),((1+$AA$1)^(1/12)))-$U925))</f>
        <v>1920000</v>
      </c>
      <c r="AB925" s="2">
        <f ca="1">IF(MIN($AB$4:AB924)=0,0,MAX(0,($AB924+$K925-$O925-$P925)*IF(AND(F925="F",$D$3&lt;&gt;$G$3),((1+(J925))^(H925/MIN(G925,365))),((1+(J925))^(1/12)))-$U925))</f>
        <v>81535306.339354038</v>
      </c>
      <c r="AC925" s="5"/>
      <c r="AD925" s="5"/>
      <c r="AE925" s="5"/>
      <c r="AF925" s="282">
        <f t="shared" ca="1" si="524"/>
        <v>37302</v>
      </c>
      <c r="AG925" s="282">
        <f t="shared" ca="1" si="525"/>
        <v>1920000</v>
      </c>
      <c r="AH925" s="282">
        <f t="shared" ca="1" si="526"/>
        <v>81535306</v>
      </c>
      <c r="AI925" s="23" t="str">
        <f t="shared" ca="1" si="543"/>
        <v>77-11</v>
      </c>
      <c r="AJ925" s="282">
        <f ca="1">IF(E925&gt;111,,IF(AND(OP!$C$99=1,T925="F"),Z925,IF(AND(OP!$C$99=2,COUNTIF($T$4:T925,"F")=1),OP!$C$97+IF(F925="F",OP!$C$98,0),"")))</f>
        <v>0</v>
      </c>
      <c r="AK925" s="282">
        <f ca="1">IF(E925&gt;111,,IF(AND(OP!$D$99=1,T925="F"),AA925,IF(AND(OP!$D$99=2,COUNTIF($T$4:T925,"F")=1),OP!$D$97+IF(F925="F",OP!$D$98,0),"")))</f>
        <v>0</v>
      </c>
      <c r="AL925" s="282">
        <f ca="1">IF(E925&gt;111,,IF(AND(OP!$E$99=1,T925="F"),AB925,IF(AND(OP!$E$99=2,COUNTIF($T$4:T925,"F")=1),OP!$E$97+IF(F925="F",OP!$E$98,0),"")))</f>
        <v>0</v>
      </c>
      <c r="AM925" s="1">
        <f t="shared" ca="1" si="516"/>
        <v>11</v>
      </c>
      <c r="AN925" s="1" t="e">
        <f ca="1">IF(OR(VLOOKUP($A925,MP,5,0)="季繳",VLOOKUP($A925,MP,5,0)="月繳"),1,"")</f>
        <v>#N/A</v>
      </c>
      <c r="AO925" s="1">
        <f t="shared" ca="1" si="527"/>
        <v>0</v>
      </c>
      <c r="AP925" s="1" t="str">
        <f ca="1">IF(AND(A925&lt;=OP!$C$120,COUNTIF(PAY,C925)=1),1,"")</f>
        <v/>
      </c>
      <c r="AR925" s="301">
        <f ca="1">IF(繳費報酬率資料!$A$1=1,$AY925+$AZ925,$BF925+$BG925)</f>
        <v>0</v>
      </c>
      <c r="AS925" s="1">
        <f ca="1">IF(C925&lt;&gt;IF($C$3=1,12,$C$3-1),0,IF(繳費報酬率資料!$A$1&lt;&gt;1,VLOOKUP($A925,MP,8,0),IF(AND($A925&gt;=OP!$C$79,$A925&lt;=OP!$C$80),OP!$C$78,)))</f>
        <v>0</v>
      </c>
      <c r="AT925" s="298">
        <f t="shared" ca="1" si="528"/>
        <v>0</v>
      </c>
      <c r="AU925" s="298">
        <f ca="1">IF(AND(A925&lt;=OP!$C$120,COUNTIF(PAY,C925)=1),OP!$C$123,0)</f>
        <v>0</v>
      </c>
      <c r="AV925" s="298">
        <f ca="1">IF(AND(A925&gt;=OP!$C$132,A925&lt;=OP!$C$133,$C$3=C925),OP!$C$135,0)</f>
        <v>0</v>
      </c>
      <c r="AW925" s="180">
        <f t="shared" ca="1" si="529"/>
        <v>0.05</v>
      </c>
      <c r="AX925" s="180">
        <f t="shared" ca="1" si="530"/>
        <v>0.05</v>
      </c>
      <c r="AY925" s="286">
        <f t="shared" ca="1" si="531"/>
        <v>0</v>
      </c>
      <c r="AZ925" s="286">
        <f t="shared" ca="1" si="532"/>
        <v>0</v>
      </c>
      <c r="BA925" s="286">
        <f t="shared" ca="1" si="533"/>
        <v>0</v>
      </c>
      <c r="BB925" s="286">
        <f t="shared" ca="1" si="534"/>
        <v>0</v>
      </c>
      <c r="BC925" s="286">
        <f t="shared" ca="1" si="535"/>
        <v>0</v>
      </c>
      <c r="BD925" s="180">
        <f t="shared" ca="1" si="536"/>
        <v>0.05</v>
      </c>
      <c r="BE925" s="180">
        <f t="shared" ca="1" si="537"/>
        <v>0.05</v>
      </c>
      <c r="BF925" s="286">
        <f t="shared" ca="1" si="538"/>
        <v>0</v>
      </c>
      <c r="BG925" s="286">
        <f t="shared" ca="1" si="539"/>
        <v>0</v>
      </c>
    </row>
    <row r="926" spans="1:59">
      <c r="A926" s="1">
        <f t="shared" ca="1" si="519"/>
        <v>77</v>
      </c>
      <c r="B926" s="1">
        <f t="shared" ca="1" si="512"/>
        <v>183</v>
      </c>
      <c r="C926" s="1">
        <f t="shared" ca="1" si="513"/>
        <v>4</v>
      </c>
      <c r="D926" s="1">
        <f ca="1">MIN($D$3,VLOOKUP(C926,OP!$S$30:$T$41,2))</f>
        <v>2</v>
      </c>
      <c r="E926" s="1" t="str">
        <f t="shared" ca="1" si="514"/>
        <v/>
      </c>
      <c r="F926" s="11" t="str">
        <f t="shared" ca="1" si="520"/>
        <v/>
      </c>
      <c r="G926" s="8">
        <f t="shared" ca="1" si="544"/>
        <v>365</v>
      </c>
      <c r="H926" s="8">
        <f t="shared" ca="1" si="521"/>
        <v>30</v>
      </c>
      <c r="I926" s="8" t="str">
        <f t="shared" ca="1" si="518"/>
        <v>774</v>
      </c>
      <c r="J926" s="13">
        <f>IF(繳費報酬率資料!$A$1=1,VALUE(OP!$C$121),VLOOKUP(A926,MP,2,0))</f>
        <v>0.05</v>
      </c>
      <c r="K926" s="14">
        <f ca="1">IF(SUM($K$4:K925,IF(繳費報酬率資料!$A$1=1,$AU926+$AV926,$BB926+$BC926))&gt;OP!$L$58,0,IF(繳費報酬率資料!$A$1=1,$AU926+$AV926,$BB926+$BC926))</f>
        <v>0</v>
      </c>
      <c r="L926" s="2"/>
      <c r="M926" s="2"/>
      <c r="N926" s="2"/>
      <c r="O926" s="261">
        <f t="shared" ca="1" si="522"/>
        <v>0</v>
      </c>
      <c r="P926" s="261">
        <f t="shared" ca="1" si="540"/>
        <v>0</v>
      </c>
      <c r="Q926" s="3">
        <f ca="1">IF(A926&gt;MAX(OP!$R$17:$R$26),0,VLOOKUP(A926,fees,3,FALSE))</f>
        <v>0</v>
      </c>
      <c r="R926" s="200" t="str">
        <f t="shared" ca="1" si="523"/>
        <v/>
      </c>
      <c r="S926" s="9" t="str">
        <f ca="1">IF(COUNTIF(($T$4:T925),"F")&gt;=1,"",IF(OR(C927&lt;&gt;$C$3,E926=""),"",A926))</f>
        <v/>
      </c>
      <c r="T926" s="20" t="str">
        <f t="shared" ca="1" si="515"/>
        <v/>
      </c>
      <c r="U926" s="2">
        <f ca="1">IF(IF(OP!$C$83=1,$Z925,IF(OP!$C$83=2,$AA925,IF(OP!$C$83=3,$AB925,)))+$K926-$O926-$P926-$AS926&lt;OP!$C$142,0,$AS926)</f>
        <v>0</v>
      </c>
      <c r="V926" s="9"/>
      <c r="W926" s="19">
        <f ca="1">MAX(SUM($K$4:K926),0)</f>
        <v>2000000</v>
      </c>
      <c r="X926" s="19"/>
      <c r="Y926" s="19">
        <f t="shared" ca="1" si="541"/>
        <v>1920000</v>
      </c>
      <c r="Z926" s="2">
        <f ca="1">IF(MIN($Z$4:Z925)=0,0,MAX(0,($Z925+$K926-$O926-$P926)*IF(AND(F926="F",$D$3&lt;&gt;$G$3),((1+(-J926))^(H926/MIN(G926,365))),((1+(-J926))^(1/12)))-$U926))</f>
        <v>37142.848095571688</v>
      </c>
      <c r="AA926" s="2">
        <f ca="1">IF(MIN($AA$4:AA925)=0,0,MAX(0,($AA925+$K926-$O926-$P926)*IF(AND(F926="F",$D$3&lt;&gt;$G$3),((1+$AA$1)^(H926/MIN(G926,365))),((1+$AA$1)^(1/12)))-$U926))</f>
        <v>1920000</v>
      </c>
      <c r="AB926" s="2">
        <f ca="1">IF(MIN($AB$4:AB925)=0,0,MAX(0,($AB925+$K926-$O926-$P926)*IF(AND(F926="F",$D$3&lt;&gt;$G$3),((1+(J926))^(H926/MIN(G926,365))),((1+(J926))^(1/12)))-$U926))</f>
        <v>81867491.270118251</v>
      </c>
      <c r="AC926" s="5"/>
      <c r="AD926" s="5"/>
      <c r="AE926" s="5"/>
      <c r="AF926" s="282">
        <f t="shared" ca="1" si="524"/>
        <v>37143</v>
      </c>
      <c r="AG926" s="282">
        <f t="shared" ca="1" si="525"/>
        <v>1920000</v>
      </c>
      <c r="AH926" s="282">
        <f t="shared" ca="1" si="526"/>
        <v>81867491</v>
      </c>
      <c r="AI926" s="23" t="str">
        <f t="shared" ca="1" si="543"/>
        <v>77-12</v>
      </c>
      <c r="AJ926" s="282">
        <f ca="1">IF(E926&gt;111,,IF(AND(OP!$C$99=1,T926="F"),Z926,IF(AND(OP!$C$99=2,COUNTIF($T$4:T926,"F")=1),OP!$C$97+IF(F926="F",OP!$C$98,0),"")))</f>
        <v>0</v>
      </c>
      <c r="AK926" s="282">
        <f ca="1">IF(E926&gt;111,,IF(AND(OP!$D$99=1,T926="F"),AA926,IF(AND(OP!$D$99=2,COUNTIF($T$4:T926,"F")=1),OP!$D$97+IF(F926="F",OP!$D$98,0),"")))</f>
        <v>0</v>
      </c>
      <c r="AL926" s="282">
        <f ca="1">IF(E926&gt;111,,IF(AND(OP!$E$99=1,T926="F"),AB926,IF(AND(OP!$E$99=2,COUNTIF($T$4:T926,"F")=1),OP!$E$97+IF(F926="F",OP!$E$98,0),"")))</f>
        <v>0</v>
      </c>
      <c r="AM926" s="1">
        <f t="shared" ca="1" si="516"/>
        <v>12</v>
      </c>
      <c r="AN926" s="1" t="e">
        <f ca="1">IF(OR(VLOOKUP($A926,MP,5,0)="月繳"),1,"")</f>
        <v>#N/A</v>
      </c>
      <c r="AO926" s="1">
        <f t="shared" ca="1" si="527"/>
        <v>0</v>
      </c>
      <c r="AP926" s="1" t="str">
        <f ca="1">IF(AND(A926&lt;=OP!$C$120,COUNTIF(PAY,C926)=1),1,"")</f>
        <v/>
      </c>
      <c r="AR926" s="301">
        <f ca="1">IF(繳費報酬率資料!$A$1=1,$AY926+$AZ926,$BF926+$BG926)</f>
        <v>0</v>
      </c>
      <c r="AS926" s="1">
        <f ca="1">IF(C926&lt;&gt;IF($C$3=1,12,$C$3-1),0,IF(繳費報酬率資料!$A$1&lt;&gt;1,VLOOKUP($A926,MP,8,0),IF(AND($A926&gt;=OP!$C$79,$A926&lt;=OP!$C$80),OP!$C$78,)))</f>
        <v>0</v>
      </c>
      <c r="AT926" s="298">
        <f t="shared" ca="1" si="528"/>
        <v>0</v>
      </c>
      <c r="AU926" s="298">
        <f ca="1">IF(AND(A926&lt;=OP!$C$120,COUNTIF(PAY,C926)=1),OP!$C$123,0)</f>
        <v>0</v>
      </c>
      <c r="AV926" s="298">
        <f ca="1">IF(AND(A926&gt;=OP!$C$132,A926&lt;=OP!$C$133,$C$3=C926),OP!$C$135,0)</f>
        <v>0</v>
      </c>
      <c r="AW926" s="180">
        <f t="shared" ca="1" si="529"/>
        <v>0.05</v>
      </c>
      <c r="AX926" s="180">
        <f t="shared" ca="1" si="530"/>
        <v>0.05</v>
      </c>
      <c r="AY926" s="286">
        <f t="shared" ca="1" si="531"/>
        <v>0</v>
      </c>
      <c r="AZ926" s="286">
        <f t="shared" ca="1" si="532"/>
        <v>0</v>
      </c>
      <c r="BA926" s="286">
        <f t="shared" ca="1" si="533"/>
        <v>0</v>
      </c>
      <c r="BB926" s="286">
        <f t="shared" ca="1" si="534"/>
        <v>0</v>
      </c>
      <c r="BC926" s="286">
        <f t="shared" ca="1" si="535"/>
        <v>0</v>
      </c>
      <c r="BD926" s="180">
        <f t="shared" ca="1" si="536"/>
        <v>0.05</v>
      </c>
      <c r="BE926" s="180">
        <f t="shared" ca="1" si="537"/>
        <v>0.05</v>
      </c>
      <c r="BF926" s="286">
        <f t="shared" ca="1" si="538"/>
        <v>0</v>
      </c>
      <c r="BG926" s="286">
        <f t="shared" ca="1" si="539"/>
        <v>0</v>
      </c>
    </row>
    <row r="927" spans="1:59">
      <c r="A927" s="1">
        <f t="shared" ca="1" si="519"/>
        <v>77</v>
      </c>
      <c r="B927" s="1">
        <f t="shared" ca="1" si="512"/>
        <v>183</v>
      </c>
      <c r="C927" s="1">
        <f t="shared" ca="1" si="513"/>
        <v>5</v>
      </c>
      <c r="D927" s="1">
        <f ca="1">MIN($D$3,VLOOKUP(C927,OP!$S$30:$T$41,2))</f>
        <v>2</v>
      </c>
      <c r="E927" s="1" t="str">
        <f t="shared" ca="1" si="514"/>
        <v/>
      </c>
      <c r="F927" s="11" t="str">
        <f t="shared" ca="1" si="520"/>
        <v/>
      </c>
      <c r="G927" s="8">
        <f t="shared" ca="1" si="544"/>
        <v>365</v>
      </c>
      <c r="H927" s="8">
        <f t="shared" ca="1" si="521"/>
        <v>31</v>
      </c>
      <c r="I927" s="8" t="str">
        <f t="shared" ca="1" si="518"/>
        <v>775</v>
      </c>
      <c r="J927" s="13">
        <f>IF(繳費報酬率資料!$A$1=1,VALUE(OP!$C$121),VLOOKUP(A927,MP,2,0))</f>
        <v>0.05</v>
      </c>
      <c r="K927" s="14">
        <f ca="1">IF(SUM($K$4:K926,IF(繳費報酬率資料!$A$1=1,$AU927+$AV927,$BB927+$BC927))&gt;OP!$L$58,0,IF(繳費報酬率資料!$A$1=1,$AU927+$AV927,$BB927+$BC927))</f>
        <v>0</v>
      </c>
      <c r="L927" s="2">
        <f ca="1">ROUND(IF(OP!$C$78&lt;(IF(OR($T927="F",$E927&gt;=111),0,Z926+$K927-$O927+IF($C$1=1,OP!$C$78,IF($C928=$C$3,SUM(AC916:AC927,0)))))*5%,0,(OP!$C$78-((IF(OR($T927="F",$E927&gt;=111),0,Z926+$K927-$O927+IF($C$1=1,AC927,IF($C928=$C$3,SUM(AC916:AC927,0)))))*5%))*$Q927),0)</f>
        <v>0</v>
      </c>
      <c r="M927" s="2">
        <f ca="1">ROUND(IF(OP!$C$78&lt;(IF(OR($T927="F",$E927&gt;=111),0,AA926+$K927-$O927+IF($C$1=1,AD927,IF($C928=$C$3,SUM(AD916:AD927,0)))))*5%,0,(OP!$C$78-((IF(OR($T927="F",$E927&gt;=111),0,AA926+$K927-$O927+IF($C$1=1,AD927,IF($C928=$C$3,SUM(AD916:AD927,0)))))*5%))*$Q927),0)</f>
        <v>0</v>
      </c>
      <c r="N927" s="2">
        <f ca="1">ROUND(IF(OP!$C$78&lt;(IF(OR($T927="F",$E927&gt;=111),0,AB926+$K927-$O927+IF($C$1=1,AE927,IF($C928=$C$3,SUM(AE916:AE927,0)))))*5%,0,(OP!$C$78-((IF(OR($T927="F",$E927&gt;=111),0,AB926+$K927-$O927+IF($C$1=1,AE927,IF($C928=$C$3,SUM(AE916:AE927,0)))))*5%))*$Q927),0)</f>
        <v>0</v>
      </c>
      <c r="O927" s="261">
        <f t="shared" ca="1" si="522"/>
        <v>0</v>
      </c>
      <c r="P927" s="261">
        <f t="shared" ca="1" si="540"/>
        <v>0</v>
      </c>
      <c r="Q927" s="3">
        <f ca="1">IF(A927&gt;MAX(OP!$R$17:$R$26),0,VLOOKUP(A927,fees,3,FALSE))</f>
        <v>0</v>
      </c>
      <c r="R927" s="200" t="str">
        <f t="shared" ca="1" si="523"/>
        <v/>
      </c>
      <c r="S927" s="9" t="str">
        <f ca="1">IF(COUNTIF(($T$4:T926),"F")&gt;=1,"",IF(OR(C928&lt;&gt;$C$3,E927=""),"",A927))</f>
        <v/>
      </c>
      <c r="T927" s="20" t="str">
        <f t="shared" ca="1" si="515"/>
        <v/>
      </c>
      <c r="U927" s="2">
        <f ca="1">IF(IF(OP!$C$83=1,$Z926,IF(OP!$C$83=2,$AA926,IF(OP!$C$83=3,$AB926,)))+$K927-$O927-$P927-$AS927&lt;OP!$C$142,0,$AS927)</f>
        <v>0</v>
      </c>
      <c r="V927" s="19">
        <f ca="1">SUM(K916:K927)</f>
        <v>0</v>
      </c>
      <c r="W927" s="19">
        <f ca="1">MAX(SUM($K$4:K927),0)</f>
        <v>2000000</v>
      </c>
      <c r="X927" s="19">
        <f ca="1">SUM(O916:P927)</f>
        <v>0</v>
      </c>
      <c r="Y927" s="19">
        <f t="shared" ca="1" si="541"/>
        <v>1920000</v>
      </c>
      <c r="Z927" s="2">
        <f ca="1">IF(MIN($Z$4:Z926)=0,0,MAX(0,($Z926+$K927-$O927-$P927)*IF(AND(F927="F",$D$3&lt;&gt;$G$3),((1+(-J927))^(H927/MIN(G927,365))),((1+(-J927))^(1/12)))-$U927))</f>
        <v>36984.422008137561</v>
      </c>
      <c r="AA927" s="2">
        <f ca="1">IF(MIN($AA$4:AA926)=0,0,MAX(0,($AA926+$K927-$O927-$P927)*IF(AND(F927="F",$D$3&lt;&gt;$G$3),((1+$AA$1)^(H927/MIN(G927,365))),((1+$AA$1)^(1/12)))-$U927))</f>
        <v>1920000</v>
      </c>
      <c r="AB927" s="2">
        <f ca="1">IF(MIN($AB$4:AB926)=0,0,MAX(0,($AB926+$K927-$O927-$P927)*IF(AND(F927="F",$D$3&lt;&gt;$G$3),((1+(J927))^(H927/MIN(G927,365))),((1+(J927))^(1/12)))-$U927))</f>
        <v>82201029.563409463</v>
      </c>
      <c r="AC927" s="5"/>
      <c r="AD927" s="5"/>
      <c r="AE927" s="5"/>
      <c r="AF927" s="282">
        <f t="shared" ca="1" si="524"/>
        <v>36984</v>
      </c>
      <c r="AG927" s="282">
        <f t="shared" ca="1" si="525"/>
        <v>1920000</v>
      </c>
      <c r="AH927" s="282">
        <f t="shared" ca="1" si="526"/>
        <v>82201030</v>
      </c>
      <c r="AI927" s="23" t="str">
        <f t="shared" ca="1" si="543"/>
        <v>78-1</v>
      </c>
      <c r="AJ927" s="282">
        <f ca="1">IF(E927&gt;111,,IF(AND(OP!$C$99=1,T927="F"),Z927,IF(AND(OP!$C$99=2,COUNTIF($T$4:T927,"F")=1),OP!$C$97+IF(F927="F",OP!$C$98,0),"")))</f>
        <v>0</v>
      </c>
      <c r="AK927" s="282">
        <f ca="1">IF(E927&gt;111,,IF(AND(OP!$D$99=1,T927="F"),AA927,IF(AND(OP!$D$99=2,COUNTIF($T$4:T927,"F")=1),OP!$D$97+IF(F927="F",OP!$D$98,0),"")))</f>
        <v>0</v>
      </c>
      <c r="AL927" s="282">
        <f ca="1">IF(E927&gt;111,,IF(AND(OP!$E$99=1,T927="F"),AB927,IF(AND(OP!$E$99=2,COUNTIF($T$4:T927,"F")=1),OP!$E$97+IF(F927="F",OP!$E$98,0),"")))</f>
        <v>0</v>
      </c>
      <c r="AM927" s="1">
        <f t="shared" ca="1" si="516"/>
        <v>1</v>
      </c>
      <c r="AN927" s="1" t="e">
        <f ca="1">IF(OR(VLOOKUP($A927,MP,5,0)="月繳"),1,"")</f>
        <v>#N/A</v>
      </c>
      <c r="AO927" s="1">
        <f t="shared" ca="1" si="527"/>
        <v>0</v>
      </c>
      <c r="AP927" s="1" t="str">
        <f ca="1">IF(AND(A927&lt;=OP!$C$120,COUNTIF(PAY,C927)=1),1,"")</f>
        <v/>
      </c>
      <c r="AR927" s="301">
        <f ca="1">IF(繳費報酬率資料!$A$1=1,$AY927+$AZ927,$BF927+$BG927)</f>
        <v>0</v>
      </c>
      <c r="AS927" s="1">
        <f ca="1">IF(C927&lt;&gt;IF($C$3=1,12,$C$3-1),0,IF(繳費報酬率資料!$A$1&lt;&gt;1,VLOOKUP($A927,MP,8,0),IF(AND($A927&gt;=OP!$C$79,$A927&lt;=OP!$C$80),OP!$C$78,)))</f>
        <v>0</v>
      </c>
      <c r="AT927" s="298">
        <f t="shared" ca="1" si="528"/>
        <v>0</v>
      </c>
      <c r="AU927" s="298">
        <f ca="1">IF(AND(A927&lt;=OP!$C$120,COUNTIF(PAY,C927)=1),OP!$C$123,0)</f>
        <v>0</v>
      </c>
      <c r="AV927" s="298">
        <f ca="1">IF(AND(A927&gt;=OP!$C$132,A927&lt;=OP!$C$133,$C$3=C927),OP!$C$135,0)</f>
        <v>0</v>
      </c>
      <c r="AW927" s="180">
        <f t="shared" ca="1" si="529"/>
        <v>0.05</v>
      </c>
      <c r="AX927" s="180">
        <f t="shared" ca="1" si="530"/>
        <v>0.05</v>
      </c>
      <c r="AY927" s="286">
        <f t="shared" ca="1" si="531"/>
        <v>0</v>
      </c>
      <c r="AZ927" s="286">
        <f t="shared" ca="1" si="532"/>
        <v>0</v>
      </c>
      <c r="BA927" s="286">
        <f t="shared" ca="1" si="533"/>
        <v>0</v>
      </c>
      <c r="BB927" s="286">
        <f t="shared" ca="1" si="534"/>
        <v>0</v>
      </c>
      <c r="BC927" s="286">
        <f t="shared" ca="1" si="535"/>
        <v>0</v>
      </c>
      <c r="BD927" s="180">
        <f t="shared" ca="1" si="536"/>
        <v>0.05</v>
      </c>
      <c r="BE927" s="180">
        <f t="shared" ca="1" si="537"/>
        <v>0.05</v>
      </c>
      <c r="BF927" s="286">
        <f t="shared" ca="1" si="538"/>
        <v>0</v>
      </c>
      <c r="BG927" s="286">
        <f t="shared" ca="1" si="539"/>
        <v>0</v>
      </c>
    </row>
    <row r="928" spans="1:59">
      <c r="A928" s="1">
        <f t="shared" ca="1" si="519"/>
        <v>78</v>
      </c>
      <c r="B928" s="1">
        <f t="shared" ca="1" si="512"/>
        <v>183</v>
      </c>
      <c r="C928" s="1">
        <f t="shared" ca="1" si="513"/>
        <v>6</v>
      </c>
      <c r="D928" s="1">
        <f ca="1">MIN($D$3,VLOOKUP(C928,OP!$S$30:$T$41,2))</f>
        <v>2</v>
      </c>
      <c r="E928" s="1" t="str">
        <f t="shared" ca="1" si="514"/>
        <v/>
      </c>
      <c r="F928" s="11" t="str">
        <f t="shared" ca="1" si="520"/>
        <v/>
      </c>
      <c r="G928" s="6">
        <f ca="1">DATEDIF(DATE(B928+1911,C928,D928),DATE(B940+1911,C940,D940),"d")</f>
        <v>365</v>
      </c>
      <c r="H928" s="8">
        <f t="shared" ca="1" si="521"/>
        <v>30</v>
      </c>
      <c r="I928" s="8" t="str">
        <f t="shared" ca="1" si="518"/>
        <v>786</v>
      </c>
      <c r="J928" s="13">
        <f>IF(繳費報酬率資料!$A$1=1,VALUE(OP!$C$121),VLOOKUP(A928,MP,2,0))</f>
        <v>0.05</v>
      </c>
      <c r="K928" s="14">
        <f ca="1">IF(SUM($K$4:K927,IF(繳費報酬率資料!$A$1=1,$AU928+$AV928,$BB928+$BC928))&gt;OP!$L$58,0,IF(繳費報酬率資料!$A$1=1,$AU928+$AV928,$BB928+$BC928))</f>
        <v>0</v>
      </c>
      <c r="L928" s="2"/>
      <c r="M928" s="2"/>
      <c r="N928" s="2"/>
      <c r="O928" s="261">
        <f t="shared" ca="1" si="522"/>
        <v>0</v>
      </c>
      <c r="P928" s="261">
        <f t="shared" ca="1" si="540"/>
        <v>0</v>
      </c>
      <c r="Q928" s="3">
        <f ca="1">IF(A928&gt;MAX(OP!$R$17:$R$26),0,VLOOKUP(A928,fees,3,FALSE))</f>
        <v>0</v>
      </c>
      <c r="R928" s="200" t="str">
        <f t="shared" ca="1" si="523"/>
        <v/>
      </c>
      <c r="S928" s="9" t="str">
        <f ca="1">IF(COUNTIF(($T$4:T927),"F")&gt;=1,"",IF(OR(C929&lt;&gt;$C$3,E928=""),"",A928))</f>
        <v/>
      </c>
      <c r="T928" s="20" t="str">
        <f t="shared" ca="1" si="515"/>
        <v/>
      </c>
      <c r="U928" s="2">
        <f ca="1">IF(IF(OP!$C$83=1,$Z927,IF(OP!$C$83=2,$AA927,IF(OP!$C$83=3,$AB927,)))+$K928-$O928-$P928-$AS928&lt;OP!$C$142,0,$AS928)</f>
        <v>0</v>
      </c>
      <c r="V928" s="9"/>
      <c r="W928" s="19">
        <f ca="1">MAX(SUM($K$4:K928),0)</f>
        <v>2000000</v>
      </c>
      <c r="X928" s="19"/>
      <c r="Y928" s="19">
        <f t="shared" ca="1" si="541"/>
        <v>1920000</v>
      </c>
      <c r="Z928" s="2">
        <f ca="1">IF(MIN($Z$4:Z927)=0,0,MAX(0,($Z927+$K928-$O928-$P928)*IF(AND(F928="F",$D$3&lt;&gt;$G$3),((1+(-J928))^(H928/MIN(G928,365))),((1+(-J928))^(1/12)))-$U928))</f>
        <v>36826.671658469022</v>
      </c>
      <c r="AA928" s="2">
        <f ca="1">IF(MIN($AA$4:AA927)=0,0,MAX(0,($AA927+$K928-$O928-$P928)*IF(AND(F928="F",$D$3&lt;&gt;$G$3),((1+$AA$1)^(H928/MIN(G928,365))),((1+$AA$1)^(1/12)))-$U928))</f>
        <v>1920000</v>
      </c>
      <c r="AB928" s="2">
        <f ca="1">IF(MIN($AB$4:AB927)=0,0,MAX(0,($AB927+$K928-$O928-$P928)*IF(AND(F928="F",$D$3&lt;&gt;$G$3),((1+(J928))^(H928/MIN(G928,365))),((1+(J928))^(1/12)))-$U928))</f>
        <v>82535926.732994124</v>
      </c>
      <c r="AC928" s="21"/>
      <c r="AD928" s="21"/>
      <c r="AE928" s="21"/>
      <c r="AF928" s="282">
        <f t="shared" ca="1" si="524"/>
        <v>36827</v>
      </c>
      <c r="AG928" s="282">
        <f t="shared" ca="1" si="525"/>
        <v>1920000</v>
      </c>
      <c r="AH928" s="282">
        <f t="shared" ca="1" si="526"/>
        <v>82535927</v>
      </c>
      <c r="AI928" s="23" t="str">
        <f t="shared" ca="1" si="543"/>
        <v>78-2</v>
      </c>
      <c r="AJ928" s="281">
        <f ca="1">IF(E928&gt;111,,IF(AND(OP!$C$99=1,T928="F"),Z928,IF(AND(OP!$C$99=2,COUNTIF($T$4:T928,"F")=1),OP!$C$97+IF(F928="F",OP!$C$98,0),"")))</f>
        <v>0</v>
      </c>
      <c r="AK928" s="281">
        <f ca="1">IF(E928&gt;111,,IF(AND(OP!$D$99=1,T928="F"),AA928,IF(AND(OP!$D$99=2,COUNTIF($T$4:T928,"F")=1),OP!$D$97+IF(F928="F",OP!$D$98,0),"")))</f>
        <v>0</v>
      </c>
      <c r="AL928" s="281">
        <f ca="1">IF(E928&gt;111,,IF(AND(OP!$E$99=1,T928="F"),AB928,IF(AND(OP!$E$99=2,COUNTIF($T$4:T928,"F")=1),OP!$E$97+IF(F928="F",OP!$E$98,0),"")))</f>
        <v>0</v>
      </c>
      <c r="AM928" s="1">
        <f t="shared" ca="1" si="516"/>
        <v>2</v>
      </c>
      <c r="AN928" s="1" t="e">
        <f ca="1">IF(OR(VLOOKUP($A928,MP,5,0)="年繳",VLOOKUP($A928,MP,5,0)="半年繳",VLOOKUP($A928,MP,5,0)="季繳",VLOOKUP($A928,MP,5,0)="月繳"),1,"")</f>
        <v>#N/A</v>
      </c>
      <c r="AO928" s="1">
        <f t="shared" ca="1" si="527"/>
        <v>0</v>
      </c>
      <c r="AP928" s="1" t="str">
        <f ca="1">IF(AND(A928&lt;=OP!$C$120,COUNTIF(PAY,C928)=1),1,"")</f>
        <v/>
      </c>
      <c r="AR928" s="301">
        <f ca="1">IF(繳費報酬率資料!$A$1=1,$AY928+$AZ928,$BF928+$BG928)</f>
        <v>0</v>
      </c>
      <c r="AS928" s="1">
        <f ca="1">IF(C928&lt;&gt;IF($C$3=1,12,$C$3-1),0,IF(繳費報酬率資料!$A$1&lt;&gt;1,VLOOKUP($A928,MP,8,0),IF(AND($A928&gt;=OP!$C$79,$A928&lt;=OP!$C$80),OP!$C$78,)))</f>
        <v>0</v>
      </c>
      <c r="AT928" s="298">
        <f t="shared" ca="1" si="528"/>
        <v>0</v>
      </c>
      <c r="AU928" s="298">
        <f ca="1">IF(AND(A928&lt;=OP!$C$120,COUNTIF(PAY,C928)=1),OP!$C$123,0)</f>
        <v>0</v>
      </c>
      <c r="AV928" s="298">
        <f ca="1">IF(AND(A928&gt;=OP!$C$132,A928&lt;=OP!$C$133,$C$3=C928),OP!$C$135,0)</f>
        <v>0</v>
      </c>
      <c r="AW928" s="180">
        <f t="shared" ca="1" si="529"/>
        <v>0.05</v>
      </c>
      <c r="AX928" s="180">
        <f t="shared" ca="1" si="530"/>
        <v>0.05</v>
      </c>
      <c r="AY928" s="286">
        <f t="shared" ca="1" si="531"/>
        <v>0</v>
      </c>
      <c r="AZ928" s="286">
        <f t="shared" ca="1" si="532"/>
        <v>0</v>
      </c>
      <c r="BA928" s="286">
        <f t="shared" ca="1" si="533"/>
        <v>0</v>
      </c>
      <c r="BB928" s="286">
        <f t="shared" ca="1" si="534"/>
        <v>0</v>
      </c>
      <c r="BC928" s="286">
        <f t="shared" ca="1" si="535"/>
        <v>0</v>
      </c>
      <c r="BD928" s="180">
        <f t="shared" ca="1" si="536"/>
        <v>0.05</v>
      </c>
      <c r="BE928" s="180">
        <f t="shared" ca="1" si="537"/>
        <v>0.05</v>
      </c>
      <c r="BF928" s="286">
        <f t="shared" ca="1" si="538"/>
        <v>0</v>
      </c>
      <c r="BG928" s="286">
        <f t="shared" ca="1" si="539"/>
        <v>0</v>
      </c>
    </row>
    <row r="929" spans="1:59">
      <c r="A929" s="1">
        <f t="shared" ca="1" si="519"/>
        <v>78</v>
      </c>
      <c r="B929" s="1">
        <f t="shared" ca="1" si="512"/>
        <v>183</v>
      </c>
      <c r="C929" s="1">
        <f t="shared" ca="1" si="513"/>
        <v>7</v>
      </c>
      <c r="D929" s="1">
        <f ca="1">MIN($D$3,VLOOKUP(C929,OP!$S$30:$T$41,2))</f>
        <v>2</v>
      </c>
      <c r="E929" s="1" t="str">
        <f t="shared" ca="1" si="514"/>
        <v/>
      </c>
      <c r="F929" s="11" t="str">
        <f t="shared" ca="1" si="520"/>
        <v/>
      </c>
      <c r="G929" s="8">
        <f t="shared" ref="G929:G939" ca="1" si="545">G928</f>
        <v>365</v>
      </c>
      <c r="H929" s="8">
        <f t="shared" ca="1" si="521"/>
        <v>31</v>
      </c>
      <c r="I929" s="8" t="str">
        <f t="shared" ca="1" si="518"/>
        <v>787</v>
      </c>
      <c r="J929" s="13">
        <f>IF(繳費報酬率資料!$A$1=1,VALUE(OP!$C$121),VLOOKUP(A929,MP,2,0))</f>
        <v>0.05</v>
      </c>
      <c r="K929" s="14">
        <f ca="1">IF(SUM($K$4:K928,IF(繳費報酬率資料!$A$1=1,$AU929+$AV929,$BB929+$BC929))&gt;OP!$L$58,0,IF(繳費報酬率資料!$A$1=1,$AU929+$AV929,$BB929+$BC929))</f>
        <v>0</v>
      </c>
      <c r="L929" s="2"/>
      <c r="M929" s="2"/>
      <c r="N929" s="2"/>
      <c r="O929" s="261">
        <f t="shared" ca="1" si="522"/>
        <v>0</v>
      </c>
      <c r="P929" s="261">
        <f t="shared" ca="1" si="540"/>
        <v>0</v>
      </c>
      <c r="Q929" s="3">
        <f ca="1">IF(A929&gt;MAX(OP!$R$17:$R$26),0,VLOOKUP(A929,fees,3,FALSE))</f>
        <v>0</v>
      </c>
      <c r="R929" s="200" t="str">
        <f t="shared" ca="1" si="523"/>
        <v/>
      </c>
      <c r="S929" s="9" t="str">
        <f ca="1">IF(COUNTIF(($T$4:T928),"F")&gt;=1,"",IF(OR(C930&lt;&gt;$C$3,E929=""),"",A929))</f>
        <v/>
      </c>
      <c r="T929" s="20" t="str">
        <f t="shared" ca="1" si="515"/>
        <v/>
      </c>
      <c r="U929" s="2">
        <f ca="1">IF(IF(OP!$C$83=1,$Z928,IF(OP!$C$83=2,$AA928,IF(OP!$C$83=3,$AB928,)))+$K929-$O929-$P929-$AS929&lt;OP!$C$142,0,$AS929)</f>
        <v>0</v>
      </c>
      <c r="V929" s="9"/>
      <c r="W929" s="19">
        <f ca="1">MAX(SUM($K$4:K929),0)</f>
        <v>2000000</v>
      </c>
      <c r="X929" s="19"/>
      <c r="Y929" s="19">
        <f t="shared" ca="1" si="541"/>
        <v>1920000</v>
      </c>
      <c r="Z929" s="2">
        <f ca="1">IF(MIN($Z$4:Z928)=0,0,MAX(0,($Z928+$K929-$O929-$P929)*IF(AND(F929="F",$D$3&lt;&gt;$G$3),((1+(-J929))^(H929/MIN(G929,365))),((1+(-J929))^(1/12)))-$U929))</f>
        <v>36669.594164329093</v>
      </c>
      <c r="AA929" s="2">
        <f ca="1">IF(MIN($AA$4:AA928)=0,0,MAX(0,($AA928+$K929-$O929-$P929)*IF(AND(F929="F",$D$3&lt;&gt;$G$3),((1+$AA$1)^(H929/MIN(G929,365))),((1+$AA$1)^(1/12)))-$U929))</f>
        <v>1920000</v>
      </c>
      <c r="AB929" s="2">
        <f ca="1">IF(MIN($AB$4:AB928)=0,0,MAX(0,($AB928+$K929-$O929-$P929)*IF(AND(F929="F",$D$3&lt;&gt;$G$3),((1+(J929))^(H929/MIN(G929,365))),((1+(J929))^(1/12)))-$U929))</f>
        <v>82872188.315102473</v>
      </c>
      <c r="AC929" s="5"/>
      <c r="AD929" s="5"/>
      <c r="AE929" s="5"/>
      <c r="AF929" s="282">
        <f t="shared" ca="1" si="524"/>
        <v>36670</v>
      </c>
      <c r="AG929" s="282">
        <f t="shared" ca="1" si="525"/>
        <v>1920000</v>
      </c>
      <c r="AH929" s="282">
        <f t="shared" ca="1" si="526"/>
        <v>82872188</v>
      </c>
      <c r="AI929" s="23" t="str">
        <f t="shared" ca="1" si="543"/>
        <v>78-3</v>
      </c>
      <c r="AJ929" s="282">
        <f ca="1">IF(E929&gt;111,,IF(AND(OP!$C$99=1,T929="F"),Z929,IF(AND(OP!$C$99=2,COUNTIF($T$4:T929,"F")=1),OP!$C$97+IF(F929="F",OP!$C$98,0),"")))</f>
        <v>0</v>
      </c>
      <c r="AK929" s="282">
        <f ca="1">IF(E929&gt;111,,IF(AND(OP!$D$99=1,T929="F"),AA929,IF(AND(OP!$D$99=2,COUNTIF($T$4:T929,"F")=1),OP!$D$97+IF(F929="F",OP!$D$98,0),"")))</f>
        <v>0</v>
      </c>
      <c r="AL929" s="282">
        <f ca="1">IF(E929&gt;111,,IF(AND(OP!$E$99=1,T929="F"),AB929,IF(AND(OP!$E$99=2,COUNTIF($T$4:T929,"F")=1),OP!$E$97+IF(F929="F",OP!$E$98,0),"")))</f>
        <v>0</v>
      </c>
      <c r="AM929" s="1">
        <f t="shared" ca="1" si="516"/>
        <v>3</v>
      </c>
      <c r="AN929" s="1" t="e">
        <f ca="1">IF(OR(VLOOKUP($A929,MP,5,0)="月繳"),1,"")</f>
        <v>#N/A</v>
      </c>
      <c r="AO929" s="1">
        <f t="shared" ca="1" si="527"/>
        <v>0</v>
      </c>
      <c r="AP929" s="1" t="str">
        <f ca="1">IF(AND(A929&lt;=OP!$C$120,COUNTIF(PAY,C929)=1),1,"")</f>
        <v/>
      </c>
      <c r="AR929" s="301">
        <f ca="1">IF(繳費報酬率資料!$A$1=1,$AY929+$AZ929,$BF929+$BG929)</f>
        <v>0</v>
      </c>
      <c r="AS929" s="1">
        <f ca="1">IF(C929&lt;&gt;IF($C$3=1,12,$C$3-1),0,IF(繳費報酬率資料!$A$1&lt;&gt;1,VLOOKUP($A929,MP,8,0),IF(AND($A929&gt;=OP!$C$79,$A929&lt;=OP!$C$80),OP!$C$78,)))</f>
        <v>0</v>
      </c>
      <c r="AT929" s="298">
        <f t="shared" ca="1" si="528"/>
        <v>0</v>
      </c>
      <c r="AU929" s="298">
        <f ca="1">IF(AND(A929&lt;=OP!$C$120,COUNTIF(PAY,C929)=1),OP!$C$123,0)</f>
        <v>0</v>
      </c>
      <c r="AV929" s="298">
        <f ca="1">IF(AND(A929&gt;=OP!$C$132,A929&lt;=OP!$C$133,$C$3=C929),OP!$C$135,0)</f>
        <v>0</v>
      </c>
      <c r="AW929" s="180">
        <f t="shared" ca="1" si="529"/>
        <v>0.05</v>
      </c>
      <c r="AX929" s="180">
        <f t="shared" ca="1" si="530"/>
        <v>0.05</v>
      </c>
      <c r="AY929" s="286">
        <f t="shared" ca="1" si="531"/>
        <v>0</v>
      </c>
      <c r="AZ929" s="286">
        <f t="shared" ca="1" si="532"/>
        <v>0</v>
      </c>
      <c r="BA929" s="286">
        <f t="shared" ca="1" si="533"/>
        <v>0</v>
      </c>
      <c r="BB929" s="286">
        <f t="shared" ca="1" si="534"/>
        <v>0</v>
      </c>
      <c r="BC929" s="286">
        <f t="shared" ca="1" si="535"/>
        <v>0</v>
      </c>
      <c r="BD929" s="180">
        <f t="shared" ca="1" si="536"/>
        <v>0.05</v>
      </c>
      <c r="BE929" s="180">
        <f t="shared" ca="1" si="537"/>
        <v>0.05</v>
      </c>
      <c r="BF929" s="286">
        <f t="shared" ca="1" si="538"/>
        <v>0</v>
      </c>
      <c r="BG929" s="286">
        <f t="shared" ca="1" si="539"/>
        <v>0</v>
      </c>
    </row>
    <row r="930" spans="1:59">
      <c r="A930" s="1">
        <f t="shared" ca="1" si="519"/>
        <v>78</v>
      </c>
      <c r="B930" s="1">
        <f t="shared" ca="1" si="512"/>
        <v>183</v>
      </c>
      <c r="C930" s="1">
        <f t="shared" ca="1" si="513"/>
        <v>8</v>
      </c>
      <c r="D930" s="1">
        <f ca="1">MIN($D$3,VLOOKUP(C930,OP!$S$30:$T$41,2))</f>
        <v>2</v>
      </c>
      <c r="E930" s="1" t="str">
        <f t="shared" ca="1" si="514"/>
        <v/>
      </c>
      <c r="F930" s="11" t="str">
        <f t="shared" ca="1" si="520"/>
        <v/>
      </c>
      <c r="G930" s="8">
        <f t="shared" ca="1" si="545"/>
        <v>365</v>
      </c>
      <c r="H930" s="8">
        <f t="shared" ca="1" si="521"/>
        <v>31</v>
      </c>
      <c r="I930" s="8" t="str">
        <f t="shared" ca="1" si="518"/>
        <v>788</v>
      </c>
      <c r="J930" s="13">
        <f>IF(繳費報酬率資料!$A$1=1,VALUE(OP!$C$121),VLOOKUP(A930,MP,2,0))</f>
        <v>0.05</v>
      </c>
      <c r="K930" s="14">
        <f ca="1">IF(SUM($K$4:K929,IF(繳費報酬率資料!$A$1=1,$AU930+$AV930,$BB930+$BC930))&gt;OP!$L$58,0,IF(繳費報酬率資料!$A$1=1,$AU930+$AV930,$BB930+$BC930))</f>
        <v>0</v>
      </c>
      <c r="L930" s="2"/>
      <c r="M930" s="2"/>
      <c r="N930" s="2"/>
      <c r="O930" s="261">
        <f t="shared" ca="1" si="522"/>
        <v>0</v>
      </c>
      <c r="P930" s="261">
        <f t="shared" ca="1" si="540"/>
        <v>0</v>
      </c>
      <c r="Q930" s="3">
        <f ca="1">IF(A930&gt;MAX(OP!$R$17:$R$26),0,VLOOKUP(A930,fees,3,FALSE))</f>
        <v>0</v>
      </c>
      <c r="R930" s="200" t="str">
        <f t="shared" ca="1" si="523"/>
        <v/>
      </c>
      <c r="S930" s="9" t="str">
        <f ca="1">IF(COUNTIF(($T$4:T929),"F")&gt;=1,"",IF(OR(C931&lt;&gt;$C$3,E930=""),"",A930))</f>
        <v/>
      </c>
      <c r="T930" s="20" t="str">
        <f t="shared" ca="1" si="515"/>
        <v/>
      </c>
      <c r="U930" s="2">
        <f ca="1">IF(IF(OP!$C$83=1,$Z929,IF(OP!$C$83=2,$AA929,IF(OP!$C$83=3,$AB929,)))+$K930-$O930-$P930-$AS930&lt;OP!$C$142,0,$AS930)</f>
        <v>0</v>
      </c>
      <c r="V930" s="9"/>
      <c r="W930" s="19">
        <f ca="1">MAX(SUM($K$4:K930),0)</f>
        <v>2000000</v>
      </c>
      <c r="X930" s="19"/>
      <c r="Y930" s="19">
        <f t="shared" ca="1" si="541"/>
        <v>1920000</v>
      </c>
      <c r="Z930" s="2">
        <f ca="1">IF(MIN($Z$4:Z929)=0,0,MAX(0,($Z929+$K930-$O930-$P930)*IF(AND(F930="F",$D$3&lt;&gt;$G$3),((1+(-J930))^(H930/MIN(G930,365))),((1+(-J930))^(1/12)))-$U930))</f>
        <v>36513.186655774451</v>
      </c>
      <c r="AA930" s="2">
        <f ca="1">IF(MIN($AA$4:AA929)=0,0,MAX(0,($AA929+$K930-$O930-$P930)*IF(AND(F930="F",$D$3&lt;&gt;$G$3),((1+$AA$1)^(H930/MIN(G930,365))),((1+$AA$1)^(1/12)))-$U930))</f>
        <v>1920000</v>
      </c>
      <c r="AB930" s="2">
        <f ca="1">IF(MIN($AB$4:AB929)=0,0,MAX(0,($AB929+$K930-$O930-$P930)*IF(AND(F930="F",$D$3&lt;&gt;$G$3),((1+(J930))^(H930/MIN(G930,365))),((1+(J930))^(1/12)))-$U930))</f>
        <v>83209819.868520021</v>
      </c>
      <c r="AC930" s="5"/>
      <c r="AD930" s="5"/>
      <c r="AE930" s="5"/>
      <c r="AF930" s="282">
        <f t="shared" ca="1" si="524"/>
        <v>36513</v>
      </c>
      <c r="AG930" s="282">
        <f t="shared" ca="1" si="525"/>
        <v>1920000</v>
      </c>
      <c r="AH930" s="282">
        <f t="shared" ca="1" si="526"/>
        <v>83209820</v>
      </c>
      <c r="AI930" s="23" t="str">
        <f t="shared" ca="1" si="543"/>
        <v>78-4</v>
      </c>
      <c r="AJ930" s="282">
        <f ca="1">IF(E930&gt;111,,IF(AND(OP!$C$99=1,T930="F"),Z930,IF(AND(OP!$C$99=2,COUNTIF($T$4:T930,"F")=1),OP!$C$97+IF(F930="F",OP!$C$98,0),"")))</f>
        <v>0</v>
      </c>
      <c r="AK930" s="282">
        <f ca="1">IF(E930&gt;111,,IF(AND(OP!$D$99=1,T930="F"),AA930,IF(AND(OP!$D$99=2,COUNTIF($T$4:T930,"F")=1),OP!$D$97+IF(F930="F",OP!$D$98,0),"")))</f>
        <v>0</v>
      </c>
      <c r="AL930" s="282">
        <f ca="1">IF(E930&gt;111,,IF(AND(OP!$E$99=1,T930="F"),AB930,IF(AND(OP!$E$99=2,COUNTIF($T$4:T930,"F")=1),OP!$E$97+IF(F930="F",OP!$E$98,0),"")))</f>
        <v>0</v>
      </c>
      <c r="AM930" s="1">
        <f t="shared" ca="1" si="516"/>
        <v>4</v>
      </c>
      <c r="AN930" s="1" t="e">
        <f ca="1">IF(OR(VLOOKUP($A930,MP,5,0)="月繳"),1,"")</f>
        <v>#N/A</v>
      </c>
      <c r="AO930" s="1">
        <f t="shared" ca="1" si="527"/>
        <v>0</v>
      </c>
      <c r="AP930" s="1" t="str">
        <f ca="1">IF(AND(A930&lt;=OP!$C$120,COUNTIF(PAY,C930)=1),1,"")</f>
        <v/>
      </c>
      <c r="AR930" s="301">
        <f ca="1">IF(繳費報酬率資料!$A$1=1,$AY930+$AZ930,$BF930+$BG930)</f>
        <v>0</v>
      </c>
      <c r="AS930" s="1">
        <f ca="1">IF(C930&lt;&gt;IF($C$3=1,12,$C$3-1),0,IF(繳費報酬率資料!$A$1&lt;&gt;1,VLOOKUP($A930,MP,8,0),IF(AND($A930&gt;=OP!$C$79,$A930&lt;=OP!$C$80),OP!$C$78,)))</f>
        <v>0</v>
      </c>
      <c r="AT930" s="298">
        <f t="shared" ca="1" si="528"/>
        <v>0</v>
      </c>
      <c r="AU930" s="298">
        <f ca="1">IF(AND(A930&lt;=OP!$C$120,COUNTIF(PAY,C930)=1),OP!$C$123,0)</f>
        <v>0</v>
      </c>
      <c r="AV930" s="298">
        <f ca="1">IF(AND(A930&gt;=OP!$C$132,A930&lt;=OP!$C$133,$C$3=C930),OP!$C$135,0)</f>
        <v>0</v>
      </c>
      <c r="AW930" s="180">
        <f t="shared" ca="1" si="529"/>
        <v>0.05</v>
      </c>
      <c r="AX930" s="180">
        <f t="shared" ca="1" si="530"/>
        <v>0.05</v>
      </c>
      <c r="AY930" s="286">
        <f t="shared" ca="1" si="531"/>
        <v>0</v>
      </c>
      <c r="AZ930" s="286">
        <f t="shared" ca="1" si="532"/>
        <v>0</v>
      </c>
      <c r="BA930" s="286">
        <f t="shared" ca="1" si="533"/>
        <v>0</v>
      </c>
      <c r="BB930" s="286">
        <f t="shared" ca="1" si="534"/>
        <v>0</v>
      </c>
      <c r="BC930" s="286">
        <f t="shared" ca="1" si="535"/>
        <v>0</v>
      </c>
      <c r="BD930" s="180">
        <f t="shared" ca="1" si="536"/>
        <v>0.05</v>
      </c>
      <c r="BE930" s="180">
        <f t="shared" ca="1" si="537"/>
        <v>0.05</v>
      </c>
      <c r="BF930" s="286">
        <f t="shared" ca="1" si="538"/>
        <v>0</v>
      </c>
      <c r="BG930" s="286">
        <f t="shared" ca="1" si="539"/>
        <v>0</v>
      </c>
    </row>
    <row r="931" spans="1:59">
      <c r="A931" s="1">
        <f t="shared" ca="1" si="519"/>
        <v>78</v>
      </c>
      <c r="B931" s="1">
        <f t="shared" ca="1" si="512"/>
        <v>183</v>
      </c>
      <c r="C931" s="1">
        <f t="shared" ca="1" si="513"/>
        <v>9</v>
      </c>
      <c r="D931" s="1">
        <f ca="1">MIN($D$3,VLOOKUP(C931,OP!$S$30:$T$41,2))</f>
        <v>2</v>
      </c>
      <c r="E931" s="1" t="str">
        <f t="shared" ca="1" si="514"/>
        <v/>
      </c>
      <c r="F931" s="11" t="str">
        <f t="shared" ca="1" si="520"/>
        <v/>
      </c>
      <c r="G931" s="8">
        <f t="shared" ca="1" si="545"/>
        <v>365</v>
      </c>
      <c r="H931" s="8">
        <f t="shared" ca="1" si="521"/>
        <v>30</v>
      </c>
      <c r="I931" s="8" t="str">
        <f t="shared" ca="1" si="518"/>
        <v>789</v>
      </c>
      <c r="J931" s="13">
        <f>IF(繳費報酬率資料!$A$1=1,VALUE(OP!$C$121),VLOOKUP(A931,MP,2,0))</f>
        <v>0.05</v>
      </c>
      <c r="K931" s="14">
        <f ca="1">IF(SUM($K$4:K930,IF(繳費報酬率資料!$A$1=1,$AU931+$AV931,$BB931+$BC931))&gt;OP!$L$58,0,IF(繳費報酬率資料!$A$1=1,$AU931+$AV931,$BB931+$BC931))</f>
        <v>0</v>
      </c>
      <c r="L931" s="2"/>
      <c r="M931" s="2"/>
      <c r="N931" s="2"/>
      <c r="O931" s="261">
        <f t="shared" ca="1" si="522"/>
        <v>0</v>
      </c>
      <c r="P931" s="261">
        <f t="shared" ca="1" si="540"/>
        <v>0</v>
      </c>
      <c r="Q931" s="3">
        <f ca="1">IF(A931&gt;MAX(OP!$R$17:$R$26),0,VLOOKUP(A931,fees,3,FALSE))</f>
        <v>0</v>
      </c>
      <c r="R931" s="200" t="str">
        <f t="shared" ca="1" si="523"/>
        <v/>
      </c>
      <c r="S931" s="9" t="str">
        <f ca="1">IF(COUNTIF(($T$4:T930),"F")&gt;=1,"",IF(OR(C932&lt;&gt;$C$3,E931=""),"",A931))</f>
        <v/>
      </c>
      <c r="T931" s="20" t="str">
        <f t="shared" ca="1" si="515"/>
        <v/>
      </c>
      <c r="U931" s="2">
        <f ca="1">IF(IF(OP!$C$83=1,$Z930,IF(OP!$C$83=2,$AA930,IF(OP!$C$83=3,$AB930,)))+$K931-$O931-$P931-$AS931&lt;OP!$C$142,0,$AS931)</f>
        <v>0</v>
      </c>
      <c r="V931" s="9"/>
      <c r="W931" s="19">
        <f ca="1">MAX(SUM($K$4:K931),0)</f>
        <v>2000000</v>
      </c>
      <c r="X931" s="19"/>
      <c r="Y931" s="19">
        <f t="shared" ca="1" si="541"/>
        <v>1920000</v>
      </c>
      <c r="Z931" s="2">
        <f ca="1">IF(MIN($Z$4:Z930)=0,0,MAX(0,($Z930+$K931-$O931-$P931)*IF(AND(F931="F",$D$3&lt;&gt;$G$3),((1+(-J931))^(H931/MIN(G931,365))),((1+(-J931))^(1/12)))-$U931))</f>
        <v>36357.446275103001</v>
      </c>
      <c r="AA931" s="2">
        <f ca="1">IF(MIN($AA$4:AA930)=0,0,MAX(0,($AA930+$K931-$O931-$P931)*IF(AND(F931="F",$D$3&lt;&gt;$G$3),((1+$AA$1)^(H931/MIN(G931,365))),((1+$AA$1)^(1/12)))-$U931))</f>
        <v>1920000</v>
      </c>
      <c r="AB931" s="2">
        <f ca="1">IF(MIN($AB$4:AB930)=0,0,MAX(0,($AB930+$K931-$O931-$P931)*IF(AND(F931="F",$D$3&lt;&gt;$G$3),((1+(J931))^(H931/MIN(G931,365))),((1+(J931))^(1/12)))-$U931))</f>
        <v>83548826.974679455</v>
      </c>
      <c r="AC931" s="5"/>
      <c r="AD931" s="5"/>
      <c r="AE931" s="5"/>
      <c r="AF931" s="282">
        <f t="shared" ca="1" si="524"/>
        <v>36357</v>
      </c>
      <c r="AG931" s="282">
        <f t="shared" ca="1" si="525"/>
        <v>1920000</v>
      </c>
      <c r="AH931" s="282">
        <f t="shared" ca="1" si="526"/>
        <v>83548827</v>
      </c>
      <c r="AI931" s="23" t="str">
        <f t="shared" ca="1" si="543"/>
        <v>78-5</v>
      </c>
      <c r="AJ931" s="282">
        <f ca="1">IF(E931&gt;111,,IF(AND(OP!$C$99=1,T931="F"),Z931,IF(AND(OP!$C$99=2,COUNTIF($T$4:T931,"F")=1),OP!$C$97+IF(F931="F",OP!$C$98,0),"")))</f>
        <v>0</v>
      </c>
      <c r="AK931" s="282">
        <f ca="1">IF(E931&gt;111,,IF(AND(OP!$D$99=1,T931="F"),AA931,IF(AND(OP!$D$99=2,COUNTIF($T$4:T931,"F")=1),OP!$D$97+IF(F931="F",OP!$D$98,0),"")))</f>
        <v>0</v>
      </c>
      <c r="AL931" s="282">
        <f ca="1">IF(E931&gt;111,,IF(AND(OP!$E$99=1,T931="F"),AB931,IF(AND(OP!$E$99=2,COUNTIF($T$4:T931,"F")=1),OP!$E$97+IF(F931="F",OP!$E$98,0),"")))</f>
        <v>0</v>
      </c>
      <c r="AM931" s="1">
        <f t="shared" ca="1" si="516"/>
        <v>5</v>
      </c>
      <c r="AN931" s="1" t="e">
        <f ca="1">IF(OR(VLOOKUP($A931,MP,5,0)="季繳",VLOOKUP($A931,MP,5,0)="月繳"),1,"")</f>
        <v>#N/A</v>
      </c>
      <c r="AO931" s="1">
        <f t="shared" ca="1" si="527"/>
        <v>0</v>
      </c>
      <c r="AP931" s="1" t="str">
        <f ca="1">IF(AND(A931&lt;=OP!$C$120,COUNTIF(PAY,C931)=1),1,"")</f>
        <v/>
      </c>
      <c r="AR931" s="301">
        <f ca="1">IF(繳費報酬率資料!$A$1=1,$AY931+$AZ931,$BF931+$BG931)</f>
        <v>0</v>
      </c>
      <c r="AS931" s="1">
        <f ca="1">IF(C931&lt;&gt;IF($C$3=1,12,$C$3-1),0,IF(繳費報酬率資料!$A$1&lt;&gt;1,VLOOKUP($A931,MP,8,0),IF(AND($A931&gt;=OP!$C$79,$A931&lt;=OP!$C$80),OP!$C$78,)))</f>
        <v>0</v>
      </c>
      <c r="AT931" s="298">
        <f t="shared" ca="1" si="528"/>
        <v>0</v>
      </c>
      <c r="AU931" s="298">
        <f ca="1">IF(AND(A931&lt;=OP!$C$120,COUNTIF(PAY,C931)=1),OP!$C$123,0)</f>
        <v>0</v>
      </c>
      <c r="AV931" s="298">
        <f ca="1">IF(AND(A931&gt;=OP!$C$132,A931&lt;=OP!$C$133,$C$3=C931),OP!$C$135,0)</f>
        <v>0</v>
      </c>
      <c r="AW931" s="180">
        <f t="shared" ca="1" si="529"/>
        <v>0.05</v>
      </c>
      <c r="AX931" s="180">
        <f t="shared" ca="1" si="530"/>
        <v>0.05</v>
      </c>
      <c r="AY931" s="286">
        <f t="shared" ca="1" si="531"/>
        <v>0</v>
      </c>
      <c r="AZ931" s="286">
        <f t="shared" ca="1" si="532"/>
        <v>0</v>
      </c>
      <c r="BA931" s="286">
        <f t="shared" ca="1" si="533"/>
        <v>0</v>
      </c>
      <c r="BB931" s="286">
        <f t="shared" ca="1" si="534"/>
        <v>0</v>
      </c>
      <c r="BC931" s="286">
        <f t="shared" ca="1" si="535"/>
        <v>0</v>
      </c>
      <c r="BD931" s="180">
        <f t="shared" ca="1" si="536"/>
        <v>0.05</v>
      </c>
      <c r="BE931" s="180">
        <f t="shared" ca="1" si="537"/>
        <v>0.05</v>
      </c>
      <c r="BF931" s="286">
        <f t="shared" ca="1" si="538"/>
        <v>0</v>
      </c>
      <c r="BG931" s="286">
        <f t="shared" ca="1" si="539"/>
        <v>0</v>
      </c>
    </row>
    <row r="932" spans="1:59">
      <c r="A932" s="1">
        <f t="shared" ca="1" si="519"/>
        <v>78</v>
      </c>
      <c r="B932" s="1">
        <f t="shared" ca="1" si="512"/>
        <v>183</v>
      </c>
      <c r="C932" s="1">
        <f t="shared" ca="1" si="513"/>
        <v>10</v>
      </c>
      <c r="D932" s="1">
        <f ca="1">MIN($D$3,VLOOKUP(C932,OP!$S$30:$T$41,2))</f>
        <v>2</v>
      </c>
      <c r="E932" s="1" t="str">
        <f t="shared" ca="1" si="514"/>
        <v/>
      </c>
      <c r="F932" s="11" t="str">
        <f t="shared" ca="1" si="520"/>
        <v/>
      </c>
      <c r="G932" s="8">
        <f t="shared" ca="1" si="545"/>
        <v>365</v>
      </c>
      <c r="H932" s="8">
        <f t="shared" ca="1" si="521"/>
        <v>31</v>
      </c>
      <c r="I932" s="8" t="str">
        <f t="shared" ca="1" si="518"/>
        <v>7810</v>
      </c>
      <c r="J932" s="13">
        <f>IF(繳費報酬率資料!$A$1=1,VALUE(OP!$C$121),VLOOKUP(A932,MP,2,0))</f>
        <v>0.05</v>
      </c>
      <c r="K932" s="14">
        <f ca="1">IF(SUM($K$4:K931,IF(繳費報酬率資料!$A$1=1,$AU932+$AV932,$BB932+$BC932))&gt;OP!$L$58,0,IF(繳費報酬率資料!$A$1=1,$AU932+$AV932,$BB932+$BC932))</f>
        <v>0</v>
      </c>
      <c r="L932" s="2"/>
      <c r="M932" s="2"/>
      <c r="N932" s="2"/>
      <c r="O932" s="261">
        <f t="shared" ca="1" si="522"/>
        <v>0</v>
      </c>
      <c r="P932" s="261">
        <f t="shared" ca="1" si="540"/>
        <v>0</v>
      </c>
      <c r="Q932" s="3">
        <f ca="1">IF(A932&gt;MAX(OP!$R$17:$R$26),0,VLOOKUP(A932,fees,3,FALSE))</f>
        <v>0</v>
      </c>
      <c r="R932" s="200" t="str">
        <f t="shared" ca="1" si="523"/>
        <v/>
      </c>
      <c r="S932" s="9" t="str">
        <f ca="1">IF(COUNTIF(($T$4:T931),"F")&gt;=1,"",IF(OR(C933&lt;&gt;$C$3,E932=""),"",A932))</f>
        <v/>
      </c>
      <c r="T932" s="20" t="str">
        <f t="shared" ca="1" si="515"/>
        <v/>
      </c>
      <c r="U932" s="2">
        <f ca="1">IF(IF(OP!$C$83=1,$Z931,IF(OP!$C$83=2,$AA931,IF(OP!$C$83=3,$AB931,)))+$K932-$O932-$P932-$AS932&lt;OP!$C$142,0,$AS932)</f>
        <v>0</v>
      </c>
      <c r="V932" s="9"/>
      <c r="W932" s="19">
        <f ca="1">MAX(SUM($K$4:K932),0)</f>
        <v>2000000</v>
      </c>
      <c r="X932" s="19"/>
      <c r="Y932" s="19">
        <f t="shared" ca="1" si="541"/>
        <v>1920000</v>
      </c>
      <c r="Z932" s="2">
        <f ca="1">IF(MIN($Z$4:Z931)=0,0,MAX(0,($Z931+$K932-$O932-$P932)*IF(AND(F932="F",$D$3&lt;&gt;$G$3),((1+(-J932))^(H932/MIN(G932,365))),((1+(-J932))^(1/12)))-$U932))</f>
        <v>36202.370176801654</v>
      </c>
      <c r="AA932" s="2">
        <f ca="1">IF(MIN($AA$4:AA931)=0,0,MAX(0,($AA931+$K932-$O932-$P932)*IF(AND(F932="F",$D$3&lt;&gt;$G$3),((1+$AA$1)^(H932/MIN(G932,365))),((1+$AA$1)^(1/12)))-$U932))</f>
        <v>1920000</v>
      </c>
      <c r="AB932" s="2">
        <f ca="1">IF(MIN($AB$4:AB931)=0,0,MAX(0,($AB931+$K932-$O932-$P932)*IF(AND(F932="F",$D$3&lt;&gt;$G$3),((1+(J932))^(H932/MIN(G932,365))),((1+(J932))^(1/12)))-$U932))</f>
        <v>83889215.237752914</v>
      </c>
      <c r="AC932" s="5"/>
      <c r="AD932" s="5"/>
      <c r="AE932" s="5"/>
      <c r="AF932" s="282">
        <f t="shared" ca="1" si="524"/>
        <v>36202</v>
      </c>
      <c r="AG932" s="282">
        <f t="shared" ca="1" si="525"/>
        <v>1920000</v>
      </c>
      <c r="AH932" s="282">
        <f t="shared" ca="1" si="526"/>
        <v>83889215</v>
      </c>
      <c r="AI932" s="23" t="str">
        <f t="shared" ca="1" si="543"/>
        <v>78-6</v>
      </c>
      <c r="AJ932" s="282">
        <f ca="1">IF(E932&gt;111,,IF(AND(OP!$C$99=1,T932="F"),Z932,IF(AND(OP!$C$99=2,COUNTIF($T$4:T932,"F")=1),OP!$C$97+IF(F932="F",OP!$C$98,0),"")))</f>
        <v>0</v>
      </c>
      <c r="AK932" s="282">
        <f ca="1">IF(E932&gt;111,,IF(AND(OP!$D$99=1,T932="F"),AA932,IF(AND(OP!$D$99=2,COUNTIF($T$4:T932,"F")=1),OP!$D$97+IF(F932="F",OP!$D$98,0),"")))</f>
        <v>0</v>
      </c>
      <c r="AL932" s="282">
        <f ca="1">IF(E932&gt;111,,IF(AND(OP!$E$99=1,T932="F"),AB932,IF(AND(OP!$E$99=2,COUNTIF($T$4:T932,"F")=1),OP!$E$97+IF(F932="F",OP!$E$98,0),"")))</f>
        <v>0</v>
      </c>
      <c r="AM932" s="1">
        <f t="shared" ca="1" si="516"/>
        <v>6</v>
      </c>
      <c r="AN932" s="1" t="e">
        <f ca="1">IF(OR(VLOOKUP($A932,MP,5,0)="月繳"),1,"")</f>
        <v>#N/A</v>
      </c>
      <c r="AO932" s="1">
        <f t="shared" ca="1" si="527"/>
        <v>0</v>
      </c>
      <c r="AP932" s="1" t="str">
        <f ca="1">IF(AND(A932&lt;=OP!$C$120,COUNTIF(PAY,C932)=1),1,"")</f>
        <v/>
      </c>
      <c r="AR932" s="301">
        <f ca="1">IF(繳費報酬率資料!$A$1=1,$AY932+$AZ932,$BF932+$BG932)</f>
        <v>0</v>
      </c>
      <c r="AS932" s="1">
        <f ca="1">IF(C932&lt;&gt;IF($C$3=1,12,$C$3-1),0,IF(繳費報酬率資料!$A$1&lt;&gt;1,VLOOKUP($A932,MP,8,0),IF(AND($A932&gt;=OP!$C$79,$A932&lt;=OP!$C$80),OP!$C$78,)))</f>
        <v>0</v>
      </c>
      <c r="AT932" s="298">
        <f t="shared" ca="1" si="528"/>
        <v>0</v>
      </c>
      <c r="AU932" s="298">
        <f ca="1">IF(AND(A932&lt;=OP!$C$120,COUNTIF(PAY,C932)=1),OP!$C$123,0)</f>
        <v>0</v>
      </c>
      <c r="AV932" s="298">
        <f ca="1">IF(AND(A932&gt;=OP!$C$132,A932&lt;=OP!$C$133,$C$3=C932),OP!$C$135,0)</f>
        <v>0</v>
      </c>
      <c r="AW932" s="180">
        <f t="shared" ca="1" si="529"/>
        <v>0.05</v>
      </c>
      <c r="AX932" s="180">
        <f t="shared" ca="1" si="530"/>
        <v>0.05</v>
      </c>
      <c r="AY932" s="286">
        <f t="shared" ca="1" si="531"/>
        <v>0</v>
      </c>
      <c r="AZ932" s="286">
        <f t="shared" ca="1" si="532"/>
        <v>0</v>
      </c>
      <c r="BA932" s="286">
        <f t="shared" ca="1" si="533"/>
        <v>0</v>
      </c>
      <c r="BB932" s="286">
        <f t="shared" ca="1" si="534"/>
        <v>0</v>
      </c>
      <c r="BC932" s="286">
        <f t="shared" ca="1" si="535"/>
        <v>0</v>
      </c>
      <c r="BD932" s="180">
        <f t="shared" ca="1" si="536"/>
        <v>0.05</v>
      </c>
      <c r="BE932" s="180">
        <f t="shared" ca="1" si="537"/>
        <v>0.05</v>
      </c>
      <c r="BF932" s="286">
        <f t="shared" ca="1" si="538"/>
        <v>0</v>
      </c>
      <c r="BG932" s="286">
        <f t="shared" ca="1" si="539"/>
        <v>0</v>
      </c>
    </row>
    <row r="933" spans="1:59">
      <c r="A933" s="1">
        <f t="shared" ca="1" si="519"/>
        <v>78</v>
      </c>
      <c r="B933" s="1">
        <f t="shared" ca="1" si="512"/>
        <v>183</v>
      </c>
      <c r="C933" s="1">
        <f t="shared" ca="1" si="513"/>
        <v>11</v>
      </c>
      <c r="D933" s="1">
        <f ca="1">MIN($D$3,VLOOKUP(C933,OP!$S$30:$T$41,2))</f>
        <v>2</v>
      </c>
      <c r="E933" s="1" t="str">
        <f t="shared" ca="1" si="514"/>
        <v/>
      </c>
      <c r="F933" s="11" t="str">
        <f t="shared" ca="1" si="520"/>
        <v/>
      </c>
      <c r="G933" s="8">
        <f t="shared" ca="1" si="545"/>
        <v>365</v>
      </c>
      <c r="H933" s="8">
        <f t="shared" ca="1" si="521"/>
        <v>30</v>
      </c>
      <c r="I933" s="8" t="str">
        <f t="shared" ca="1" si="518"/>
        <v>7811</v>
      </c>
      <c r="J933" s="13">
        <f>IF(繳費報酬率資料!$A$1=1,VALUE(OP!$C$121),VLOOKUP(A933,MP,2,0))</f>
        <v>0.05</v>
      </c>
      <c r="K933" s="14">
        <f ca="1">IF(SUM($K$4:K932,IF(繳費報酬率資料!$A$1=1,$AU933+$AV933,$BB933+$BC933))&gt;OP!$L$58,0,IF(繳費報酬率資料!$A$1=1,$AU933+$AV933,$BB933+$BC933))</f>
        <v>0</v>
      </c>
      <c r="L933" s="2"/>
      <c r="M933" s="2"/>
      <c r="N933" s="2"/>
      <c r="O933" s="261">
        <f t="shared" ca="1" si="522"/>
        <v>0</v>
      </c>
      <c r="P933" s="261">
        <f t="shared" ca="1" si="540"/>
        <v>0</v>
      </c>
      <c r="Q933" s="3">
        <f ca="1">IF(A933&gt;MAX(OP!$R$17:$R$26),0,VLOOKUP(A933,fees,3,FALSE))</f>
        <v>0</v>
      </c>
      <c r="R933" s="200" t="str">
        <f t="shared" ca="1" si="523"/>
        <v/>
      </c>
      <c r="S933" s="9" t="str">
        <f ca="1">IF(COUNTIF(($T$4:T932),"F")&gt;=1,"",IF(OR(C934&lt;&gt;$C$3,E933=""),"",A933))</f>
        <v/>
      </c>
      <c r="T933" s="20" t="str">
        <f t="shared" ca="1" si="515"/>
        <v/>
      </c>
      <c r="U933" s="2">
        <f ca="1">IF(IF(OP!$C$83=1,$Z932,IF(OP!$C$83=2,$AA932,IF(OP!$C$83=3,$AB932,)))+$K933-$O933-$P933-$AS933&lt;OP!$C$142,0,$AS933)</f>
        <v>0</v>
      </c>
      <c r="V933" s="9"/>
      <c r="W933" s="19">
        <f ca="1">MAX(SUM($K$4:K933),0)</f>
        <v>2000000</v>
      </c>
      <c r="X933" s="19"/>
      <c r="Y933" s="19">
        <f t="shared" ca="1" si="541"/>
        <v>1920000</v>
      </c>
      <c r="Z933" s="2">
        <f ca="1">IF(MIN($Z$4:Z932)=0,0,MAX(0,($Z932+$K933-$O933-$P933)*IF(AND(F933="F",$D$3&lt;&gt;$G$3),((1+(-J933))^(H933/MIN(G933,365))),((1+(-J933))^(1/12)))-$U933))</f>
        <v>36047.955527494341</v>
      </c>
      <c r="AA933" s="2">
        <f ca="1">IF(MIN($AA$4:AA932)=0,0,MAX(0,($AA932+$K933-$O933-$P933)*IF(AND(F933="F",$D$3&lt;&gt;$G$3),((1+$AA$1)^(H933/MIN(G933,365))),((1+$AA$1)^(1/12)))-$U933))</f>
        <v>1920000</v>
      </c>
      <c r="AB933" s="2">
        <f ca="1">IF(MIN($AB$4:AB932)=0,0,MAX(0,($AB932+$K933-$O933-$P933)*IF(AND(F933="F",$D$3&lt;&gt;$G$3),((1+(J933))^(H933/MIN(G933,365))),((1+(J933))^(1/12)))-$U933))</f>
        <v>84230990.284744635</v>
      </c>
      <c r="AC933" s="5"/>
      <c r="AD933" s="5"/>
      <c r="AE933" s="5"/>
      <c r="AF933" s="282">
        <f t="shared" ca="1" si="524"/>
        <v>36048</v>
      </c>
      <c r="AG933" s="282">
        <f t="shared" ca="1" si="525"/>
        <v>1920000</v>
      </c>
      <c r="AH933" s="282">
        <f t="shared" ca="1" si="526"/>
        <v>84230990</v>
      </c>
      <c r="AI933" s="23" t="str">
        <f t="shared" ca="1" si="543"/>
        <v>78-7</v>
      </c>
      <c r="AJ933" s="282">
        <f ca="1">IF(E933&gt;111,,IF(AND(OP!$C$99=1,T933="F"),Z933,IF(AND(OP!$C$99=2,COUNTIF($T$4:T933,"F")=1),OP!$C$97+IF(F933="F",OP!$C$98,0),"")))</f>
        <v>0</v>
      </c>
      <c r="AK933" s="282">
        <f ca="1">IF(E933&gt;111,,IF(AND(OP!$D$99=1,T933="F"),AA933,IF(AND(OP!$D$99=2,COUNTIF($T$4:T933,"F")=1),OP!$D$97+IF(F933="F",OP!$D$98,0),"")))</f>
        <v>0</v>
      </c>
      <c r="AL933" s="282">
        <f ca="1">IF(E933&gt;111,,IF(AND(OP!$E$99=1,T933="F"),AB933,IF(AND(OP!$E$99=2,COUNTIF($T$4:T933,"F")=1),OP!$E$97+IF(F933="F",OP!$E$98,0),"")))</f>
        <v>0</v>
      </c>
      <c r="AM933" s="1">
        <f t="shared" ca="1" si="516"/>
        <v>7</v>
      </c>
      <c r="AN933" s="1" t="e">
        <f ca="1">IF(OR(VLOOKUP($A933,MP,5,0)="月繳"),1,"")</f>
        <v>#N/A</v>
      </c>
      <c r="AO933" s="1">
        <f t="shared" ca="1" si="527"/>
        <v>0</v>
      </c>
      <c r="AP933" s="1" t="str">
        <f ca="1">IF(AND(A933&lt;=OP!$C$120,COUNTIF(PAY,C933)=1),1,"")</f>
        <v/>
      </c>
      <c r="AR933" s="301">
        <f ca="1">IF(繳費報酬率資料!$A$1=1,$AY933+$AZ933,$BF933+$BG933)</f>
        <v>0</v>
      </c>
      <c r="AS933" s="1">
        <f ca="1">IF(C933&lt;&gt;IF($C$3=1,12,$C$3-1),0,IF(繳費報酬率資料!$A$1&lt;&gt;1,VLOOKUP($A933,MP,8,0),IF(AND($A933&gt;=OP!$C$79,$A933&lt;=OP!$C$80),OP!$C$78,)))</f>
        <v>0</v>
      </c>
      <c r="AT933" s="298">
        <f t="shared" ca="1" si="528"/>
        <v>0</v>
      </c>
      <c r="AU933" s="298">
        <f ca="1">IF(AND(A933&lt;=OP!$C$120,COUNTIF(PAY,C933)=1),OP!$C$123,0)</f>
        <v>0</v>
      </c>
      <c r="AV933" s="298">
        <f ca="1">IF(AND(A933&gt;=OP!$C$132,A933&lt;=OP!$C$133,$C$3=C933),OP!$C$135,0)</f>
        <v>0</v>
      </c>
      <c r="AW933" s="180">
        <f t="shared" ca="1" si="529"/>
        <v>0.05</v>
      </c>
      <c r="AX933" s="180">
        <f t="shared" ca="1" si="530"/>
        <v>0.05</v>
      </c>
      <c r="AY933" s="286">
        <f t="shared" ca="1" si="531"/>
        <v>0</v>
      </c>
      <c r="AZ933" s="286">
        <f t="shared" ca="1" si="532"/>
        <v>0</v>
      </c>
      <c r="BA933" s="286">
        <f t="shared" ca="1" si="533"/>
        <v>0</v>
      </c>
      <c r="BB933" s="286">
        <f t="shared" ca="1" si="534"/>
        <v>0</v>
      </c>
      <c r="BC933" s="286">
        <f t="shared" ca="1" si="535"/>
        <v>0</v>
      </c>
      <c r="BD933" s="180">
        <f t="shared" ca="1" si="536"/>
        <v>0.05</v>
      </c>
      <c r="BE933" s="180">
        <f t="shared" ca="1" si="537"/>
        <v>0.05</v>
      </c>
      <c r="BF933" s="286">
        <f t="shared" ca="1" si="538"/>
        <v>0</v>
      </c>
      <c r="BG933" s="286">
        <f t="shared" ca="1" si="539"/>
        <v>0</v>
      </c>
    </row>
    <row r="934" spans="1:59">
      <c r="A934" s="1">
        <f t="shared" ca="1" si="519"/>
        <v>78</v>
      </c>
      <c r="B934" s="1">
        <f t="shared" ca="1" si="512"/>
        <v>183</v>
      </c>
      <c r="C934" s="1">
        <f t="shared" ca="1" si="513"/>
        <v>12</v>
      </c>
      <c r="D934" s="1">
        <f ca="1">MIN($D$3,VLOOKUP(C934,OP!$S$30:$T$41,2))</f>
        <v>2</v>
      </c>
      <c r="E934" s="1" t="str">
        <f t="shared" ca="1" si="514"/>
        <v/>
      </c>
      <c r="F934" s="11" t="str">
        <f t="shared" ca="1" si="520"/>
        <v/>
      </c>
      <c r="G934" s="8">
        <f t="shared" ca="1" si="545"/>
        <v>365</v>
      </c>
      <c r="H934" s="8">
        <f t="shared" ca="1" si="521"/>
        <v>31</v>
      </c>
      <c r="I934" s="8" t="str">
        <f t="shared" ca="1" si="518"/>
        <v>7812</v>
      </c>
      <c r="J934" s="13">
        <f>IF(繳費報酬率資料!$A$1=1,VALUE(OP!$C$121),VLOOKUP(A934,MP,2,0))</f>
        <v>0.05</v>
      </c>
      <c r="K934" s="14">
        <f ca="1">IF(SUM($K$4:K933,IF(繳費報酬率資料!$A$1=1,$AU934+$AV934,$BB934+$BC934))&gt;OP!$L$58,0,IF(繳費報酬率資料!$A$1=1,$AU934+$AV934,$BB934+$BC934))</f>
        <v>0</v>
      </c>
      <c r="L934" s="2"/>
      <c r="M934" s="2"/>
      <c r="N934" s="2"/>
      <c r="O934" s="261">
        <f t="shared" ca="1" si="522"/>
        <v>0</v>
      </c>
      <c r="P934" s="261">
        <f t="shared" ca="1" si="540"/>
        <v>0</v>
      </c>
      <c r="Q934" s="3">
        <f ca="1">IF(A934&gt;MAX(OP!$R$17:$R$26),0,VLOOKUP(A934,fees,3,FALSE))</f>
        <v>0</v>
      </c>
      <c r="R934" s="200" t="str">
        <f t="shared" ca="1" si="523"/>
        <v/>
      </c>
      <c r="S934" s="9" t="str">
        <f ca="1">IF(COUNTIF(($T$4:T933),"F")&gt;=1,"",IF(OR(C935&lt;&gt;$C$3,E934=""),"",A934))</f>
        <v/>
      </c>
      <c r="T934" s="20" t="str">
        <f t="shared" ca="1" si="515"/>
        <v/>
      </c>
      <c r="U934" s="2">
        <f ca="1">IF(IF(OP!$C$83=1,$Z933,IF(OP!$C$83=2,$AA933,IF(OP!$C$83=3,$AB933,)))+$K934-$O934-$P934-$AS934&lt;OP!$C$142,0,$AS934)</f>
        <v>0</v>
      </c>
      <c r="V934" s="9"/>
      <c r="W934" s="19">
        <f ca="1">MAX(SUM($K$4:K934),0)</f>
        <v>2000000</v>
      </c>
      <c r="X934" s="19"/>
      <c r="Y934" s="19">
        <f t="shared" ca="1" si="541"/>
        <v>1920000</v>
      </c>
      <c r="Z934" s="2">
        <f ca="1">IF(MIN($Z$4:Z933)=0,0,MAX(0,($Z933+$K934-$O934-$P934)*IF(AND(F934="F",$D$3&lt;&gt;$G$3),((1+(-J934))^(H934/MIN(G934,365))),((1+(-J934))^(1/12)))-$U934))</f>
        <v>35894.199505890247</v>
      </c>
      <c r="AA934" s="2">
        <f ca="1">IF(MIN($AA$4:AA933)=0,0,MAX(0,($AA933+$K934-$O934-$P934)*IF(AND(F934="F",$D$3&lt;&gt;$G$3),((1+$AA$1)^(H934/MIN(G934,365))),((1+$AA$1)^(1/12)))-$U934))</f>
        <v>1920000</v>
      </c>
      <c r="AB934" s="2">
        <f ca="1">IF(MIN($AB$4:AB933)=0,0,MAX(0,($AB933+$K934-$O934-$P934)*IF(AND(F934="F",$D$3&lt;&gt;$G$3),((1+(J934))^(H934/MIN(G934,365))),((1+(J934))^(1/12)))-$U934))</f>
        <v>84574157.765583962</v>
      </c>
      <c r="AC934" s="5"/>
      <c r="AD934" s="5"/>
      <c r="AE934" s="5"/>
      <c r="AF934" s="282">
        <f t="shared" ca="1" si="524"/>
        <v>35894</v>
      </c>
      <c r="AG934" s="282">
        <f t="shared" ca="1" si="525"/>
        <v>1920000</v>
      </c>
      <c r="AH934" s="282">
        <f t="shared" ca="1" si="526"/>
        <v>84574158</v>
      </c>
      <c r="AI934" s="23" t="str">
        <f t="shared" ca="1" si="543"/>
        <v>78-8</v>
      </c>
      <c r="AJ934" s="282">
        <f ca="1">IF(E934&gt;111,,IF(AND(OP!$C$99=1,T934="F"),Z934,IF(AND(OP!$C$99=2,COUNTIF($T$4:T934,"F")=1),OP!$C$97+IF(F934="F",OP!$C$98,0),"")))</f>
        <v>0</v>
      </c>
      <c r="AK934" s="282">
        <f ca="1">IF(E934&gt;111,,IF(AND(OP!$D$99=1,T934="F"),AA934,IF(AND(OP!$D$99=2,COUNTIF($T$4:T934,"F")=1),OP!$D$97+IF(F934="F",OP!$D$98,0),"")))</f>
        <v>0</v>
      </c>
      <c r="AL934" s="282">
        <f ca="1">IF(E934&gt;111,,IF(AND(OP!$E$99=1,T934="F"),AB934,IF(AND(OP!$E$99=2,COUNTIF($T$4:T934,"F")=1),OP!$E$97+IF(F934="F",OP!$E$98,0),"")))</f>
        <v>0</v>
      </c>
      <c r="AM934" s="1">
        <f t="shared" ca="1" si="516"/>
        <v>8</v>
      </c>
      <c r="AN934" s="1" t="e">
        <f ca="1">IF(OR(VLOOKUP($A934,MP,5,0)="半年繳",VLOOKUP($A934,MP,5,0)="季繳",VLOOKUP($A934,MP,5,0)="月繳"),1,"")</f>
        <v>#N/A</v>
      </c>
      <c r="AO934" s="1">
        <f t="shared" ca="1" si="527"/>
        <v>0</v>
      </c>
      <c r="AP934" s="1" t="str">
        <f ca="1">IF(AND(A934&lt;=OP!$C$120,COUNTIF(PAY,C934)=1),1,"")</f>
        <v/>
      </c>
      <c r="AR934" s="301">
        <f ca="1">IF(繳費報酬率資料!$A$1=1,$AY934+$AZ934,$BF934+$BG934)</f>
        <v>0</v>
      </c>
      <c r="AS934" s="1">
        <f ca="1">IF(C934&lt;&gt;IF($C$3=1,12,$C$3-1),0,IF(繳費報酬率資料!$A$1&lt;&gt;1,VLOOKUP($A934,MP,8,0),IF(AND($A934&gt;=OP!$C$79,$A934&lt;=OP!$C$80),OP!$C$78,)))</f>
        <v>0</v>
      </c>
      <c r="AT934" s="298">
        <f t="shared" ca="1" si="528"/>
        <v>0</v>
      </c>
      <c r="AU934" s="298">
        <f ca="1">IF(AND(A934&lt;=OP!$C$120,COUNTIF(PAY,C934)=1),OP!$C$123,0)</f>
        <v>0</v>
      </c>
      <c r="AV934" s="298">
        <f ca="1">IF(AND(A934&gt;=OP!$C$132,A934&lt;=OP!$C$133,$C$3=C934),OP!$C$135,0)</f>
        <v>0</v>
      </c>
      <c r="AW934" s="180">
        <f t="shared" ca="1" si="529"/>
        <v>0.05</v>
      </c>
      <c r="AX934" s="180">
        <f t="shared" ca="1" si="530"/>
        <v>0.05</v>
      </c>
      <c r="AY934" s="286">
        <f t="shared" ca="1" si="531"/>
        <v>0</v>
      </c>
      <c r="AZ934" s="286">
        <f t="shared" ca="1" si="532"/>
        <v>0</v>
      </c>
      <c r="BA934" s="286">
        <f t="shared" ca="1" si="533"/>
        <v>0</v>
      </c>
      <c r="BB934" s="286">
        <f t="shared" ca="1" si="534"/>
        <v>0</v>
      </c>
      <c r="BC934" s="286">
        <f t="shared" ca="1" si="535"/>
        <v>0</v>
      </c>
      <c r="BD934" s="180">
        <f t="shared" ca="1" si="536"/>
        <v>0.05</v>
      </c>
      <c r="BE934" s="180">
        <f t="shared" ca="1" si="537"/>
        <v>0.05</v>
      </c>
      <c r="BF934" s="286">
        <f t="shared" ca="1" si="538"/>
        <v>0</v>
      </c>
      <c r="BG934" s="286">
        <f t="shared" ca="1" si="539"/>
        <v>0</v>
      </c>
    </row>
    <row r="935" spans="1:59">
      <c r="A935" s="1">
        <f t="shared" ca="1" si="519"/>
        <v>78</v>
      </c>
      <c r="B935" s="1">
        <f t="shared" ca="1" si="512"/>
        <v>184</v>
      </c>
      <c r="C935" s="1">
        <f t="shared" ca="1" si="513"/>
        <v>1</v>
      </c>
      <c r="D935" s="1">
        <f ca="1">MIN($D$3,VLOOKUP(C935,OP!$S$30:$T$41,2))</f>
        <v>2</v>
      </c>
      <c r="E935" s="1" t="str">
        <f t="shared" ca="1" si="514"/>
        <v/>
      </c>
      <c r="F935" s="11" t="str">
        <f t="shared" ca="1" si="520"/>
        <v/>
      </c>
      <c r="G935" s="8">
        <f t="shared" ca="1" si="545"/>
        <v>365</v>
      </c>
      <c r="H935" s="8">
        <f t="shared" ca="1" si="521"/>
        <v>31</v>
      </c>
      <c r="I935" s="8" t="str">
        <f t="shared" ca="1" si="518"/>
        <v>781</v>
      </c>
      <c r="J935" s="13">
        <f>IF(繳費報酬率資料!$A$1=1,VALUE(OP!$C$121),VLOOKUP(A935,MP,2,0))</f>
        <v>0.05</v>
      </c>
      <c r="K935" s="14">
        <f ca="1">IF(SUM($K$4:K934,IF(繳費報酬率資料!$A$1=1,$AU935+$AV935,$BB935+$BC935))&gt;OP!$L$58,0,IF(繳費報酬率資料!$A$1=1,$AU935+$AV935,$BB935+$BC935))</f>
        <v>0</v>
      </c>
      <c r="L935" s="2"/>
      <c r="M935" s="2"/>
      <c r="N935" s="2"/>
      <c r="O935" s="261">
        <f t="shared" ca="1" si="522"/>
        <v>0</v>
      </c>
      <c r="P935" s="261">
        <f t="shared" ca="1" si="540"/>
        <v>0</v>
      </c>
      <c r="Q935" s="3">
        <f ca="1">IF(A935&gt;MAX(OP!$R$17:$R$26),0,VLOOKUP(A935,fees,3,FALSE))</f>
        <v>0</v>
      </c>
      <c r="R935" s="200" t="str">
        <f t="shared" ca="1" si="523"/>
        <v/>
      </c>
      <c r="S935" s="9" t="str">
        <f ca="1">IF(COUNTIF(($T$4:T934),"F")&gt;=1,"",IF(OR(C936&lt;&gt;$C$3,E935=""),"",A935))</f>
        <v/>
      </c>
      <c r="T935" s="20" t="str">
        <f t="shared" ca="1" si="515"/>
        <v/>
      </c>
      <c r="U935" s="2">
        <f ca="1">IF(IF(OP!$C$83=1,$Z934,IF(OP!$C$83=2,$AA934,IF(OP!$C$83=3,$AB934,)))+$K935-$O935-$P935-$AS935&lt;OP!$C$142,0,$AS935)</f>
        <v>0</v>
      </c>
      <c r="V935" s="9"/>
      <c r="W935" s="19">
        <f ca="1">MAX(SUM($K$4:K935),0)</f>
        <v>2000000</v>
      </c>
      <c r="X935" s="19"/>
      <c r="Y935" s="19">
        <f t="shared" ca="1" si="541"/>
        <v>1920000</v>
      </c>
      <c r="Z935" s="2">
        <f ca="1">IF(MIN($Z$4:Z934)=0,0,MAX(0,($Z934+$K935-$O935-$P935)*IF(AND(F935="F",$D$3&lt;&gt;$G$3),((1+(-J935))^(H935/MIN(G935,365))),((1+(-J935))^(1/12)))-$U935))</f>
        <v>35741.099302732262</v>
      </c>
      <c r="AA935" s="2">
        <f ca="1">IF(MIN($AA$4:AA934)=0,0,MAX(0,($AA934+$K935-$O935-$P935)*IF(AND(F935="F",$D$3&lt;&gt;$G$3),((1+$AA$1)^(H935/MIN(G935,365))),((1+$AA$1)^(1/12)))-$U935))</f>
        <v>1920000</v>
      </c>
      <c r="AB935" s="2">
        <f ca="1">IF(MIN($AB$4:AB934)=0,0,MAX(0,($AB934+$K935-$O935-$P935)*IF(AND(F935="F",$D$3&lt;&gt;$G$3),((1+(J935))^(H935/MIN(G935,365))),((1+(J935))^(1/12)))-$U935))</f>
        <v>84918723.353218749</v>
      </c>
      <c r="AC935" s="5"/>
      <c r="AD935" s="5"/>
      <c r="AE935" s="5"/>
      <c r="AF935" s="282">
        <f t="shared" ca="1" si="524"/>
        <v>35741</v>
      </c>
      <c r="AG935" s="282">
        <f t="shared" ca="1" si="525"/>
        <v>1920000</v>
      </c>
      <c r="AH935" s="282">
        <f t="shared" ca="1" si="526"/>
        <v>84918723</v>
      </c>
      <c r="AI935" s="23" t="str">
        <f t="shared" ca="1" si="543"/>
        <v>78-9</v>
      </c>
      <c r="AJ935" s="282">
        <f ca="1">IF(E935&gt;111,,IF(AND(OP!$C$99=1,T935="F"),Z935,IF(AND(OP!$C$99=2,COUNTIF($T$4:T935,"F")=1),OP!$C$97+IF(F935="F",OP!$C$98,0),"")))</f>
        <v>0</v>
      </c>
      <c r="AK935" s="282">
        <f ca="1">IF(E935&gt;111,,IF(AND(OP!$D$99=1,T935="F"),AA935,IF(AND(OP!$D$99=2,COUNTIF($T$4:T935,"F")=1),OP!$D$97+IF(F935="F",OP!$D$98,0),"")))</f>
        <v>0</v>
      </c>
      <c r="AL935" s="282">
        <f ca="1">IF(E935&gt;111,,IF(AND(OP!$E$99=1,T935="F"),AB935,IF(AND(OP!$E$99=2,COUNTIF($T$4:T935,"F")=1),OP!$E$97+IF(F935="F",OP!$E$98,0),"")))</f>
        <v>0</v>
      </c>
      <c r="AM935" s="1">
        <f t="shared" ca="1" si="516"/>
        <v>9</v>
      </c>
      <c r="AN935" s="1" t="e">
        <f ca="1">IF(OR(VLOOKUP($A935,MP,5,0)="月繳"),1,"")</f>
        <v>#N/A</v>
      </c>
      <c r="AO935" s="1">
        <f t="shared" ca="1" si="527"/>
        <v>0</v>
      </c>
      <c r="AP935" s="1" t="str">
        <f ca="1">IF(AND(A935&lt;=OP!$C$120,COUNTIF(PAY,C935)=1),1,"")</f>
        <v/>
      </c>
      <c r="AR935" s="301">
        <f ca="1">IF(繳費報酬率資料!$A$1=1,$AY935+$AZ935,$BF935+$BG935)</f>
        <v>0</v>
      </c>
      <c r="AS935" s="1">
        <f ca="1">IF(C935&lt;&gt;IF($C$3=1,12,$C$3-1),0,IF(繳費報酬率資料!$A$1&lt;&gt;1,VLOOKUP($A935,MP,8,0),IF(AND($A935&gt;=OP!$C$79,$A935&lt;=OP!$C$80),OP!$C$78,)))</f>
        <v>0</v>
      </c>
      <c r="AT935" s="298">
        <f t="shared" ca="1" si="528"/>
        <v>0</v>
      </c>
      <c r="AU935" s="298">
        <f ca="1">IF(AND(A935&lt;=OP!$C$120,COUNTIF(PAY,C935)=1),OP!$C$123,0)</f>
        <v>0</v>
      </c>
      <c r="AV935" s="298">
        <f ca="1">IF(AND(A935&gt;=OP!$C$132,A935&lt;=OP!$C$133,$C$3=C935),OP!$C$135,0)</f>
        <v>0</v>
      </c>
      <c r="AW935" s="180">
        <f t="shared" ca="1" si="529"/>
        <v>0.05</v>
      </c>
      <c r="AX935" s="180">
        <f t="shared" ca="1" si="530"/>
        <v>0.05</v>
      </c>
      <c r="AY935" s="286">
        <f t="shared" ca="1" si="531"/>
        <v>0</v>
      </c>
      <c r="AZ935" s="286">
        <f t="shared" ca="1" si="532"/>
        <v>0</v>
      </c>
      <c r="BA935" s="286">
        <f t="shared" ca="1" si="533"/>
        <v>0</v>
      </c>
      <c r="BB935" s="286">
        <f t="shared" ca="1" si="534"/>
        <v>0</v>
      </c>
      <c r="BC935" s="286">
        <f t="shared" ca="1" si="535"/>
        <v>0</v>
      </c>
      <c r="BD935" s="180">
        <f t="shared" ca="1" si="536"/>
        <v>0.05</v>
      </c>
      <c r="BE935" s="180">
        <f t="shared" ca="1" si="537"/>
        <v>0.05</v>
      </c>
      <c r="BF935" s="286">
        <f t="shared" ca="1" si="538"/>
        <v>0</v>
      </c>
      <c r="BG935" s="286">
        <f t="shared" ca="1" si="539"/>
        <v>0</v>
      </c>
    </row>
    <row r="936" spans="1:59">
      <c r="A936" s="1">
        <f t="shared" ca="1" si="519"/>
        <v>78</v>
      </c>
      <c r="B936" s="1">
        <f t="shared" ca="1" si="512"/>
        <v>184</v>
      </c>
      <c r="C936" s="1">
        <f t="shared" ca="1" si="513"/>
        <v>2</v>
      </c>
      <c r="D936" s="1">
        <f ca="1">MIN($D$3,VLOOKUP(C936,OP!$S$30:$T$41,2))</f>
        <v>2</v>
      </c>
      <c r="E936" s="1" t="str">
        <f t="shared" ca="1" si="514"/>
        <v/>
      </c>
      <c r="F936" s="11" t="str">
        <f t="shared" ca="1" si="520"/>
        <v/>
      </c>
      <c r="G936" s="8">
        <f t="shared" ca="1" si="545"/>
        <v>365</v>
      </c>
      <c r="H936" s="8">
        <f t="shared" ca="1" si="521"/>
        <v>28</v>
      </c>
      <c r="I936" s="8" t="str">
        <f t="shared" ca="1" si="518"/>
        <v>782</v>
      </c>
      <c r="J936" s="13">
        <f>IF(繳費報酬率資料!$A$1=1,VALUE(OP!$C$121),VLOOKUP(A936,MP,2,0))</f>
        <v>0.05</v>
      </c>
      <c r="K936" s="14">
        <f ca="1">IF(SUM($K$4:K935,IF(繳費報酬率資料!$A$1=1,$AU936+$AV936,$BB936+$BC936))&gt;OP!$L$58,0,IF(繳費報酬率資料!$A$1=1,$AU936+$AV936,$BB936+$BC936))</f>
        <v>0</v>
      </c>
      <c r="L936" s="2"/>
      <c r="M936" s="2"/>
      <c r="N936" s="2"/>
      <c r="O936" s="261">
        <f t="shared" ca="1" si="522"/>
        <v>0</v>
      </c>
      <c r="P936" s="261">
        <f t="shared" ca="1" si="540"/>
        <v>0</v>
      </c>
      <c r="Q936" s="3">
        <f ca="1">IF(A936&gt;MAX(OP!$R$17:$R$26),0,VLOOKUP(A936,fees,3,FALSE))</f>
        <v>0</v>
      </c>
      <c r="R936" s="200" t="str">
        <f t="shared" ca="1" si="523"/>
        <v/>
      </c>
      <c r="S936" s="9" t="str">
        <f ca="1">IF(COUNTIF(($T$4:T935),"F")&gt;=1,"",IF(OR(C937&lt;&gt;$C$3,E936=""),"",A936))</f>
        <v/>
      </c>
      <c r="T936" s="20" t="str">
        <f t="shared" ca="1" si="515"/>
        <v/>
      </c>
      <c r="U936" s="2">
        <f ca="1">IF(IF(OP!$C$83=1,$Z935,IF(OP!$C$83=2,$AA935,IF(OP!$C$83=3,$AB935,)))+$K936-$O936-$P936-$AS936&lt;OP!$C$142,0,$AS936)</f>
        <v>0</v>
      </c>
      <c r="V936" s="9"/>
      <c r="W936" s="19">
        <f ca="1">MAX(SUM($K$4:K936),0)</f>
        <v>2000000</v>
      </c>
      <c r="X936" s="19"/>
      <c r="Y936" s="19">
        <f t="shared" ca="1" si="541"/>
        <v>1920000</v>
      </c>
      <c r="Z936" s="2">
        <f ca="1">IF(MIN($Z$4:Z935)=0,0,MAX(0,($Z935+$K936-$O936-$P936)*IF(AND(F936="F",$D$3&lt;&gt;$G$3),((1+(-J936))^(H936/MIN(G936,365))),((1+(-J936))^(1/12)))-$U936))</f>
        <v>35588.652120745661</v>
      </c>
      <c r="AA936" s="2">
        <f ca="1">IF(MIN($AA$4:AA935)=0,0,MAX(0,($AA935+$K936-$O936-$P936)*IF(AND(F936="F",$D$3&lt;&gt;$G$3),((1+$AA$1)^(H936/MIN(G936,365))),((1+$AA$1)^(1/12)))-$U936))</f>
        <v>1920000</v>
      </c>
      <c r="AB936" s="2">
        <f ca="1">IF(MIN($AB$4:AB935)=0,0,MAX(0,($AB935+$K936-$O936-$P936)*IF(AND(F936="F",$D$3&lt;&gt;$G$3),((1+(J936))^(H936/MIN(G936,365))),((1+(J936))^(1/12)))-$U936))</f>
        <v>85264692.743709147</v>
      </c>
      <c r="AC936" s="5"/>
      <c r="AD936" s="5"/>
      <c r="AE936" s="5"/>
      <c r="AF936" s="282">
        <f t="shared" ca="1" si="524"/>
        <v>35589</v>
      </c>
      <c r="AG936" s="282">
        <f t="shared" ca="1" si="525"/>
        <v>1920000</v>
      </c>
      <c r="AH936" s="282">
        <f t="shared" ca="1" si="526"/>
        <v>85264693</v>
      </c>
      <c r="AI936" s="23" t="str">
        <f t="shared" ca="1" si="543"/>
        <v>78-10</v>
      </c>
      <c r="AJ936" s="282">
        <f ca="1">IF(E936&gt;111,,IF(AND(OP!$C$99=1,T936="F"),Z936,IF(AND(OP!$C$99=2,COUNTIF($T$4:T936,"F")=1),OP!$C$97+IF(F936="F",OP!$C$98,0),"")))</f>
        <v>0</v>
      </c>
      <c r="AK936" s="282">
        <f ca="1">IF(E936&gt;111,,IF(AND(OP!$D$99=1,T936="F"),AA936,IF(AND(OP!$D$99=2,COUNTIF($T$4:T936,"F")=1),OP!$D$97+IF(F936="F",OP!$D$98,0),"")))</f>
        <v>0</v>
      </c>
      <c r="AL936" s="282">
        <f ca="1">IF(E936&gt;111,,IF(AND(OP!$E$99=1,T936="F"),AB936,IF(AND(OP!$E$99=2,COUNTIF($T$4:T936,"F")=1),OP!$E$97+IF(F936="F",OP!$E$98,0),"")))</f>
        <v>0</v>
      </c>
      <c r="AM936" s="1">
        <f t="shared" ca="1" si="516"/>
        <v>10</v>
      </c>
      <c r="AN936" s="1" t="e">
        <f ca="1">IF(OR(VLOOKUP($A936,MP,5,0)="月繳"),1,"")</f>
        <v>#N/A</v>
      </c>
      <c r="AO936" s="1">
        <f t="shared" ca="1" si="527"/>
        <v>0</v>
      </c>
      <c r="AP936" s="1" t="str">
        <f ca="1">IF(AND(A936&lt;=OP!$C$120,COUNTIF(PAY,C936)=1),1,"")</f>
        <v/>
      </c>
      <c r="AR936" s="301">
        <f ca="1">IF(繳費報酬率資料!$A$1=1,$AY936+$AZ936,$BF936+$BG936)</f>
        <v>0</v>
      </c>
      <c r="AS936" s="1">
        <f ca="1">IF(C936&lt;&gt;IF($C$3=1,12,$C$3-1),0,IF(繳費報酬率資料!$A$1&lt;&gt;1,VLOOKUP($A936,MP,8,0),IF(AND($A936&gt;=OP!$C$79,$A936&lt;=OP!$C$80),OP!$C$78,)))</f>
        <v>0</v>
      </c>
      <c r="AT936" s="298">
        <f t="shared" ca="1" si="528"/>
        <v>0</v>
      </c>
      <c r="AU936" s="298">
        <f ca="1">IF(AND(A936&lt;=OP!$C$120,COUNTIF(PAY,C936)=1),OP!$C$123,0)</f>
        <v>0</v>
      </c>
      <c r="AV936" s="298">
        <f ca="1">IF(AND(A936&gt;=OP!$C$132,A936&lt;=OP!$C$133,$C$3=C936),OP!$C$135,0)</f>
        <v>0</v>
      </c>
      <c r="AW936" s="180">
        <f t="shared" ca="1" si="529"/>
        <v>0.05</v>
      </c>
      <c r="AX936" s="180">
        <f t="shared" ca="1" si="530"/>
        <v>0.05</v>
      </c>
      <c r="AY936" s="286">
        <f t="shared" ca="1" si="531"/>
        <v>0</v>
      </c>
      <c r="AZ936" s="286">
        <f t="shared" ca="1" si="532"/>
        <v>0</v>
      </c>
      <c r="BA936" s="286">
        <f t="shared" ca="1" si="533"/>
        <v>0</v>
      </c>
      <c r="BB936" s="286">
        <f t="shared" ca="1" si="534"/>
        <v>0</v>
      </c>
      <c r="BC936" s="286">
        <f t="shared" ca="1" si="535"/>
        <v>0</v>
      </c>
      <c r="BD936" s="180">
        <f t="shared" ca="1" si="536"/>
        <v>0.05</v>
      </c>
      <c r="BE936" s="180">
        <f t="shared" ca="1" si="537"/>
        <v>0.05</v>
      </c>
      <c r="BF936" s="286">
        <f t="shared" ca="1" si="538"/>
        <v>0</v>
      </c>
      <c r="BG936" s="286">
        <f t="shared" ca="1" si="539"/>
        <v>0</v>
      </c>
    </row>
    <row r="937" spans="1:59">
      <c r="A937" s="1">
        <f t="shared" ca="1" si="519"/>
        <v>78</v>
      </c>
      <c r="B937" s="1">
        <f t="shared" ca="1" si="512"/>
        <v>184</v>
      </c>
      <c r="C937" s="1">
        <f t="shared" ca="1" si="513"/>
        <v>3</v>
      </c>
      <c r="D937" s="1">
        <f ca="1">MIN($D$3,VLOOKUP(C937,OP!$S$30:$T$41,2))</f>
        <v>2</v>
      </c>
      <c r="E937" s="1" t="str">
        <f t="shared" ca="1" si="514"/>
        <v/>
      </c>
      <c r="F937" s="11" t="str">
        <f t="shared" ca="1" si="520"/>
        <v/>
      </c>
      <c r="G937" s="8">
        <f t="shared" ca="1" si="545"/>
        <v>365</v>
      </c>
      <c r="H937" s="8">
        <f t="shared" ca="1" si="521"/>
        <v>31</v>
      </c>
      <c r="I937" s="8" t="str">
        <f t="shared" ca="1" si="518"/>
        <v>783</v>
      </c>
      <c r="J937" s="13">
        <f>IF(繳費報酬率資料!$A$1=1,VALUE(OP!$C$121),VLOOKUP(A937,MP,2,0))</f>
        <v>0.05</v>
      </c>
      <c r="K937" s="14">
        <f ca="1">IF(SUM($K$4:K936,IF(繳費報酬率資料!$A$1=1,$AU937+$AV937,$BB937+$BC937))&gt;OP!$L$58,0,IF(繳費報酬率資料!$A$1=1,$AU937+$AV937,$BB937+$BC937))</f>
        <v>0</v>
      </c>
      <c r="L937" s="2"/>
      <c r="M937" s="2"/>
      <c r="N937" s="2"/>
      <c r="O937" s="261">
        <f t="shared" ca="1" si="522"/>
        <v>0</v>
      </c>
      <c r="P937" s="261">
        <f t="shared" ca="1" si="540"/>
        <v>0</v>
      </c>
      <c r="Q937" s="3">
        <f ca="1">IF(A937&gt;MAX(OP!$R$17:$R$26),0,VLOOKUP(A937,fees,3,FALSE))</f>
        <v>0</v>
      </c>
      <c r="R937" s="200" t="str">
        <f t="shared" ca="1" si="523"/>
        <v/>
      </c>
      <c r="S937" s="9" t="str">
        <f ca="1">IF(COUNTIF(($T$4:T936),"F")&gt;=1,"",IF(OR(C938&lt;&gt;$C$3,E937=""),"",A937))</f>
        <v/>
      </c>
      <c r="T937" s="20" t="str">
        <f t="shared" ca="1" si="515"/>
        <v/>
      </c>
      <c r="U937" s="2">
        <f ca="1">IF(IF(OP!$C$83=1,$Z936,IF(OP!$C$83=2,$AA936,IF(OP!$C$83=3,$AB936,)))+$K937-$O937-$P937-$AS937&lt;OP!$C$142,0,$AS937)</f>
        <v>0</v>
      </c>
      <c r="V937" s="9"/>
      <c r="W937" s="19">
        <f ca="1">MAX(SUM($K$4:K937),0)</f>
        <v>2000000</v>
      </c>
      <c r="X937" s="19"/>
      <c r="Y937" s="19">
        <f t="shared" ca="1" si="541"/>
        <v>1920000</v>
      </c>
      <c r="Z937" s="2">
        <f ca="1">IF(MIN($Z$4:Z936)=0,0,MAX(0,($Z936+$K937-$O937-$P937)*IF(AND(F937="F",$D$3&lt;&gt;$G$3),((1+(-J937))^(H937/MIN(G937,365))),((1+(-J937))^(1/12)))-$U937))</f>
        <v>35436.85517458697</v>
      </c>
      <c r="AA937" s="2">
        <f ca="1">IF(MIN($AA$4:AA936)=0,0,MAX(0,($AA936+$K937-$O937-$P937)*IF(AND(F937="F",$D$3&lt;&gt;$G$3),((1+$AA$1)^(H937/MIN(G937,365))),((1+$AA$1)^(1/12)))-$U937))</f>
        <v>1920000</v>
      </c>
      <c r="AB937" s="2">
        <f ca="1">IF(MIN($AB$4:AB936)=0,0,MAX(0,($AB936+$K937-$O937-$P937)*IF(AND(F937="F",$D$3&lt;&gt;$G$3),((1+(J937))^(H937/MIN(G937,365))),((1+(J937))^(1/12)))-$U937))</f>
        <v>85612071.656321764</v>
      </c>
      <c r="AC937" s="5"/>
      <c r="AD937" s="5"/>
      <c r="AE937" s="5"/>
      <c r="AF937" s="282">
        <f t="shared" ca="1" si="524"/>
        <v>35437</v>
      </c>
      <c r="AG937" s="282">
        <f t="shared" ca="1" si="525"/>
        <v>1920000</v>
      </c>
      <c r="AH937" s="282">
        <f t="shared" ca="1" si="526"/>
        <v>85612072</v>
      </c>
      <c r="AI937" s="23" t="str">
        <f t="shared" ca="1" si="543"/>
        <v>78-11</v>
      </c>
      <c r="AJ937" s="282">
        <f ca="1">IF(E937&gt;111,,IF(AND(OP!$C$99=1,T937="F"),Z937,IF(AND(OP!$C$99=2,COUNTIF($T$4:T937,"F")=1),OP!$C$97+IF(F937="F",OP!$C$98,0),"")))</f>
        <v>0</v>
      </c>
      <c r="AK937" s="282">
        <f ca="1">IF(E937&gt;111,,IF(AND(OP!$D$99=1,T937="F"),AA937,IF(AND(OP!$D$99=2,COUNTIF($T$4:T937,"F")=1),OP!$D$97+IF(F937="F",OP!$D$98,0),"")))</f>
        <v>0</v>
      </c>
      <c r="AL937" s="282">
        <f ca="1">IF(E937&gt;111,,IF(AND(OP!$E$99=1,T937="F"),AB937,IF(AND(OP!$E$99=2,COUNTIF($T$4:T937,"F")=1),OP!$E$97+IF(F937="F",OP!$E$98,0),"")))</f>
        <v>0</v>
      </c>
      <c r="AM937" s="1">
        <f t="shared" ca="1" si="516"/>
        <v>11</v>
      </c>
      <c r="AN937" s="1" t="e">
        <f ca="1">IF(OR(VLOOKUP($A937,MP,5,0)="季繳",VLOOKUP($A937,MP,5,0)="月繳"),1,"")</f>
        <v>#N/A</v>
      </c>
      <c r="AO937" s="1">
        <f t="shared" ca="1" si="527"/>
        <v>0</v>
      </c>
      <c r="AP937" s="1" t="str">
        <f ca="1">IF(AND(A937&lt;=OP!$C$120,COUNTIF(PAY,C937)=1),1,"")</f>
        <v/>
      </c>
      <c r="AR937" s="301">
        <f ca="1">IF(繳費報酬率資料!$A$1=1,$AY937+$AZ937,$BF937+$BG937)</f>
        <v>0</v>
      </c>
      <c r="AS937" s="1">
        <f ca="1">IF(C937&lt;&gt;IF($C$3=1,12,$C$3-1),0,IF(繳費報酬率資料!$A$1&lt;&gt;1,VLOOKUP($A937,MP,8,0),IF(AND($A937&gt;=OP!$C$79,$A937&lt;=OP!$C$80),OP!$C$78,)))</f>
        <v>0</v>
      </c>
      <c r="AT937" s="298">
        <f t="shared" ca="1" si="528"/>
        <v>0</v>
      </c>
      <c r="AU937" s="298">
        <f ca="1">IF(AND(A937&lt;=OP!$C$120,COUNTIF(PAY,C937)=1),OP!$C$123,0)</f>
        <v>0</v>
      </c>
      <c r="AV937" s="298">
        <f ca="1">IF(AND(A937&gt;=OP!$C$132,A937&lt;=OP!$C$133,$C$3=C937),OP!$C$135,0)</f>
        <v>0</v>
      </c>
      <c r="AW937" s="180">
        <f t="shared" ca="1" si="529"/>
        <v>0.05</v>
      </c>
      <c r="AX937" s="180">
        <f t="shared" ca="1" si="530"/>
        <v>0.05</v>
      </c>
      <c r="AY937" s="286">
        <f t="shared" ca="1" si="531"/>
        <v>0</v>
      </c>
      <c r="AZ937" s="286">
        <f t="shared" ca="1" si="532"/>
        <v>0</v>
      </c>
      <c r="BA937" s="286">
        <f t="shared" ca="1" si="533"/>
        <v>0</v>
      </c>
      <c r="BB937" s="286">
        <f t="shared" ca="1" si="534"/>
        <v>0</v>
      </c>
      <c r="BC937" s="286">
        <f t="shared" ca="1" si="535"/>
        <v>0</v>
      </c>
      <c r="BD937" s="180">
        <f t="shared" ca="1" si="536"/>
        <v>0.05</v>
      </c>
      <c r="BE937" s="180">
        <f t="shared" ca="1" si="537"/>
        <v>0.05</v>
      </c>
      <c r="BF937" s="286">
        <f t="shared" ca="1" si="538"/>
        <v>0</v>
      </c>
      <c r="BG937" s="286">
        <f t="shared" ca="1" si="539"/>
        <v>0</v>
      </c>
    </row>
    <row r="938" spans="1:59">
      <c r="A938" s="1">
        <f t="shared" ca="1" si="519"/>
        <v>78</v>
      </c>
      <c r="B938" s="1">
        <f t="shared" ca="1" si="512"/>
        <v>184</v>
      </c>
      <c r="C938" s="1">
        <f t="shared" ca="1" si="513"/>
        <v>4</v>
      </c>
      <c r="D938" s="1">
        <f ca="1">MIN($D$3,VLOOKUP(C938,OP!$S$30:$T$41,2))</f>
        <v>2</v>
      </c>
      <c r="E938" s="1" t="str">
        <f t="shared" ca="1" si="514"/>
        <v/>
      </c>
      <c r="F938" s="11" t="str">
        <f t="shared" ca="1" si="520"/>
        <v/>
      </c>
      <c r="G938" s="8">
        <f t="shared" ca="1" si="545"/>
        <v>365</v>
      </c>
      <c r="H938" s="8">
        <f t="shared" ca="1" si="521"/>
        <v>30</v>
      </c>
      <c r="I938" s="8" t="str">
        <f t="shared" ca="1" si="518"/>
        <v>784</v>
      </c>
      <c r="J938" s="13">
        <f>IF(繳費報酬率資料!$A$1=1,VALUE(OP!$C$121),VLOOKUP(A938,MP,2,0))</f>
        <v>0.05</v>
      </c>
      <c r="K938" s="14">
        <f ca="1">IF(SUM($K$4:K937,IF(繳費報酬率資料!$A$1=1,$AU938+$AV938,$BB938+$BC938))&gt;OP!$L$58,0,IF(繳費報酬率資料!$A$1=1,$AU938+$AV938,$BB938+$BC938))</f>
        <v>0</v>
      </c>
      <c r="L938" s="2"/>
      <c r="M938" s="2"/>
      <c r="N938" s="2"/>
      <c r="O938" s="261">
        <f t="shared" ca="1" si="522"/>
        <v>0</v>
      </c>
      <c r="P938" s="261">
        <f t="shared" ca="1" si="540"/>
        <v>0</v>
      </c>
      <c r="Q938" s="3">
        <f ca="1">IF(A938&gt;MAX(OP!$R$17:$R$26),0,VLOOKUP(A938,fees,3,FALSE))</f>
        <v>0</v>
      </c>
      <c r="R938" s="200" t="str">
        <f t="shared" ca="1" si="523"/>
        <v/>
      </c>
      <c r="S938" s="9" t="str">
        <f ca="1">IF(COUNTIF(($T$4:T937),"F")&gt;=1,"",IF(OR(C939&lt;&gt;$C$3,E938=""),"",A938))</f>
        <v/>
      </c>
      <c r="T938" s="20" t="str">
        <f t="shared" ca="1" si="515"/>
        <v/>
      </c>
      <c r="U938" s="2">
        <f ca="1">IF(IF(OP!$C$83=1,$Z937,IF(OP!$C$83=2,$AA937,IF(OP!$C$83=3,$AB937,)))+$K938-$O938-$P938-$AS938&lt;OP!$C$142,0,$AS938)</f>
        <v>0</v>
      </c>
      <c r="V938" s="9"/>
      <c r="W938" s="19">
        <f ca="1">MAX(SUM($K$4:K938),0)</f>
        <v>2000000</v>
      </c>
      <c r="X938" s="19"/>
      <c r="Y938" s="19">
        <f t="shared" ca="1" si="541"/>
        <v>1920000</v>
      </c>
      <c r="Z938" s="2">
        <f ca="1">IF(MIN($Z$4:Z937)=0,0,MAX(0,($Z937+$K938-$O938-$P938)*IF(AND(F938="F",$D$3&lt;&gt;$G$3),((1+(-J938))^(H938/MIN(G938,365))),((1+(-J938))^(1/12)))-$U938))</f>
        <v>35285.705690793104</v>
      </c>
      <c r="AA938" s="2">
        <f ca="1">IF(MIN($AA$4:AA937)=0,0,MAX(0,($AA937+$K938-$O938-$P938)*IF(AND(F938="F",$D$3&lt;&gt;$G$3),((1+$AA$1)^(H938/MIN(G938,365))),((1+$AA$1)^(1/12)))-$U938))</f>
        <v>1920000</v>
      </c>
      <c r="AB938" s="2">
        <f ca="1">IF(MIN($AB$4:AB937)=0,0,MAX(0,($AB937+$K938-$O938-$P938)*IF(AND(F938="F",$D$3&lt;&gt;$G$3),((1+(J938))^(H938/MIN(G938,365))),((1+(J938))^(1/12)))-$U938))</f>
        <v>85960865.833624184</v>
      </c>
      <c r="AC938" s="5"/>
      <c r="AD938" s="5"/>
      <c r="AE938" s="5"/>
      <c r="AF938" s="282">
        <f t="shared" ca="1" si="524"/>
        <v>35286</v>
      </c>
      <c r="AG938" s="282">
        <f t="shared" ca="1" si="525"/>
        <v>1920000</v>
      </c>
      <c r="AH938" s="282">
        <f t="shared" ca="1" si="526"/>
        <v>85960866</v>
      </c>
      <c r="AI938" s="23" t="str">
        <f t="shared" ca="1" si="543"/>
        <v>78-12</v>
      </c>
      <c r="AJ938" s="282">
        <f ca="1">IF(E938&gt;111,,IF(AND(OP!$C$99=1,T938="F"),Z938,IF(AND(OP!$C$99=2,COUNTIF($T$4:T938,"F")=1),OP!$C$97+IF(F938="F",OP!$C$98,0),"")))</f>
        <v>0</v>
      </c>
      <c r="AK938" s="282">
        <f ca="1">IF(E938&gt;111,,IF(AND(OP!$D$99=1,T938="F"),AA938,IF(AND(OP!$D$99=2,COUNTIF($T$4:T938,"F")=1),OP!$D$97+IF(F938="F",OP!$D$98,0),"")))</f>
        <v>0</v>
      </c>
      <c r="AL938" s="282">
        <f ca="1">IF(E938&gt;111,,IF(AND(OP!$E$99=1,T938="F"),AB938,IF(AND(OP!$E$99=2,COUNTIF($T$4:T938,"F")=1),OP!$E$97+IF(F938="F",OP!$E$98,0),"")))</f>
        <v>0</v>
      </c>
      <c r="AM938" s="1">
        <f t="shared" ca="1" si="516"/>
        <v>12</v>
      </c>
      <c r="AN938" s="1" t="e">
        <f ca="1">IF(OR(VLOOKUP($A938,MP,5,0)="月繳"),1,"")</f>
        <v>#N/A</v>
      </c>
      <c r="AO938" s="1">
        <f t="shared" ca="1" si="527"/>
        <v>0</v>
      </c>
      <c r="AP938" s="1" t="str">
        <f ca="1">IF(AND(A938&lt;=OP!$C$120,COUNTIF(PAY,C938)=1),1,"")</f>
        <v/>
      </c>
      <c r="AR938" s="301">
        <f ca="1">IF(繳費報酬率資料!$A$1=1,$AY938+$AZ938,$BF938+$BG938)</f>
        <v>0</v>
      </c>
      <c r="AS938" s="1">
        <f ca="1">IF(C938&lt;&gt;IF($C$3=1,12,$C$3-1),0,IF(繳費報酬率資料!$A$1&lt;&gt;1,VLOOKUP($A938,MP,8,0),IF(AND($A938&gt;=OP!$C$79,$A938&lt;=OP!$C$80),OP!$C$78,)))</f>
        <v>0</v>
      </c>
      <c r="AT938" s="298">
        <f t="shared" ca="1" si="528"/>
        <v>0</v>
      </c>
      <c r="AU938" s="298">
        <f ca="1">IF(AND(A938&lt;=OP!$C$120,COUNTIF(PAY,C938)=1),OP!$C$123,0)</f>
        <v>0</v>
      </c>
      <c r="AV938" s="298">
        <f ca="1">IF(AND(A938&gt;=OP!$C$132,A938&lt;=OP!$C$133,$C$3=C938),OP!$C$135,0)</f>
        <v>0</v>
      </c>
      <c r="AW938" s="180">
        <f t="shared" ca="1" si="529"/>
        <v>0.05</v>
      </c>
      <c r="AX938" s="180">
        <f t="shared" ca="1" si="530"/>
        <v>0.05</v>
      </c>
      <c r="AY938" s="286">
        <f t="shared" ca="1" si="531"/>
        <v>0</v>
      </c>
      <c r="AZ938" s="286">
        <f t="shared" ca="1" si="532"/>
        <v>0</v>
      </c>
      <c r="BA938" s="286">
        <f t="shared" ca="1" si="533"/>
        <v>0</v>
      </c>
      <c r="BB938" s="286">
        <f t="shared" ca="1" si="534"/>
        <v>0</v>
      </c>
      <c r="BC938" s="286">
        <f t="shared" ca="1" si="535"/>
        <v>0</v>
      </c>
      <c r="BD938" s="180">
        <f t="shared" ca="1" si="536"/>
        <v>0.05</v>
      </c>
      <c r="BE938" s="180">
        <f t="shared" ca="1" si="537"/>
        <v>0.05</v>
      </c>
      <c r="BF938" s="286">
        <f t="shared" ca="1" si="538"/>
        <v>0</v>
      </c>
      <c r="BG938" s="286">
        <f t="shared" ca="1" si="539"/>
        <v>0</v>
      </c>
    </row>
    <row r="939" spans="1:59">
      <c r="A939" s="1">
        <f t="shared" ca="1" si="519"/>
        <v>78</v>
      </c>
      <c r="B939" s="1">
        <f t="shared" ca="1" si="512"/>
        <v>184</v>
      </c>
      <c r="C939" s="1">
        <f t="shared" ca="1" si="513"/>
        <v>5</v>
      </c>
      <c r="D939" s="1">
        <f ca="1">MIN($D$3,VLOOKUP(C939,OP!$S$30:$T$41,2))</f>
        <v>2</v>
      </c>
      <c r="E939" s="1" t="str">
        <f t="shared" ca="1" si="514"/>
        <v/>
      </c>
      <c r="F939" s="11" t="str">
        <f t="shared" ca="1" si="520"/>
        <v/>
      </c>
      <c r="G939" s="8">
        <f t="shared" ca="1" si="545"/>
        <v>365</v>
      </c>
      <c r="H939" s="8">
        <f t="shared" ca="1" si="521"/>
        <v>31</v>
      </c>
      <c r="I939" s="8" t="str">
        <f t="shared" ca="1" si="518"/>
        <v>785</v>
      </c>
      <c r="J939" s="13">
        <f>IF(繳費報酬率資料!$A$1=1,VALUE(OP!$C$121),VLOOKUP(A939,MP,2,0))</f>
        <v>0.05</v>
      </c>
      <c r="K939" s="14">
        <f ca="1">IF(SUM($K$4:K938,IF(繳費報酬率資料!$A$1=1,$AU939+$AV939,$BB939+$BC939))&gt;OP!$L$58,0,IF(繳費報酬率資料!$A$1=1,$AU939+$AV939,$BB939+$BC939))</f>
        <v>0</v>
      </c>
      <c r="L939" s="2">
        <f ca="1">ROUND(IF(OP!$C$78&lt;(IF(OR($T939="F",$E939&gt;=111),0,Z938+$K939-$O939+IF($C$1=1,OP!$C$78,IF($C940=$C$3,SUM(AC928:AC939,0)))))*5%,0,(OP!$C$78-((IF(OR($T939="F",$E939&gt;=111),0,Z938+$K939-$O939+IF($C$1=1,AC939,IF($C940=$C$3,SUM(AC928:AC939,0)))))*5%))*$Q939),0)</f>
        <v>0</v>
      </c>
      <c r="M939" s="2">
        <f ca="1">ROUND(IF(OP!$C$78&lt;(IF(OR($T939="F",$E939&gt;=111),0,AA938+$K939-$O939+IF($C$1=1,AD939,IF($C940=$C$3,SUM(AD928:AD939,0)))))*5%,0,(OP!$C$78-((IF(OR($T939="F",$E939&gt;=111),0,AA938+$K939-$O939+IF($C$1=1,AD939,IF($C940=$C$3,SUM(AD928:AD939,0)))))*5%))*$Q939),0)</f>
        <v>0</v>
      </c>
      <c r="N939" s="2">
        <f ca="1">ROUND(IF(OP!$C$78&lt;(IF(OR($T939="F",$E939&gt;=111),0,AB938+$K939-$O939+IF($C$1=1,AE939,IF($C940=$C$3,SUM(AE928:AE939,0)))))*5%,0,(OP!$C$78-((IF(OR($T939="F",$E939&gt;=111),0,AB938+$K939-$O939+IF($C$1=1,AE939,IF($C940=$C$3,SUM(AE928:AE939,0)))))*5%))*$Q939),0)</f>
        <v>0</v>
      </c>
      <c r="O939" s="261">
        <f t="shared" ca="1" si="522"/>
        <v>0</v>
      </c>
      <c r="P939" s="261">
        <f t="shared" ca="1" si="540"/>
        <v>0</v>
      </c>
      <c r="Q939" s="3">
        <f ca="1">IF(A939&gt;MAX(OP!$R$17:$R$26),0,VLOOKUP(A939,fees,3,FALSE))</f>
        <v>0</v>
      </c>
      <c r="R939" s="200" t="str">
        <f t="shared" ca="1" si="523"/>
        <v/>
      </c>
      <c r="S939" s="9" t="str">
        <f ca="1">IF(COUNTIF(($T$4:T938),"F")&gt;=1,"",IF(OR(C940&lt;&gt;$C$3,E939=""),"",A939))</f>
        <v/>
      </c>
      <c r="T939" s="20" t="str">
        <f t="shared" ca="1" si="515"/>
        <v/>
      </c>
      <c r="U939" s="2">
        <f ca="1">IF(IF(OP!$C$83=1,$Z938,IF(OP!$C$83=2,$AA938,IF(OP!$C$83=3,$AB938,)))+$K939-$O939-$P939-$AS939&lt;OP!$C$142,0,$AS939)</f>
        <v>0</v>
      </c>
      <c r="V939" s="19">
        <f ca="1">SUM(K928:K939)</f>
        <v>0</v>
      </c>
      <c r="W939" s="19">
        <f ca="1">MAX(SUM($K$4:K939),0)</f>
        <v>2000000</v>
      </c>
      <c r="X939" s="19">
        <f ca="1">SUM(O928:P939)</f>
        <v>0</v>
      </c>
      <c r="Y939" s="19">
        <f t="shared" ca="1" si="541"/>
        <v>1920000</v>
      </c>
      <c r="Z939" s="2">
        <f ca="1">IF(MIN($Z$4:Z938)=0,0,MAX(0,($Z938+$K939-$O939-$P939)*IF(AND(F939="F",$D$3&lt;&gt;$G$3),((1+(-J939))^(H939/MIN(G939,365))),((1+(-J939))^(1/12)))-$U939))</f>
        <v>35135.200907730687</v>
      </c>
      <c r="AA939" s="2">
        <f ca="1">IF(MIN($AA$4:AA938)=0,0,MAX(0,($AA938+$K939-$O939-$P939)*IF(AND(F939="F",$D$3&lt;&gt;$G$3),((1+$AA$1)^(H939/MIN(G939,365))),((1+$AA$1)^(1/12)))-$U939))</f>
        <v>1920000</v>
      </c>
      <c r="AB939" s="2">
        <f ca="1">IF(MIN($AB$4:AB938)=0,0,MAX(0,($AB938+$K939-$O939-$P939)*IF(AND(F939="F",$D$3&lt;&gt;$G$3),((1+(J939))^(H939/MIN(G939,365))),((1+(J939))^(1/12)))-$U939))</f>
        <v>86311081.041579962</v>
      </c>
      <c r="AC939" s="5"/>
      <c r="AD939" s="5"/>
      <c r="AE939" s="5"/>
      <c r="AF939" s="282">
        <f t="shared" ca="1" si="524"/>
        <v>35135</v>
      </c>
      <c r="AG939" s="282">
        <f t="shared" ca="1" si="525"/>
        <v>1920000</v>
      </c>
      <c r="AH939" s="282">
        <f t="shared" ca="1" si="526"/>
        <v>86311081</v>
      </c>
      <c r="AI939" s="23" t="str">
        <f t="shared" ca="1" si="543"/>
        <v>79-1</v>
      </c>
      <c r="AJ939" s="282">
        <f ca="1">IF(E939&gt;111,,IF(AND(OP!$C$99=1,T939="F"),Z939,IF(AND(OP!$C$99=2,COUNTIF($T$4:T939,"F")=1),OP!$C$97+IF(F939="F",OP!$C$98,0),"")))</f>
        <v>0</v>
      </c>
      <c r="AK939" s="282">
        <f ca="1">IF(E939&gt;111,,IF(AND(OP!$D$99=1,T939="F"),AA939,IF(AND(OP!$D$99=2,COUNTIF($T$4:T939,"F")=1),OP!$D$97+IF(F939="F",OP!$D$98,0),"")))</f>
        <v>0</v>
      </c>
      <c r="AL939" s="282">
        <f ca="1">IF(E939&gt;111,,IF(AND(OP!$E$99=1,T939="F"),AB939,IF(AND(OP!$E$99=2,COUNTIF($T$4:T939,"F")=1),OP!$E$97+IF(F939="F",OP!$E$98,0),"")))</f>
        <v>0</v>
      </c>
      <c r="AM939" s="1">
        <f t="shared" ca="1" si="516"/>
        <v>1</v>
      </c>
      <c r="AN939" s="1" t="e">
        <f ca="1">IF(OR(VLOOKUP($A939,MP,5,0)="月繳"),1,"")</f>
        <v>#N/A</v>
      </c>
      <c r="AO939" s="1">
        <f t="shared" ca="1" si="527"/>
        <v>0</v>
      </c>
      <c r="AP939" s="1" t="str">
        <f ca="1">IF(AND(A939&lt;=OP!$C$120,COUNTIF(PAY,C939)=1),1,"")</f>
        <v/>
      </c>
      <c r="AR939" s="301">
        <f ca="1">IF(繳費報酬率資料!$A$1=1,$AY939+$AZ939,$BF939+$BG939)</f>
        <v>0</v>
      </c>
      <c r="AS939" s="1">
        <f ca="1">IF(C939&lt;&gt;IF($C$3=1,12,$C$3-1),0,IF(繳費報酬率資料!$A$1&lt;&gt;1,VLOOKUP($A939,MP,8,0),IF(AND($A939&gt;=OP!$C$79,$A939&lt;=OP!$C$80),OP!$C$78,)))</f>
        <v>0</v>
      </c>
      <c r="AT939" s="298">
        <f t="shared" ca="1" si="528"/>
        <v>0</v>
      </c>
      <c r="AU939" s="298">
        <f ca="1">IF(AND(A939&lt;=OP!$C$120,COUNTIF(PAY,C939)=1),OP!$C$123,0)</f>
        <v>0</v>
      </c>
      <c r="AV939" s="298">
        <f ca="1">IF(AND(A939&gt;=OP!$C$132,A939&lt;=OP!$C$133,$C$3=C939),OP!$C$135,0)</f>
        <v>0</v>
      </c>
      <c r="AW939" s="180">
        <f t="shared" ca="1" si="529"/>
        <v>0.05</v>
      </c>
      <c r="AX939" s="180">
        <f t="shared" ca="1" si="530"/>
        <v>0.05</v>
      </c>
      <c r="AY939" s="286">
        <f t="shared" ca="1" si="531"/>
        <v>0</v>
      </c>
      <c r="AZ939" s="286">
        <f t="shared" ca="1" si="532"/>
        <v>0</v>
      </c>
      <c r="BA939" s="286">
        <f t="shared" ca="1" si="533"/>
        <v>0</v>
      </c>
      <c r="BB939" s="286">
        <f t="shared" ca="1" si="534"/>
        <v>0</v>
      </c>
      <c r="BC939" s="286">
        <f t="shared" ca="1" si="535"/>
        <v>0</v>
      </c>
      <c r="BD939" s="180">
        <f t="shared" ca="1" si="536"/>
        <v>0.05</v>
      </c>
      <c r="BE939" s="180">
        <f t="shared" ca="1" si="537"/>
        <v>0.05</v>
      </c>
      <c r="BF939" s="286">
        <f t="shared" ca="1" si="538"/>
        <v>0</v>
      </c>
      <c r="BG939" s="286">
        <f t="shared" ca="1" si="539"/>
        <v>0</v>
      </c>
    </row>
    <row r="940" spans="1:59">
      <c r="A940" s="1">
        <f t="shared" ca="1" si="519"/>
        <v>79</v>
      </c>
      <c r="B940" s="1">
        <f t="shared" ca="1" si="512"/>
        <v>184</v>
      </c>
      <c r="C940" s="1">
        <f t="shared" ca="1" si="513"/>
        <v>6</v>
      </c>
      <c r="D940" s="1">
        <f ca="1">MIN($D$3,VLOOKUP(C940,OP!$S$30:$T$41,2))</f>
        <v>2</v>
      </c>
      <c r="E940" s="1" t="str">
        <f t="shared" ca="1" si="514"/>
        <v/>
      </c>
      <c r="F940" s="11" t="str">
        <f t="shared" ca="1" si="520"/>
        <v/>
      </c>
      <c r="G940" s="6">
        <f ca="1">DATEDIF(DATE(B940+1911,C940,D940),DATE(B952+1911,C952,D952),"d")</f>
        <v>366</v>
      </c>
      <c r="H940" s="8">
        <f t="shared" ca="1" si="521"/>
        <v>30</v>
      </c>
      <c r="I940" s="8" t="str">
        <f t="shared" ca="1" si="518"/>
        <v>796</v>
      </c>
      <c r="J940" s="13">
        <f>IF(繳費報酬率資料!$A$1=1,VALUE(OP!$C$121),VLOOKUP(A940,MP,2,0))</f>
        <v>0.05</v>
      </c>
      <c r="K940" s="14">
        <f ca="1">IF(SUM($K$4:K939,IF(繳費報酬率資料!$A$1=1,$AU940+$AV940,$BB940+$BC940))&gt;OP!$L$58,0,IF(繳費報酬率資料!$A$1=1,$AU940+$AV940,$BB940+$BC940))</f>
        <v>0</v>
      </c>
      <c r="L940" s="2"/>
      <c r="M940" s="2"/>
      <c r="N940" s="2"/>
      <c r="O940" s="261">
        <f t="shared" ca="1" si="522"/>
        <v>0</v>
      </c>
      <c r="P940" s="261">
        <f t="shared" ca="1" si="540"/>
        <v>0</v>
      </c>
      <c r="Q940" s="3">
        <f ca="1">IF(A940&gt;MAX(OP!$R$17:$R$26),0,VLOOKUP(A940,fees,3,FALSE))</f>
        <v>0</v>
      </c>
      <c r="R940" s="200" t="str">
        <f t="shared" ca="1" si="523"/>
        <v/>
      </c>
      <c r="S940" s="9" t="str">
        <f ca="1">IF(COUNTIF(($T$4:T939),"F")&gt;=1,"",IF(OR(C941&lt;&gt;$C$3,E940=""),"",A940))</f>
        <v/>
      </c>
      <c r="T940" s="20" t="str">
        <f t="shared" ca="1" si="515"/>
        <v/>
      </c>
      <c r="U940" s="2">
        <f ca="1">IF(IF(OP!$C$83=1,$Z939,IF(OP!$C$83=2,$AA939,IF(OP!$C$83=3,$AB939,)))+$K940-$O940-$P940-$AS940&lt;OP!$C$142,0,$AS940)</f>
        <v>0</v>
      </c>
      <c r="V940" s="9"/>
      <c r="W940" s="19">
        <f ca="1">MAX(SUM($K$4:K940),0)</f>
        <v>2000000</v>
      </c>
      <c r="X940" s="19"/>
      <c r="Y940" s="19">
        <f t="shared" ca="1" si="541"/>
        <v>1920000</v>
      </c>
      <c r="Z940" s="2">
        <f ca="1">IF(MIN($Z$4:Z939)=0,0,MAX(0,($Z939+$K940-$O940-$P940)*IF(AND(F940="F",$D$3&lt;&gt;$G$3),((1+(-J940))^(H940/MIN(G940,365))),((1+(-J940))^(1/12)))-$U940))</f>
        <v>34985.33807554558</v>
      </c>
      <c r="AA940" s="2">
        <f ca="1">IF(MIN($AA$4:AA939)=0,0,MAX(0,($AA939+$K940-$O940-$P940)*IF(AND(F940="F",$D$3&lt;&gt;$G$3),((1+$AA$1)^(H940/MIN(G940,365))),((1+$AA$1)^(1/12)))-$U940))</f>
        <v>1920000</v>
      </c>
      <c r="AB940" s="2">
        <f ca="1">IF(MIN($AB$4:AB939)=0,0,MAX(0,($AB939+$K940-$O940-$P940)*IF(AND(F940="F",$D$3&lt;&gt;$G$3),((1+(J940))^(H940/MIN(G940,365))),((1+(J940))^(1/12)))-$U940))</f>
        <v>86662723.06964387</v>
      </c>
      <c r="AC940" s="21"/>
      <c r="AD940" s="21"/>
      <c r="AE940" s="21"/>
      <c r="AF940" s="282">
        <f t="shared" ca="1" si="524"/>
        <v>34985</v>
      </c>
      <c r="AG940" s="282">
        <f t="shared" ca="1" si="525"/>
        <v>1920000</v>
      </c>
      <c r="AH940" s="282">
        <f t="shared" ca="1" si="526"/>
        <v>86662723</v>
      </c>
      <c r="AI940" s="23" t="str">
        <f t="shared" ca="1" si="543"/>
        <v>79-2</v>
      </c>
      <c r="AJ940" s="281">
        <f ca="1">IF(E940&gt;111,,IF(AND(OP!$C$99=1,T940="F"),Z940,IF(AND(OP!$C$99=2,COUNTIF($T$4:T940,"F")=1),OP!$C$97+IF(F940="F",OP!$C$98,0),"")))</f>
        <v>0</v>
      </c>
      <c r="AK940" s="281">
        <f ca="1">IF(E940&gt;111,,IF(AND(OP!$D$99=1,T940="F"),AA940,IF(AND(OP!$D$99=2,COUNTIF($T$4:T940,"F")=1),OP!$D$97+IF(F940="F",OP!$D$98,0),"")))</f>
        <v>0</v>
      </c>
      <c r="AL940" s="281">
        <f ca="1">IF(E940&gt;111,,IF(AND(OP!$E$99=1,T940="F"),AB940,IF(AND(OP!$E$99=2,COUNTIF($T$4:T940,"F")=1),OP!$E$97+IF(F940="F",OP!$E$98,0),"")))</f>
        <v>0</v>
      </c>
      <c r="AM940" s="1">
        <f t="shared" ca="1" si="516"/>
        <v>2</v>
      </c>
      <c r="AN940" s="1" t="e">
        <f ca="1">IF(OR(VLOOKUP($A940,MP,5,0)="年繳",VLOOKUP($A940,MP,5,0)="半年繳",VLOOKUP($A940,MP,5,0)="季繳",VLOOKUP($A940,MP,5,0)="月繳"),1,"")</f>
        <v>#N/A</v>
      </c>
      <c r="AO940" s="1">
        <f t="shared" ca="1" si="527"/>
        <v>0</v>
      </c>
      <c r="AP940" s="1" t="str">
        <f ca="1">IF(AND(A940&lt;=OP!$C$120,COUNTIF(PAY,C940)=1),1,"")</f>
        <v/>
      </c>
      <c r="AR940" s="301">
        <f ca="1">IF(繳費報酬率資料!$A$1=1,$AY940+$AZ940,$BF940+$BG940)</f>
        <v>0</v>
      </c>
      <c r="AS940" s="1">
        <f ca="1">IF(C940&lt;&gt;IF($C$3=1,12,$C$3-1),0,IF(繳費報酬率資料!$A$1&lt;&gt;1,VLOOKUP($A940,MP,8,0),IF(AND($A940&gt;=OP!$C$79,$A940&lt;=OP!$C$80),OP!$C$78,)))</f>
        <v>0</v>
      </c>
      <c r="AT940" s="298">
        <f t="shared" ca="1" si="528"/>
        <v>0</v>
      </c>
      <c r="AU940" s="298">
        <f ca="1">IF(AND(A940&lt;=OP!$C$120,COUNTIF(PAY,C940)=1),OP!$C$123,0)</f>
        <v>0</v>
      </c>
      <c r="AV940" s="298">
        <f ca="1">IF(AND(A940&gt;=OP!$C$132,A940&lt;=OP!$C$133,$C$3=C940),OP!$C$135,0)</f>
        <v>0</v>
      </c>
      <c r="AW940" s="180">
        <f t="shared" ca="1" si="529"/>
        <v>0.05</v>
      </c>
      <c r="AX940" s="180">
        <f t="shared" ca="1" si="530"/>
        <v>0.05</v>
      </c>
      <c r="AY940" s="286">
        <f t="shared" ca="1" si="531"/>
        <v>0</v>
      </c>
      <c r="AZ940" s="286">
        <f t="shared" ca="1" si="532"/>
        <v>0</v>
      </c>
      <c r="BA940" s="286">
        <f t="shared" ca="1" si="533"/>
        <v>0</v>
      </c>
      <c r="BB940" s="286">
        <f t="shared" ca="1" si="534"/>
        <v>0</v>
      </c>
      <c r="BC940" s="286">
        <f t="shared" ca="1" si="535"/>
        <v>0</v>
      </c>
      <c r="BD940" s="180">
        <f t="shared" ca="1" si="536"/>
        <v>0.05</v>
      </c>
      <c r="BE940" s="180">
        <f t="shared" ca="1" si="537"/>
        <v>0.05</v>
      </c>
      <c r="BF940" s="286">
        <f t="shared" ca="1" si="538"/>
        <v>0</v>
      </c>
      <c r="BG940" s="286">
        <f t="shared" ca="1" si="539"/>
        <v>0</v>
      </c>
    </row>
    <row r="941" spans="1:59">
      <c r="A941" s="1">
        <f t="shared" ca="1" si="519"/>
        <v>79</v>
      </c>
      <c r="B941" s="1">
        <f t="shared" ca="1" si="512"/>
        <v>184</v>
      </c>
      <c r="C941" s="1">
        <f t="shared" ca="1" si="513"/>
        <v>7</v>
      </c>
      <c r="D941" s="1">
        <f ca="1">MIN($D$3,VLOOKUP(C941,OP!$S$30:$T$41,2))</f>
        <v>2</v>
      </c>
      <c r="E941" s="1" t="str">
        <f t="shared" ca="1" si="514"/>
        <v/>
      </c>
      <c r="F941" s="11" t="str">
        <f t="shared" ca="1" si="520"/>
        <v/>
      </c>
      <c r="G941" s="8">
        <f t="shared" ref="G941:G951" ca="1" si="546">G940</f>
        <v>366</v>
      </c>
      <c r="H941" s="8">
        <f t="shared" ca="1" si="521"/>
        <v>31</v>
      </c>
      <c r="I941" s="8" t="str">
        <f t="shared" ca="1" si="518"/>
        <v>797</v>
      </c>
      <c r="J941" s="13">
        <f>IF(繳費報酬率資料!$A$1=1,VALUE(OP!$C$121),VLOOKUP(A941,MP,2,0))</f>
        <v>0.05</v>
      </c>
      <c r="K941" s="14">
        <f ca="1">IF(SUM($K$4:K940,IF(繳費報酬率資料!$A$1=1,$AU941+$AV941,$BB941+$BC941))&gt;OP!$L$58,0,IF(繳費報酬率資料!$A$1=1,$AU941+$AV941,$BB941+$BC941))</f>
        <v>0</v>
      </c>
      <c r="L941" s="2"/>
      <c r="M941" s="2"/>
      <c r="N941" s="2"/>
      <c r="O941" s="261">
        <f t="shared" ca="1" si="522"/>
        <v>0</v>
      </c>
      <c r="P941" s="261">
        <f t="shared" ca="1" si="540"/>
        <v>0</v>
      </c>
      <c r="Q941" s="3">
        <f ca="1">IF(A941&gt;MAX(OP!$R$17:$R$26),0,VLOOKUP(A941,fees,3,FALSE))</f>
        <v>0</v>
      </c>
      <c r="R941" s="200" t="str">
        <f t="shared" ca="1" si="523"/>
        <v/>
      </c>
      <c r="S941" s="9" t="str">
        <f ca="1">IF(COUNTIF(($T$4:T940),"F")&gt;=1,"",IF(OR(C942&lt;&gt;$C$3,E941=""),"",A941))</f>
        <v/>
      </c>
      <c r="T941" s="20" t="str">
        <f t="shared" ca="1" si="515"/>
        <v/>
      </c>
      <c r="U941" s="2">
        <f ca="1">IF(IF(OP!$C$83=1,$Z940,IF(OP!$C$83=2,$AA940,IF(OP!$C$83=3,$AB940,)))+$K941-$O941-$P941-$AS941&lt;OP!$C$142,0,$AS941)</f>
        <v>0</v>
      </c>
      <c r="V941" s="9"/>
      <c r="W941" s="19">
        <f ca="1">MAX(SUM($K$4:K941),0)</f>
        <v>2000000</v>
      </c>
      <c r="X941" s="19"/>
      <c r="Y941" s="19">
        <f t="shared" ca="1" si="541"/>
        <v>1920000</v>
      </c>
      <c r="Z941" s="2">
        <f ca="1">IF(MIN($Z$4:Z940)=0,0,MAX(0,($Z940+$K941-$O941-$P941)*IF(AND(F941="F",$D$3&lt;&gt;$G$3),((1+(-J941))^(H941/MIN(G941,365))),((1+(-J941))^(1/12)))-$U941))</f>
        <v>34836.114456112649</v>
      </c>
      <c r="AA941" s="2">
        <f ca="1">IF(MIN($AA$4:AA940)=0,0,MAX(0,($AA940+$K941-$O941-$P941)*IF(AND(F941="F",$D$3&lt;&gt;$G$3),((1+$AA$1)^(H941/MIN(G941,365))),((1+$AA$1)^(1/12)))-$U941))</f>
        <v>1920000</v>
      </c>
      <c r="AB941" s="2">
        <f ca="1">IF(MIN($AB$4:AB940)=0,0,MAX(0,($AB940+$K941-$O941-$P941)*IF(AND(F941="F",$D$3&lt;&gt;$G$3),((1+(J941))^(H941/MIN(G941,365))),((1+(J941))^(1/12)))-$U941))</f>
        <v>87015797.730857641</v>
      </c>
      <c r="AC941" s="5"/>
      <c r="AD941" s="5"/>
      <c r="AE941" s="5"/>
      <c r="AF941" s="282">
        <f t="shared" ca="1" si="524"/>
        <v>34836</v>
      </c>
      <c r="AG941" s="282">
        <f t="shared" ca="1" si="525"/>
        <v>1920000</v>
      </c>
      <c r="AH941" s="282">
        <f t="shared" ca="1" si="526"/>
        <v>87015798</v>
      </c>
      <c r="AI941" s="23" t="str">
        <f t="shared" ca="1" si="543"/>
        <v>79-3</v>
      </c>
      <c r="AJ941" s="282">
        <f ca="1">IF(E941&gt;111,,IF(AND(OP!$C$99=1,T941="F"),Z941,IF(AND(OP!$C$99=2,COUNTIF($T$4:T941,"F")=1),OP!$C$97+IF(F941="F",OP!$C$98,0),"")))</f>
        <v>0</v>
      </c>
      <c r="AK941" s="282">
        <f ca="1">IF(E941&gt;111,,IF(AND(OP!$D$99=1,T941="F"),AA941,IF(AND(OP!$D$99=2,COUNTIF($T$4:T941,"F")=1),OP!$D$97+IF(F941="F",OP!$D$98,0),"")))</f>
        <v>0</v>
      </c>
      <c r="AL941" s="282">
        <f ca="1">IF(E941&gt;111,,IF(AND(OP!$E$99=1,T941="F"),AB941,IF(AND(OP!$E$99=2,COUNTIF($T$4:T941,"F")=1),OP!$E$97+IF(F941="F",OP!$E$98,0),"")))</f>
        <v>0</v>
      </c>
      <c r="AM941" s="1">
        <f t="shared" ca="1" si="516"/>
        <v>3</v>
      </c>
      <c r="AN941" s="1" t="e">
        <f ca="1">IF(OR(VLOOKUP($A941,MP,5,0)="月繳"),1,"")</f>
        <v>#N/A</v>
      </c>
      <c r="AO941" s="1">
        <f t="shared" ca="1" si="527"/>
        <v>0</v>
      </c>
      <c r="AP941" s="1" t="str">
        <f ca="1">IF(AND(A941&lt;=OP!$C$120,COUNTIF(PAY,C941)=1),1,"")</f>
        <v/>
      </c>
      <c r="AR941" s="301">
        <f ca="1">IF(繳費報酬率資料!$A$1=1,$AY941+$AZ941,$BF941+$BG941)</f>
        <v>0</v>
      </c>
      <c r="AS941" s="1">
        <f ca="1">IF(C941&lt;&gt;IF($C$3=1,12,$C$3-1),0,IF(繳費報酬率資料!$A$1&lt;&gt;1,VLOOKUP($A941,MP,8,0),IF(AND($A941&gt;=OP!$C$79,$A941&lt;=OP!$C$80),OP!$C$78,)))</f>
        <v>0</v>
      </c>
      <c r="AT941" s="298">
        <f t="shared" ca="1" si="528"/>
        <v>0</v>
      </c>
      <c r="AU941" s="298">
        <f ca="1">IF(AND(A941&lt;=OP!$C$120,COUNTIF(PAY,C941)=1),OP!$C$123,0)</f>
        <v>0</v>
      </c>
      <c r="AV941" s="298">
        <f ca="1">IF(AND(A941&gt;=OP!$C$132,A941&lt;=OP!$C$133,$C$3=C941),OP!$C$135,0)</f>
        <v>0</v>
      </c>
      <c r="AW941" s="180">
        <f t="shared" ca="1" si="529"/>
        <v>0.05</v>
      </c>
      <c r="AX941" s="180">
        <f t="shared" ca="1" si="530"/>
        <v>0.05</v>
      </c>
      <c r="AY941" s="286">
        <f t="shared" ca="1" si="531"/>
        <v>0</v>
      </c>
      <c r="AZ941" s="286">
        <f t="shared" ca="1" si="532"/>
        <v>0</v>
      </c>
      <c r="BA941" s="286">
        <f t="shared" ca="1" si="533"/>
        <v>0</v>
      </c>
      <c r="BB941" s="286">
        <f t="shared" ca="1" si="534"/>
        <v>0</v>
      </c>
      <c r="BC941" s="286">
        <f t="shared" ca="1" si="535"/>
        <v>0</v>
      </c>
      <c r="BD941" s="180">
        <f t="shared" ca="1" si="536"/>
        <v>0.05</v>
      </c>
      <c r="BE941" s="180">
        <f t="shared" ca="1" si="537"/>
        <v>0.05</v>
      </c>
      <c r="BF941" s="286">
        <f t="shared" ca="1" si="538"/>
        <v>0</v>
      </c>
      <c r="BG941" s="286">
        <f t="shared" ca="1" si="539"/>
        <v>0</v>
      </c>
    </row>
    <row r="942" spans="1:59">
      <c r="A942" s="1">
        <f t="shared" ca="1" si="519"/>
        <v>79</v>
      </c>
      <c r="B942" s="1">
        <f t="shared" ca="1" si="512"/>
        <v>184</v>
      </c>
      <c r="C942" s="1">
        <f t="shared" ca="1" si="513"/>
        <v>8</v>
      </c>
      <c r="D942" s="1">
        <f ca="1">MIN($D$3,VLOOKUP(C942,OP!$S$30:$T$41,2))</f>
        <v>2</v>
      </c>
      <c r="E942" s="1" t="str">
        <f t="shared" ca="1" si="514"/>
        <v/>
      </c>
      <c r="F942" s="11" t="str">
        <f t="shared" ca="1" si="520"/>
        <v/>
      </c>
      <c r="G942" s="8">
        <f t="shared" ca="1" si="546"/>
        <v>366</v>
      </c>
      <c r="H942" s="8">
        <f t="shared" ca="1" si="521"/>
        <v>31</v>
      </c>
      <c r="I942" s="8" t="str">
        <f t="shared" ca="1" si="518"/>
        <v>798</v>
      </c>
      <c r="J942" s="13">
        <f>IF(繳費報酬率資料!$A$1=1,VALUE(OP!$C$121),VLOOKUP(A942,MP,2,0))</f>
        <v>0.05</v>
      </c>
      <c r="K942" s="14">
        <f ca="1">IF(SUM($K$4:K941,IF(繳費報酬率資料!$A$1=1,$AU942+$AV942,$BB942+$BC942))&gt;OP!$L$58,0,IF(繳費報酬率資料!$A$1=1,$AU942+$AV942,$BB942+$BC942))</f>
        <v>0</v>
      </c>
      <c r="L942" s="2"/>
      <c r="M942" s="2"/>
      <c r="N942" s="2"/>
      <c r="O942" s="261">
        <f t="shared" ca="1" si="522"/>
        <v>0</v>
      </c>
      <c r="P942" s="261">
        <f t="shared" ca="1" si="540"/>
        <v>0</v>
      </c>
      <c r="Q942" s="3">
        <f ca="1">IF(A942&gt;MAX(OP!$R$17:$R$26),0,VLOOKUP(A942,fees,3,FALSE))</f>
        <v>0</v>
      </c>
      <c r="R942" s="200" t="str">
        <f t="shared" ca="1" si="523"/>
        <v/>
      </c>
      <c r="S942" s="9" t="str">
        <f ca="1">IF(COUNTIF(($T$4:T941),"F")&gt;=1,"",IF(OR(C943&lt;&gt;$C$3,E942=""),"",A942))</f>
        <v/>
      </c>
      <c r="T942" s="20" t="str">
        <f t="shared" ca="1" si="515"/>
        <v/>
      </c>
      <c r="U942" s="2">
        <f ca="1">IF(IF(OP!$C$83=1,$Z941,IF(OP!$C$83=2,$AA941,IF(OP!$C$83=3,$AB941,)))+$K942-$O942-$P942-$AS942&lt;OP!$C$142,0,$AS942)</f>
        <v>0</v>
      </c>
      <c r="V942" s="9"/>
      <c r="W942" s="19">
        <f ca="1">MAX(SUM($K$4:K942),0)</f>
        <v>2000000</v>
      </c>
      <c r="X942" s="19"/>
      <c r="Y942" s="19">
        <f t="shared" ca="1" si="541"/>
        <v>1920000</v>
      </c>
      <c r="Z942" s="2">
        <f ca="1">IF(MIN($Z$4:Z941)=0,0,MAX(0,($Z941+$K942-$O942-$P942)*IF(AND(F942="F",$D$3&lt;&gt;$G$3),((1+(-J942))^(H942/MIN(G942,365))),((1+(-J942))^(1/12)))-$U942))</f>
        <v>34687.527322985741</v>
      </c>
      <c r="AA942" s="2">
        <f ca="1">IF(MIN($AA$4:AA941)=0,0,MAX(0,($AA941+$K942-$O942-$P942)*IF(AND(F942="F",$D$3&lt;&gt;$G$3),((1+$AA$1)^(H942/MIN(G942,365))),((1+$AA$1)^(1/12)))-$U942))</f>
        <v>1920000</v>
      </c>
      <c r="AB942" s="2">
        <f ca="1">IF(MIN($AB$4:AB941)=0,0,MAX(0,($AB941+$K942-$O942-$P942)*IF(AND(F942="F",$D$3&lt;&gt;$G$3),((1+(J942))^(H942/MIN(G942,365))),((1+(J942))^(1/12)))-$U942))</f>
        <v>87370310.861946061</v>
      </c>
      <c r="AC942" s="5"/>
      <c r="AD942" s="5"/>
      <c r="AE942" s="5"/>
      <c r="AF942" s="282">
        <f t="shared" ca="1" si="524"/>
        <v>34688</v>
      </c>
      <c r="AG942" s="282">
        <f t="shared" ca="1" si="525"/>
        <v>1920000</v>
      </c>
      <c r="AH942" s="282">
        <f t="shared" ca="1" si="526"/>
        <v>87370311</v>
      </c>
      <c r="AI942" s="23" t="str">
        <f t="shared" ca="1" si="543"/>
        <v>79-4</v>
      </c>
      <c r="AJ942" s="282">
        <f ca="1">IF(E942&gt;111,,IF(AND(OP!$C$99=1,T942="F"),Z942,IF(AND(OP!$C$99=2,COUNTIF($T$4:T942,"F")=1),OP!$C$97+IF(F942="F",OP!$C$98,0),"")))</f>
        <v>0</v>
      </c>
      <c r="AK942" s="282">
        <f ca="1">IF(E942&gt;111,,IF(AND(OP!$D$99=1,T942="F"),AA942,IF(AND(OP!$D$99=2,COUNTIF($T$4:T942,"F")=1),OP!$D$97+IF(F942="F",OP!$D$98,0),"")))</f>
        <v>0</v>
      </c>
      <c r="AL942" s="282">
        <f ca="1">IF(E942&gt;111,,IF(AND(OP!$E$99=1,T942="F"),AB942,IF(AND(OP!$E$99=2,COUNTIF($T$4:T942,"F")=1),OP!$E$97+IF(F942="F",OP!$E$98,0),"")))</f>
        <v>0</v>
      </c>
      <c r="AM942" s="1">
        <f t="shared" ca="1" si="516"/>
        <v>4</v>
      </c>
      <c r="AN942" s="1" t="e">
        <f ca="1">IF(OR(VLOOKUP($A942,MP,5,0)="月繳"),1,"")</f>
        <v>#N/A</v>
      </c>
      <c r="AO942" s="1">
        <f t="shared" ca="1" si="527"/>
        <v>0</v>
      </c>
      <c r="AP942" s="1" t="str">
        <f ca="1">IF(AND(A942&lt;=OP!$C$120,COUNTIF(PAY,C942)=1),1,"")</f>
        <v/>
      </c>
      <c r="AR942" s="301">
        <f ca="1">IF(繳費報酬率資料!$A$1=1,$AY942+$AZ942,$BF942+$BG942)</f>
        <v>0</v>
      </c>
      <c r="AS942" s="1">
        <f ca="1">IF(C942&lt;&gt;IF($C$3=1,12,$C$3-1),0,IF(繳費報酬率資料!$A$1&lt;&gt;1,VLOOKUP($A942,MP,8,0),IF(AND($A942&gt;=OP!$C$79,$A942&lt;=OP!$C$80),OP!$C$78,)))</f>
        <v>0</v>
      </c>
      <c r="AT942" s="298">
        <f t="shared" ca="1" si="528"/>
        <v>0</v>
      </c>
      <c r="AU942" s="298">
        <f ca="1">IF(AND(A942&lt;=OP!$C$120,COUNTIF(PAY,C942)=1),OP!$C$123,0)</f>
        <v>0</v>
      </c>
      <c r="AV942" s="298">
        <f ca="1">IF(AND(A942&gt;=OP!$C$132,A942&lt;=OP!$C$133,$C$3=C942),OP!$C$135,0)</f>
        <v>0</v>
      </c>
      <c r="AW942" s="180">
        <f t="shared" ca="1" si="529"/>
        <v>0.05</v>
      </c>
      <c r="AX942" s="180">
        <f t="shared" ca="1" si="530"/>
        <v>0.05</v>
      </c>
      <c r="AY942" s="286">
        <f t="shared" ca="1" si="531"/>
        <v>0</v>
      </c>
      <c r="AZ942" s="286">
        <f t="shared" ca="1" si="532"/>
        <v>0</v>
      </c>
      <c r="BA942" s="286">
        <f t="shared" ca="1" si="533"/>
        <v>0</v>
      </c>
      <c r="BB942" s="286">
        <f t="shared" ca="1" si="534"/>
        <v>0</v>
      </c>
      <c r="BC942" s="286">
        <f t="shared" ca="1" si="535"/>
        <v>0</v>
      </c>
      <c r="BD942" s="180">
        <f t="shared" ca="1" si="536"/>
        <v>0.05</v>
      </c>
      <c r="BE942" s="180">
        <f t="shared" ca="1" si="537"/>
        <v>0.05</v>
      </c>
      <c r="BF942" s="286">
        <f t="shared" ca="1" si="538"/>
        <v>0</v>
      </c>
      <c r="BG942" s="286">
        <f t="shared" ca="1" si="539"/>
        <v>0</v>
      </c>
    </row>
    <row r="943" spans="1:59">
      <c r="A943" s="1">
        <f t="shared" ca="1" si="519"/>
        <v>79</v>
      </c>
      <c r="B943" s="1">
        <f t="shared" ca="1" si="512"/>
        <v>184</v>
      </c>
      <c r="C943" s="1">
        <f t="shared" ca="1" si="513"/>
        <v>9</v>
      </c>
      <c r="D943" s="1">
        <f ca="1">MIN($D$3,VLOOKUP(C943,OP!$S$30:$T$41,2))</f>
        <v>2</v>
      </c>
      <c r="E943" s="1" t="str">
        <f t="shared" ca="1" si="514"/>
        <v/>
      </c>
      <c r="F943" s="11" t="str">
        <f t="shared" ca="1" si="520"/>
        <v/>
      </c>
      <c r="G943" s="8">
        <f t="shared" ca="1" si="546"/>
        <v>366</v>
      </c>
      <c r="H943" s="8">
        <f t="shared" ca="1" si="521"/>
        <v>30</v>
      </c>
      <c r="I943" s="8" t="str">
        <f t="shared" ca="1" si="518"/>
        <v>799</v>
      </c>
      <c r="J943" s="13">
        <f>IF(繳費報酬率資料!$A$1=1,VALUE(OP!$C$121),VLOOKUP(A943,MP,2,0))</f>
        <v>0.05</v>
      </c>
      <c r="K943" s="14">
        <f ca="1">IF(SUM($K$4:K942,IF(繳費報酬率資料!$A$1=1,$AU943+$AV943,$BB943+$BC943))&gt;OP!$L$58,0,IF(繳費報酬率資料!$A$1=1,$AU943+$AV943,$BB943+$BC943))</f>
        <v>0</v>
      </c>
      <c r="L943" s="2"/>
      <c r="M943" s="2"/>
      <c r="N943" s="2"/>
      <c r="O943" s="261">
        <f t="shared" ca="1" si="522"/>
        <v>0</v>
      </c>
      <c r="P943" s="261">
        <f t="shared" ca="1" si="540"/>
        <v>0</v>
      </c>
      <c r="Q943" s="3">
        <f ca="1">IF(A943&gt;MAX(OP!$R$17:$R$26),0,VLOOKUP(A943,fees,3,FALSE))</f>
        <v>0</v>
      </c>
      <c r="R943" s="200" t="str">
        <f t="shared" ca="1" si="523"/>
        <v/>
      </c>
      <c r="S943" s="9" t="str">
        <f ca="1">IF(COUNTIF(($T$4:T942),"F")&gt;=1,"",IF(OR(C944&lt;&gt;$C$3,E943=""),"",A943))</f>
        <v/>
      </c>
      <c r="T943" s="20" t="str">
        <f t="shared" ca="1" si="515"/>
        <v/>
      </c>
      <c r="U943" s="2">
        <f ca="1">IF(IF(OP!$C$83=1,$Z942,IF(OP!$C$83=2,$AA942,IF(OP!$C$83=3,$AB942,)))+$K943-$O943-$P943-$AS943&lt;OP!$C$142,0,$AS943)</f>
        <v>0</v>
      </c>
      <c r="V943" s="9"/>
      <c r="W943" s="19">
        <f ca="1">MAX(SUM($K$4:K943),0)</f>
        <v>2000000</v>
      </c>
      <c r="X943" s="19"/>
      <c r="Y943" s="19">
        <f t="shared" ca="1" si="541"/>
        <v>1920000</v>
      </c>
      <c r="Z943" s="2">
        <f ca="1">IF(MIN($Z$4:Z942)=0,0,MAX(0,($Z942+$K943-$O943-$P943)*IF(AND(F943="F",$D$3&lt;&gt;$G$3),((1+(-J943))^(H943/MIN(G943,365))),((1+(-J943))^(1/12)))-$U943))</f>
        <v>34539.573961347865</v>
      </c>
      <c r="AA943" s="2">
        <f ca="1">IF(MIN($AA$4:AA942)=0,0,MAX(0,($AA942+$K943-$O943-$P943)*IF(AND(F943="F",$D$3&lt;&gt;$G$3),((1+$AA$1)^(H943/MIN(G943,365))),((1+$AA$1)^(1/12)))-$U943))</f>
        <v>1920000</v>
      </c>
      <c r="AB943" s="2">
        <f ca="1">IF(MIN($AB$4:AB942)=0,0,MAX(0,($AB942+$K943-$O943-$P943)*IF(AND(F943="F",$D$3&lt;&gt;$G$3),((1+(J943))^(H943/MIN(G943,365))),((1+(J943))^(1/12)))-$U943))</f>
        <v>87726268.323413461</v>
      </c>
      <c r="AC943" s="5"/>
      <c r="AD943" s="5"/>
      <c r="AE943" s="5"/>
      <c r="AF943" s="282">
        <f t="shared" ca="1" si="524"/>
        <v>34540</v>
      </c>
      <c r="AG943" s="282">
        <f t="shared" ca="1" si="525"/>
        <v>1920000</v>
      </c>
      <c r="AH943" s="282">
        <f t="shared" ca="1" si="526"/>
        <v>87726268</v>
      </c>
      <c r="AI943" s="23" t="str">
        <f t="shared" ca="1" si="543"/>
        <v>79-5</v>
      </c>
      <c r="AJ943" s="282">
        <f ca="1">IF(E943&gt;111,,IF(AND(OP!$C$99=1,T943="F"),Z943,IF(AND(OP!$C$99=2,COUNTIF($T$4:T943,"F")=1),OP!$C$97+IF(F943="F",OP!$C$98,0),"")))</f>
        <v>0</v>
      </c>
      <c r="AK943" s="282">
        <f ca="1">IF(E943&gt;111,,IF(AND(OP!$D$99=1,T943="F"),AA943,IF(AND(OP!$D$99=2,COUNTIF($T$4:T943,"F")=1),OP!$D$97+IF(F943="F",OP!$D$98,0),"")))</f>
        <v>0</v>
      </c>
      <c r="AL943" s="282">
        <f ca="1">IF(E943&gt;111,,IF(AND(OP!$E$99=1,T943="F"),AB943,IF(AND(OP!$E$99=2,COUNTIF($T$4:T943,"F")=1),OP!$E$97+IF(F943="F",OP!$E$98,0),"")))</f>
        <v>0</v>
      </c>
      <c r="AM943" s="1">
        <f t="shared" ca="1" si="516"/>
        <v>5</v>
      </c>
      <c r="AN943" s="1" t="e">
        <f ca="1">IF(OR(VLOOKUP($A943,MP,5,0)="季繳",VLOOKUP($A943,MP,5,0)="月繳"),1,"")</f>
        <v>#N/A</v>
      </c>
      <c r="AO943" s="1">
        <f t="shared" ca="1" si="527"/>
        <v>0</v>
      </c>
      <c r="AP943" s="1" t="str">
        <f ca="1">IF(AND(A943&lt;=OP!$C$120,COUNTIF(PAY,C943)=1),1,"")</f>
        <v/>
      </c>
      <c r="AR943" s="301">
        <f ca="1">IF(繳費報酬率資料!$A$1=1,$AY943+$AZ943,$BF943+$BG943)</f>
        <v>0</v>
      </c>
      <c r="AS943" s="1">
        <f ca="1">IF(C943&lt;&gt;IF($C$3=1,12,$C$3-1),0,IF(繳費報酬率資料!$A$1&lt;&gt;1,VLOOKUP($A943,MP,8,0),IF(AND($A943&gt;=OP!$C$79,$A943&lt;=OP!$C$80),OP!$C$78,)))</f>
        <v>0</v>
      </c>
      <c r="AT943" s="298">
        <f t="shared" ca="1" si="528"/>
        <v>0</v>
      </c>
      <c r="AU943" s="298">
        <f ca="1">IF(AND(A943&lt;=OP!$C$120,COUNTIF(PAY,C943)=1),OP!$C$123,0)</f>
        <v>0</v>
      </c>
      <c r="AV943" s="298">
        <f ca="1">IF(AND(A943&gt;=OP!$C$132,A943&lt;=OP!$C$133,$C$3=C943),OP!$C$135,0)</f>
        <v>0</v>
      </c>
      <c r="AW943" s="180">
        <f t="shared" ca="1" si="529"/>
        <v>0.05</v>
      </c>
      <c r="AX943" s="180">
        <f t="shared" ca="1" si="530"/>
        <v>0.05</v>
      </c>
      <c r="AY943" s="286">
        <f t="shared" ca="1" si="531"/>
        <v>0</v>
      </c>
      <c r="AZ943" s="286">
        <f t="shared" ca="1" si="532"/>
        <v>0</v>
      </c>
      <c r="BA943" s="286">
        <f t="shared" ca="1" si="533"/>
        <v>0</v>
      </c>
      <c r="BB943" s="286">
        <f t="shared" ca="1" si="534"/>
        <v>0</v>
      </c>
      <c r="BC943" s="286">
        <f t="shared" ca="1" si="535"/>
        <v>0</v>
      </c>
      <c r="BD943" s="180">
        <f t="shared" ca="1" si="536"/>
        <v>0.05</v>
      </c>
      <c r="BE943" s="180">
        <f t="shared" ca="1" si="537"/>
        <v>0.05</v>
      </c>
      <c r="BF943" s="286">
        <f t="shared" ca="1" si="538"/>
        <v>0</v>
      </c>
      <c r="BG943" s="286">
        <f t="shared" ca="1" si="539"/>
        <v>0</v>
      </c>
    </row>
    <row r="944" spans="1:59">
      <c r="A944" s="1">
        <f t="shared" ca="1" si="519"/>
        <v>79</v>
      </c>
      <c r="B944" s="1">
        <f t="shared" ca="1" si="512"/>
        <v>184</v>
      </c>
      <c r="C944" s="1">
        <f t="shared" ca="1" si="513"/>
        <v>10</v>
      </c>
      <c r="D944" s="1">
        <f ca="1">MIN($D$3,VLOOKUP(C944,OP!$S$30:$T$41,2))</f>
        <v>2</v>
      </c>
      <c r="E944" s="1" t="str">
        <f t="shared" ca="1" si="514"/>
        <v/>
      </c>
      <c r="F944" s="11" t="str">
        <f t="shared" ca="1" si="520"/>
        <v/>
      </c>
      <c r="G944" s="8">
        <f t="shared" ca="1" si="546"/>
        <v>366</v>
      </c>
      <c r="H944" s="8">
        <f t="shared" ca="1" si="521"/>
        <v>31</v>
      </c>
      <c r="I944" s="8" t="str">
        <f t="shared" ca="1" si="518"/>
        <v>7910</v>
      </c>
      <c r="J944" s="13">
        <f>IF(繳費報酬率資料!$A$1=1,VALUE(OP!$C$121),VLOOKUP(A944,MP,2,0))</f>
        <v>0.05</v>
      </c>
      <c r="K944" s="14">
        <f ca="1">IF(SUM($K$4:K943,IF(繳費報酬率資料!$A$1=1,$AU944+$AV944,$BB944+$BC944))&gt;OP!$L$58,0,IF(繳費報酬率資料!$A$1=1,$AU944+$AV944,$BB944+$BC944))</f>
        <v>0</v>
      </c>
      <c r="L944" s="2"/>
      <c r="M944" s="2"/>
      <c r="N944" s="2"/>
      <c r="O944" s="261">
        <f t="shared" ca="1" si="522"/>
        <v>0</v>
      </c>
      <c r="P944" s="261">
        <f t="shared" ca="1" si="540"/>
        <v>0</v>
      </c>
      <c r="Q944" s="3">
        <f ca="1">IF(A944&gt;MAX(OP!$R$17:$R$26),0,VLOOKUP(A944,fees,3,FALSE))</f>
        <v>0</v>
      </c>
      <c r="R944" s="200" t="str">
        <f t="shared" ca="1" si="523"/>
        <v/>
      </c>
      <c r="S944" s="9" t="str">
        <f ca="1">IF(COUNTIF(($T$4:T943),"F")&gt;=1,"",IF(OR(C945&lt;&gt;$C$3,E944=""),"",A944))</f>
        <v/>
      </c>
      <c r="T944" s="20" t="str">
        <f t="shared" ca="1" si="515"/>
        <v/>
      </c>
      <c r="U944" s="2">
        <f ca="1">IF(IF(OP!$C$83=1,$Z943,IF(OP!$C$83=2,$AA943,IF(OP!$C$83=3,$AB943,)))+$K944-$O944-$P944-$AS944&lt;OP!$C$142,0,$AS944)</f>
        <v>0</v>
      </c>
      <c r="V944" s="9"/>
      <c r="W944" s="19">
        <f ca="1">MAX(SUM($K$4:K944),0)</f>
        <v>2000000</v>
      </c>
      <c r="X944" s="19"/>
      <c r="Y944" s="19">
        <f t="shared" ca="1" si="541"/>
        <v>1920000</v>
      </c>
      <c r="Z944" s="2">
        <f ca="1">IF(MIN($Z$4:Z943)=0,0,MAX(0,($Z943+$K944-$O944-$P944)*IF(AND(F944="F",$D$3&lt;&gt;$G$3),((1+(-J944))^(H944/MIN(G944,365))),((1+(-J944))^(1/12)))-$U944))</f>
        <v>34392.25166796158</v>
      </c>
      <c r="AA944" s="2">
        <f ca="1">IF(MIN($AA$4:AA943)=0,0,MAX(0,($AA943+$K944-$O944-$P944)*IF(AND(F944="F",$D$3&lt;&gt;$G$3),((1+$AA$1)^(H944/MIN(G944,365))),((1+$AA$1)^(1/12)))-$U944))</f>
        <v>1920000</v>
      </c>
      <c r="AB944" s="2">
        <f ca="1">IF(MIN($AB$4:AB943)=0,0,MAX(0,($AB943+$K944-$O944-$P944)*IF(AND(F944="F",$D$3&lt;&gt;$G$3),((1+(J944))^(H944/MIN(G944,365))),((1+(J944))^(1/12)))-$U944))</f>
        <v>88083675.999640599</v>
      </c>
      <c r="AC944" s="5"/>
      <c r="AD944" s="5"/>
      <c r="AE944" s="5"/>
      <c r="AF944" s="282">
        <f t="shared" ca="1" si="524"/>
        <v>34392</v>
      </c>
      <c r="AG944" s="282">
        <f t="shared" ca="1" si="525"/>
        <v>1920000</v>
      </c>
      <c r="AH944" s="282">
        <f t="shared" ca="1" si="526"/>
        <v>88083676</v>
      </c>
      <c r="AI944" s="23" t="str">
        <f t="shared" ca="1" si="543"/>
        <v>79-6</v>
      </c>
      <c r="AJ944" s="282">
        <f ca="1">IF(E944&gt;111,,IF(AND(OP!$C$99=1,T944="F"),Z944,IF(AND(OP!$C$99=2,COUNTIF($T$4:T944,"F")=1),OP!$C$97+IF(F944="F",OP!$C$98,0),"")))</f>
        <v>0</v>
      </c>
      <c r="AK944" s="282">
        <f ca="1">IF(E944&gt;111,,IF(AND(OP!$D$99=1,T944="F"),AA944,IF(AND(OP!$D$99=2,COUNTIF($T$4:T944,"F")=1),OP!$D$97+IF(F944="F",OP!$D$98,0),"")))</f>
        <v>0</v>
      </c>
      <c r="AL944" s="282">
        <f ca="1">IF(E944&gt;111,,IF(AND(OP!$E$99=1,T944="F"),AB944,IF(AND(OP!$E$99=2,COUNTIF($T$4:T944,"F")=1),OP!$E$97+IF(F944="F",OP!$E$98,0),"")))</f>
        <v>0</v>
      </c>
      <c r="AM944" s="1">
        <f t="shared" ca="1" si="516"/>
        <v>6</v>
      </c>
      <c r="AN944" s="1" t="e">
        <f ca="1">IF(OR(VLOOKUP($A944,MP,5,0)="月繳"),1,"")</f>
        <v>#N/A</v>
      </c>
      <c r="AO944" s="1">
        <f t="shared" ca="1" si="527"/>
        <v>0</v>
      </c>
      <c r="AP944" s="1" t="str">
        <f ca="1">IF(AND(A944&lt;=OP!$C$120,COUNTIF(PAY,C944)=1),1,"")</f>
        <v/>
      </c>
      <c r="AR944" s="301">
        <f ca="1">IF(繳費報酬率資料!$A$1=1,$AY944+$AZ944,$BF944+$BG944)</f>
        <v>0</v>
      </c>
      <c r="AS944" s="1">
        <f ca="1">IF(C944&lt;&gt;IF($C$3=1,12,$C$3-1),0,IF(繳費報酬率資料!$A$1&lt;&gt;1,VLOOKUP($A944,MP,8,0),IF(AND($A944&gt;=OP!$C$79,$A944&lt;=OP!$C$80),OP!$C$78,)))</f>
        <v>0</v>
      </c>
      <c r="AT944" s="298">
        <f t="shared" ca="1" si="528"/>
        <v>0</v>
      </c>
      <c r="AU944" s="298">
        <f ca="1">IF(AND(A944&lt;=OP!$C$120,COUNTIF(PAY,C944)=1),OP!$C$123,0)</f>
        <v>0</v>
      </c>
      <c r="AV944" s="298">
        <f ca="1">IF(AND(A944&gt;=OP!$C$132,A944&lt;=OP!$C$133,$C$3=C944),OP!$C$135,0)</f>
        <v>0</v>
      </c>
      <c r="AW944" s="180">
        <f t="shared" ca="1" si="529"/>
        <v>0.05</v>
      </c>
      <c r="AX944" s="180">
        <f t="shared" ca="1" si="530"/>
        <v>0.05</v>
      </c>
      <c r="AY944" s="286">
        <f t="shared" ca="1" si="531"/>
        <v>0</v>
      </c>
      <c r="AZ944" s="286">
        <f t="shared" ca="1" si="532"/>
        <v>0</v>
      </c>
      <c r="BA944" s="286">
        <f t="shared" ca="1" si="533"/>
        <v>0</v>
      </c>
      <c r="BB944" s="286">
        <f t="shared" ca="1" si="534"/>
        <v>0</v>
      </c>
      <c r="BC944" s="286">
        <f t="shared" ca="1" si="535"/>
        <v>0</v>
      </c>
      <c r="BD944" s="180">
        <f t="shared" ca="1" si="536"/>
        <v>0.05</v>
      </c>
      <c r="BE944" s="180">
        <f t="shared" ca="1" si="537"/>
        <v>0.05</v>
      </c>
      <c r="BF944" s="286">
        <f t="shared" ca="1" si="538"/>
        <v>0</v>
      </c>
      <c r="BG944" s="286">
        <f t="shared" ca="1" si="539"/>
        <v>0</v>
      </c>
    </row>
    <row r="945" spans="1:59">
      <c r="A945" s="1">
        <f t="shared" ca="1" si="519"/>
        <v>79</v>
      </c>
      <c r="B945" s="1">
        <f t="shared" ca="1" si="512"/>
        <v>184</v>
      </c>
      <c r="C945" s="1">
        <f t="shared" ca="1" si="513"/>
        <v>11</v>
      </c>
      <c r="D945" s="1">
        <f ca="1">MIN($D$3,VLOOKUP(C945,OP!$S$30:$T$41,2))</f>
        <v>2</v>
      </c>
      <c r="E945" s="1" t="str">
        <f t="shared" ca="1" si="514"/>
        <v/>
      </c>
      <c r="F945" s="11" t="str">
        <f t="shared" ca="1" si="520"/>
        <v/>
      </c>
      <c r="G945" s="8">
        <f t="shared" ca="1" si="546"/>
        <v>366</v>
      </c>
      <c r="H945" s="8">
        <f t="shared" ca="1" si="521"/>
        <v>30</v>
      </c>
      <c r="I945" s="8" t="str">
        <f t="shared" ca="1" si="518"/>
        <v>7911</v>
      </c>
      <c r="J945" s="13">
        <f>IF(繳費報酬率資料!$A$1=1,VALUE(OP!$C$121),VLOOKUP(A945,MP,2,0))</f>
        <v>0.05</v>
      </c>
      <c r="K945" s="14">
        <f ca="1">IF(SUM($K$4:K944,IF(繳費報酬率資料!$A$1=1,$AU945+$AV945,$BB945+$BC945))&gt;OP!$L$58,0,IF(繳費報酬率資料!$A$1=1,$AU945+$AV945,$BB945+$BC945))</f>
        <v>0</v>
      </c>
      <c r="L945" s="2"/>
      <c r="M945" s="2"/>
      <c r="N945" s="2"/>
      <c r="O945" s="261">
        <f t="shared" ca="1" si="522"/>
        <v>0</v>
      </c>
      <c r="P945" s="261">
        <f t="shared" ca="1" si="540"/>
        <v>0</v>
      </c>
      <c r="Q945" s="3">
        <f ca="1">IF(A945&gt;MAX(OP!$R$17:$R$26),0,VLOOKUP(A945,fees,3,FALSE))</f>
        <v>0</v>
      </c>
      <c r="R945" s="200" t="str">
        <f t="shared" ca="1" si="523"/>
        <v/>
      </c>
      <c r="S945" s="9" t="str">
        <f ca="1">IF(COUNTIF(($T$4:T944),"F")&gt;=1,"",IF(OR(C946&lt;&gt;$C$3,E945=""),"",A945))</f>
        <v/>
      </c>
      <c r="T945" s="20" t="str">
        <f t="shared" ca="1" si="515"/>
        <v/>
      </c>
      <c r="U945" s="2">
        <f ca="1">IF(IF(OP!$C$83=1,$Z944,IF(OP!$C$83=2,$AA944,IF(OP!$C$83=3,$AB944,)))+$K945-$O945-$P945-$AS945&lt;OP!$C$142,0,$AS945)</f>
        <v>0</v>
      </c>
      <c r="V945" s="9"/>
      <c r="W945" s="19">
        <f ca="1">MAX(SUM($K$4:K945),0)</f>
        <v>2000000</v>
      </c>
      <c r="X945" s="19"/>
      <c r="Y945" s="19">
        <f t="shared" ca="1" si="541"/>
        <v>1920000</v>
      </c>
      <c r="Z945" s="2">
        <f ca="1">IF(MIN($Z$4:Z944)=0,0,MAX(0,($Z944+$K945-$O945-$P945)*IF(AND(F945="F",$D$3&lt;&gt;$G$3),((1+(-J945))^(H945/MIN(G945,365))),((1+(-J945))^(1/12)))-$U945))</f>
        <v>34245.557751119632</v>
      </c>
      <c r="AA945" s="2">
        <f ca="1">IF(MIN($AA$4:AA944)=0,0,MAX(0,($AA944+$K945-$O945-$P945)*IF(AND(F945="F",$D$3&lt;&gt;$G$3),((1+$AA$1)^(H945/MIN(G945,365))),((1+$AA$1)^(1/12)))-$U945))</f>
        <v>1920000</v>
      </c>
      <c r="AB945" s="2">
        <f ca="1">IF(MIN($AB$4:AB944)=0,0,MAX(0,($AB944+$K945-$O945-$P945)*IF(AND(F945="F",$D$3&lt;&gt;$G$3),((1+(J945))^(H945/MIN(G945,365))),((1+(J945))^(1/12)))-$U945))</f>
        <v>88442539.798981905</v>
      </c>
      <c r="AC945" s="5"/>
      <c r="AD945" s="5"/>
      <c r="AE945" s="5"/>
      <c r="AF945" s="282">
        <f t="shared" ca="1" si="524"/>
        <v>34246</v>
      </c>
      <c r="AG945" s="282">
        <f t="shared" ca="1" si="525"/>
        <v>1920000</v>
      </c>
      <c r="AH945" s="282">
        <f t="shared" ca="1" si="526"/>
        <v>88442540</v>
      </c>
      <c r="AI945" s="23" t="str">
        <f t="shared" ca="1" si="543"/>
        <v>79-7</v>
      </c>
      <c r="AJ945" s="282">
        <f ca="1">IF(E945&gt;111,,IF(AND(OP!$C$99=1,T945="F"),Z945,IF(AND(OP!$C$99=2,COUNTIF($T$4:T945,"F")=1),OP!$C$97+IF(F945="F",OP!$C$98,0),"")))</f>
        <v>0</v>
      </c>
      <c r="AK945" s="282">
        <f ca="1">IF(E945&gt;111,,IF(AND(OP!$D$99=1,T945="F"),AA945,IF(AND(OP!$D$99=2,COUNTIF($T$4:T945,"F")=1),OP!$D$97+IF(F945="F",OP!$D$98,0),"")))</f>
        <v>0</v>
      </c>
      <c r="AL945" s="282">
        <f ca="1">IF(E945&gt;111,,IF(AND(OP!$E$99=1,T945="F"),AB945,IF(AND(OP!$E$99=2,COUNTIF($T$4:T945,"F")=1),OP!$E$97+IF(F945="F",OP!$E$98,0),"")))</f>
        <v>0</v>
      </c>
      <c r="AM945" s="1">
        <f t="shared" ca="1" si="516"/>
        <v>7</v>
      </c>
      <c r="AN945" s="1" t="e">
        <f ca="1">IF(OR(VLOOKUP($A945,MP,5,0)="月繳"),1,"")</f>
        <v>#N/A</v>
      </c>
      <c r="AO945" s="1">
        <f t="shared" ca="1" si="527"/>
        <v>0</v>
      </c>
      <c r="AP945" s="1" t="str">
        <f ca="1">IF(AND(A945&lt;=OP!$C$120,COUNTIF(PAY,C945)=1),1,"")</f>
        <v/>
      </c>
      <c r="AR945" s="301">
        <f ca="1">IF(繳費報酬率資料!$A$1=1,$AY945+$AZ945,$BF945+$BG945)</f>
        <v>0</v>
      </c>
      <c r="AS945" s="1">
        <f ca="1">IF(C945&lt;&gt;IF($C$3=1,12,$C$3-1),0,IF(繳費報酬率資料!$A$1&lt;&gt;1,VLOOKUP($A945,MP,8,0),IF(AND($A945&gt;=OP!$C$79,$A945&lt;=OP!$C$80),OP!$C$78,)))</f>
        <v>0</v>
      </c>
      <c r="AT945" s="298">
        <f t="shared" ca="1" si="528"/>
        <v>0</v>
      </c>
      <c r="AU945" s="298">
        <f ca="1">IF(AND(A945&lt;=OP!$C$120,COUNTIF(PAY,C945)=1),OP!$C$123,0)</f>
        <v>0</v>
      </c>
      <c r="AV945" s="298">
        <f ca="1">IF(AND(A945&gt;=OP!$C$132,A945&lt;=OP!$C$133,$C$3=C945),OP!$C$135,0)</f>
        <v>0</v>
      </c>
      <c r="AW945" s="180">
        <f t="shared" ca="1" si="529"/>
        <v>0.05</v>
      </c>
      <c r="AX945" s="180">
        <f t="shared" ca="1" si="530"/>
        <v>0.05</v>
      </c>
      <c r="AY945" s="286">
        <f t="shared" ca="1" si="531"/>
        <v>0</v>
      </c>
      <c r="AZ945" s="286">
        <f t="shared" ca="1" si="532"/>
        <v>0</v>
      </c>
      <c r="BA945" s="286">
        <f t="shared" ca="1" si="533"/>
        <v>0</v>
      </c>
      <c r="BB945" s="286">
        <f t="shared" ca="1" si="534"/>
        <v>0</v>
      </c>
      <c r="BC945" s="286">
        <f t="shared" ca="1" si="535"/>
        <v>0</v>
      </c>
      <c r="BD945" s="180">
        <f t="shared" ca="1" si="536"/>
        <v>0.05</v>
      </c>
      <c r="BE945" s="180">
        <f t="shared" ca="1" si="537"/>
        <v>0.05</v>
      </c>
      <c r="BF945" s="286">
        <f t="shared" ca="1" si="538"/>
        <v>0</v>
      </c>
      <c r="BG945" s="286">
        <f t="shared" ca="1" si="539"/>
        <v>0</v>
      </c>
    </row>
    <row r="946" spans="1:59">
      <c r="A946" s="1">
        <f t="shared" ca="1" si="519"/>
        <v>79</v>
      </c>
      <c r="B946" s="1">
        <f t="shared" ca="1" si="512"/>
        <v>184</v>
      </c>
      <c r="C946" s="1">
        <f t="shared" ca="1" si="513"/>
        <v>12</v>
      </c>
      <c r="D946" s="1">
        <f ca="1">MIN($D$3,VLOOKUP(C946,OP!$S$30:$T$41,2))</f>
        <v>2</v>
      </c>
      <c r="E946" s="1" t="str">
        <f t="shared" ca="1" si="514"/>
        <v/>
      </c>
      <c r="F946" s="11" t="str">
        <f t="shared" ca="1" si="520"/>
        <v/>
      </c>
      <c r="G946" s="8">
        <f t="shared" ca="1" si="546"/>
        <v>366</v>
      </c>
      <c r="H946" s="8">
        <f t="shared" ca="1" si="521"/>
        <v>31</v>
      </c>
      <c r="I946" s="8" t="str">
        <f t="shared" ca="1" si="518"/>
        <v>7912</v>
      </c>
      <c r="J946" s="13">
        <f>IF(繳費報酬率資料!$A$1=1,VALUE(OP!$C$121),VLOOKUP(A946,MP,2,0))</f>
        <v>0.05</v>
      </c>
      <c r="K946" s="14">
        <f ca="1">IF(SUM($K$4:K945,IF(繳費報酬率資料!$A$1=1,$AU946+$AV946,$BB946+$BC946))&gt;OP!$L$58,0,IF(繳費報酬率資料!$A$1=1,$AU946+$AV946,$BB946+$BC946))</f>
        <v>0</v>
      </c>
      <c r="L946" s="2"/>
      <c r="M946" s="2"/>
      <c r="N946" s="2"/>
      <c r="O946" s="261">
        <f t="shared" ca="1" si="522"/>
        <v>0</v>
      </c>
      <c r="P946" s="261">
        <f t="shared" ca="1" si="540"/>
        <v>0</v>
      </c>
      <c r="Q946" s="3">
        <f ca="1">IF(A946&gt;MAX(OP!$R$17:$R$26),0,VLOOKUP(A946,fees,3,FALSE))</f>
        <v>0</v>
      </c>
      <c r="R946" s="200" t="str">
        <f t="shared" ca="1" si="523"/>
        <v/>
      </c>
      <c r="S946" s="9" t="str">
        <f ca="1">IF(COUNTIF(($T$4:T945),"F")&gt;=1,"",IF(OR(C947&lt;&gt;$C$3,E946=""),"",A946))</f>
        <v/>
      </c>
      <c r="T946" s="20" t="str">
        <f t="shared" ca="1" si="515"/>
        <v/>
      </c>
      <c r="U946" s="2">
        <f ca="1">IF(IF(OP!$C$83=1,$Z945,IF(OP!$C$83=2,$AA945,IF(OP!$C$83=3,$AB945,)))+$K946-$O946-$P946-$AS946&lt;OP!$C$142,0,$AS946)</f>
        <v>0</v>
      </c>
      <c r="V946" s="9"/>
      <c r="W946" s="19">
        <f ca="1">MAX(SUM($K$4:K946),0)</f>
        <v>2000000</v>
      </c>
      <c r="X946" s="19"/>
      <c r="Y946" s="19">
        <f t="shared" ca="1" si="541"/>
        <v>1920000</v>
      </c>
      <c r="Z946" s="2">
        <f ca="1">IF(MIN($Z$4:Z945)=0,0,MAX(0,($Z945+$K946-$O946-$P946)*IF(AND(F946="F",$D$3&lt;&gt;$G$3),((1+(-J946))^(H946/MIN(G946,365))),((1+(-J946))^(1/12)))-$U946))</f>
        <v>34099.489530595747</v>
      </c>
      <c r="AA946" s="2">
        <f ca="1">IF(MIN($AA$4:AA945)=0,0,MAX(0,($AA945+$K946-$O946-$P946)*IF(AND(F946="F",$D$3&lt;&gt;$G$3),((1+$AA$1)^(H946/MIN(G946,365))),((1+$AA$1)^(1/12)))-$U946))</f>
        <v>1920000</v>
      </c>
      <c r="AB946" s="2">
        <f ca="1">IF(MIN($AB$4:AB945)=0,0,MAX(0,($AB945+$K946-$O946-$P946)*IF(AND(F946="F",$D$3&lt;&gt;$G$3),((1+(J946))^(H946/MIN(G946,365))),((1+(J946))^(1/12)))-$U946))</f>
        <v>88802865.653863207</v>
      </c>
      <c r="AC946" s="5"/>
      <c r="AD946" s="5"/>
      <c r="AE946" s="5"/>
      <c r="AF946" s="282">
        <f t="shared" ca="1" si="524"/>
        <v>34099</v>
      </c>
      <c r="AG946" s="282">
        <f t="shared" ca="1" si="525"/>
        <v>1920000</v>
      </c>
      <c r="AH946" s="282">
        <f t="shared" ca="1" si="526"/>
        <v>88802866</v>
      </c>
      <c r="AI946" s="23" t="str">
        <f t="shared" ca="1" si="543"/>
        <v>79-8</v>
      </c>
      <c r="AJ946" s="282">
        <f ca="1">IF(E946&gt;111,,IF(AND(OP!$C$99=1,T946="F"),Z946,IF(AND(OP!$C$99=2,COUNTIF($T$4:T946,"F")=1),OP!$C$97+IF(F946="F",OP!$C$98,0),"")))</f>
        <v>0</v>
      </c>
      <c r="AK946" s="282">
        <f ca="1">IF(E946&gt;111,,IF(AND(OP!$D$99=1,T946="F"),AA946,IF(AND(OP!$D$99=2,COUNTIF($T$4:T946,"F")=1),OP!$D$97+IF(F946="F",OP!$D$98,0),"")))</f>
        <v>0</v>
      </c>
      <c r="AL946" s="282">
        <f ca="1">IF(E946&gt;111,,IF(AND(OP!$E$99=1,T946="F"),AB946,IF(AND(OP!$E$99=2,COUNTIF($T$4:T946,"F")=1),OP!$E$97+IF(F946="F",OP!$E$98,0),"")))</f>
        <v>0</v>
      </c>
      <c r="AM946" s="1">
        <f t="shared" ca="1" si="516"/>
        <v>8</v>
      </c>
      <c r="AN946" s="1" t="e">
        <f ca="1">IF(OR(VLOOKUP($A946,MP,5,0)="半年繳",VLOOKUP($A946,MP,5,0)="季繳",VLOOKUP($A946,MP,5,0)="月繳"),1,"")</f>
        <v>#N/A</v>
      </c>
      <c r="AO946" s="1">
        <f t="shared" ca="1" si="527"/>
        <v>0</v>
      </c>
      <c r="AP946" s="1" t="str">
        <f ca="1">IF(AND(A946&lt;=OP!$C$120,COUNTIF(PAY,C946)=1),1,"")</f>
        <v/>
      </c>
      <c r="AR946" s="301">
        <f ca="1">IF(繳費報酬率資料!$A$1=1,$AY946+$AZ946,$BF946+$BG946)</f>
        <v>0</v>
      </c>
      <c r="AS946" s="1">
        <f ca="1">IF(C946&lt;&gt;IF($C$3=1,12,$C$3-1),0,IF(繳費報酬率資料!$A$1&lt;&gt;1,VLOOKUP($A946,MP,8,0),IF(AND($A946&gt;=OP!$C$79,$A946&lt;=OP!$C$80),OP!$C$78,)))</f>
        <v>0</v>
      </c>
      <c r="AT946" s="298">
        <f t="shared" ca="1" si="528"/>
        <v>0</v>
      </c>
      <c r="AU946" s="298">
        <f ca="1">IF(AND(A946&lt;=OP!$C$120,COUNTIF(PAY,C946)=1),OP!$C$123,0)</f>
        <v>0</v>
      </c>
      <c r="AV946" s="298">
        <f ca="1">IF(AND(A946&gt;=OP!$C$132,A946&lt;=OP!$C$133,$C$3=C946),OP!$C$135,0)</f>
        <v>0</v>
      </c>
      <c r="AW946" s="180">
        <f t="shared" ca="1" si="529"/>
        <v>0.05</v>
      </c>
      <c r="AX946" s="180">
        <f t="shared" ca="1" si="530"/>
        <v>0.05</v>
      </c>
      <c r="AY946" s="286">
        <f t="shared" ca="1" si="531"/>
        <v>0</v>
      </c>
      <c r="AZ946" s="286">
        <f t="shared" ca="1" si="532"/>
        <v>0</v>
      </c>
      <c r="BA946" s="286">
        <f t="shared" ca="1" si="533"/>
        <v>0</v>
      </c>
      <c r="BB946" s="286">
        <f t="shared" ca="1" si="534"/>
        <v>0</v>
      </c>
      <c r="BC946" s="286">
        <f t="shared" ca="1" si="535"/>
        <v>0</v>
      </c>
      <c r="BD946" s="180">
        <f t="shared" ca="1" si="536"/>
        <v>0.05</v>
      </c>
      <c r="BE946" s="180">
        <f t="shared" ca="1" si="537"/>
        <v>0.05</v>
      </c>
      <c r="BF946" s="286">
        <f t="shared" ca="1" si="538"/>
        <v>0</v>
      </c>
      <c r="BG946" s="286">
        <f t="shared" ca="1" si="539"/>
        <v>0</v>
      </c>
    </row>
    <row r="947" spans="1:59">
      <c r="A947" s="1">
        <f t="shared" ca="1" si="519"/>
        <v>79</v>
      </c>
      <c r="B947" s="1">
        <f t="shared" ca="1" si="512"/>
        <v>185</v>
      </c>
      <c r="C947" s="1">
        <f t="shared" ca="1" si="513"/>
        <v>1</v>
      </c>
      <c r="D947" s="1">
        <f ca="1">MIN($D$3,VLOOKUP(C947,OP!$S$30:$T$41,2))</f>
        <v>2</v>
      </c>
      <c r="E947" s="1" t="str">
        <f t="shared" ca="1" si="514"/>
        <v/>
      </c>
      <c r="F947" s="11" t="str">
        <f t="shared" ca="1" si="520"/>
        <v/>
      </c>
      <c r="G947" s="8">
        <f t="shared" ca="1" si="546"/>
        <v>366</v>
      </c>
      <c r="H947" s="8">
        <f t="shared" ca="1" si="521"/>
        <v>31</v>
      </c>
      <c r="I947" s="8" t="str">
        <f t="shared" ca="1" si="518"/>
        <v>791</v>
      </c>
      <c r="J947" s="13">
        <f>IF(繳費報酬率資料!$A$1=1,VALUE(OP!$C$121),VLOOKUP(A947,MP,2,0))</f>
        <v>0.05</v>
      </c>
      <c r="K947" s="14">
        <f ca="1">IF(SUM($K$4:K946,IF(繳費報酬率資料!$A$1=1,$AU947+$AV947,$BB947+$BC947))&gt;OP!$L$58,0,IF(繳費報酬率資料!$A$1=1,$AU947+$AV947,$BB947+$BC947))</f>
        <v>0</v>
      </c>
      <c r="L947" s="2"/>
      <c r="M947" s="2"/>
      <c r="N947" s="2"/>
      <c r="O947" s="261">
        <f t="shared" ca="1" si="522"/>
        <v>0</v>
      </c>
      <c r="P947" s="261">
        <f t="shared" ca="1" si="540"/>
        <v>0</v>
      </c>
      <c r="Q947" s="3">
        <f ca="1">IF(A947&gt;MAX(OP!$R$17:$R$26),0,VLOOKUP(A947,fees,3,FALSE))</f>
        <v>0</v>
      </c>
      <c r="R947" s="200" t="str">
        <f t="shared" ca="1" si="523"/>
        <v/>
      </c>
      <c r="S947" s="9" t="str">
        <f ca="1">IF(COUNTIF(($T$4:T946),"F")&gt;=1,"",IF(OR(C948&lt;&gt;$C$3,E947=""),"",A947))</f>
        <v/>
      </c>
      <c r="T947" s="20" t="str">
        <f t="shared" ca="1" si="515"/>
        <v/>
      </c>
      <c r="U947" s="2">
        <f ca="1">IF(IF(OP!$C$83=1,$Z946,IF(OP!$C$83=2,$AA946,IF(OP!$C$83=3,$AB946,)))+$K947-$O947-$P947-$AS947&lt;OP!$C$142,0,$AS947)</f>
        <v>0</v>
      </c>
      <c r="V947" s="9"/>
      <c r="W947" s="19">
        <f ca="1">MAX(SUM($K$4:K947),0)</f>
        <v>2000000</v>
      </c>
      <c r="X947" s="19"/>
      <c r="Y947" s="19">
        <f t="shared" ca="1" si="541"/>
        <v>1920000</v>
      </c>
      <c r="Z947" s="2">
        <f ca="1">IF(MIN($Z$4:Z946)=0,0,MAX(0,($Z946+$K947-$O947-$P947)*IF(AND(F947="F",$D$3&lt;&gt;$G$3),((1+(-J947))^(H947/MIN(G947,365))),((1+(-J947))^(1/12)))-$U947))</f>
        <v>33954.044337595667</v>
      </c>
      <c r="AA947" s="2">
        <f ca="1">IF(MIN($AA$4:AA946)=0,0,MAX(0,($AA946+$K947-$O947-$P947)*IF(AND(F947="F",$D$3&lt;&gt;$G$3),((1+$AA$1)^(H947/MIN(G947,365))),((1+$AA$1)^(1/12)))-$U947))</f>
        <v>1920000</v>
      </c>
      <c r="AB947" s="2">
        <f ca="1">IF(MIN($AB$4:AB946)=0,0,MAX(0,($AB946+$K947-$O947-$P947)*IF(AND(F947="F",$D$3&lt;&gt;$G$3),((1+(J947))^(H947/MIN(G947,365))),((1+(J947))^(1/12)))-$U947))</f>
        <v>89164659.520879745</v>
      </c>
      <c r="AC947" s="5"/>
      <c r="AD947" s="5"/>
      <c r="AE947" s="5"/>
      <c r="AF947" s="282">
        <f t="shared" ca="1" si="524"/>
        <v>33954</v>
      </c>
      <c r="AG947" s="282">
        <f t="shared" ca="1" si="525"/>
        <v>1920000</v>
      </c>
      <c r="AH947" s="282">
        <f t="shared" ca="1" si="526"/>
        <v>89164660</v>
      </c>
      <c r="AI947" s="23" t="str">
        <f t="shared" ca="1" si="543"/>
        <v>79-9</v>
      </c>
      <c r="AJ947" s="282">
        <f ca="1">IF(E947&gt;111,,IF(AND(OP!$C$99=1,T947="F"),Z947,IF(AND(OP!$C$99=2,COUNTIF($T$4:T947,"F")=1),OP!$C$97+IF(F947="F",OP!$C$98,0),"")))</f>
        <v>0</v>
      </c>
      <c r="AK947" s="282">
        <f ca="1">IF(E947&gt;111,,IF(AND(OP!$D$99=1,T947="F"),AA947,IF(AND(OP!$D$99=2,COUNTIF($T$4:T947,"F")=1),OP!$D$97+IF(F947="F",OP!$D$98,0),"")))</f>
        <v>0</v>
      </c>
      <c r="AL947" s="282">
        <f ca="1">IF(E947&gt;111,,IF(AND(OP!$E$99=1,T947="F"),AB947,IF(AND(OP!$E$99=2,COUNTIF($T$4:T947,"F")=1),OP!$E$97+IF(F947="F",OP!$E$98,0),"")))</f>
        <v>0</v>
      </c>
      <c r="AM947" s="1">
        <f t="shared" ca="1" si="516"/>
        <v>9</v>
      </c>
      <c r="AN947" s="1" t="e">
        <f ca="1">IF(OR(VLOOKUP($A947,MP,5,0)="月繳"),1,"")</f>
        <v>#N/A</v>
      </c>
      <c r="AO947" s="1">
        <f t="shared" ca="1" si="527"/>
        <v>0</v>
      </c>
      <c r="AP947" s="1" t="str">
        <f ca="1">IF(AND(A947&lt;=OP!$C$120,COUNTIF(PAY,C947)=1),1,"")</f>
        <v/>
      </c>
      <c r="AR947" s="301">
        <f ca="1">IF(繳費報酬率資料!$A$1=1,$AY947+$AZ947,$BF947+$BG947)</f>
        <v>0</v>
      </c>
      <c r="AS947" s="1">
        <f ca="1">IF(C947&lt;&gt;IF($C$3=1,12,$C$3-1),0,IF(繳費報酬率資料!$A$1&lt;&gt;1,VLOOKUP($A947,MP,8,0),IF(AND($A947&gt;=OP!$C$79,$A947&lt;=OP!$C$80),OP!$C$78,)))</f>
        <v>0</v>
      </c>
      <c r="AT947" s="298">
        <f t="shared" ca="1" si="528"/>
        <v>0</v>
      </c>
      <c r="AU947" s="298">
        <f ca="1">IF(AND(A947&lt;=OP!$C$120,COUNTIF(PAY,C947)=1),OP!$C$123,0)</f>
        <v>0</v>
      </c>
      <c r="AV947" s="298">
        <f ca="1">IF(AND(A947&gt;=OP!$C$132,A947&lt;=OP!$C$133,$C$3=C947),OP!$C$135,0)</f>
        <v>0</v>
      </c>
      <c r="AW947" s="180">
        <f t="shared" ca="1" si="529"/>
        <v>0.05</v>
      </c>
      <c r="AX947" s="180">
        <f t="shared" ca="1" si="530"/>
        <v>0.05</v>
      </c>
      <c r="AY947" s="286">
        <f t="shared" ca="1" si="531"/>
        <v>0</v>
      </c>
      <c r="AZ947" s="286">
        <f t="shared" ca="1" si="532"/>
        <v>0</v>
      </c>
      <c r="BA947" s="286">
        <f t="shared" ca="1" si="533"/>
        <v>0</v>
      </c>
      <c r="BB947" s="286">
        <f t="shared" ca="1" si="534"/>
        <v>0</v>
      </c>
      <c r="BC947" s="286">
        <f t="shared" ca="1" si="535"/>
        <v>0</v>
      </c>
      <c r="BD947" s="180">
        <f t="shared" ca="1" si="536"/>
        <v>0.05</v>
      </c>
      <c r="BE947" s="180">
        <f t="shared" ca="1" si="537"/>
        <v>0.05</v>
      </c>
      <c r="BF947" s="286">
        <f t="shared" ca="1" si="538"/>
        <v>0</v>
      </c>
      <c r="BG947" s="286">
        <f t="shared" ca="1" si="539"/>
        <v>0</v>
      </c>
    </row>
    <row r="948" spans="1:59">
      <c r="A948" s="1">
        <f t="shared" ca="1" si="519"/>
        <v>79</v>
      </c>
      <c r="B948" s="1">
        <f t="shared" ca="1" si="512"/>
        <v>185</v>
      </c>
      <c r="C948" s="1">
        <f t="shared" ca="1" si="513"/>
        <v>2</v>
      </c>
      <c r="D948" s="1">
        <f ca="1">MIN($D$3,VLOOKUP(C948,OP!$S$30:$T$41,2))</f>
        <v>2</v>
      </c>
      <c r="E948" s="1" t="str">
        <f t="shared" ca="1" si="514"/>
        <v/>
      </c>
      <c r="F948" s="11" t="str">
        <f t="shared" ca="1" si="520"/>
        <v/>
      </c>
      <c r="G948" s="8">
        <f t="shared" ca="1" si="546"/>
        <v>366</v>
      </c>
      <c r="H948" s="8">
        <f t="shared" ca="1" si="521"/>
        <v>29</v>
      </c>
      <c r="I948" s="8" t="str">
        <f t="shared" ca="1" si="518"/>
        <v>792</v>
      </c>
      <c r="J948" s="13">
        <f>IF(繳費報酬率資料!$A$1=1,VALUE(OP!$C$121),VLOOKUP(A948,MP,2,0))</f>
        <v>0.05</v>
      </c>
      <c r="K948" s="14">
        <f ca="1">IF(SUM($K$4:K947,IF(繳費報酬率資料!$A$1=1,$AU948+$AV948,$BB948+$BC948))&gt;OP!$L$58,0,IF(繳費報酬率資料!$A$1=1,$AU948+$AV948,$BB948+$BC948))</f>
        <v>0</v>
      </c>
      <c r="L948" s="2"/>
      <c r="M948" s="2"/>
      <c r="N948" s="2"/>
      <c r="O948" s="261">
        <f t="shared" ca="1" si="522"/>
        <v>0</v>
      </c>
      <c r="P948" s="261">
        <f t="shared" ca="1" si="540"/>
        <v>0</v>
      </c>
      <c r="Q948" s="3">
        <f ca="1">IF(A948&gt;MAX(OP!$R$17:$R$26),0,VLOOKUP(A948,fees,3,FALSE))</f>
        <v>0</v>
      </c>
      <c r="R948" s="200" t="str">
        <f t="shared" ca="1" si="523"/>
        <v/>
      </c>
      <c r="S948" s="9" t="str">
        <f ca="1">IF(COUNTIF(($T$4:T947),"F")&gt;=1,"",IF(OR(C949&lt;&gt;$C$3,E948=""),"",A948))</f>
        <v/>
      </c>
      <c r="T948" s="20" t="str">
        <f t="shared" ca="1" si="515"/>
        <v/>
      </c>
      <c r="U948" s="2">
        <f ca="1">IF(IF(OP!$C$83=1,$Z947,IF(OP!$C$83=2,$AA947,IF(OP!$C$83=3,$AB947,)))+$K948-$O948-$P948-$AS948&lt;OP!$C$142,0,$AS948)</f>
        <v>0</v>
      </c>
      <c r="V948" s="9"/>
      <c r="W948" s="19">
        <f ca="1">MAX(SUM($K$4:K948),0)</f>
        <v>2000000</v>
      </c>
      <c r="X948" s="19"/>
      <c r="Y948" s="19">
        <f t="shared" ca="1" si="541"/>
        <v>1920000</v>
      </c>
      <c r="Z948" s="2">
        <f ca="1">IF(MIN($Z$4:Z947)=0,0,MAX(0,($Z947+$K948-$O948-$P948)*IF(AND(F948="F",$D$3&lt;&gt;$G$3),((1+(-J948))^(H948/MIN(G948,365))),((1+(-J948))^(1/12)))-$U948))</f>
        <v>33809.219514708391</v>
      </c>
      <c r="AA948" s="2">
        <f ca="1">IF(MIN($AA$4:AA947)=0,0,MAX(0,($AA947+$K948-$O948-$P948)*IF(AND(F948="F",$D$3&lt;&gt;$G$3),((1+$AA$1)^(H948/MIN(G948,365))),((1+$AA$1)^(1/12)))-$U948))</f>
        <v>1920000</v>
      </c>
      <c r="AB948" s="2">
        <f ca="1">IF(MIN($AB$4:AB947)=0,0,MAX(0,($AB947+$K948-$O948-$P948)*IF(AND(F948="F",$D$3&lt;&gt;$G$3),((1+(J948))^(H948/MIN(G948,365))),((1+(J948))^(1/12)))-$U948))</f>
        <v>89527927.380894676</v>
      </c>
      <c r="AC948" s="5"/>
      <c r="AD948" s="5"/>
      <c r="AE948" s="5"/>
      <c r="AF948" s="282">
        <f t="shared" ca="1" si="524"/>
        <v>33809</v>
      </c>
      <c r="AG948" s="282">
        <f t="shared" ca="1" si="525"/>
        <v>1920000</v>
      </c>
      <c r="AH948" s="282">
        <f t="shared" ca="1" si="526"/>
        <v>89527927</v>
      </c>
      <c r="AI948" s="23" t="str">
        <f t="shared" ca="1" si="543"/>
        <v>79-10</v>
      </c>
      <c r="AJ948" s="282">
        <f ca="1">IF(E948&gt;111,,IF(AND(OP!$C$99=1,T948="F"),Z948,IF(AND(OP!$C$99=2,COUNTIF($T$4:T948,"F")=1),OP!$C$97+IF(F948="F",OP!$C$98,0),"")))</f>
        <v>0</v>
      </c>
      <c r="AK948" s="282">
        <f ca="1">IF(E948&gt;111,,IF(AND(OP!$D$99=1,T948="F"),AA948,IF(AND(OP!$D$99=2,COUNTIF($T$4:T948,"F")=1),OP!$D$97+IF(F948="F",OP!$D$98,0),"")))</f>
        <v>0</v>
      </c>
      <c r="AL948" s="282">
        <f ca="1">IF(E948&gt;111,,IF(AND(OP!$E$99=1,T948="F"),AB948,IF(AND(OP!$E$99=2,COUNTIF($T$4:T948,"F")=1),OP!$E$97+IF(F948="F",OP!$E$98,0),"")))</f>
        <v>0</v>
      </c>
      <c r="AM948" s="1">
        <f t="shared" ca="1" si="516"/>
        <v>10</v>
      </c>
      <c r="AN948" s="1" t="e">
        <f ca="1">IF(OR(VLOOKUP($A948,MP,5,0)="月繳"),1,"")</f>
        <v>#N/A</v>
      </c>
      <c r="AO948" s="1">
        <f t="shared" ca="1" si="527"/>
        <v>0</v>
      </c>
      <c r="AP948" s="1" t="str">
        <f ca="1">IF(AND(A948&lt;=OP!$C$120,COUNTIF(PAY,C948)=1),1,"")</f>
        <v/>
      </c>
      <c r="AR948" s="301">
        <f ca="1">IF(繳費報酬率資料!$A$1=1,$AY948+$AZ948,$BF948+$BG948)</f>
        <v>0</v>
      </c>
      <c r="AS948" s="1">
        <f ca="1">IF(C948&lt;&gt;IF($C$3=1,12,$C$3-1),0,IF(繳費報酬率資料!$A$1&lt;&gt;1,VLOOKUP($A948,MP,8,0),IF(AND($A948&gt;=OP!$C$79,$A948&lt;=OP!$C$80),OP!$C$78,)))</f>
        <v>0</v>
      </c>
      <c r="AT948" s="298">
        <f t="shared" ca="1" si="528"/>
        <v>0</v>
      </c>
      <c r="AU948" s="298">
        <f ca="1">IF(AND(A948&lt;=OP!$C$120,COUNTIF(PAY,C948)=1),OP!$C$123,0)</f>
        <v>0</v>
      </c>
      <c r="AV948" s="298">
        <f ca="1">IF(AND(A948&gt;=OP!$C$132,A948&lt;=OP!$C$133,$C$3=C948),OP!$C$135,0)</f>
        <v>0</v>
      </c>
      <c r="AW948" s="180">
        <f t="shared" ca="1" si="529"/>
        <v>0.05</v>
      </c>
      <c r="AX948" s="180">
        <f t="shared" ca="1" si="530"/>
        <v>0.05</v>
      </c>
      <c r="AY948" s="286">
        <f t="shared" ca="1" si="531"/>
        <v>0</v>
      </c>
      <c r="AZ948" s="286">
        <f t="shared" ca="1" si="532"/>
        <v>0</v>
      </c>
      <c r="BA948" s="286">
        <f t="shared" ca="1" si="533"/>
        <v>0</v>
      </c>
      <c r="BB948" s="286">
        <f t="shared" ca="1" si="534"/>
        <v>0</v>
      </c>
      <c r="BC948" s="286">
        <f t="shared" ca="1" si="535"/>
        <v>0</v>
      </c>
      <c r="BD948" s="180">
        <f t="shared" ca="1" si="536"/>
        <v>0.05</v>
      </c>
      <c r="BE948" s="180">
        <f t="shared" ca="1" si="537"/>
        <v>0.05</v>
      </c>
      <c r="BF948" s="286">
        <f t="shared" ca="1" si="538"/>
        <v>0</v>
      </c>
      <c r="BG948" s="286">
        <f t="shared" ca="1" si="539"/>
        <v>0</v>
      </c>
    </row>
    <row r="949" spans="1:59">
      <c r="A949" s="1">
        <f t="shared" ca="1" si="519"/>
        <v>79</v>
      </c>
      <c r="B949" s="1">
        <f t="shared" ca="1" si="512"/>
        <v>185</v>
      </c>
      <c r="C949" s="1">
        <f t="shared" ca="1" si="513"/>
        <v>3</v>
      </c>
      <c r="D949" s="1">
        <f ca="1">MIN($D$3,VLOOKUP(C949,OP!$S$30:$T$41,2))</f>
        <v>2</v>
      </c>
      <c r="E949" s="1" t="str">
        <f t="shared" ca="1" si="514"/>
        <v/>
      </c>
      <c r="F949" s="11" t="str">
        <f t="shared" ca="1" si="520"/>
        <v/>
      </c>
      <c r="G949" s="8">
        <f t="shared" ca="1" si="546"/>
        <v>366</v>
      </c>
      <c r="H949" s="8">
        <f t="shared" ca="1" si="521"/>
        <v>31</v>
      </c>
      <c r="I949" s="8" t="str">
        <f t="shared" ca="1" si="518"/>
        <v>793</v>
      </c>
      <c r="J949" s="13">
        <f>IF(繳費報酬率資料!$A$1=1,VALUE(OP!$C$121),VLOOKUP(A949,MP,2,0))</f>
        <v>0.05</v>
      </c>
      <c r="K949" s="14">
        <f ca="1">IF(SUM($K$4:K948,IF(繳費報酬率資料!$A$1=1,$AU949+$AV949,$BB949+$BC949))&gt;OP!$L$58,0,IF(繳費報酬率資料!$A$1=1,$AU949+$AV949,$BB949+$BC949))</f>
        <v>0</v>
      </c>
      <c r="L949" s="2"/>
      <c r="M949" s="2"/>
      <c r="N949" s="2"/>
      <c r="O949" s="261">
        <f t="shared" ca="1" si="522"/>
        <v>0</v>
      </c>
      <c r="P949" s="261">
        <f t="shared" ca="1" si="540"/>
        <v>0</v>
      </c>
      <c r="Q949" s="3">
        <f ca="1">IF(A949&gt;MAX(OP!$R$17:$R$26),0,VLOOKUP(A949,fees,3,FALSE))</f>
        <v>0</v>
      </c>
      <c r="R949" s="200" t="str">
        <f t="shared" ca="1" si="523"/>
        <v/>
      </c>
      <c r="S949" s="9" t="str">
        <f ca="1">IF(COUNTIF(($T$4:T948),"F")&gt;=1,"",IF(OR(C950&lt;&gt;$C$3,E949=""),"",A949))</f>
        <v/>
      </c>
      <c r="T949" s="20" t="str">
        <f t="shared" ca="1" si="515"/>
        <v/>
      </c>
      <c r="U949" s="2">
        <f ca="1">IF(IF(OP!$C$83=1,$Z948,IF(OP!$C$83=2,$AA948,IF(OP!$C$83=3,$AB948,)))+$K949-$O949-$P949-$AS949&lt;OP!$C$142,0,$AS949)</f>
        <v>0</v>
      </c>
      <c r="V949" s="9"/>
      <c r="W949" s="19">
        <f ca="1">MAX(SUM($K$4:K949),0)</f>
        <v>2000000</v>
      </c>
      <c r="X949" s="19"/>
      <c r="Y949" s="19">
        <f t="shared" ca="1" si="541"/>
        <v>1920000</v>
      </c>
      <c r="Z949" s="2">
        <f ca="1">IF(MIN($Z$4:Z948)=0,0,MAX(0,($Z948+$K949-$O949-$P949)*IF(AND(F949="F",$D$3&lt;&gt;$G$3),((1+(-J949))^(H949/MIN(G949,365))),((1+(-J949))^(1/12)))-$U949))</f>
        <v>33665.012415857636</v>
      </c>
      <c r="AA949" s="2">
        <f ca="1">IF(MIN($AA$4:AA948)=0,0,MAX(0,($AA948+$K949-$O949-$P949)*IF(AND(F949="F",$D$3&lt;&gt;$G$3),((1+$AA$1)^(H949/MIN(G949,365))),((1+$AA$1)^(1/12)))-$U949))</f>
        <v>1920000</v>
      </c>
      <c r="AB949" s="2">
        <f ca="1">IF(MIN($AB$4:AB948)=0,0,MAX(0,($AB948+$K949-$O949-$P949)*IF(AND(F949="F",$D$3&lt;&gt;$G$3),((1+(J949))^(H949/MIN(G949,365))),((1+(J949))^(1/12)))-$U949))</f>
        <v>89892675.239137918</v>
      </c>
      <c r="AC949" s="5"/>
      <c r="AD949" s="5"/>
      <c r="AE949" s="5"/>
      <c r="AF949" s="282">
        <f t="shared" ca="1" si="524"/>
        <v>33665</v>
      </c>
      <c r="AG949" s="282">
        <f t="shared" ca="1" si="525"/>
        <v>1920000</v>
      </c>
      <c r="AH949" s="282">
        <f t="shared" ca="1" si="526"/>
        <v>89892675</v>
      </c>
      <c r="AI949" s="23" t="str">
        <f t="shared" ca="1" si="543"/>
        <v>79-11</v>
      </c>
      <c r="AJ949" s="282">
        <f ca="1">IF(E949&gt;111,,IF(AND(OP!$C$99=1,T949="F"),Z949,IF(AND(OP!$C$99=2,COUNTIF($T$4:T949,"F")=1),OP!$C$97+IF(F949="F",OP!$C$98,0),"")))</f>
        <v>0</v>
      </c>
      <c r="AK949" s="282">
        <f ca="1">IF(E949&gt;111,,IF(AND(OP!$D$99=1,T949="F"),AA949,IF(AND(OP!$D$99=2,COUNTIF($T$4:T949,"F")=1),OP!$D$97+IF(F949="F",OP!$D$98,0),"")))</f>
        <v>0</v>
      </c>
      <c r="AL949" s="282">
        <f ca="1">IF(E949&gt;111,,IF(AND(OP!$E$99=1,T949="F"),AB949,IF(AND(OP!$E$99=2,COUNTIF($T$4:T949,"F")=1),OP!$E$97+IF(F949="F",OP!$E$98,0),"")))</f>
        <v>0</v>
      </c>
      <c r="AM949" s="1">
        <f t="shared" ca="1" si="516"/>
        <v>11</v>
      </c>
      <c r="AN949" s="1" t="e">
        <f ca="1">IF(OR(VLOOKUP($A949,MP,5,0)="季繳",VLOOKUP($A949,MP,5,0)="月繳"),1,"")</f>
        <v>#N/A</v>
      </c>
      <c r="AO949" s="1">
        <f t="shared" ca="1" si="527"/>
        <v>0</v>
      </c>
      <c r="AP949" s="1" t="str">
        <f ca="1">IF(AND(A949&lt;=OP!$C$120,COUNTIF(PAY,C949)=1),1,"")</f>
        <v/>
      </c>
      <c r="AR949" s="301">
        <f ca="1">IF(繳費報酬率資料!$A$1=1,$AY949+$AZ949,$BF949+$BG949)</f>
        <v>0</v>
      </c>
      <c r="AS949" s="1">
        <f ca="1">IF(C949&lt;&gt;IF($C$3=1,12,$C$3-1),0,IF(繳費報酬率資料!$A$1&lt;&gt;1,VLOOKUP($A949,MP,8,0),IF(AND($A949&gt;=OP!$C$79,$A949&lt;=OP!$C$80),OP!$C$78,)))</f>
        <v>0</v>
      </c>
      <c r="AT949" s="298">
        <f t="shared" ca="1" si="528"/>
        <v>0</v>
      </c>
      <c r="AU949" s="298">
        <f ca="1">IF(AND(A949&lt;=OP!$C$120,COUNTIF(PAY,C949)=1),OP!$C$123,0)</f>
        <v>0</v>
      </c>
      <c r="AV949" s="298">
        <f ca="1">IF(AND(A949&gt;=OP!$C$132,A949&lt;=OP!$C$133,$C$3=C949),OP!$C$135,0)</f>
        <v>0</v>
      </c>
      <c r="AW949" s="180">
        <f t="shared" ca="1" si="529"/>
        <v>0.05</v>
      </c>
      <c r="AX949" s="180">
        <f t="shared" ca="1" si="530"/>
        <v>0.05</v>
      </c>
      <c r="AY949" s="286">
        <f t="shared" ca="1" si="531"/>
        <v>0</v>
      </c>
      <c r="AZ949" s="286">
        <f t="shared" ca="1" si="532"/>
        <v>0</v>
      </c>
      <c r="BA949" s="286">
        <f t="shared" ca="1" si="533"/>
        <v>0</v>
      </c>
      <c r="BB949" s="286">
        <f t="shared" ca="1" si="534"/>
        <v>0</v>
      </c>
      <c r="BC949" s="286">
        <f t="shared" ca="1" si="535"/>
        <v>0</v>
      </c>
      <c r="BD949" s="180">
        <f t="shared" ca="1" si="536"/>
        <v>0.05</v>
      </c>
      <c r="BE949" s="180">
        <f t="shared" ca="1" si="537"/>
        <v>0.05</v>
      </c>
      <c r="BF949" s="286">
        <f t="shared" ca="1" si="538"/>
        <v>0</v>
      </c>
      <c r="BG949" s="286">
        <f t="shared" ca="1" si="539"/>
        <v>0</v>
      </c>
    </row>
    <row r="950" spans="1:59">
      <c r="A950" s="1">
        <f t="shared" ca="1" si="519"/>
        <v>79</v>
      </c>
      <c r="B950" s="1">
        <f t="shared" ca="1" si="512"/>
        <v>185</v>
      </c>
      <c r="C950" s="1">
        <f t="shared" ca="1" si="513"/>
        <v>4</v>
      </c>
      <c r="D950" s="1">
        <f ca="1">MIN($D$3,VLOOKUP(C950,OP!$S$30:$T$41,2))</f>
        <v>2</v>
      </c>
      <c r="E950" s="1" t="str">
        <f t="shared" ca="1" si="514"/>
        <v/>
      </c>
      <c r="F950" s="11" t="str">
        <f t="shared" ca="1" si="520"/>
        <v/>
      </c>
      <c r="G950" s="8">
        <f t="shared" ca="1" si="546"/>
        <v>366</v>
      </c>
      <c r="H950" s="8">
        <f t="shared" ca="1" si="521"/>
        <v>30</v>
      </c>
      <c r="I950" s="8" t="str">
        <f t="shared" ca="1" si="518"/>
        <v>794</v>
      </c>
      <c r="J950" s="13">
        <f>IF(繳費報酬率資料!$A$1=1,VALUE(OP!$C$121),VLOOKUP(A950,MP,2,0))</f>
        <v>0.05</v>
      </c>
      <c r="K950" s="14">
        <f ca="1">IF(SUM($K$4:K949,IF(繳費報酬率資料!$A$1=1,$AU950+$AV950,$BB950+$BC950))&gt;OP!$L$58,0,IF(繳費報酬率資料!$A$1=1,$AU950+$AV950,$BB950+$BC950))</f>
        <v>0</v>
      </c>
      <c r="L950" s="2"/>
      <c r="M950" s="2"/>
      <c r="N950" s="2"/>
      <c r="O950" s="261">
        <f t="shared" ca="1" si="522"/>
        <v>0</v>
      </c>
      <c r="P950" s="261">
        <f t="shared" ca="1" si="540"/>
        <v>0</v>
      </c>
      <c r="Q950" s="3">
        <f ca="1">IF(A950&gt;MAX(OP!$R$17:$R$26),0,VLOOKUP(A950,fees,3,FALSE))</f>
        <v>0</v>
      </c>
      <c r="R950" s="200" t="str">
        <f t="shared" ca="1" si="523"/>
        <v/>
      </c>
      <c r="S950" s="9" t="str">
        <f ca="1">IF(COUNTIF(($T$4:T949),"F")&gt;=1,"",IF(OR(C951&lt;&gt;$C$3,E950=""),"",A950))</f>
        <v/>
      </c>
      <c r="T950" s="20" t="str">
        <f t="shared" ca="1" si="515"/>
        <v/>
      </c>
      <c r="U950" s="2">
        <f ca="1">IF(IF(OP!$C$83=1,$Z949,IF(OP!$C$83=2,$AA949,IF(OP!$C$83=3,$AB949,)))+$K950-$O950-$P950-$AS950&lt;OP!$C$142,0,$AS950)</f>
        <v>0</v>
      </c>
      <c r="V950" s="9"/>
      <c r="W950" s="19">
        <f ca="1">MAX(SUM($K$4:K950),0)</f>
        <v>2000000</v>
      </c>
      <c r="X950" s="19"/>
      <c r="Y950" s="19">
        <f t="shared" ca="1" si="541"/>
        <v>1920000</v>
      </c>
      <c r="Z950" s="2">
        <f ca="1">IF(MIN($Z$4:Z949)=0,0,MAX(0,($Z949+$K950-$O950-$P950)*IF(AND(F950="F",$D$3&lt;&gt;$G$3),((1+(-J950))^(H950/MIN(G950,365))),((1+(-J950))^(1/12)))-$U950))</f>
        <v>33521.42040625347</v>
      </c>
      <c r="AA950" s="2">
        <f ca="1">IF(MIN($AA$4:AA949)=0,0,MAX(0,($AA949+$K950-$O950-$P950)*IF(AND(F950="F",$D$3&lt;&gt;$G$3),((1+$AA$1)^(H950/MIN(G950,365))),((1+$AA$1)^(1/12)))-$U950))</f>
        <v>1920000</v>
      </c>
      <c r="AB950" s="2">
        <f ca="1">IF(MIN($AB$4:AB949)=0,0,MAX(0,($AB949+$K950-$O950-$P950)*IF(AND(F950="F",$D$3&lt;&gt;$G$3),((1+(J950))^(H950/MIN(G950,365))),((1+(J950))^(1/12)))-$U950))</f>
        <v>90258909.125305474</v>
      </c>
      <c r="AC950" s="5"/>
      <c r="AD950" s="5"/>
      <c r="AE950" s="5"/>
      <c r="AF950" s="282">
        <f t="shared" ca="1" si="524"/>
        <v>33521</v>
      </c>
      <c r="AG950" s="282">
        <f t="shared" ca="1" si="525"/>
        <v>1920000</v>
      </c>
      <c r="AH950" s="282">
        <f t="shared" ca="1" si="526"/>
        <v>90258909</v>
      </c>
      <c r="AI950" s="23" t="str">
        <f t="shared" ca="1" si="543"/>
        <v>79-12</v>
      </c>
      <c r="AJ950" s="282">
        <f ca="1">IF(E950&gt;111,,IF(AND(OP!$C$99=1,T950="F"),Z950,IF(AND(OP!$C$99=2,COUNTIF($T$4:T950,"F")=1),OP!$C$97+IF(F950="F",OP!$C$98,0),"")))</f>
        <v>0</v>
      </c>
      <c r="AK950" s="282">
        <f ca="1">IF(E950&gt;111,,IF(AND(OP!$D$99=1,T950="F"),AA950,IF(AND(OP!$D$99=2,COUNTIF($T$4:T950,"F")=1),OP!$D$97+IF(F950="F",OP!$D$98,0),"")))</f>
        <v>0</v>
      </c>
      <c r="AL950" s="282">
        <f ca="1">IF(E950&gt;111,,IF(AND(OP!$E$99=1,T950="F"),AB950,IF(AND(OP!$E$99=2,COUNTIF($T$4:T950,"F")=1),OP!$E$97+IF(F950="F",OP!$E$98,0),"")))</f>
        <v>0</v>
      </c>
      <c r="AM950" s="1">
        <f t="shared" ca="1" si="516"/>
        <v>12</v>
      </c>
      <c r="AN950" s="1" t="e">
        <f ca="1">IF(OR(VLOOKUP($A950,MP,5,0)="月繳"),1,"")</f>
        <v>#N/A</v>
      </c>
      <c r="AO950" s="1">
        <f t="shared" ca="1" si="527"/>
        <v>0</v>
      </c>
      <c r="AP950" s="1" t="str">
        <f ca="1">IF(AND(A950&lt;=OP!$C$120,COUNTIF(PAY,C950)=1),1,"")</f>
        <v/>
      </c>
      <c r="AR950" s="301">
        <f ca="1">IF(繳費報酬率資料!$A$1=1,$AY950+$AZ950,$BF950+$BG950)</f>
        <v>0</v>
      </c>
      <c r="AS950" s="1">
        <f ca="1">IF(C950&lt;&gt;IF($C$3=1,12,$C$3-1),0,IF(繳費報酬率資料!$A$1&lt;&gt;1,VLOOKUP($A950,MP,8,0),IF(AND($A950&gt;=OP!$C$79,$A950&lt;=OP!$C$80),OP!$C$78,)))</f>
        <v>0</v>
      </c>
      <c r="AT950" s="298">
        <f t="shared" ca="1" si="528"/>
        <v>0</v>
      </c>
      <c r="AU950" s="298">
        <f ca="1">IF(AND(A950&lt;=OP!$C$120,COUNTIF(PAY,C950)=1),OP!$C$123,0)</f>
        <v>0</v>
      </c>
      <c r="AV950" s="298">
        <f ca="1">IF(AND(A950&gt;=OP!$C$132,A950&lt;=OP!$C$133,$C$3=C950),OP!$C$135,0)</f>
        <v>0</v>
      </c>
      <c r="AW950" s="180">
        <f t="shared" ca="1" si="529"/>
        <v>0.05</v>
      </c>
      <c r="AX950" s="180">
        <f t="shared" ca="1" si="530"/>
        <v>0.05</v>
      </c>
      <c r="AY950" s="286">
        <f t="shared" ca="1" si="531"/>
        <v>0</v>
      </c>
      <c r="AZ950" s="286">
        <f t="shared" ca="1" si="532"/>
        <v>0</v>
      </c>
      <c r="BA950" s="286">
        <f t="shared" ca="1" si="533"/>
        <v>0</v>
      </c>
      <c r="BB950" s="286">
        <f t="shared" ca="1" si="534"/>
        <v>0</v>
      </c>
      <c r="BC950" s="286">
        <f t="shared" ca="1" si="535"/>
        <v>0</v>
      </c>
      <c r="BD950" s="180">
        <f t="shared" ca="1" si="536"/>
        <v>0.05</v>
      </c>
      <c r="BE950" s="180">
        <f t="shared" ca="1" si="537"/>
        <v>0.05</v>
      </c>
      <c r="BF950" s="286">
        <f t="shared" ca="1" si="538"/>
        <v>0</v>
      </c>
      <c r="BG950" s="286">
        <f t="shared" ca="1" si="539"/>
        <v>0</v>
      </c>
    </row>
    <row r="951" spans="1:59">
      <c r="A951" s="1">
        <f t="shared" ca="1" si="519"/>
        <v>79</v>
      </c>
      <c r="B951" s="1">
        <f t="shared" ca="1" si="512"/>
        <v>185</v>
      </c>
      <c r="C951" s="1">
        <f t="shared" ca="1" si="513"/>
        <v>5</v>
      </c>
      <c r="D951" s="1">
        <f ca="1">MIN($D$3,VLOOKUP(C951,OP!$S$30:$T$41,2))</f>
        <v>2</v>
      </c>
      <c r="E951" s="1" t="str">
        <f t="shared" ca="1" si="514"/>
        <v/>
      </c>
      <c r="F951" s="11" t="str">
        <f t="shared" ca="1" si="520"/>
        <v/>
      </c>
      <c r="G951" s="8">
        <f t="shared" ca="1" si="546"/>
        <v>366</v>
      </c>
      <c r="H951" s="8">
        <f t="shared" ca="1" si="521"/>
        <v>31</v>
      </c>
      <c r="I951" s="8" t="str">
        <f t="shared" ca="1" si="518"/>
        <v>795</v>
      </c>
      <c r="J951" s="13">
        <f>IF(繳費報酬率資料!$A$1=1,VALUE(OP!$C$121),VLOOKUP(A951,MP,2,0))</f>
        <v>0.05</v>
      </c>
      <c r="K951" s="14">
        <f ca="1">IF(SUM($K$4:K950,IF(繳費報酬率資料!$A$1=1,$AU951+$AV951,$BB951+$BC951))&gt;OP!$L$58,0,IF(繳費報酬率資料!$A$1=1,$AU951+$AV951,$BB951+$BC951))</f>
        <v>0</v>
      </c>
      <c r="L951" s="2">
        <f ca="1">ROUND(IF(OP!$C$78&lt;(IF(OR($T951="F",$E951&gt;=111),0,Z950+$K951-$O951+IF($C$1=1,OP!$C$78,IF($C952=$C$3,SUM(AC940:AC951,0)))))*5%,0,(OP!$C$78-((IF(OR($T951="F",$E951&gt;=111),0,Z950+$K951-$O951+IF($C$1=1,AC951,IF($C952=$C$3,SUM(AC940:AC951,0)))))*5%))*$Q951),0)</f>
        <v>0</v>
      </c>
      <c r="M951" s="2">
        <f ca="1">ROUND(IF(OP!$C$78&lt;(IF(OR($T951="F",$E951&gt;=111),0,AA950+$K951-$O951+IF($C$1=1,AD951,IF($C952=$C$3,SUM(AD940:AD951,0)))))*5%,0,(OP!$C$78-((IF(OR($T951="F",$E951&gt;=111),0,AA950+$K951-$O951+IF($C$1=1,AD951,IF($C952=$C$3,SUM(AD940:AD951,0)))))*5%))*$Q951),0)</f>
        <v>0</v>
      </c>
      <c r="N951" s="2">
        <f ca="1">ROUND(IF(OP!$C$78&lt;(IF(OR($T951="F",$E951&gt;=111),0,AB950+$K951-$O951+IF($C$1=1,AE951,IF($C952=$C$3,SUM(AE940:AE951,0)))))*5%,0,(OP!$C$78-((IF(OR($T951="F",$E951&gt;=111),0,AB950+$K951-$O951+IF($C$1=1,AE951,IF($C952=$C$3,SUM(AE940:AE951,0)))))*5%))*$Q951),0)</f>
        <v>0</v>
      </c>
      <c r="O951" s="261">
        <f t="shared" ca="1" si="522"/>
        <v>0</v>
      </c>
      <c r="P951" s="261">
        <f t="shared" ca="1" si="540"/>
        <v>0</v>
      </c>
      <c r="Q951" s="3">
        <f ca="1">IF(A951&gt;MAX(OP!$R$17:$R$26),0,VLOOKUP(A951,fees,3,FALSE))</f>
        <v>0</v>
      </c>
      <c r="R951" s="200" t="str">
        <f t="shared" ca="1" si="523"/>
        <v/>
      </c>
      <c r="S951" s="9" t="str">
        <f ca="1">IF(COUNTIF(($T$4:T950),"F")&gt;=1,"",IF(OR(C952&lt;&gt;$C$3,E951=""),"",A951))</f>
        <v/>
      </c>
      <c r="T951" s="20" t="str">
        <f t="shared" ca="1" si="515"/>
        <v/>
      </c>
      <c r="U951" s="2">
        <f ca="1">IF(IF(OP!$C$83=1,$Z950,IF(OP!$C$83=2,$AA950,IF(OP!$C$83=3,$AB950,)))+$K951-$O951-$P951-$AS951&lt;OP!$C$142,0,$AS951)</f>
        <v>0</v>
      </c>
      <c r="V951" s="19">
        <f ca="1">SUM(K940:K951)</f>
        <v>0</v>
      </c>
      <c r="W951" s="19">
        <f ca="1">MAX(SUM($K$4:K951),0)</f>
        <v>2000000</v>
      </c>
      <c r="X951" s="19">
        <f ca="1">SUM(O940:P951)</f>
        <v>0</v>
      </c>
      <c r="Y951" s="19">
        <f t="shared" ca="1" si="541"/>
        <v>1920000</v>
      </c>
      <c r="Z951" s="2">
        <f ca="1">IF(MIN($Z$4:Z950)=0,0,MAX(0,($Z950+$K951-$O951-$P951)*IF(AND(F951="F",$D$3&lt;&gt;$G$3),((1+(-J951))^(H951/MIN(G951,365))),((1+(-J951))^(1/12)))-$U951))</f>
        <v>33378.44086234417</v>
      </c>
      <c r="AA951" s="2">
        <f ca="1">IF(MIN($AA$4:AA950)=0,0,MAX(0,($AA950+$K951-$O951-$P951)*IF(AND(F951="F",$D$3&lt;&gt;$G$3),((1+$AA$1)^(H951/MIN(G951,365))),((1+$AA$1)^(1/12)))-$U951))</f>
        <v>1920000</v>
      </c>
      <c r="AB951" s="2">
        <f ca="1">IF(MIN($AB$4:AB950)=0,0,MAX(0,($AB950+$K951-$O951-$P951)*IF(AND(F951="F",$D$3&lt;&gt;$G$3),((1+(J951))^(H951/MIN(G951,365))),((1+(J951))^(1/12)))-$U951))</f>
        <v>90626635.093659043</v>
      </c>
      <c r="AC951" s="5"/>
      <c r="AD951" s="5"/>
      <c r="AE951" s="5"/>
      <c r="AF951" s="282">
        <f t="shared" ca="1" si="524"/>
        <v>33378</v>
      </c>
      <c r="AG951" s="282">
        <f t="shared" ca="1" si="525"/>
        <v>1920000</v>
      </c>
      <c r="AH951" s="282">
        <f t="shared" ca="1" si="526"/>
        <v>90626635</v>
      </c>
      <c r="AI951" s="23" t="str">
        <f t="shared" ca="1" si="543"/>
        <v>80-1</v>
      </c>
      <c r="AJ951" s="282">
        <f ca="1">IF(E951&gt;111,,IF(AND(OP!$C$99=1,T951="F"),Z951,IF(AND(OP!$C$99=2,COUNTIF($T$4:T951,"F")=1),OP!$C$97+IF(F951="F",OP!$C$98,0),"")))</f>
        <v>0</v>
      </c>
      <c r="AK951" s="282">
        <f ca="1">IF(E951&gt;111,,IF(AND(OP!$D$99=1,T951="F"),AA951,IF(AND(OP!$D$99=2,COUNTIF($T$4:T951,"F")=1),OP!$D$97+IF(F951="F",OP!$D$98,0),"")))</f>
        <v>0</v>
      </c>
      <c r="AL951" s="282">
        <f ca="1">IF(E951&gt;111,,IF(AND(OP!$E$99=1,T951="F"),AB951,IF(AND(OP!$E$99=2,COUNTIF($T$4:T951,"F")=1),OP!$E$97+IF(F951="F",OP!$E$98,0),"")))</f>
        <v>0</v>
      </c>
      <c r="AM951" s="1">
        <f t="shared" ca="1" si="516"/>
        <v>1</v>
      </c>
      <c r="AN951" s="1" t="e">
        <f ca="1">IF(OR(VLOOKUP($A951,MP,5,0)="月繳"),1,"")</f>
        <v>#N/A</v>
      </c>
      <c r="AO951" s="1">
        <f t="shared" ca="1" si="527"/>
        <v>0</v>
      </c>
      <c r="AP951" s="1" t="str">
        <f ca="1">IF(AND(A951&lt;=OP!$C$120,COUNTIF(PAY,C951)=1),1,"")</f>
        <v/>
      </c>
      <c r="AR951" s="301">
        <f ca="1">IF(繳費報酬率資料!$A$1=1,$AY951+$AZ951,$BF951+$BG951)</f>
        <v>0</v>
      </c>
      <c r="AS951" s="1">
        <f ca="1">IF(C951&lt;&gt;IF($C$3=1,12,$C$3-1),0,IF(繳費報酬率資料!$A$1&lt;&gt;1,VLOOKUP($A951,MP,8,0),IF(AND($A951&gt;=OP!$C$79,$A951&lt;=OP!$C$80),OP!$C$78,)))</f>
        <v>0</v>
      </c>
      <c r="AT951" s="298">
        <f t="shared" ca="1" si="528"/>
        <v>0</v>
      </c>
      <c r="AU951" s="298">
        <f ca="1">IF(AND(A951&lt;=OP!$C$120,COUNTIF(PAY,C951)=1),OP!$C$123,0)</f>
        <v>0</v>
      </c>
      <c r="AV951" s="298">
        <f ca="1">IF(AND(A951&gt;=OP!$C$132,A951&lt;=OP!$C$133,$C$3=C951),OP!$C$135,0)</f>
        <v>0</v>
      </c>
      <c r="AW951" s="180">
        <f t="shared" ca="1" si="529"/>
        <v>0.05</v>
      </c>
      <c r="AX951" s="180">
        <f t="shared" ca="1" si="530"/>
        <v>0.05</v>
      </c>
      <c r="AY951" s="286">
        <f t="shared" ca="1" si="531"/>
        <v>0</v>
      </c>
      <c r="AZ951" s="286">
        <f t="shared" ca="1" si="532"/>
        <v>0</v>
      </c>
      <c r="BA951" s="286">
        <f t="shared" ca="1" si="533"/>
        <v>0</v>
      </c>
      <c r="BB951" s="286">
        <f t="shared" ca="1" si="534"/>
        <v>0</v>
      </c>
      <c r="BC951" s="286">
        <f t="shared" ca="1" si="535"/>
        <v>0</v>
      </c>
      <c r="BD951" s="180">
        <f t="shared" ca="1" si="536"/>
        <v>0.05</v>
      </c>
      <c r="BE951" s="180">
        <f t="shared" ca="1" si="537"/>
        <v>0.05</v>
      </c>
      <c r="BF951" s="286">
        <f t="shared" ca="1" si="538"/>
        <v>0</v>
      </c>
      <c r="BG951" s="286">
        <f t="shared" ca="1" si="539"/>
        <v>0</v>
      </c>
    </row>
    <row r="952" spans="1:59">
      <c r="A952" s="1">
        <f t="shared" ca="1" si="519"/>
        <v>80</v>
      </c>
      <c r="B952" s="1">
        <f t="shared" ca="1" si="512"/>
        <v>185</v>
      </c>
      <c r="C952" s="1">
        <f t="shared" ca="1" si="513"/>
        <v>6</v>
      </c>
      <c r="D952" s="1">
        <f ca="1">MIN($D$3,VLOOKUP(C952,OP!$S$30:$T$41,2))</f>
        <v>2</v>
      </c>
      <c r="E952" s="1" t="str">
        <f t="shared" ca="1" si="514"/>
        <v/>
      </c>
      <c r="F952" s="11" t="str">
        <f t="shared" ca="1" si="520"/>
        <v/>
      </c>
      <c r="G952" s="6">
        <f ca="1">DATEDIF(DATE(B952+1911,C952,D952),DATE(B964+1911,C964,D964),"d")</f>
        <v>365</v>
      </c>
      <c r="H952" s="8">
        <f t="shared" ca="1" si="521"/>
        <v>30</v>
      </c>
      <c r="I952" s="8" t="str">
        <f t="shared" ca="1" si="518"/>
        <v>806</v>
      </c>
      <c r="J952" s="13">
        <f>IF(繳費報酬率資料!$A$1=1,VALUE(OP!$C$121),VLOOKUP(A952,MP,2,0))</f>
        <v>0.05</v>
      </c>
      <c r="K952" s="14">
        <f ca="1">IF(SUM($K$4:K951,IF(繳費報酬率資料!$A$1=1,$AU952+$AV952,$BB952+$BC952))&gt;OP!$L$58,0,IF(繳費報酬率資料!$A$1=1,$AU952+$AV952,$BB952+$BC952))</f>
        <v>0</v>
      </c>
      <c r="L952" s="2"/>
      <c r="M952" s="2"/>
      <c r="N952" s="2"/>
      <c r="O952" s="261">
        <f t="shared" ca="1" si="522"/>
        <v>0</v>
      </c>
      <c r="P952" s="261">
        <f t="shared" ca="1" si="540"/>
        <v>0</v>
      </c>
      <c r="Q952" s="3">
        <f ca="1">IF(A952&gt;MAX(OP!$R$17:$R$26),0,VLOOKUP(A952,fees,3,FALSE))</f>
        <v>0</v>
      </c>
      <c r="R952" s="200" t="str">
        <f t="shared" ca="1" si="523"/>
        <v/>
      </c>
      <c r="S952" s="9" t="str">
        <f ca="1">IF(COUNTIF(($T$4:T951),"F")&gt;=1,"",IF(OR(C953&lt;&gt;$C$3,E952=""),"",A952))</f>
        <v/>
      </c>
      <c r="T952" s="20" t="str">
        <f t="shared" ca="1" si="515"/>
        <v/>
      </c>
      <c r="U952" s="2">
        <f ca="1">IF(IF(OP!$C$83=1,$Z951,IF(OP!$C$83=2,$AA951,IF(OP!$C$83=3,$AB951,)))+$K952-$O952-$P952-$AS952&lt;OP!$C$142,0,$AS952)</f>
        <v>0</v>
      </c>
      <c r="V952" s="9"/>
      <c r="W952" s="19">
        <f ca="1">MAX(SUM($K$4:K952),0)</f>
        <v>2000000</v>
      </c>
      <c r="X952" s="19"/>
      <c r="Y952" s="19">
        <f t="shared" ca="1" si="541"/>
        <v>1920000</v>
      </c>
      <c r="Z952" s="2">
        <f ca="1">IF(MIN($Z$4:Z951)=0,0,MAX(0,($Z951+$K952-$O952-$P952)*IF(AND(F952="F",$D$3&lt;&gt;$G$3),((1+(-J952))^(H952/MIN(G952,365))),((1+(-J952))^(1/12)))-$U952))</f>
        <v>33236.071171768315</v>
      </c>
      <c r="AA952" s="2">
        <f ca="1">IF(MIN($AA$4:AA951)=0,0,MAX(0,($AA951+$K952-$O952-$P952)*IF(AND(F952="F",$D$3&lt;&gt;$G$3),((1+$AA$1)^(H952/MIN(G952,365))),((1+$AA$1)^(1/12)))-$U952))</f>
        <v>1920000</v>
      </c>
      <c r="AB952" s="2">
        <f ca="1">IF(MIN($AB$4:AB951)=0,0,MAX(0,($AB951+$K952-$O952-$P952)*IF(AND(F952="F",$D$3&lt;&gt;$G$3),((1+(J952))^(H952/MIN(G952,365))),((1+(J952))^(1/12)))-$U952))</f>
        <v>90995859.223126143</v>
      </c>
      <c r="AC952" s="21"/>
      <c r="AD952" s="21"/>
      <c r="AE952" s="21"/>
      <c r="AF952" s="282">
        <f t="shared" ca="1" si="524"/>
        <v>33236</v>
      </c>
      <c r="AG952" s="282">
        <f t="shared" ca="1" si="525"/>
        <v>1920000</v>
      </c>
      <c r="AH952" s="282">
        <f t="shared" ca="1" si="526"/>
        <v>90995859</v>
      </c>
      <c r="AI952" s="23" t="str">
        <f t="shared" ca="1" si="543"/>
        <v>80-2</v>
      </c>
      <c r="AJ952" s="281">
        <f ca="1">IF(E952&gt;111,,IF(AND(OP!$C$99=1,T952="F"),Z952,IF(AND(OP!$C$99=2,COUNTIF($T$4:T952,"F")=1),OP!$C$97+IF(F952="F",OP!$C$98,0),"")))</f>
        <v>0</v>
      </c>
      <c r="AK952" s="281">
        <f ca="1">IF(E952&gt;111,,IF(AND(OP!$D$99=1,T952="F"),AA952,IF(AND(OP!$D$99=2,COUNTIF($T$4:T952,"F")=1),OP!$D$97+IF(F952="F",OP!$D$98,0),"")))</f>
        <v>0</v>
      </c>
      <c r="AL952" s="281">
        <f ca="1">IF(E952&gt;111,,IF(AND(OP!$E$99=1,T952="F"),AB952,IF(AND(OP!$E$99=2,COUNTIF($T$4:T952,"F")=1),OP!$E$97+IF(F952="F",OP!$E$98,0),"")))</f>
        <v>0</v>
      </c>
      <c r="AM952" s="1">
        <f t="shared" ca="1" si="516"/>
        <v>2</v>
      </c>
      <c r="AN952" s="1" t="e">
        <f ca="1">IF(OR(VLOOKUP($A952,MP,5,0)="年繳",VLOOKUP($A952,MP,5,0)="半年繳",VLOOKUP($A952,MP,5,0)="季繳",VLOOKUP($A952,MP,5,0)="月繳"),1,"")</f>
        <v>#N/A</v>
      </c>
      <c r="AO952" s="1">
        <f t="shared" ca="1" si="527"/>
        <v>0</v>
      </c>
      <c r="AP952" s="1" t="str">
        <f ca="1">IF(AND(A952&lt;=OP!$C$120,COUNTIF(PAY,C952)=1),1,"")</f>
        <v/>
      </c>
      <c r="AR952" s="301">
        <f ca="1">IF(繳費報酬率資料!$A$1=1,$AY952+$AZ952,$BF952+$BG952)</f>
        <v>0</v>
      </c>
      <c r="AS952" s="1">
        <f ca="1">IF(C952&lt;&gt;IF($C$3=1,12,$C$3-1),0,IF(繳費報酬率資料!$A$1&lt;&gt;1,VLOOKUP($A952,MP,8,0),IF(AND($A952&gt;=OP!$C$79,$A952&lt;=OP!$C$80),OP!$C$78,)))</f>
        <v>0</v>
      </c>
      <c r="AT952" s="298">
        <f t="shared" ca="1" si="528"/>
        <v>0</v>
      </c>
      <c r="AU952" s="298">
        <f ca="1">IF(AND(A952&lt;=OP!$C$120,COUNTIF(PAY,C952)=1),OP!$C$123,0)</f>
        <v>0</v>
      </c>
      <c r="AV952" s="298">
        <f ca="1">IF(AND(A952&gt;=OP!$C$132,A952&lt;=OP!$C$133,$C$3=C952),OP!$C$135,0)</f>
        <v>0</v>
      </c>
      <c r="AW952" s="180">
        <f t="shared" ca="1" si="529"/>
        <v>0.05</v>
      </c>
      <c r="AX952" s="180">
        <f t="shared" ca="1" si="530"/>
        <v>0.05</v>
      </c>
      <c r="AY952" s="286">
        <f t="shared" ca="1" si="531"/>
        <v>0</v>
      </c>
      <c r="AZ952" s="286">
        <f t="shared" ca="1" si="532"/>
        <v>0</v>
      </c>
      <c r="BA952" s="286">
        <f t="shared" ca="1" si="533"/>
        <v>0</v>
      </c>
      <c r="BB952" s="286">
        <f t="shared" ca="1" si="534"/>
        <v>0</v>
      </c>
      <c r="BC952" s="286">
        <f t="shared" ca="1" si="535"/>
        <v>0</v>
      </c>
      <c r="BD952" s="180">
        <f t="shared" ca="1" si="536"/>
        <v>0.05</v>
      </c>
      <c r="BE952" s="180">
        <f t="shared" ca="1" si="537"/>
        <v>0.05</v>
      </c>
      <c r="BF952" s="286">
        <f t="shared" ca="1" si="538"/>
        <v>0</v>
      </c>
      <c r="BG952" s="286">
        <f t="shared" ca="1" si="539"/>
        <v>0</v>
      </c>
    </row>
    <row r="953" spans="1:59">
      <c r="A953" s="1">
        <f t="shared" ca="1" si="519"/>
        <v>80</v>
      </c>
      <c r="B953" s="1">
        <f t="shared" ca="1" si="512"/>
        <v>185</v>
      </c>
      <c r="C953" s="1">
        <f t="shared" ca="1" si="513"/>
        <v>7</v>
      </c>
      <c r="D953" s="1">
        <f ca="1">MIN($D$3,VLOOKUP(C953,OP!$S$30:$T$41,2))</f>
        <v>2</v>
      </c>
      <c r="E953" s="1" t="str">
        <f t="shared" ca="1" si="514"/>
        <v/>
      </c>
      <c r="F953" s="11" t="str">
        <f t="shared" ca="1" si="520"/>
        <v/>
      </c>
      <c r="G953" s="8">
        <f t="shared" ref="G953:G963" ca="1" si="547">G952</f>
        <v>365</v>
      </c>
      <c r="H953" s="8">
        <f t="shared" ca="1" si="521"/>
        <v>31</v>
      </c>
      <c r="I953" s="8" t="str">
        <f t="shared" ca="1" si="518"/>
        <v>807</v>
      </c>
      <c r="J953" s="13">
        <f>IF(繳費報酬率資料!$A$1=1,VALUE(OP!$C$121),VLOOKUP(A953,MP,2,0))</f>
        <v>0.05</v>
      </c>
      <c r="K953" s="14">
        <f ca="1">IF(SUM($K$4:K952,IF(繳費報酬率資料!$A$1=1,$AU953+$AV953,$BB953+$BC953))&gt;OP!$L$58,0,IF(繳費報酬率資料!$A$1=1,$AU953+$AV953,$BB953+$BC953))</f>
        <v>0</v>
      </c>
      <c r="L953" s="2"/>
      <c r="M953" s="2"/>
      <c r="N953" s="2"/>
      <c r="O953" s="261">
        <f t="shared" ca="1" si="522"/>
        <v>0</v>
      </c>
      <c r="P953" s="261">
        <f t="shared" ca="1" si="540"/>
        <v>0</v>
      </c>
      <c r="Q953" s="3">
        <f ca="1">IF(A953&gt;MAX(OP!$R$17:$R$26),0,VLOOKUP(A953,fees,3,FALSE))</f>
        <v>0</v>
      </c>
      <c r="R953" s="200" t="str">
        <f t="shared" ca="1" si="523"/>
        <v/>
      </c>
      <c r="S953" s="9" t="str">
        <f ca="1">IF(COUNTIF(($T$4:T952),"F")&gt;=1,"",IF(OR(C954&lt;&gt;$C$3,E953=""),"",A953))</f>
        <v/>
      </c>
      <c r="T953" s="20" t="str">
        <f t="shared" ca="1" si="515"/>
        <v/>
      </c>
      <c r="U953" s="2">
        <f ca="1">IF(IF(OP!$C$83=1,$Z952,IF(OP!$C$83=2,$AA952,IF(OP!$C$83=3,$AB952,)))+$K953-$O953-$P953-$AS953&lt;OP!$C$142,0,$AS953)</f>
        <v>0</v>
      </c>
      <c r="V953" s="9"/>
      <c r="W953" s="19">
        <f ca="1">MAX(SUM($K$4:K953),0)</f>
        <v>2000000</v>
      </c>
      <c r="X953" s="19"/>
      <c r="Y953" s="19">
        <f t="shared" ca="1" si="541"/>
        <v>1920000</v>
      </c>
      <c r="Z953" s="2">
        <f ca="1">IF(MIN($Z$4:Z952)=0,0,MAX(0,($Z952+$K953-$O953-$P953)*IF(AND(F953="F",$D$3&lt;&gt;$G$3),((1+(-J953))^(H953/MIN(G953,365))),((1+(-J953))^(1/12)))-$U953))</f>
        <v>33094.308733307029</v>
      </c>
      <c r="AA953" s="2">
        <f ca="1">IF(MIN($AA$4:AA952)=0,0,MAX(0,($AA952+$K953-$O953-$P953)*IF(AND(F953="F",$D$3&lt;&gt;$G$3),((1+$AA$1)^(H953/MIN(G953,365))),((1+$AA$1)^(1/12)))-$U953))</f>
        <v>1920000</v>
      </c>
      <c r="AB953" s="2">
        <f ca="1">IF(MIN($AB$4:AB952)=0,0,MAX(0,($AB952+$K953-$O953-$P953)*IF(AND(F953="F",$D$3&lt;&gt;$G$3),((1+(J953))^(H953/MIN(G953,365))),((1+(J953))^(1/12)))-$U953))</f>
        <v>91366587.617400602</v>
      </c>
      <c r="AC953" s="5"/>
      <c r="AD953" s="5"/>
      <c r="AE953" s="5"/>
      <c r="AF953" s="282">
        <f t="shared" ca="1" si="524"/>
        <v>33094</v>
      </c>
      <c r="AG953" s="282">
        <f t="shared" ca="1" si="525"/>
        <v>1920000</v>
      </c>
      <c r="AH953" s="282">
        <f t="shared" ca="1" si="526"/>
        <v>91366588</v>
      </c>
      <c r="AI953" s="23" t="str">
        <f t="shared" ca="1" si="543"/>
        <v>80-3</v>
      </c>
      <c r="AJ953" s="282">
        <f ca="1">IF(E953&gt;111,,IF(AND(OP!$C$99=1,T953="F"),Z953,IF(AND(OP!$C$99=2,COUNTIF($T$4:T953,"F")=1),OP!$C$97+IF(F953="F",OP!$C$98,0),"")))</f>
        <v>0</v>
      </c>
      <c r="AK953" s="282">
        <f ca="1">IF(E953&gt;111,,IF(AND(OP!$D$99=1,T953="F"),AA953,IF(AND(OP!$D$99=2,COUNTIF($T$4:T953,"F")=1),OP!$D$97+IF(F953="F",OP!$D$98,0),"")))</f>
        <v>0</v>
      </c>
      <c r="AL953" s="282">
        <f ca="1">IF(E953&gt;111,,IF(AND(OP!$E$99=1,T953="F"),AB953,IF(AND(OP!$E$99=2,COUNTIF($T$4:T953,"F")=1),OP!$E$97+IF(F953="F",OP!$E$98,0),"")))</f>
        <v>0</v>
      </c>
      <c r="AM953" s="1">
        <f t="shared" ca="1" si="516"/>
        <v>3</v>
      </c>
      <c r="AN953" s="1" t="e">
        <f ca="1">IF(OR(VLOOKUP($A953,MP,5,0)="月繳"),1,"")</f>
        <v>#N/A</v>
      </c>
      <c r="AO953" s="1">
        <f t="shared" ca="1" si="527"/>
        <v>0</v>
      </c>
      <c r="AP953" s="1" t="str">
        <f ca="1">IF(AND(A953&lt;=OP!$C$120,COUNTIF(PAY,C953)=1),1,"")</f>
        <v/>
      </c>
      <c r="AR953" s="301">
        <f ca="1">IF(繳費報酬率資料!$A$1=1,$AY953+$AZ953,$BF953+$BG953)</f>
        <v>0</v>
      </c>
      <c r="AS953" s="1">
        <f ca="1">IF(C953&lt;&gt;IF($C$3=1,12,$C$3-1),0,IF(繳費報酬率資料!$A$1&lt;&gt;1,VLOOKUP($A953,MP,8,0),IF(AND($A953&gt;=OP!$C$79,$A953&lt;=OP!$C$80),OP!$C$78,)))</f>
        <v>0</v>
      </c>
      <c r="AT953" s="298">
        <f t="shared" ca="1" si="528"/>
        <v>0</v>
      </c>
      <c r="AU953" s="298">
        <f ca="1">IF(AND(A953&lt;=OP!$C$120,COUNTIF(PAY,C953)=1),OP!$C$123,0)</f>
        <v>0</v>
      </c>
      <c r="AV953" s="298">
        <f ca="1">IF(AND(A953&gt;=OP!$C$132,A953&lt;=OP!$C$133,$C$3=C953),OP!$C$135,0)</f>
        <v>0</v>
      </c>
      <c r="AW953" s="180">
        <f t="shared" ca="1" si="529"/>
        <v>0.05</v>
      </c>
      <c r="AX953" s="180">
        <f t="shared" ca="1" si="530"/>
        <v>0.05</v>
      </c>
      <c r="AY953" s="286">
        <f t="shared" ca="1" si="531"/>
        <v>0</v>
      </c>
      <c r="AZ953" s="286">
        <f t="shared" ca="1" si="532"/>
        <v>0</v>
      </c>
      <c r="BA953" s="286">
        <f t="shared" ca="1" si="533"/>
        <v>0</v>
      </c>
      <c r="BB953" s="286">
        <f t="shared" ca="1" si="534"/>
        <v>0</v>
      </c>
      <c r="BC953" s="286">
        <f t="shared" ca="1" si="535"/>
        <v>0</v>
      </c>
      <c r="BD953" s="180">
        <f t="shared" ca="1" si="536"/>
        <v>0.05</v>
      </c>
      <c r="BE953" s="180">
        <f t="shared" ca="1" si="537"/>
        <v>0.05</v>
      </c>
      <c r="BF953" s="286">
        <f t="shared" ca="1" si="538"/>
        <v>0</v>
      </c>
      <c r="BG953" s="286">
        <f t="shared" ca="1" si="539"/>
        <v>0</v>
      </c>
    </row>
    <row r="954" spans="1:59">
      <c r="A954" s="1">
        <f t="shared" ca="1" si="519"/>
        <v>80</v>
      </c>
      <c r="B954" s="1">
        <f t="shared" ca="1" si="512"/>
        <v>185</v>
      </c>
      <c r="C954" s="1">
        <f t="shared" ca="1" si="513"/>
        <v>8</v>
      </c>
      <c r="D954" s="1">
        <f ca="1">MIN($D$3,VLOOKUP(C954,OP!$S$30:$T$41,2))</f>
        <v>2</v>
      </c>
      <c r="E954" s="1" t="str">
        <f t="shared" ca="1" si="514"/>
        <v/>
      </c>
      <c r="F954" s="11" t="str">
        <f t="shared" ca="1" si="520"/>
        <v/>
      </c>
      <c r="G954" s="8">
        <f t="shared" ca="1" si="547"/>
        <v>365</v>
      </c>
      <c r="H954" s="8">
        <f t="shared" ca="1" si="521"/>
        <v>31</v>
      </c>
      <c r="I954" s="8" t="str">
        <f t="shared" ca="1" si="518"/>
        <v>808</v>
      </c>
      <c r="J954" s="13">
        <f>IF(繳費報酬率資料!$A$1=1,VALUE(OP!$C$121),VLOOKUP(A954,MP,2,0))</f>
        <v>0.05</v>
      </c>
      <c r="K954" s="14">
        <f ca="1">IF(SUM($K$4:K953,IF(繳費報酬率資料!$A$1=1,$AU954+$AV954,$BB954+$BC954))&gt;OP!$L$58,0,IF(繳費報酬率資料!$A$1=1,$AU954+$AV954,$BB954+$BC954))</f>
        <v>0</v>
      </c>
      <c r="L954" s="2"/>
      <c r="M954" s="2"/>
      <c r="N954" s="2"/>
      <c r="O954" s="261">
        <f t="shared" ca="1" si="522"/>
        <v>0</v>
      </c>
      <c r="P954" s="261">
        <f t="shared" ca="1" si="540"/>
        <v>0</v>
      </c>
      <c r="Q954" s="3">
        <f ca="1">IF(A954&gt;MAX(OP!$R$17:$R$26),0,VLOOKUP(A954,fees,3,FALSE))</f>
        <v>0</v>
      </c>
      <c r="R954" s="200" t="str">
        <f t="shared" ca="1" si="523"/>
        <v/>
      </c>
      <c r="S954" s="9" t="str">
        <f ca="1">IF(COUNTIF(($T$4:T953),"F")&gt;=1,"",IF(OR(C955&lt;&gt;$C$3,E954=""),"",A954))</f>
        <v/>
      </c>
      <c r="T954" s="20" t="str">
        <f t="shared" ca="1" si="515"/>
        <v/>
      </c>
      <c r="U954" s="2">
        <f ca="1">IF(IF(OP!$C$83=1,$Z953,IF(OP!$C$83=2,$AA953,IF(OP!$C$83=3,$AB953,)))+$K954-$O954-$P954-$AS954&lt;OP!$C$142,0,$AS954)</f>
        <v>0</v>
      </c>
      <c r="V954" s="9"/>
      <c r="W954" s="19">
        <f ca="1">MAX(SUM($K$4:K954),0)</f>
        <v>2000000</v>
      </c>
      <c r="X954" s="19"/>
      <c r="Y954" s="19">
        <f t="shared" ca="1" si="541"/>
        <v>1920000</v>
      </c>
      <c r="Z954" s="2">
        <f ca="1">IF(MIN($Z$4:Z953)=0,0,MAX(0,($Z953+$K954-$O954-$P954)*IF(AND(F954="F",$D$3&lt;&gt;$G$3),((1+(-J954))^(H954/MIN(G954,365))),((1+(-J954))^(1/12)))-$U954))</f>
        <v>32953.150956836464</v>
      </c>
      <c r="AA954" s="2">
        <f ca="1">IF(MIN($AA$4:AA953)=0,0,MAX(0,($AA953+$K954-$O954-$P954)*IF(AND(F954="F",$D$3&lt;&gt;$G$3),((1+$AA$1)^(H954/MIN(G954,365))),((1+$AA$1)^(1/12)))-$U954))</f>
        <v>1920000</v>
      </c>
      <c r="AB954" s="2">
        <f ca="1">IF(MIN($AB$4:AB953)=0,0,MAX(0,($AB953+$K954-$O954-$P954)*IF(AND(F954="F",$D$3&lt;&gt;$G$3),((1+(J954))^(H954/MIN(G954,365))),((1+(J954))^(1/12)))-$U954))</f>
        <v>91738826.405043438</v>
      </c>
      <c r="AC954" s="5"/>
      <c r="AD954" s="5"/>
      <c r="AE954" s="5"/>
      <c r="AF954" s="282">
        <f t="shared" ca="1" si="524"/>
        <v>32953</v>
      </c>
      <c r="AG954" s="282">
        <f t="shared" ca="1" si="525"/>
        <v>1920000</v>
      </c>
      <c r="AH954" s="282">
        <f t="shared" ca="1" si="526"/>
        <v>91738826</v>
      </c>
      <c r="AI954" s="23" t="str">
        <f t="shared" ca="1" si="543"/>
        <v>80-4</v>
      </c>
      <c r="AJ954" s="282">
        <f ca="1">IF(E954&gt;111,,IF(AND(OP!$C$99=1,T954="F"),Z954,IF(AND(OP!$C$99=2,COUNTIF($T$4:T954,"F")=1),OP!$C$97+IF(F954="F",OP!$C$98,0),"")))</f>
        <v>0</v>
      </c>
      <c r="AK954" s="282">
        <f ca="1">IF(E954&gt;111,,IF(AND(OP!$D$99=1,T954="F"),AA954,IF(AND(OP!$D$99=2,COUNTIF($T$4:T954,"F")=1),OP!$D$97+IF(F954="F",OP!$D$98,0),"")))</f>
        <v>0</v>
      </c>
      <c r="AL954" s="282">
        <f ca="1">IF(E954&gt;111,,IF(AND(OP!$E$99=1,T954="F"),AB954,IF(AND(OP!$E$99=2,COUNTIF($T$4:T954,"F")=1),OP!$E$97+IF(F954="F",OP!$E$98,0),"")))</f>
        <v>0</v>
      </c>
      <c r="AM954" s="1">
        <f t="shared" ca="1" si="516"/>
        <v>4</v>
      </c>
      <c r="AN954" s="1" t="e">
        <f ca="1">IF(OR(VLOOKUP($A954,MP,5,0)="月繳"),1,"")</f>
        <v>#N/A</v>
      </c>
      <c r="AO954" s="1">
        <f t="shared" ca="1" si="527"/>
        <v>0</v>
      </c>
      <c r="AP954" s="1" t="str">
        <f ca="1">IF(AND(A954&lt;=OP!$C$120,COUNTIF(PAY,C954)=1),1,"")</f>
        <v/>
      </c>
      <c r="AR954" s="301">
        <f ca="1">IF(繳費報酬率資料!$A$1=1,$AY954+$AZ954,$BF954+$BG954)</f>
        <v>0</v>
      </c>
      <c r="AS954" s="1">
        <f ca="1">IF(C954&lt;&gt;IF($C$3=1,12,$C$3-1),0,IF(繳費報酬率資料!$A$1&lt;&gt;1,VLOOKUP($A954,MP,8,0),IF(AND($A954&gt;=OP!$C$79,$A954&lt;=OP!$C$80),OP!$C$78,)))</f>
        <v>0</v>
      </c>
      <c r="AT954" s="298">
        <f t="shared" ca="1" si="528"/>
        <v>0</v>
      </c>
      <c r="AU954" s="298">
        <f ca="1">IF(AND(A954&lt;=OP!$C$120,COUNTIF(PAY,C954)=1),OP!$C$123,0)</f>
        <v>0</v>
      </c>
      <c r="AV954" s="298">
        <f ca="1">IF(AND(A954&gt;=OP!$C$132,A954&lt;=OP!$C$133,$C$3=C954),OP!$C$135,0)</f>
        <v>0</v>
      </c>
      <c r="AW954" s="180">
        <f t="shared" ca="1" si="529"/>
        <v>0.05</v>
      </c>
      <c r="AX954" s="180">
        <f t="shared" ca="1" si="530"/>
        <v>0.05</v>
      </c>
      <c r="AY954" s="286">
        <f t="shared" ca="1" si="531"/>
        <v>0</v>
      </c>
      <c r="AZ954" s="286">
        <f t="shared" ca="1" si="532"/>
        <v>0</v>
      </c>
      <c r="BA954" s="286">
        <f t="shared" ca="1" si="533"/>
        <v>0</v>
      </c>
      <c r="BB954" s="286">
        <f t="shared" ca="1" si="534"/>
        <v>0</v>
      </c>
      <c r="BC954" s="286">
        <f t="shared" ca="1" si="535"/>
        <v>0</v>
      </c>
      <c r="BD954" s="180">
        <f t="shared" ca="1" si="536"/>
        <v>0.05</v>
      </c>
      <c r="BE954" s="180">
        <f t="shared" ca="1" si="537"/>
        <v>0.05</v>
      </c>
      <c r="BF954" s="286">
        <f t="shared" ca="1" si="538"/>
        <v>0</v>
      </c>
      <c r="BG954" s="286">
        <f t="shared" ca="1" si="539"/>
        <v>0</v>
      </c>
    </row>
    <row r="955" spans="1:59">
      <c r="A955" s="1">
        <f t="shared" ca="1" si="519"/>
        <v>80</v>
      </c>
      <c r="B955" s="1">
        <f t="shared" ca="1" si="512"/>
        <v>185</v>
      </c>
      <c r="C955" s="1">
        <f t="shared" ca="1" si="513"/>
        <v>9</v>
      </c>
      <c r="D955" s="1">
        <f ca="1">MIN($D$3,VLOOKUP(C955,OP!$S$30:$T$41,2))</f>
        <v>2</v>
      </c>
      <c r="E955" s="1" t="str">
        <f t="shared" ca="1" si="514"/>
        <v/>
      </c>
      <c r="F955" s="11" t="str">
        <f t="shared" ca="1" si="520"/>
        <v/>
      </c>
      <c r="G955" s="8">
        <f t="shared" ca="1" si="547"/>
        <v>365</v>
      </c>
      <c r="H955" s="8">
        <f t="shared" ca="1" si="521"/>
        <v>30</v>
      </c>
      <c r="I955" s="8" t="str">
        <f t="shared" ca="1" si="518"/>
        <v>809</v>
      </c>
      <c r="J955" s="13">
        <f>IF(繳費報酬率資料!$A$1=1,VALUE(OP!$C$121),VLOOKUP(A955,MP,2,0))</f>
        <v>0.05</v>
      </c>
      <c r="K955" s="14">
        <f ca="1">IF(SUM($K$4:K954,IF(繳費報酬率資料!$A$1=1,$AU955+$AV955,$BB955+$BC955))&gt;OP!$L$58,0,IF(繳費報酬率資料!$A$1=1,$AU955+$AV955,$BB955+$BC955))</f>
        <v>0</v>
      </c>
      <c r="L955" s="2"/>
      <c r="M955" s="2"/>
      <c r="N955" s="2"/>
      <c r="O955" s="261">
        <f t="shared" ca="1" si="522"/>
        <v>0</v>
      </c>
      <c r="P955" s="261">
        <f t="shared" ca="1" si="540"/>
        <v>0</v>
      </c>
      <c r="Q955" s="3">
        <f ca="1">IF(A955&gt;MAX(OP!$R$17:$R$26),0,VLOOKUP(A955,fees,3,FALSE))</f>
        <v>0</v>
      </c>
      <c r="R955" s="200" t="str">
        <f t="shared" ca="1" si="523"/>
        <v/>
      </c>
      <c r="S955" s="9" t="str">
        <f ca="1">IF(COUNTIF(($T$4:T954),"F")&gt;=1,"",IF(OR(C956&lt;&gt;$C$3,E955=""),"",A955))</f>
        <v/>
      </c>
      <c r="T955" s="20" t="str">
        <f t="shared" ca="1" si="515"/>
        <v/>
      </c>
      <c r="U955" s="2">
        <f ca="1">IF(IF(OP!$C$83=1,$Z954,IF(OP!$C$83=2,$AA954,IF(OP!$C$83=3,$AB954,)))+$K955-$O955-$P955-$AS955&lt;OP!$C$142,0,$AS955)</f>
        <v>0</v>
      </c>
      <c r="V955" s="9"/>
      <c r="W955" s="19">
        <f ca="1">MAX(SUM($K$4:K955),0)</f>
        <v>2000000</v>
      </c>
      <c r="X955" s="19"/>
      <c r="Y955" s="19">
        <f t="shared" ca="1" si="541"/>
        <v>1920000</v>
      </c>
      <c r="Z955" s="2">
        <f ca="1">IF(MIN($Z$4:Z954)=0,0,MAX(0,($Z954+$K955-$O955-$P955)*IF(AND(F955="F",$D$3&lt;&gt;$G$3),((1+(-J955))^(H955/MIN(G955,365))),((1+(-J955))^(1/12)))-$U955))</f>
        <v>32812.595263280477</v>
      </c>
      <c r="AA955" s="2">
        <f ca="1">IF(MIN($AA$4:AA954)=0,0,MAX(0,($AA954+$K955-$O955-$P955)*IF(AND(F955="F",$D$3&lt;&gt;$G$3),((1+$AA$1)^(H955/MIN(G955,365))),((1+$AA$1)^(1/12)))-$U955))</f>
        <v>1920000</v>
      </c>
      <c r="AB955" s="2">
        <f ca="1">IF(MIN($AB$4:AB954)=0,0,MAX(0,($AB954+$K955-$O955-$P955)*IF(AND(F955="F",$D$3&lt;&gt;$G$3),((1+(J955))^(H955/MIN(G955,365))),((1+(J955))^(1/12)))-$U955))</f>
        <v>92112581.739584208</v>
      </c>
      <c r="AC955" s="5"/>
      <c r="AD955" s="5"/>
      <c r="AE955" s="5"/>
      <c r="AF955" s="282">
        <f t="shared" ca="1" si="524"/>
        <v>32813</v>
      </c>
      <c r="AG955" s="282">
        <f t="shared" ca="1" si="525"/>
        <v>1920000</v>
      </c>
      <c r="AH955" s="282">
        <f t="shared" ca="1" si="526"/>
        <v>92112582</v>
      </c>
      <c r="AI955" s="23" t="str">
        <f t="shared" ca="1" si="543"/>
        <v>80-5</v>
      </c>
      <c r="AJ955" s="282">
        <f ca="1">IF(E955&gt;111,,IF(AND(OP!$C$99=1,T955="F"),Z955,IF(AND(OP!$C$99=2,COUNTIF($T$4:T955,"F")=1),OP!$C$97+IF(F955="F",OP!$C$98,0),"")))</f>
        <v>0</v>
      </c>
      <c r="AK955" s="282">
        <f ca="1">IF(E955&gt;111,,IF(AND(OP!$D$99=1,T955="F"),AA955,IF(AND(OP!$D$99=2,COUNTIF($T$4:T955,"F")=1),OP!$D$97+IF(F955="F",OP!$D$98,0),"")))</f>
        <v>0</v>
      </c>
      <c r="AL955" s="282">
        <f ca="1">IF(E955&gt;111,,IF(AND(OP!$E$99=1,T955="F"),AB955,IF(AND(OP!$E$99=2,COUNTIF($T$4:T955,"F")=1),OP!$E$97+IF(F955="F",OP!$E$98,0),"")))</f>
        <v>0</v>
      </c>
      <c r="AM955" s="1">
        <f t="shared" ca="1" si="516"/>
        <v>5</v>
      </c>
      <c r="AN955" s="1" t="e">
        <f ca="1">IF(OR(VLOOKUP($A955,MP,5,0)="季繳",VLOOKUP($A955,MP,5,0)="月繳"),1,"")</f>
        <v>#N/A</v>
      </c>
      <c r="AO955" s="1">
        <f t="shared" ca="1" si="527"/>
        <v>0</v>
      </c>
      <c r="AP955" s="1" t="str">
        <f ca="1">IF(AND(A955&lt;=OP!$C$120,COUNTIF(PAY,C955)=1),1,"")</f>
        <v/>
      </c>
      <c r="AR955" s="301">
        <f ca="1">IF(繳費報酬率資料!$A$1=1,$AY955+$AZ955,$BF955+$BG955)</f>
        <v>0</v>
      </c>
      <c r="AS955" s="1">
        <f ca="1">IF(C955&lt;&gt;IF($C$3=1,12,$C$3-1),0,IF(繳費報酬率資料!$A$1&lt;&gt;1,VLOOKUP($A955,MP,8,0),IF(AND($A955&gt;=OP!$C$79,$A955&lt;=OP!$C$80),OP!$C$78,)))</f>
        <v>0</v>
      </c>
      <c r="AT955" s="298">
        <f t="shared" ca="1" si="528"/>
        <v>0</v>
      </c>
      <c r="AU955" s="298">
        <f ca="1">IF(AND(A955&lt;=OP!$C$120,COUNTIF(PAY,C955)=1),OP!$C$123,0)</f>
        <v>0</v>
      </c>
      <c r="AV955" s="298">
        <f ca="1">IF(AND(A955&gt;=OP!$C$132,A955&lt;=OP!$C$133,$C$3=C955),OP!$C$135,0)</f>
        <v>0</v>
      </c>
      <c r="AW955" s="180">
        <f t="shared" ca="1" si="529"/>
        <v>0.05</v>
      </c>
      <c r="AX955" s="180">
        <f t="shared" ca="1" si="530"/>
        <v>0.05</v>
      </c>
      <c r="AY955" s="286">
        <f t="shared" ca="1" si="531"/>
        <v>0</v>
      </c>
      <c r="AZ955" s="286">
        <f t="shared" ca="1" si="532"/>
        <v>0</v>
      </c>
      <c r="BA955" s="286">
        <f t="shared" ca="1" si="533"/>
        <v>0</v>
      </c>
      <c r="BB955" s="286">
        <f t="shared" ca="1" si="534"/>
        <v>0</v>
      </c>
      <c r="BC955" s="286">
        <f t="shared" ca="1" si="535"/>
        <v>0</v>
      </c>
      <c r="BD955" s="180">
        <f t="shared" ca="1" si="536"/>
        <v>0.05</v>
      </c>
      <c r="BE955" s="180">
        <f t="shared" ca="1" si="537"/>
        <v>0.05</v>
      </c>
      <c r="BF955" s="286">
        <f t="shared" ca="1" si="538"/>
        <v>0</v>
      </c>
      <c r="BG955" s="286">
        <f t="shared" ca="1" si="539"/>
        <v>0</v>
      </c>
    </row>
    <row r="956" spans="1:59">
      <c r="A956" s="1">
        <f t="shared" ca="1" si="519"/>
        <v>80</v>
      </c>
      <c r="B956" s="1">
        <f t="shared" ref="B956:B987" ca="1" si="548">IF(C956=1,B955+1,B955)</f>
        <v>185</v>
      </c>
      <c r="C956" s="1">
        <f t="shared" ref="C956:C988" ca="1" si="549">IF(C955=12,1,C955+1)</f>
        <v>10</v>
      </c>
      <c r="D956" s="1">
        <f ca="1">MIN($D$3,VLOOKUP(C956,OP!$S$30:$T$41,2))</f>
        <v>2</v>
      </c>
      <c r="E956" s="1" t="str">
        <f t="shared" ref="E956:E987" ca="1" si="550">IF($K$1+A956-1&gt;$D$1,"",$K$1+A956-1)</f>
        <v/>
      </c>
      <c r="F956" s="11" t="str">
        <f t="shared" ca="1" si="520"/>
        <v/>
      </c>
      <c r="G956" s="8">
        <f t="shared" ca="1" si="547"/>
        <v>365</v>
      </c>
      <c r="H956" s="8">
        <f t="shared" ca="1" si="521"/>
        <v>31</v>
      </c>
      <c r="I956" s="8" t="str">
        <f t="shared" ca="1" si="518"/>
        <v>8010</v>
      </c>
      <c r="J956" s="13">
        <f>IF(繳費報酬率資料!$A$1=1,VALUE(OP!$C$121),VLOOKUP(A956,MP,2,0))</f>
        <v>0.05</v>
      </c>
      <c r="K956" s="14">
        <f ca="1">IF(SUM($K$4:K955,IF(繳費報酬率資料!$A$1=1,$AU956+$AV956,$BB956+$BC956))&gt;OP!$L$58,0,IF(繳費報酬率資料!$A$1=1,$AU956+$AV956,$BB956+$BC956))</f>
        <v>0</v>
      </c>
      <c r="L956" s="2"/>
      <c r="M956" s="2"/>
      <c r="N956" s="2"/>
      <c r="O956" s="261">
        <f t="shared" ca="1" si="522"/>
        <v>0</v>
      </c>
      <c r="P956" s="261">
        <f t="shared" ca="1" si="540"/>
        <v>0</v>
      </c>
      <c r="Q956" s="3">
        <f ca="1">IF(A956&gt;MAX(OP!$R$17:$R$26),0,VLOOKUP(A956,fees,3,FALSE))</f>
        <v>0</v>
      </c>
      <c r="R956" s="200" t="str">
        <f t="shared" ca="1" si="523"/>
        <v/>
      </c>
      <c r="S956" s="9" t="str">
        <f ca="1">IF(COUNTIF(($T$4:T955),"F")&gt;=1,"",IF(OR(C957&lt;&gt;$C$3,E956=""),"",A956))</f>
        <v/>
      </c>
      <c r="T956" s="20" t="str">
        <f t="shared" ref="T956:T987" ca="1" si="551">IF(F956&lt;&gt;"","F","")</f>
        <v/>
      </c>
      <c r="U956" s="2">
        <f ca="1">IF(IF(OP!$C$83=1,$Z955,IF(OP!$C$83=2,$AA955,IF(OP!$C$83=3,$AB955,)))+$K956-$O956-$P956-$AS956&lt;OP!$C$142,0,$AS956)</f>
        <v>0</v>
      </c>
      <c r="V956" s="9"/>
      <c r="W956" s="19">
        <f ca="1">MAX(SUM($K$4:K956),0)</f>
        <v>2000000</v>
      </c>
      <c r="X956" s="19"/>
      <c r="Y956" s="19">
        <f t="shared" ca="1" si="541"/>
        <v>1920000</v>
      </c>
      <c r="Z956" s="2">
        <f ca="1">IF(MIN($Z$4:Z955)=0,0,MAX(0,($Z955+$K956-$O956-$P956)*IF(AND(F956="F",$D$3&lt;&gt;$G$3),((1+(-J956))^(H956/MIN(G956,365))),((1+(-J956))^(1/12)))-$U956))</f>
        <v>32672.639084563511</v>
      </c>
      <c r="AA956" s="2">
        <f ca="1">IF(MIN($AA$4:AA955)=0,0,MAX(0,($AA955+$K956-$O956-$P956)*IF(AND(F956="F",$D$3&lt;&gt;$G$3),((1+$AA$1)^(H956/MIN(G956,365))),((1+$AA$1)^(1/12)))-$U956))</f>
        <v>1920000</v>
      </c>
      <c r="AB956" s="2">
        <f ca="1">IF(MIN($AB$4:AB955)=0,0,MAX(0,($AB955+$K956-$O956-$P956)*IF(AND(F956="F",$D$3&lt;&gt;$G$3),((1+(J956))^(H956/MIN(G956,365))),((1+(J956))^(1/12)))-$U956))</f>
        <v>92487859.7996227</v>
      </c>
      <c r="AC956" s="5"/>
      <c r="AD956" s="5"/>
      <c r="AE956" s="5"/>
      <c r="AF956" s="282">
        <f t="shared" ca="1" si="524"/>
        <v>32673</v>
      </c>
      <c r="AG956" s="282">
        <f t="shared" ca="1" si="525"/>
        <v>1920000</v>
      </c>
      <c r="AH956" s="282">
        <f t="shared" ca="1" si="526"/>
        <v>92487860</v>
      </c>
      <c r="AI956" s="23" t="str">
        <f t="shared" ca="1" si="543"/>
        <v>80-6</v>
      </c>
      <c r="AJ956" s="282">
        <f ca="1">IF(E956&gt;111,,IF(AND(OP!$C$99=1,T956="F"),Z956,IF(AND(OP!$C$99=2,COUNTIF($T$4:T956,"F")=1),OP!$C$97+IF(F956="F",OP!$C$98,0),"")))</f>
        <v>0</v>
      </c>
      <c r="AK956" s="282">
        <f ca="1">IF(E956&gt;111,,IF(AND(OP!$D$99=1,T956="F"),AA956,IF(AND(OP!$D$99=2,COUNTIF($T$4:T956,"F")=1),OP!$D$97+IF(F956="F",OP!$D$98,0),"")))</f>
        <v>0</v>
      </c>
      <c r="AL956" s="282">
        <f ca="1">IF(E956&gt;111,,IF(AND(OP!$E$99=1,T956="F"),AB956,IF(AND(OP!$E$99=2,COUNTIF($T$4:T956,"F")=1),OP!$E$97+IF(F956="F",OP!$E$98,0),"")))</f>
        <v>0</v>
      </c>
      <c r="AM956" s="1">
        <f t="shared" ref="AM956:AM987" ca="1" si="552">IF(AND(AK956&lt;&gt;"",AM955=""),1,IF(AND(AK956&lt;&gt;"",AM955&gt;0),IF(AM955=12,1,AM955+1),""))</f>
        <v>6</v>
      </c>
      <c r="AN956" s="1" t="e">
        <f ca="1">IF(OR(VLOOKUP($A956,MP,5,0)="月繳"),1,"")</f>
        <v>#N/A</v>
      </c>
      <c r="AO956" s="1">
        <f t="shared" ca="1" si="527"/>
        <v>0</v>
      </c>
      <c r="AP956" s="1" t="str">
        <f ca="1">IF(AND(A956&lt;=OP!$C$120,COUNTIF(PAY,C956)=1),1,"")</f>
        <v/>
      </c>
      <c r="AR956" s="301">
        <f ca="1">IF(繳費報酬率資料!$A$1=1,$AY956+$AZ956,$BF956+$BG956)</f>
        <v>0</v>
      </c>
      <c r="AS956" s="1">
        <f ca="1">IF(C956&lt;&gt;IF($C$3=1,12,$C$3-1),0,IF(繳費報酬率資料!$A$1&lt;&gt;1,VLOOKUP($A956,MP,8,0),IF(AND($A956&gt;=OP!$C$79,$A956&lt;=OP!$C$80),OP!$C$78,)))</f>
        <v>0</v>
      </c>
      <c r="AT956" s="298">
        <f t="shared" ca="1" si="528"/>
        <v>0</v>
      </c>
      <c r="AU956" s="298">
        <f ca="1">IF(AND(A956&lt;=OP!$C$120,COUNTIF(PAY,C956)=1),OP!$C$123,0)</f>
        <v>0</v>
      </c>
      <c r="AV956" s="298">
        <f ca="1">IF(AND(A956&gt;=OP!$C$132,A956&lt;=OP!$C$133,$C$3=C956),OP!$C$135,0)</f>
        <v>0</v>
      </c>
      <c r="AW956" s="180">
        <f t="shared" ca="1" si="529"/>
        <v>0.05</v>
      </c>
      <c r="AX956" s="180">
        <f t="shared" ca="1" si="530"/>
        <v>0.05</v>
      </c>
      <c r="AY956" s="286">
        <f t="shared" ca="1" si="531"/>
        <v>0</v>
      </c>
      <c r="AZ956" s="286">
        <f t="shared" ca="1" si="532"/>
        <v>0</v>
      </c>
      <c r="BA956" s="286">
        <f t="shared" ca="1" si="533"/>
        <v>0</v>
      </c>
      <c r="BB956" s="286">
        <f t="shared" ca="1" si="534"/>
        <v>0</v>
      </c>
      <c r="BC956" s="286">
        <f t="shared" ca="1" si="535"/>
        <v>0</v>
      </c>
      <c r="BD956" s="180">
        <f t="shared" ca="1" si="536"/>
        <v>0.05</v>
      </c>
      <c r="BE956" s="180">
        <f t="shared" ca="1" si="537"/>
        <v>0.05</v>
      </c>
      <c r="BF956" s="286">
        <f t="shared" ca="1" si="538"/>
        <v>0</v>
      </c>
      <c r="BG956" s="286">
        <f t="shared" ca="1" si="539"/>
        <v>0</v>
      </c>
    </row>
    <row r="957" spans="1:59">
      <c r="A957" s="1">
        <f t="shared" ca="1" si="519"/>
        <v>80</v>
      </c>
      <c r="B957" s="1">
        <f t="shared" ca="1" si="548"/>
        <v>185</v>
      </c>
      <c r="C957" s="1">
        <f t="shared" ca="1" si="549"/>
        <v>11</v>
      </c>
      <c r="D957" s="1">
        <f ca="1">MIN($D$3,VLOOKUP(C957,OP!$S$30:$T$41,2))</f>
        <v>2</v>
      </c>
      <c r="E957" s="1" t="str">
        <f t="shared" ca="1" si="550"/>
        <v/>
      </c>
      <c r="F957" s="11" t="str">
        <f t="shared" ca="1" si="520"/>
        <v/>
      </c>
      <c r="G957" s="8">
        <f t="shared" ca="1" si="547"/>
        <v>365</v>
      </c>
      <c r="H957" s="8">
        <f t="shared" ca="1" si="521"/>
        <v>30</v>
      </c>
      <c r="I957" s="8" t="str">
        <f t="shared" ca="1" si="518"/>
        <v>8011</v>
      </c>
      <c r="J957" s="13">
        <f>IF(繳費報酬率資料!$A$1=1,VALUE(OP!$C$121),VLOOKUP(A957,MP,2,0))</f>
        <v>0.05</v>
      </c>
      <c r="K957" s="14">
        <f ca="1">IF(SUM($K$4:K956,IF(繳費報酬率資料!$A$1=1,$AU957+$AV957,$BB957+$BC957))&gt;OP!$L$58,0,IF(繳費報酬率資料!$A$1=1,$AU957+$AV957,$BB957+$BC957))</f>
        <v>0</v>
      </c>
      <c r="L957" s="2"/>
      <c r="M957" s="2"/>
      <c r="N957" s="2"/>
      <c r="O957" s="261">
        <f t="shared" ca="1" si="522"/>
        <v>0</v>
      </c>
      <c r="P957" s="261">
        <f t="shared" ca="1" si="540"/>
        <v>0</v>
      </c>
      <c r="Q957" s="3">
        <f ca="1">IF(A957&gt;MAX(OP!$R$17:$R$26),0,VLOOKUP(A957,fees,3,FALSE))</f>
        <v>0</v>
      </c>
      <c r="R957" s="200" t="str">
        <f t="shared" ca="1" si="523"/>
        <v/>
      </c>
      <c r="S957" s="9" t="str">
        <f ca="1">IF(COUNTIF(($T$4:T956),"F")&gt;=1,"",IF(OR(C958&lt;&gt;$C$3,E957=""),"",A957))</f>
        <v/>
      </c>
      <c r="T957" s="20" t="str">
        <f t="shared" ca="1" si="551"/>
        <v/>
      </c>
      <c r="U957" s="2">
        <f ca="1">IF(IF(OP!$C$83=1,$Z956,IF(OP!$C$83=2,$AA956,IF(OP!$C$83=3,$AB956,)))+$K957-$O957-$P957-$AS957&lt;OP!$C$142,0,$AS957)</f>
        <v>0</v>
      </c>
      <c r="V957" s="9"/>
      <c r="W957" s="19">
        <f ca="1">MAX(SUM($K$4:K957),0)</f>
        <v>2000000</v>
      </c>
      <c r="X957" s="19"/>
      <c r="Y957" s="19">
        <f t="shared" ca="1" si="541"/>
        <v>1920000</v>
      </c>
      <c r="Z957" s="2">
        <f ca="1">IF(MIN($Z$4:Z956)=0,0,MAX(0,($Z956+$K957-$O957-$P957)*IF(AND(F957="F",$D$3&lt;&gt;$G$3),((1+(-J957))^(H957/MIN(G957,365))),((1+(-J957))^(1/12)))-$U957))</f>
        <v>32533.279863563661</v>
      </c>
      <c r="AA957" s="2">
        <f ca="1">IF(MIN($AA$4:AA956)=0,0,MAX(0,($AA956+$K957-$O957-$P957)*IF(AND(F957="F",$D$3&lt;&gt;$G$3),((1+$AA$1)^(H957/MIN(G957,365))),((1+$AA$1)^(1/12)))-$U957))</f>
        <v>1920000</v>
      </c>
      <c r="AB957" s="2">
        <f ca="1">IF(MIN($AB$4:AB956)=0,0,MAX(0,($AB956+$K957-$O957-$P957)*IF(AND(F957="F",$D$3&lt;&gt;$G$3),((1+(J957))^(H957/MIN(G957,365))),((1+(J957))^(1/12)))-$U957))</f>
        <v>92864666.788931072</v>
      </c>
      <c r="AC957" s="5"/>
      <c r="AD957" s="5"/>
      <c r="AE957" s="5"/>
      <c r="AF957" s="282">
        <f t="shared" ca="1" si="524"/>
        <v>32533</v>
      </c>
      <c r="AG957" s="282">
        <f t="shared" ca="1" si="525"/>
        <v>1920000</v>
      </c>
      <c r="AH957" s="282">
        <f t="shared" ca="1" si="526"/>
        <v>92864667</v>
      </c>
      <c r="AI957" s="23" t="str">
        <f t="shared" ca="1" si="543"/>
        <v>80-7</v>
      </c>
      <c r="AJ957" s="282">
        <f ca="1">IF(E957&gt;111,,IF(AND(OP!$C$99=1,T957="F"),Z957,IF(AND(OP!$C$99=2,COUNTIF($T$4:T957,"F")=1),OP!$C$97+IF(F957="F",OP!$C$98,0),"")))</f>
        <v>0</v>
      </c>
      <c r="AK957" s="282">
        <f ca="1">IF(E957&gt;111,,IF(AND(OP!$D$99=1,T957="F"),AA957,IF(AND(OP!$D$99=2,COUNTIF($T$4:T957,"F")=1),OP!$D$97+IF(F957="F",OP!$D$98,0),"")))</f>
        <v>0</v>
      </c>
      <c r="AL957" s="282">
        <f ca="1">IF(E957&gt;111,,IF(AND(OP!$E$99=1,T957="F"),AB957,IF(AND(OP!$E$99=2,COUNTIF($T$4:T957,"F")=1),OP!$E$97+IF(F957="F",OP!$E$98,0),"")))</f>
        <v>0</v>
      </c>
      <c r="AM957" s="1">
        <f t="shared" ca="1" si="552"/>
        <v>7</v>
      </c>
      <c r="AN957" s="1" t="e">
        <f ca="1">IF(OR(VLOOKUP($A957,MP,5,0)="月繳"),1,"")</f>
        <v>#N/A</v>
      </c>
      <c r="AO957" s="1">
        <f t="shared" ca="1" si="527"/>
        <v>0</v>
      </c>
      <c r="AP957" s="1" t="str">
        <f ca="1">IF(AND(A957&lt;=OP!$C$120,COUNTIF(PAY,C957)=1),1,"")</f>
        <v/>
      </c>
      <c r="AR957" s="301">
        <f ca="1">IF(繳費報酬率資料!$A$1=1,$AY957+$AZ957,$BF957+$BG957)</f>
        <v>0</v>
      </c>
      <c r="AS957" s="1">
        <f ca="1">IF(C957&lt;&gt;IF($C$3=1,12,$C$3-1),0,IF(繳費報酬率資料!$A$1&lt;&gt;1,VLOOKUP($A957,MP,8,0),IF(AND($A957&gt;=OP!$C$79,$A957&lt;=OP!$C$80),OP!$C$78,)))</f>
        <v>0</v>
      </c>
      <c r="AT957" s="298">
        <f t="shared" ca="1" si="528"/>
        <v>0</v>
      </c>
      <c r="AU957" s="298">
        <f ca="1">IF(AND(A957&lt;=OP!$C$120,COUNTIF(PAY,C957)=1),OP!$C$123,0)</f>
        <v>0</v>
      </c>
      <c r="AV957" s="298">
        <f ca="1">IF(AND(A957&gt;=OP!$C$132,A957&lt;=OP!$C$133,$C$3=C957),OP!$C$135,0)</f>
        <v>0</v>
      </c>
      <c r="AW957" s="180">
        <f t="shared" ca="1" si="529"/>
        <v>0.05</v>
      </c>
      <c r="AX957" s="180">
        <f t="shared" ca="1" si="530"/>
        <v>0.05</v>
      </c>
      <c r="AY957" s="286">
        <f t="shared" ca="1" si="531"/>
        <v>0</v>
      </c>
      <c r="AZ957" s="286">
        <f t="shared" ca="1" si="532"/>
        <v>0</v>
      </c>
      <c r="BA957" s="286">
        <f t="shared" ca="1" si="533"/>
        <v>0</v>
      </c>
      <c r="BB957" s="286">
        <f t="shared" ca="1" si="534"/>
        <v>0</v>
      </c>
      <c r="BC957" s="286">
        <f t="shared" ca="1" si="535"/>
        <v>0</v>
      </c>
      <c r="BD957" s="180">
        <f t="shared" ca="1" si="536"/>
        <v>0.05</v>
      </c>
      <c r="BE957" s="180">
        <f t="shared" ca="1" si="537"/>
        <v>0.05</v>
      </c>
      <c r="BF957" s="286">
        <f t="shared" ca="1" si="538"/>
        <v>0</v>
      </c>
      <c r="BG957" s="286">
        <f t="shared" ca="1" si="539"/>
        <v>0</v>
      </c>
    </row>
    <row r="958" spans="1:59">
      <c r="A958" s="1">
        <f t="shared" ca="1" si="519"/>
        <v>80</v>
      </c>
      <c r="B958" s="1">
        <f t="shared" ca="1" si="548"/>
        <v>185</v>
      </c>
      <c r="C958" s="1">
        <f t="shared" ca="1" si="549"/>
        <v>12</v>
      </c>
      <c r="D958" s="1">
        <f ca="1">MIN($D$3,VLOOKUP(C958,OP!$S$30:$T$41,2))</f>
        <v>2</v>
      </c>
      <c r="E958" s="1" t="str">
        <f t="shared" ca="1" si="550"/>
        <v/>
      </c>
      <c r="F958" s="11" t="str">
        <f t="shared" ca="1" si="520"/>
        <v/>
      </c>
      <c r="G958" s="8">
        <f t="shared" ca="1" si="547"/>
        <v>365</v>
      </c>
      <c r="H958" s="8">
        <f t="shared" ca="1" si="521"/>
        <v>31</v>
      </c>
      <c r="I958" s="8" t="str">
        <f t="shared" ca="1" si="518"/>
        <v>8012</v>
      </c>
      <c r="J958" s="13">
        <f>IF(繳費報酬率資料!$A$1=1,VALUE(OP!$C$121),VLOOKUP(A958,MP,2,0))</f>
        <v>0.05</v>
      </c>
      <c r="K958" s="14">
        <f ca="1">IF(SUM($K$4:K957,IF(繳費報酬率資料!$A$1=1,$AU958+$AV958,$BB958+$BC958))&gt;OP!$L$58,0,IF(繳費報酬率資料!$A$1=1,$AU958+$AV958,$BB958+$BC958))</f>
        <v>0</v>
      </c>
      <c r="L958" s="2"/>
      <c r="M958" s="2"/>
      <c r="N958" s="2"/>
      <c r="O958" s="261">
        <f t="shared" ca="1" si="522"/>
        <v>0</v>
      </c>
      <c r="P958" s="261">
        <f t="shared" ca="1" si="540"/>
        <v>0</v>
      </c>
      <c r="Q958" s="3">
        <f ca="1">IF(A958&gt;MAX(OP!$R$17:$R$26),0,VLOOKUP(A958,fees,3,FALSE))</f>
        <v>0</v>
      </c>
      <c r="R958" s="200" t="str">
        <f t="shared" ca="1" si="523"/>
        <v/>
      </c>
      <c r="S958" s="9" t="str">
        <f ca="1">IF(COUNTIF(($T$4:T957),"F")&gt;=1,"",IF(OR(C959&lt;&gt;$C$3,E958=""),"",A958))</f>
        <v/>
      </c>
      <c r="T958" s="20" t="str">
        <f t="shared" ca="1" si="551"/>
        <v/>
      </c>
      <c r="U958" s="2">
        <f ca="1">IF(IF(OP!$C$83=1,$Z957,IF(OP!$C$83=2,$AA957,IF(OP!$C$83=3,$AB957,)))+$K958-$O958-$P958-$AS958&lt;OP!$C$142,0,$AS958)</f>
        <v>0</v>
      </c>
      <c r="V958" s="9"/>
      <c r="W958" s="19">
        <f ca="1">MAX(SUM($K$4:K958),0)</f>
        <v>2000000</v>
      </c>
      <c r="X958" s="19"/>
      <c r="Y958" s="19">
        <f t="shared" ca="1" si="541"/>
        <v>1920000</v>
      </c>
      <c r="Z958" s="2">
        <f ca="1">IF(MIN($Z$4:Z957)=0,0,MAX(0,($Z957+$K958-$O958-$P958)*IF(AND(F958="F",$D$3&lt;&gt;$G$3),((1+(-J958))^(H958/MIN(G958,365))),((1+(-J958))^(1/12)))-$U958))</f>
        <v>32394.515054065967</v>
      </c>
      <c r="AA958" s="2">
        <f ca="1">IF(MIN($AA$4:AA957)=0,0,MAX(0,($AA957+$K958-$O958-$P958)*IF(AND(F958="F",$D$3&lt;&gt;$G$3),((1+$AA$1)^(H958/MIN(G958,365))),((1+$AA$1)^(1/12)))-$U958))</f>
        <v>1920000</v>
      </c>
      <c r="AB958" s="2">
        <f ca="1">IF(MIN($AB$4:AB957)=0,0,MAX(0,($AB957+$K958-$O958-$P958)*IF(AND(F958="F",$D$3&lt;&gt;$G$3),((1+(J958))^(H958/MIN(G958,365))),((1+(J958))^(1/12)))-$U958))</f>
        <v>93243008.936556429</v>
      </c>
      <c r="AC958" s="5"/>
      <c r="AD958" s="5"/>
      <c r="AE958" s="5"/>
      <c r="AF958" s="282">
        <f t="shared" ca="1" si="524"/>
        <v>32395</v>
      </c>
      <c r="AG958" s="282">
        <f t="shared" ca="1" si="525"/>
        <v>1920000</v>
      </c>
      <c r="AH958" s="282">
        <f t="shared" ca="1" si="526"/>
        <v>93243009</v>
      </c>
      <c r="AI958" s="23" t="str">
        <f t="shared" ca="1" si="543"/>
        <v>80-8</v>
      </c>
      <c r="AJ958" s="282">
        <f ca="1">IF(E958&gt;111,,IF(AND(OP!$C$99=1,T958="F"),Z958,IF(AND(OP!$C$99=2,COUNTIF($T$4:T958,"F")=1),OP!$C$97+IF(F958="F",OP!$C$98,0),"")))</f>
        <v>0</v>
      </c>
      <c r="AK958" s="282">
        <f ca="1">IF(E958&gt;111,,IF(AND(OP!$D$99=1,T958="F"),AA958,IF(AND(OP!$D$99=2,COUNTIF($T$4:T958,"F")=1),OP!$D$97+IF(F958="F",OP!$D$98,0),"")))</f>
        <v>0</v>
      </c>
      <c r="AL958" s="282">
        <f ca="1">IF(E958&gt;111,,IF(AND(OP!$E$99=1,T958="F"),AB958,IF(AND(OP!$E$99=2,COUNTIF($T$4:T958,"F")=1),OP!$E$97+IF(F958="F",OP!$E$98,0),"")))</f>
        <v>0</v>
      </c>
      <c r="AM958" s="1">
        <f t="shared" ca="1" si="552"/>
        <v>8</v>
      </c>
      <c r="AN958" s="1" t="e">
        <f ca="1">IF(OR(VLOOKUP($A958,MP,5,0)="半年繳",VLOOKUP($A958,MP,5,0)="季繳",VLOOKUP($A958,MP,5,0)="月繳"),1,"")</f>
        <v>#N/A</v>
      </c>
      <c r="AO958" s="1">
        <f t="shared" ca="1" si="527"/>
        <v>0</v>
      </c>
      <c r="AP958" s="1" t="str">
        <f ca="1">IF(AND(A958&lt;=OP!$C$120,COUNTIF(PAY,C958)=1),1,"")</f>
        <v/>
      </c>
      <c r="AR958" s="301">
        <f ca="1">IF(繳費報酬率資料!$A$1=1,$AY958+$AZ958,$BF958+$BG958)</f>
        <v>0</v>
      </c>
      <c r="AS958" s="1">
        <f ca="1">IF(C958&lt;&gt;IF($C$3=1,12,$C$3-1),0,IF(繳費報酬率資料!$A$1&lt;&gt;1,VLOOKUP($A958,MP,8,0),IF(AND($A958&gt;=OP!$C$79,$A958&lt;=OP!$C$80),OP!$C$78,)))</f>
        <v>0</v>
      </c>
      <c r="AT958" s="298">
        <f t="shared" ca="1" si="528"/>
        <v>0</v>
      </c>
      <c r="AU958" s="298">
        <f ca="1">IF(AND(A958&lt;=OP!$C$120,COUNTIF(PAY,C958)=1),OP!$C$123,0)</f>
        <v>0</v>
      </c>
      <c r="AV958" s="298">
        <f ca="1">IF(AND(A958&gt;=OP!$C$132,A958&lt;=OP!$C$133,$C$3=C958),OP!$C$135,0)</f>
        <v>0</v>
      </c>
      <c r="AW958" s="180">
        <f t="shared" ca="1" si="529"/>
        <v>0.05</v>
      </c>
      <c r="AX958" s="180">
        <f t="shared" ca="1" si="530"/>
        <v>0.05</v>
      </c>
      <c r="AY958" s="286">
        <f t="shared" ca="1" si="531"/>
        <v>0</v>
      </c>
      <c r="AZ958" s="286">
        <f t="shared" ca="1" si="532"/>
        <v>0</v>
      </c>
      <c r="BA958" s="286">
        <f t="shared" ca="1" si="533"/>
        <v>0</v>
      </c>
      <c r="BB958" s="286">
        <f t="shared" ca="1" si="534"/>
        <v>0</v>
      </c>
      <c r="BC958" s="286">
        <f t="shared" ca="1" si="535"/>
        <v>0</v>
      </c>
      <c r="BD958" s="180">
        <f t="shared" ca="1" si="536"/>
        <v>0.05</v>
      </c>
      <c r="BE958" s="180">
        <f t="shared" ca="1" si="537"/>
        <v>0.05</v>
      </c>
      <c r="BF958" s="286">
        <f t="shared" ca="1" si="538"/>
        <v>0</v>
      </c>
      <c r="BG958" s="286">
        <f t="shared" ca="1" si="539"/>
        <v>0</v>
      </c>
    </row>
    <row r="959" spans="1:59">
      <c r="A959" s="1">
        <f t="shared" ca="1" si="519"/>
        <v>80</v>
      </c>
      <c r="B959" s="1">
        <f t="shared" ca="1" si="548"/>
        <v>186</v>
      </c>
      <c r="C959" s="1">
        <f t="shared" ca="1" si="549"/>
        <v>1</v>
      </c>
      <c r="D959" s="1">
        <f ca="1">MIN($D$3,VLOOKUP(C959,OP!$S$30:$T$41,2))</f>
        <v>2</v>
      </c>
      <c r="E959" s="1" t="str">
        <f t="shared" ca="1" si="550"/>
        <v/>
      </c>
      <c r="F959" s="11" t="str">
        <f t="shared" ca="1" si="520"/>
        <v/>
      </c>
      <c r="G959" s="8">
        <f t="shared" ca="1" si="547"/>
        <v>365</v>
      </c>
      <c r="H959" s="8">
        <f t="shared" ca="1" si="521"/>
        <v>31</v>
      </c>
      <c r="I959" s="8" t="str">
        <f t="shared" ca="1" si="518"/>
        <v>801</v>
      </c>
      <c r="J959" s="13">
        <f>IF(繳費報酬率資料!$A$1=1,VALUE(OP!$C$121),VLOOKUP(A959,MP,2,0))</f>
        <v>0.05</v>
      </c>
      <c r="K959" s="14">
        <f ca="1">IF(SUM($K$4:K958,IF(繳費報酬率資料!$A$1=1,$AU959+$AV959,$BB959+$BC959))&gt;OP!$L$58,0,IF(繳費報酬率資料!$A$1=1,$AU959+$AV959,$BB959+$BC959))</f>
        <v>0</v>
      </c>
      <c r="L959" s="2"/>
      <c r="M959" s="2"/>
      <c r="N959" s="2"/>
      <c r="O959" s="261">
        <f t="shared" ca="1" si="522"/>
        <v>0</v>
      </c>
      <c r="P959" s="261">
        <f t="shared" ca="1" si="540"/>
        <v>0</v>
      </c>
      <c r="Q959" s="3">
        <f ca="1">IF(A959&gt;MAX(OP!$R$17:$R$26),0,VLOOKUP(A959,fees,3,FALSE))</f>
        <v>0</v>
      </c>
      <c r="R959" s="200" t="str">
        <f t="shared" ca="1" si="523"/>
        <v/>
      </c>
      <c r="S959" s="9" t="str">
        <f ca="1">IF(COUNTIF(($T$4:T958),"F")&gt;=1,"",IF(OR(C960&lt;&gt;$C$3,E959=""),"",A959))</f>
        <v/>
      </c>
      <c r="T959" s="20" t="str">
        <f t="shared" ca="1" si="551"/>
        <v/>
      </c>
      <c r="U959" s="2">
        <f ca="1">IF(IF(OP!$C$83=1,$Z958,IF(OP!$C$83=2,$AA958,IF(OP!$C$83=3,$AB958,)))+$K959-$O959-$P959-$AS959&lt;OP!$C$142,0,$AS959)</f>
        <v>0</v>
      </c>
      <c r="V959" s="9"/>
      <c r="W959" s="19">
        <f ca="1">MAX(SUM($K$4:K959),0)</f>
        <v>2000000</v>
      </c>
      <c r="X959" s="19"/>
      <c r="Y959" s="19">
        <f t="shared" ca="1" si="541"/>
        <v>1920000</v>
      </c>
      <c r="Z959" s="2">
        <f ca="1">IF(MIN($Z$4:Z958)=0,0,MAX(0,($Z958+$K959-$O959-$P959)*IF(AND(F959="F",$D$3&lt;&gt;$G$3),((1+(-J959))^(H959/MIN(G959,365))),((1+(-J959))^(1/12)))-$U959))</f>
        <v>32256.34212071589</v>
      </c>
      <c r="AA959" s="2">
        <f ca="1">IF(MIN($AA$4:AA958)=0,0,MAX(0,($AA958+$K959-$O959-$P959)*IF(AND(F959="F",$D$3&lt;&gt;$G$3),((1+$AA$1)^(H959/MIN(G959,365))),((1+$AA$1)^(1/12)))-$U959))</f>
        <v>1920000</v>
      </c>
      <c r="AB959" s="2">
        <f ca="1">IF(MIN($AB$4:AB958)=0,0,MAX(0,($AB958+$K959-$O959-$P959)*IF(AND(F959="F",$D$3&lt;&gt;$G$3),((1+(J959))^(H959/MIN(G959,365))),((1+(J959))^(1/12)))-$U959))</f>
        <v>93622892.496923789</v>
      </c>
      <c r="AC959" s="5"/>
      <c r="AD959" s="5"/>
      <c r="AE959" s="5"/>
      <c r="AF959" s="282">
        <f t="shared" ca="1" si="524"/>
        <v>32256</v>
      </c>
      <c r="AG959" s="282">
        <f t="shared" ca="1" si="525"/>
        <v>1920000</v>
      </c>
      <c r="AH959" s="282">
        <f t="shared" ca="1" si="526"/>
        <v>93622892</v>
      </c>
      <c r="AI959" s="23" t="str">
        <f t="shared" ca="1" si="543"/>
        <v>80-9</v>
      </c>
      <c r="AJ959" s="282">
        <f ca="1">IF(E959&gt;111,,IF(AND(OP!$C$99=1,T959="F"),Z959,IF(AND(OP!$C$99=2,COUNTIF($T$4:T959,"F")=1),OP!$C$97+IF(F959="F",OP!$C$98,0),"")))</f>
        <v>0</v>
      </c>
      <c r="AK959" s="282">
        <f ca="1">IF(E959&gt;111,,IF(AND(OP!$D$99=1,T959="F"),AA959,IF(AND(OP!$D$99=2,COUNTIF($T$4:T959,"F")=1),OP!$D$97+IF(F959="F",OP!$D$98,0),"")))</f>
        <v>0</v>
      </c>
      <c r="AL959" s="282">
        <f ca="1">IF(E959&gt;111,,IF(AND(OP!$E$99=1,T959="F"),AB959,IF(AND(OP!$E$99=2,COUNTIF($T$4:T959,"F")=1),OP!$E$97+IF(F959="F",OP!$E$98,0),"")))</f>
        <v>0</v>
      </c>
      <c r="AM959" s="1">
        <f t="shared" ca="1" si="552"/>
        <v>9</v>
      </c>
      <c r="AN959" s="1" t="e">
        <f ca="1">IF(OR(VLOOKUP($A959,MP,5,0)="月繳"),1,"")</f>
        <v>#N/A</v>
      </c>
      <c r="AO959" s="1">
        <f t="shared" ca="1" si="527"/>
        <v>0</v>
      </c>
      <c r="AP959" s="1" t="str">
        <f ca="1">IF(AND(A959&lt;=OP!$C$120,COUNTIF(PAY,C959)=1),1,"")</f>
        <v/>
      </c>
      <c r="AR959" s="301">
        <f ca="1">IF(繳費報酬率資料!$A$1=1,$AY959+$AZ959,$BF959+$BG959)</f>
        <v>0</v>
      </c>
      <c r="AS959" s="1">
        <f ca="1">IF(C959&lt;&gt;IF($C$3=1,12,$C$3-1),0,IF(繳費報酬率資料!$A$1&lt;&gt;1,VLOOKUP($A959,MP,8,0),IF(AND($A959&gt;=OP!$C$79,$A959&lt;=OP!$C$80),OP!$C$78,)))</f>
        <v>0</v>
      </c>
      <c r="AT959" s="298">
        <f t="shared" ca="1" si="528"/>
        <v>0</v>
      </c>
      <c r="AU959" s="298">
        <f ca="1">IF(AND(A959&lt;=OP!$C$120,COUNTIF(PAY,C959)=1),OP!$C$123,0)</f>
        <v>0</v>
      </c>
      <c r="AV959" s="298">
        <f ca="1">IF(AND(A959&gt;=OP!$C$132,A959&lt;=OP!$C$133,$C$3=C959),OP!$C$135,0)</f>
        <v>0</v>
      </c>
      <c r="AW959" s="180">
        <f t="shared" ca="1" si="529"/>
        <v>0.05</v>
      </c>
      <c r="AX959" s="180">
        <f t="shared" ca="1" si="530"/>
        <v>0.05</v>
      </c>
      <c r="AY959" s="286">
        <f t="shared" ca="1" si="531"/>
        <v>0</v>
      </c>
      <c r="AZ959" s="286">
        <f t="shared" ca="1" si="532"/>
        <v>0</v>
      </c>
      <c r="BA959" s="286">
        <f t="shared" ca="1" si="533"/>
        <v>0</v>
      </c>
      <c r="BB959" s="286">
        <f t="shared" ca="1" si="534"/>
        <v>0</v>
      </c>
      <c r="BC959" s="286">
        <f t="shared" ca="1" si="535"/>
        <v>0</v>
      </c>
      <c r="BD959" s="180">
        <f t="shared" ca="1" si="536"/>
        <v>0.05</v>
      </c>
      <c r="BE959" s="180">
        <f t="shared" ca="1" si="537"/>
        <v>0.05</v>
      </c>
      <c r="BF959" s="286">
        <f t="shared" ca="1" si="538"/>
        <v>0</v>
      </c>
      <c r="BG959" s="286">
        <f t="shared" ca="1" si="539"/>
        <v>0</v>
      </c>
    </row>
    <row r="960" spans="1:59">
      <c r="A960" s="1">
        <f t="shared" ca="1" si="519"/>
        <v>80</v>
      </c>
      <c r="B960" s="1">
        <f t="shared" ca="1" si="548"/>
        <v>186</v>
      </c>
      <c r="C960" s="1">
        <f t="shared" ca="1" si="549"/>
        <v>2</v>
      </c>
      <c r="D960" s="1">
        <f ca="1">MIN($D$3,VLOOKUP(C960,OP!$S$30:$T$41,2))</f>
        <v>2</v>
      </c>
      <c r="E960" s="1" t="str">
        <f t="shared" ca="1" si="550"/>
        <v/>
      </c>
      <c r="F960" s="11" t="str">
        <f t="shared" ca="1" si="520"/>
        <v/>
      </c>
      <c r="G960" s="8">
        <f t="shared" ca="1" si="547"/>
        <v>365</v>
      </c>
      <c r="H960" s="8">
        <f t="shared" ca="1" si="521"/>
        <v>28</v>
      </c>
      <c r="I960" s="8" t="str">
        <f t="shared" ca="1" si="518"/>
        <v>802</v>
      </c>
      <c r="J960" s="13">
        <f>IF(繳費報酬率資料!$A$1=1,VALUE(OP!$C$121),VLOOKUP(A960,MP,2,0))</f>
        <v>0.05</v>
      </c>
      <c r="K960" s="14">
        <f ca="1">IF(SUM($K$4:K959,IF(繳費報酬率資料!$A$1=1,$AU960+$AV960,$BB960+$BC960))&gt;OP!$L$58,0,IF(繳費報酬率資料!$A$1=1,$AU960+$AV960,$BB960+$BC960))</f>
        <v>0</v>
      </c>
      <c r="L960" s="2"/>
      <c r="M960" s="2"/>
      <c r="N960" s="2"/>
      <c r="O960" s="261">
        <f t="shared" ca="1" si="522"/>
        <v>0</v>
      </c>
      <c r="P960" s="261">
        <f t="shared" ca="1" si="540"/>
        <v>0</v>
      </c>
      <c r="Q960" s="3">
        <f ca="1">IF(A960&gt;MAX(OP!$R$17:$R$26),0,VLOOKUP(A960,fees,3,FALSE))</f>
        <v>0</v>
      </c>
      <c r="R960" s="200" t="str">
        <f t="shared" ca="1" si="523"/>
        <v/>
      </c>
      <c r="S960" s="9" t="str">
        <f ca="1">IF(COUNTIF(($T$4:T959),"F")&gt;=1,"",IF(OR(C961&lt;&gt;$C$3,E960=""),"",A960))</f>
        <v/>
      </c>
      <c r="T960" s="20" t="str">
        <f t="shared" ca="1" si="551"/>
        <v/>
      </c>
      <c r="U960" s="2">
        <f ca="1">IF(IF(OP!$C$83=1,$Z959,IF(OP!$C$83=2,$AA959,IF(OP!$C$83=3,$AB959,)))+$K960-$O960-$P960-$AS960&lt;OP!$C$142,0,$AS960)</f>
        <v>0</v>
      </c>
      <c r="V960" s="9"/>
      <c r="W960" s="19">
        <f ca="1">MAX(SUM($K$4:K960),0)</f>
        <v>2000000</v>
      </c>
      <c r="X960" s="19"/>
      <c r="Y960" s="19">
        <f t="shared" ca="1" si="541"/>
        <v>1920000</v>
      </c>
      <c r="Z960" s="2">
        <f ca="1">IF(MIN($Z$4:Z959)=0,0,MAX(0,($Z959+$K960-$O960-$P960)*IF(AND(F960="F",$D$3&lt;&gt;$G$3),((1+(-J960))^(H960/MIN(G960,365))),((1+(-J960))^(1/12)))-$U960))</f>
        <v>32118.758538972979</v>
      </c>
      <c r="AA960" s="2">
        <f ca="1">IF(MIN($AA$4:AA959)=0,0,MAX(0,($AA959+$K960-$O960-$P960)*IF(AND(F960="F",$D$3&lt;&gt;$G$3),((1+$AA$1)^(H960/MIN(G960,365))),((1+$AA$1)^(1/12)))-$U960))</f>
        <v>1920000</v>
      </c>
      <c r="AB960" s="2">
        <f ca="1">IF(MIN($AB$4:AB959)=0,0,MAX(0,($AB959+$K960-$O960-$P960)*IF(AND(F960="F",$D$3&lt;&gt;$G$3),((1+(J960))^(H960/MIN(G960,365))),((1+(J960))^(1/12)))-$U960))</f>
        <v>94004323.749939457</v>
      </c>
      <c r="AC960" s="5"/>
      <c r="AD960" s="5"/>
      <c r="AE960" s="5"/>
      <c r="AF960" s="282">
        <f t="shared" ca="1" si="524"/>
        <v>32119</v>
      </c>
      <c r="AG960" s="282">
        <f t="shared" ca="1" si="525"/>
        <v>1920000</v>
      </c>
      <c r="AH960" s="282">
        <f t="shared" ca="1" si="526"/>
        <v>94004324</v>
      </c>
      <c r="AI960" s="23" t="str">
        <f t="shared" ca="1" si="543"/>
        <v>80-10</v>
      </c>
      <c r="AJ960" s="282">
        <f ca="1">IF(E960&gt;111,,IF(AND(OP!$C$99=1,T960="F"),Z960,IF(AND(OP!$C$99=2,COUNTIF($T$4:T960,"F")=1),OP!$C$97+IF(F960="F",OP!$C$98,0),"")))</f>
        <v>0</v>
      </c>
      <c r="AK960" s="282">
        <f ca="1">IF(E960&gt;111,,IF(AND(OP!$D$99=1,T960="F"),AA960,IF(AND(OP!$D$99=2,COUNTIF($T$4:T960,"F")=1),OP!$D$97+IF(F960="F",OP!$D$98,0),"")))</f>
        <v>0</v>
      </c>
      <c r="AL960" s="282">
        <f ca="1">IF(E960&gt;111,,IF(AND(OP!$E$99=1,T960="F"),AB960,IF(AND(OP!$E$99=2,COUNTIF($T$4:T960,"F")=1),OP!$E$97+IF(F960="F",OP!$E$98,0),"")))</f>
        <v>0</v>
      </c>
      <c r="AM960" s="1">
        <f t="shared" ca="1" si="552"/>
        <v>10</v>
      </c>
      <c r="AN960" s="1" t="e">
        <f ca="1">IF(OR(VLOOKUP($A960,MP,5,0)="月繳"),1,"")</f>
        <v>#N/A</v>
      </c>
      <c r="AO960" s="1">
        <f t="shared" ca="1" si="527"/>
        <v>0</v>
      </c>
      <c r="AP960" s="1" t="str">
        <f ca="1">IF(AND(A960&lt;=OP!$C$120,COUNTIF(PAY,C960)=1),1,"")</f>
        <v/>
      </c>
      <c r="AR960" s="301">
        <f ca="1">IF(繳費報酬率資料!$A$1=1,$AY960+$AZ960,$BF960+$BG960)</f>
        <v>0</v>
      </c>
      <c r="AS960" s="1">
        <f ca="1">IF(C960&lt;&gt;IF($C$3=1,12,$C$3-1),0,IF(繳費報酬率資料!$A$1&lt;&gt;1,VLOOKUP($A960,MP,8,0),IF(AND($A960&gt;=OP!$C$79,$A960&lt;=OP!$C$80),OP!$C$78,)))</f>
        <v>0</v>
      </c>
      <c r="AT960" s="298">
        <f t="shared" ca="1" si="528"/>
        <v>0</v>
      </c>
      <c r="AU960" s="298">
        <f ca="1">IF(AND(A960&lt;=OP!$C$120,COUNTIF(PAY,C960)=1),OP!$C$123,0)</f>
        <v>0</v>
      </c>
      <c r="AV960" s="298">
        <f ca="1">IF(AND(A960&gt;=OP!$C$132,A960&lt;=OP!$C$133,$C$3=C960),OP!$C$135,0)</f>
        <v>0</v>
      </c>
      <c r="AW960" s="180">
        <f t="shared" ca="1" si="529"/>
        <v>0.05</v>
      </c>
      <c r="AX960" s="180">
        <f t="shared" ca="1" si="530"/>
        <v>0.05</v>
      </c>
      <c r="AY960" s="286">
        <f t="shared" ca="1" si="531"/>
        <v>0</v>
      </c>
      <c r="AZ960" s="286">
        <f t="shared" ca="1" si="532"/>
        <v>0</v>
      </c>
      <c r="BA960" s="286">
        <f t="shared" ca="1" si="533"/>
        <v>0</v>
      </c>
      <c r="BB960" s="286">
        <f t="shared" ca="1" si="534"/>
        <v>0</v>
      </c>
      <c r="BC960" s="286">
        <f t="shared" ca="1" si="535"/>
        <v>0</v>
      </c>
      <c r="BD960" s="180">
        <f t="shared" ca="1" si="536"/>
        <v>0.05</v>
      </c>
      <c r="BE960" s="180">
        <f t="shared" ca="1" si="537"/>
        <v>0.05</v>
      </c>
      <c r="BF960" s="286">
        <f t="shared" ca="1" si="538"/>
        <v>0</v>
      </c>
      <c r="BG960" s="286">
        <f t="shared" ca="1" si="539"/>
        <v>0</v>
      </c>
    </row>
    <row r="961" spans="1:59">
      <c r="A961" s="1">
        <f t="shared" ca="1" si="519"/>
        <v>80</v>
      </c>
      <c r="B961" s="1">
        <f t="shared" ca="1" si="548"/>
        <v>186</v>
      </c>
      <c r="C961" s="1">
        <f t="shared" ca="1" si="549"/>
        <v>3</v>
      </c>
      <c r="D961" s="1">
        <f ca="1">MIN($D$3,VLOOKUP(C961,OP!$S$30:$T$41,2))</f>
        <v>2</v>
      </c>
      <c r="E961" s="1" t="str">
        <f t="shared" ca="1" si="550"/>
        <v/>
      </c>
      <c r="F961" s="11" t="str">
        <f t="shared" ca="1" si="520"/>
        <v/>
      </c>
      <c r="G961" s="8">
        <f t="shared" ca="1" si="547"/>
        <v>365</v>
      </c>
      <c r="H961" s="8">
        <f t="shared" ca="1" si="521"/>
        <v>31</v>
      </c>
      <c r="I961" s="8" t="str">
        <f t="shared" ca="1" si="518"/>
        <v>803</v>
      </c>
      <c r="J961" s="13">
        <f>IF(繳費報酬率資料!$A$1=1,VALUE(OP!$C$121),VLOOKUP(A961,MP,2,0))</f>
        <v>0.05</v>
      </c>
      <c r="K961" s="14">
        <f ca="1">IF(SUM($K$4:K960,IF(繳費報酬率資料!$A$1=1,$AU961+$AV961,$BB961+$BC961))&gt;OP!$L$58,0,IF(繳費報酬率資料!$A$1=1,$AU961+$AV961,$BB961+$BC961))</f>
        <v>0</v>
      </c>
      <c r="L961" s="2"/>
      <c r="M961" s="2"/>
      <c r="N961" s="2"/>
      <c r="O961" s="261">
        <f t="shared" ca="1" si="522"/>
        <v>0</v>
      </c>
      <c r="P961" s="261">
        <f t="shared" ca="1" si="540"/>
        <v>0</v>
      </c>
      <c r="Q961" s="3">
        <f ca="1">IF(A961&gt;MAX(OP!$R$17:$R$26),0,VLOOKUP(A961,fees,3,FALSE))</f>
        <v>0</v>
      </c>
      <c r="R961" s="200" t="str">
        <f t="shared" ca="1" si="523"/>
        <v/>
      </c>
      <c r="S961" s="9" t="str">
        <f ca="1">IF(COUNTIF(($T$4:T960),"F")&gt;=1,"",IF(OR(C962&lt;&gt;$C$3,E961=""),"",A961))</f>
        <v/>
      </c>
      <c r="T961" s="20" t="str">
        <f t="shared" ca="1" si="551"/>
        <v/>
      </c>
      <c r="U961" s="2">
        <f ca="1">IF(IF(OP!$C$83=1,$Z960,IF(OP!$C$83=2,$AA960,IF(OP!$C$83=3,$AB960,)))+$K961-$O961-$P961-$AS961&lt;OP!$C$142,0,$AS961)</f>
        <v>0</v>
      </c>
      <c r="V961" s="9"/>
      <c r="W961" s="19">
        <f ca="1">MAX(SUM($K$4:K961),0)</f>
        <v>2000000</v>
      </c>
      <c r="X961" s="19"/>
      <c r="Y961" s="19">
        <f t="shared" ca="1" si="541"/>
        <v>1920000</v>
      </c>
      <c r="Z961" s="2">
        <f ca="1">IF(MIN($Z$4:Z960)=0,0,MAX(0,($Z960+$K961-$O961-$P961)*IF(AND(F961="F",$D$3&lt;&gt;$G$3),((1+(-J961))^(H961/MIN(G961,365))),((1+(-J961))^(1/12)))-$U961))</f>
        <v>31981.761795064762</v>
      </c>
      <c r="AA961" s="2">
        <f ca="1">IF(MIN($AA$4:AA960)=0,0,MAX(0,($AA960+$K961-$O961-$P961)*IF(AND(F961="F",$D$3&lt;&gt;$G$3),((1+$AA$1)^(H961/MIN(G961,365))),((1+$AA$1)^(1/12)))-$U961))</f>
        <v>1920000</v>
      </c>
      <c r="AB961" s="2">
        <f ca="1">IF(MIN($AB$4:AB960)=0,0,MAX(0,($AB960+$K961-$O961-$P961)*IF(AND(F961="F",$D$3&lt;&gt;$G$3),((1+(J961))^(H961/MIN(G961,365))),((1+(J961))^(1/12)))-$U961))</f>
        <v>94387309.001094863</v>
      </c>
      <c r="AC961" s="5"/>
      <c r="AD961" s="5"/>
      <c r="AE961" s="5"/>
      <c r="AF961" s="282">
        <f t="shared" ca="1" si="524"/>
        <v>31982</v>
      </c>
      <c r="AG961" s="282">
        <f t="shared" ca="1" si="525"/>
        <v>1920000</v>
      </c>
      <c r="AH961" s="282">
        <f t="shared" ca="1" si="526"/>
        <v>94387309</v>
      </c>
      <c r="AI961" s="23" t="str">
        <f t="shared" ca="1" si="543"/>
        <v>80-11</v>
      </c>
      <c r="AJ961" s="282">
        <f ca="1">IF(E961&gt;111,,IF(AND(OP!$C$99=1,T961="F"),Z961,IF(AND(OP!$C$99=2,COUNTIF($T$4:T961,"F")=1),OP!$C$97+IF(F961="F",OP!$C$98,0),"")))</f>
        <v>0</v>
      </c>
      <c r="AK961" s="282">
        <f ca="1">IF(E961&gt;111,,IF(AND(OP!$D$99=1,T961="F"),AA961,IF(AND(OP!$D$99=2,COUNTIF($T$4:T961,"F")=1),OP!$D$97+IF(F961="F",OP!$D$98,0),"")))</f>
        <v>0</v>
      </c>
      <c r="AL961" s="282">
        <f ca="1">IF(E961&gt;111,,IF(AND(OP!$E$99=1,T961="F"),AB961,IF(AND(OP!$E$99=2,COUNTIF($T$4:T961,"F")=1),OP!$E$97+IF(F961="F",OP!$E$98,0),"")))</f>
        <v>0</v>
      </c>
      <c r="AM961" s="1">
        <f t="shared" ca="1" si="552"/>
        <v>11</v>
      </c>
      <c r="AN961" s="1" t="e">
        <f ca="1">IF(OR(VLOOKUP($A961,MP,5,0)="季繳",VLOOKUP($A961,MP,5,0)="月繳"),1,"")</f>
        <v>#N/A</v>
      </c>
      <c r="AO961" s="1">
        <f t="shared" ca="1" si="527"/>
        <v>0</v>
      </c>
      <c r="AP961" s="1" t="str">
        <f ca="1">IF(AND(A961&lt;=OP!$C$120,COUNTIF(PAY,C961)=1),1,"")</f>
        <v/>
      </c>
      <c r="AR961" s="301">
        <f ca="1">IF(繳費報酬率資料!$A$1=1,$AY961+$AZ961,$BF961+$BG961)</f>
        <v>0</v>
      </c>
      <c r="AS961" s="1">
        <f ca="1">IF(C961&lt;&gt;IF($C$3=1,12,$C$3-1),0,IF(繳費報酬率資料!$A$1&lt;&gt;1,VLOOKUP($A961,MP,8,0),IF(AND($A961&gt;=OP!$C$79,$A961&lt;=OP!$C$80),OP!$C$78,)))</f>
        <v>0</v>
      </c>
      <c r="AT961" s="298">
        <f t="shared" ca="1" si="528"/>
        <v>0</v>
      </c>
      <c r="AU961" s="298">
        <f ca="1">IF(AND(A961&lt;=OP!$C$120,COUNTIF(PAY,C961)=1),OP!$C$123,0)</f>
        <v>0</v>
      </c>
      <c r="AV961" s="298">
        <f ca="1">IF(AND(A961&gt;=OP!$C$132,A961&lt;=OP!$C$133,$C$3=C961),OP!$C$135,0)</f>
        <v>0</v>
      </c>
      <c r="AW961" s="180">
        <f t="shared" ca="1" si="529"/>
        <v>0.05</v>
      </c>
      <c r="AX961" s="180">
        <f t="shared" ca="1" si="530"/>
        <v>0.05</v>
      </c>
      <c r="AY961" s="286">
        <f t="shared" ca="1" si="531"/>
        <v>0</v>
      </c>
      <c r="AZ961" s="286">
        <f t="shared" ca="1" si="532"/>
        <v>0</v>
      </c>
      <c r="BA961" s="286">
        <f t="shared" ca="1" si="533"/>
        <v>0</v>
      </c>
      <c r="BB961" s="286">
        <f t="shared" ca="1" si="534"/>
        <v>0</v>
      </c>
      <c r="BC961" s="286">
        <f t="shared" ca="1" si="535"/>
        <v>0</v>
      </c>
      <c r="BD961" s="180">
        <f t="shared" ca="1" si="536"/>
        <v>0.05</v>
      </c>
      <c r="BE961" s="180">
        <f t="shared" ca="1" si="537"/>
        <v>0.05</v>
      </c>
      <c r="BF961" s="286">
        <f t="shared" ca="1" si="538"/>
        <v>0</v>
      </c>
      <c r="BG961" s="286">
        <f t="shared" ca="1" si="539"/>
        <v>0</v>
      </c>
    </row>
    <row r="962" spans="1:59">
      <c r="A962" s="1">
        <f t="shared" ca="1" si="519"/>
        <v>80</v>
      </c>
      <c r="B962" s="1">
        <f t="shared" ca="1" si="548"/>
        <v>186</v>
      </c>
      <c r="C962" s="1">
        <f t="shared" ca="1" si="549"/>
        <v>4</v>
      </c>
      <c r="D962" s="1">
        <f ca="1">MIN($D$3,VLOOKUP(C962,OP!$S$30:$T$41,2))</f>
        <v>2</v>
      </c>
      <c r="E962" s="1" t="str">
        <f t="shared" ca="1" si="550"/>
        <v/>
      </c>
      <c r="F962" s="11" t="str">
        <f t="shared" ca="1" si="520"/>
        <v/>
      </c>
      <c r="G962" s="8">
        <f t="shared" ca="1" si="547"/>
        <v>365</v>
      </c>
      <c r="H962" s="8">
        <f t="shared" ca="1" si="521"/>
        <v>30</v>
      </c>
      <c r="I962" s="8" t="str">
        <f t="shared" ca="1" si="518"/>
        <v>804</v>
      </c>
      <c r="J962" s="13">
        <f>IF(繳費報酬率資料!$A$1=1,VALUE(OP!$C$121),VLOOKUP(A962,MP,2,0))</f>
        <v>0.05</v>
      </c>
      <c r="K962" s="14">
        <f ca="1">IF(SUM($K$4:K961,IF(繳費報酬率資料!$A$1=1,$AU962+$AV962,$BB962+$BC962))&gt;OP!$L$58,0,IF(繳費報酬率資料!$A$1=1,$AU962+$AV962,$BB962+$BC962))</f>
        <v>0</v>
      </c>
      <c r="L962" s="2"/>
      <c r="M962" s="2"/>
      <c r="N962" s="2"/>
      <c r="O962" s="261">
        <f t="shared" ca="1" si="522"/>
        <v>0</v>
      </c>
      <c r="P962" s="261">
        <f t="shared" ca="1" si="540"/>
        <v>0</v>
      </c>
      <c r="Q962" s="3">
        <f ca="1">IF(A962&gt;MAX(OP!$R$17:$R$26),0,VLOOKUP(A962,fees,3,FALSE))</f>
        <v>0</v>
      </c>
      <c r="R962" s="200" t="str">
        <f t="shared" ca="1" si="523"/>
        <v/>
      </c>
      <c r="S962" s="9" t="str">
        <f ca="1">IF(COUNTIF(($T$4:T961),"F")&gt;=1,"",IF(OR(C963&lt;&gt;$C$3,E962=""),"",A962))</f>
        <v/>
      </c>
      <c r="T962" s="20" t="str">
        <f t="shared" ca="1" si="551"/>
        <v/>
      </c>
      <c r="U962" s="2">
        <f ca="1">IF(IF(OP!$C$83=1,$Z961,IF(OP!$C$83=2,$AA961,IF(OP!$C$83=3,$AB961,)))+$K962-$O962-$P962-$AS962&lt;OP!$C$142,0,$AS962)</f>
        <v>0</v>
      </c>
      <c r="V962" s="9"/>
      <c r="W962" s="19">
        <f ca="1">MAX(SUM($K$4:K962),0)</f>
        <v>2000000</v>
      </c>
      <c r="X962" s="19"/>
      <c r="Y962" s="19">
        <f t="shared" ca="1" si="541"/>
        <v>1920000</v>
      </c>
      <c r="Z962" s="2">
        <f ca="1">IF(MIN($Z$4:Z961)=0,0,MAX(0,($Z961+$K962-$O962-$P962)*IF(AND(F962="F",$D$3&lt;&gt;$G$3),((1+(-J962))^(H962/MIN(G962,365))),((1+(-J962))^(1/12)))-$U962))</f>
        <v>31845.349385940801</v>
      </c>
      <c r="AA962" s="2">
        <f ca="1">IF(MIN($AA$4:AA961)=0,0,MAX(0,($AA961+$K962-$O962-$P962)*IF(AND(F962="F",$D$3&lt;&gt;$G$3),((1+$AA$1)^(H962/MIN(G962,365))),((1+$AA$1)^(1/12)))-$U962))</f>
        <v>1920000</v>
      </c>
      <c r="AB962" s="2">
        <f ca="1">IF(MIN($AB$4:AB961)=0,0,MAX(0,($AB961+$K962-$O962-$P962)*IF(AND(F962="F",$D$3&lt;&gt;$G$3),((1+(J962))^(H962/MIN(G962,365))),((1+(J962))^(1/12)))-$U962))</f>
        <v>94771854.581570789</v>
      </c>
      <c r="AC962" s="5"/>
      <c r="AD962" s="5"/>
      <c r="AE962" s="5"/>
      <c r="AF962" s="282">
        <f t="shared" ca="1" si="524"/>
        <v>31845</v>
      </c>
      <c r="AG962" s="282">
        <f t="shared" ca="1" si="525"/>
        <v>1920000</v>
      </c>
      <c r="AH962" s="282">
        <f t="shared" ca="1" si="526"/>
        <v>94771855</v>
      </c>
      <c r="AI962" s="23" t="str">
        <f t="shared" ca="1" si="543"/>
        <v>80-12</v>
      </c>
      <c r="AJ962" s="282">
        <f ca="1">IF(E962&gt;111,,IF(AND(OP!$C$99=1,T962="F"),Z962,IF(AND(OP!$C$99=2,COUNTIF($T$4:T962,"F")=1),OP!$C$97+IF(F962="F",OP!$C$98,0),"")))</f>
        <v>0</v>
      </c>
      <c r="AK962" s="282">
        <f ca="1">IF(E962&gt;111,,IF(AND(OP!$D$99=1,T962="F"),AA962,IF(AND(OP!$D$99=2,COUNTIF($T$4:T962,"F")=1),OP!$D$97+IF(F962="F",OP!$D$98,0),"")))</f>
        <v>0</v>
      </c>
      <c r="AL962" s="282">
        <f ca="1">IF(E962&gt;111,,IF(AND(OP!$E$99=1,T962="F"),AB962,IF(AND(OP!$E$99=2,COUNTIF($T$4:T962,"F")=1),OP!$E$97+IF(F962="F",OP!$E$98,0),"")))</f>
        <v>0</v>
      </c>
      <c r="AM962" s="1">
        <f t="shared" ca="1" si="552"/>
        <v>12</v>
      </c>
      <c r="AN962" s="1" t="e">
        <f ca="1">IF(OR(VLOOKUP($A962,MP,5,0)="月繳"),1,"")</f>
        <v>#N/A</v>
      </c>
      <c r="AO962" s="1">
        <f t="shared" ca="1" si="527"/>
        <v>0</v>
      </c>
      <c r="AP962" s="1" t="str">
        <f ca="1">IF(AND(A962&lt;=OP!$C$120,COUNTIF(PAY,C962)=1),1,"")</f>
        <v/>
      </c>
      <c r="AR962" s="301">
        <f ca="1">IF(繳費報酬率資料!$A$1=1,$AY962+$AZ962,$BF962+$BG962)</f>
        <v>0</v>
      </c>
      <c r="AS962" s="1">
        <f ca="1">IF(C962&lt;&gt;IF($C$3=1,12,$C$3-1),0,IF(繳費報酬率資料!$A$1&lt;&gt;1,VLOOKUP($A962,MP,8,0),IF(AND($A962&gt;=OP!$C$79,$A962&lt;=OP!$C$80),OP!$C$78,)))</f>
        <v>0</v>
      </c>
      <c r="AT962" s="298">
        <f t="shared" ca="1" si="528"/>
        <v>0</v>
      </c>
      <c r="AU962" s="298">
        <f ca="1">IF(AND(A962&lt;=OP!$C$120,COUNTIF(PAY,C962)=1),OP!$C$123,0)</f>
        <v>0</v>
      </c>
      <c r="AV962" s="298">
        <f ca="1">IF(AND(A962&gt;=OP!$C$132,A962&lt;=OP!$C$133,$C$3=C962),OP!$C$135,0)</f>
        <v>0</v>
      </c>
      <c r="AW962" s="180">
        <f t="shared" ca="1" si="529"/>
        <v>0.05</v>
      </c>
      <c r="AX962" s="180">
        <f t="shared" ca="1" si="530"/>
        <v>0.05</v>
      </c>
      <c r="AY962" s="286">
        <f t="shared" ca="1" si="531"/>
        <v>0</v>
      </c>
      <c r="AZ962" s="286">
        <f t="shared" ca="1" si="532"/>
        <v>0</v>
      </c>
      <c r="BA962" s="286">
        <f t="shared" ca="1" si="533"/>
        <v>0</v>
      </c>
      <c r="BB962" s="286">
        <f t="shared" ca="1" si="534"/>
        <v>0</v>
      </c>
      <c r="BC962" s="286">
        <f t="shared" ca="1" si="535"/>
        <v>0</v>
      </c>
      <c r="BD962" s="180">
        <f t="shared" ca="1" si="536"/>
        <v>0.05</v>
      </c>
      <c r="BE962" s="180">
        <f t="shared" ca="1" si="537"/>
        <v>0.05</v>
      </c>
      <c r="BF962" s="286">
        <f t="shared" ca="1" si="538"/>
        <v>0</v>
      </c>
      <c r="BG962" s="286">
        <f t="shared" ca="1" si="539"/>
        <v>0</v>
      </c>
    </row>
    <row r="963" spans="1:59">
      <c r="A963" s="1">
        <f t="shared" ca="1" si="519"/>
        <v>80</v>
      </c>
      <c r="B963" s="1">
        <f t="shared" ca="1" si="548"/>
        <v>186</v>
      </c>
      <c r="C963" s="1">
        <f t="shared" ca="1" si="549"/>
        <v>5</v>
      </c>
      <c r="D963" s="1">
        <f ca="1">MIN($D$3,VLOOKUP(C963,OP!$S$30:$T$41,2))</f>
        <v>2</v>
      </c>
      <c r="E963" s="1" t="str">
        <f t="shared" ca="1" si="550"/>
        <v/>
      </c>
      <c r="F963" s="11" t="str">
        <f t="shared" ca="1" si="520"/>
        <v/>
      </c>
      <c r="G963" s="8">
        <f t="shared" ca="1" si="547"/>
        <v>365</v>
      </c>
      <c r="H963" s="8">
        <f t="shared" ca="1" si="521"/>
        <v>31</v>
      </c>
      <c r="I963" s="8" t="str">
        <f t="shared" ca="1" si="518"/>
        <v>805</v>
      </c>
      <c r="J963" s="13">
        <f>IF(繳費報酬率資料!$A$1=1,VALUE(OP!$C$121),VLOOKUP(A963,MP,2,0))</f>
        <v>0.05</v>
      </c>
      <c r="K963" s="14">
        <f ca="1">IF(SUM($K$4:K962,IF(繳費報酬率資料!$A$1=1,$AU963+$AV963,$BB963+$BC963))&gt;OP!$L$58,0,IF(繳費報酬率資料!$A$1=1,$AU963+$AV963,$BB963+$BC963))</f>
        <v>0</v>
      </c>
      <c r="L963" s="2">
        <f ca="1">ROUND(IF(OP!$C$78&lt;(IF(OR($T963="F",$E963&gt;=111),0,Z962+$K963-$O963+IF($C$1=1,OP!$C$78,IF($C964=$C$3,SUM(AC952:AC963,0)))))*5%,0,(OP!$C$78-((IF(OR($T963="F",$E963&gt;=111),0,Z962+$K963-$O963+IF($C$1=1,AC963,IF($C964=$C$3,SUM(AC952:AC963,0)))))*5%))*$Q963),0)</f>
        <v>0</v>
      </c>
      <c r="M963" s="2">
        <f ca="1">ROUND(IF(OP!$C$78&lt;(IF(OR($T963="F",$E963&gt;=111),0,AA962+$K963-$O963+IF($C$1=1,AD963,IF($C964=$C$3,SUM(AD952:AD963,0)))))*5%,0,(OP!$C$78-((IF(OR($T963="F",$E963&gt;=111),0,AA962+$K963-$O963+IF($C$1=1,AD963,IF($C964=$C$3,SUM(AD952:AD963,0)))))*5%))*$Q963),0)</f>
        <v>0</v>
      </c>
      <c r="N963" s="2">
        <f ca="1">ROUND(IF(OP!$C$78&lt;(IF(OR($T963="F",$E963&gt;=111),0,AB962+$K963-$O963+IF($C$1=1,AE963,IF($C964=$C$3,SUM(AE952:AE963,0)))))*5%,0,(OP!$C$78-((IF(OR($T963="F",$E963&gt;=111),0,AB962+$K963-$O963+IF($C$1=1,AE963,IF($C964=$C$3,SUM(AE952:AE963,0)))))*5%))*$Q963),0)</f>
        <v>0</v>
      </c>
      <c r="O963" s="261">
        <f t="shared" ca="1" si="522"/>
        <v>0</v>
      </c>
      <c r="P963" s="261">
        <f t="shared" ca="1" si="540"/>
        <v>0</v>
      </c>
      <c r="Q963" s="3">
        <f ca="1">IF(A963&gt;MAX(OP!$R$17:$R$26),0,VLOOKUP(A963,fees,3,FALSE))</f>
        <v>0</v>
      </c>
      <c r="R963" s="200" t="str">
        <f t="shared" ca="1" si="523"/>
        <v/>
      </c>
      <c r="S963" s="9" t="str">
        <f ca="1">IF(COUNTIF(($T$4:T962),"F")&gt;=1,"",IF(OR(C964&lt;&gt;$C$3,E963=""),"",A963))</f>
        <v/>
      </c>
      <c r="T963" s="20" t="str">
        <f t="shared" ca="1" si="551"/>
        <v/>
      </c>
      <c r="U963" s="2">
        <f ca="1">IF(IF(OP!$C$83=1,$Z962,IF(OP!$C$83=2,$AA962,IF(OP!$C$83=3,$AB962,)))+$K963-$O963-$P963-$AS963&lt;OP!$C$142,0,$AS963)</f>
        <v>0</v>
      </c>
      <c r="V963" s="19">
        <f ca="1">SUM(K952:K963)</f>
        <v>0</v>
      </c>
      <c r="W963" s="19">
        <f ca="1">MAX(SUM($K$4:K963),0)</f>
        <v>2000000</v>
      </c>
      <c r="X963" s="19">
        <f ca="1">SUM(O952:P963)</f>
        <v>0</v>
      </c>
      <c r="Y963" s="19">
        <f t="shared" ca="1" si="541"/>
        <v>1920000</v>
      </c>
      <c r="Z963" s="2">
        <f ca="1">IF(MIN($Z$4:Z962)=0,0,MAX(0,($Z962+$K963-$O963-$P963)*IF(AND(F963="F",$D$3&lt;&gt;$G$3),((1+(-J963))^(H963/MIN(G963,365))),((1+(-J963))^(1/12)))-$U963))</f>
        <v>31709.518819226967</v>
      </c>
      <c r="AA963" s="2">
        <f ca="1">IF(MIN($AA$4:AA962)=0,0,MAX(0,($AA962+$K963-$O963-$P963)*IF(AND(F963="F",$D$3&lt;&gt;$G$3),((1+$AA$1)^(H963/MIN(G963,365))),((1+$AA$1)^(1/12)))-$U963))</f>
        <v>1920000</v>
      </c>
      <c r="AB963" s="2">
        <f ca="1">IF(MIN($AB$4:AB962)=0,0,MAX(0,($AB962+$K963-$O963-$P963)*IF(AND(F963="F",$D$3&lt;&gt;$G$3),((1+(J963))^(H963/MIN(G963,365))),((1+(J963))^(1/12)))-$U963))</f>
        <v>95157966.848342031</v>
      </c>
      <c r="AC963" s="5"/>
      <c r="AD963" s="5"/>
      <c r="AE963" s="5"/>
      <c r="AF963" s="282">
        <f t="shared" ca="1" si="524"/>
        <v>31710</v>
      </c>
      <c r="AG963" s="282">
        <f t="shared" ca="1" si="525"/>
        <v>1920000</v>
      </c>
      <c r="AH963" s="282">
        <f t="shared" ca="1" si="526"/>
        <v>95157967</v>
      </c>
      <c r="AI963" s="23" t="str">
        <f t="shared" ca="1" si="543"/>
        <v>81-1</v>
      </c>
      <c r="AJ963" s="282">
        <f ca="1">IF(E963&gt;111,,IF(AND(OP!$C$99=1,T963="F"),Z963,IF(AND(OP!$C$99=2,COUNTIF($T$4:T963,"F")=1),OP!$C$97+IF(F963="F",OP!$C$98,0),"")))</f>
        <v>0</v>
      </c>
      <c r="AK963" s="282">
        <f ca="1">IF(E963&gt;111,,IF(AND(OP!$D$99=1,T963="F"),AA963,IF(AND(OP!$D$99=2,COUNTIF($T$4:T963,"F")=1),OP!$D$97+IF(F963="F",OP!$D$98,0),"")))</f>
        <v>0</v>
      </c>
      <c r="AL963" s="282">
        <f ca="1">IF(E963&gt;111,,IF(AND(OP!$E$99=1,T963="F"),AB963,IF(AND(OP!$E$99=2,COUNTIF($T$4:T963,"F")=1),OP!$E$97+IF(F963="F",OP!$E$98,0),"")))</f>
        <v>0</v>
      </c>
      <c r="AM963" s="1">
        <f t="shared" ca="1" si="552"/>
        <v>1</v>
      </c>
      <c r="AN963" s="1" t="e">
        <f ca="1">IF(OR(VLOOKUP($A963,MP,5,0)="月繳"),1,"")</f>
        <v>#N/A</v>
      </c>
      <c r="AO963" s="1">
        <f t="shared" ca="1" si="527"/>
        <v>0</v>
      </c>
      <c r="AP963" s="1" t="str">
        <f ca="1">IF(AND(A963&lt;=OP!$C$120,COUNTIF(PAY,C963)=1),1,"")</f>
        <v/>
      </c>
      <c r="AR963" s="301">
        <f ca="1">IF(繳費報酬率資料!$A$1=1,$AY963+$AZ963,$BF963+$BG963)</f>
        <v>0</v>
      </c>
      <c r="AS963" s="1">
        <f ca="1">IF(C963&lt;&gt;IF($C$3=1,12,$C$3-1),0,IF(繳費報酬率資料!$A$1&lt;&gt;1,VLOOKUP($A963,MP,8,0),IF(AND($A963&gt;=OP!$C$79,$A963&lt;=OP!$C$80),OP!$C$78,)))</f>
        <v>0</v>
      </c>
      <c r="AT963" s="298">
        <f t="shared" ca="1" si="528"/>
        <v>0</v>
      </c>
      <c r="AU963" s="298">
        <f ca="1">IF(AND(A963&lt;=OP!$C$120,COUNTIF(PAY,C963)=1),OP!$C$123,0)</f>
        <v>0</v>
      </c>
      <c r="AV963" s="298">
        <f ca="1">IF(AND(A963&gt;=OP!$C$132,A963&lt;=OP!$C$133,$C$3=C963),OP!$C$135,0)</f>
        <v>0</v>
      </c>
      <c r="AW963" s="180">
        <f t="shared" ca="1" si="529"/>
        <v>0.05</v>
      </c>
      <c r="AX963" s="180">
        <f t="shared" ca="1" si="530"/>
        <v>0.05</v>
      </c>
      <c r="AY963" s="286">
        <f t="shared" ca="1" si="531"/>
        <v>0</v>
      </c>
      <c r="AZ963" s="286">
        <f t="shared" ca="1" si="532"/>
        <v>0</v>
      </c>
      <c r="BA963" s="286">
        <f t="shared" ca="1" si="533"/>
        <v>0</v>
      </c>
      <c r="BB963" s="286">
        <f t="shared" ca="1" si="534"/>
        <v>0</v>
      </c>
      <c r="BC963" s="286">
        <f t="shared" ca="1" si="535"/>
        <v>0</v>
      </c>
      <c r="BD963" s="180">
        <f t="shared" ca="1" si="536"/>
        <v>0.05</v>
      </c>
      <c r="BE963" s="180">
        <f t="shared" ca="1" si="537"/>
        <v>0.05</v>
      </c>
      <c r="BF963" s="286">
        <f t="shared" ca="1" si="538"/>
        <v>0</v>
      </c>
      <c r="BG963" s="286">
        <f t="shared" ca="1" si="539"/>
        <v>0</v>
      </c>
    </row>
    <row r="964" spans="1:59">
      <c r="A964" s="1">
        <f t="shared" ca="1" si="519"/>
        <v>81</v>
      </c>
      <c r="B964" s="1">
        <f t="shared" ca="1" si="548"/>
        <v>186</v>
      </c>
      <c r="C964" s="1">
        <f t="shared" ca="1" si="549"/>
        <v>6</v>
      </c>
      <c r="D964" s="1">
        <f ca="1">MIN($D$3,VLOOKUP(C964,OP!$S$30:$T$41,2))</f>
        <v>2</v>
      </c>
      <c r="E964" s="1" t="str">
        <f t="shared" ca="1" si="550"/>
        <v/>
      </c>
      <c r="F964" s="11" t="str">
        <f t="shared" ca="1" si="520"/>
        <v/>
      </c>
      <c r="G964" s="6">
        <f ca="1">DATEDIF(DATE(B964+1911,C964,D964),DATE(B976+1911,C976,D976),"d")</f>
        <v>365</v>
      </c>
      <c r="H964" s="8">
        <f t="shared" ca="1" si="521"/>
        <v>30</v>
      </c>
      <c r="I964" s="8" t="str">
        <f t="shared" ref="I964:I1027" ca="1" si="553">A964&amp;C964</f>
        <v>816</v>
      </c>
      <c r="J964" s="13">
        <f>IF(繳費報酬率資料!$A$1=1,VALUE(OP!$C$121),VLOOKUP(A964,MP,2,0))</f>
        <v>0.05</v>
      </c>
      <c r="K964" s="14">
        <f ca="1">IF(SUM($K$4:K963,IF(繳費報酬率資料!$A$1=1,$AU964+$AV964,$BB964+$BC964))&gt;OP!$L$58,0,IF(繳費報酬率資料!$A$1=1,$AU964+$AV964,$BB964+$BC964))</f>
        <v>0</v>
      </c>
      <c r="L964" s="2"/>
      <c r="M964" s="2"/>
      <c r="N964" s="2"/>
      <c r="O964" s="261">
        <f t="shared" ca="1" si="522"/>
        <v>0</v>
      </c>
      <c r="P964" s="261">
        <f t="shared" ca="1" si="540"/>
        <v>0</v>
      </c>
      <c r="Q964" s="3">
        <f ca="1">IF(A964&gt;MAX(OP!$R$17:$R$26),0,VLOOKUP(A964,fees,3,FALSE))</f>
        <v>0</v>
      </c>
      <c r="R964" s="200" t="str">
        <f t="shared" ca="1" si="523"/>
        <v/>
      </c>
      <c r="S964" s="9" t="str">
        <f ca="1">IF(COUNTIF(($T$4:T963),"F")&gt;=1,"",IF(OR(C965&lt;&gt;$C$3,E964=""),"",A964))</f>
        <v/>
      </c>
      <c r="T964" s="20" t="str">
        <f t="shared" ca="1" si="551"/>
        <v/>
      </c>
      <c r="U964" s="2">
        <f ca="1">IF(IF(OP!$C$83=1,$Z963,IF(OP!$C$83=2,$AA963,IF(OP!$C$83=3,$AB963,)))+$K964-$O964-$P964-$AS964&lt;OP!$C$142,0,$AS964)</f>
        <v>0</v>
      </c>
      <c r="V964" s="9"/>
      <c r="W964" s="19">
        <f ca="1">MAX(SUM($K$4:K964),0)</f>
        <v>2000000</v>
      </c>
      <c r="X964" s="19"/>
      <c r="Y964" s="19">
        <f t="shared" ca="1" si="541"/>
        <v>1920000</v>
      </c>
      <c r="Z964" s="2">
        <f ca="1">IF(MIN($Z$4:Z963)=0,0,MAX(0,($Z963+$K964-$O964-$P964)*IF(AND(F964="F",$D$3&lt;&gt;$G$3),((1+(-J964))^(H964/MIN(G964,365))),((1+(-J964))^(1/12)))-$U964))</f>
        <v>31574.267613179905</v>
      </c>
      <c r="AA964" s="2">
        <f ca="1">IF(MIN($AA$4:AA963)=0,0,MAX(0,($AA963+$K964-$O964-$P964)*IF(AND(F964="F",$D$3&lt;&gt;$G$3),((1+$AA$1)^(H964/MIN(G964,365))),((1+$AA$1)^(1/12)))-$U964))</f>
        <v>1920000</v>
      </c>
      <c r="AB964" s="2">
        <f ca="1">IF(MIN($AB$4:AB963)=0,0,MAX(0,($AB963+$K964-$O964-$P964)*IF(AND(F964="F",$D$3&lt;&gt;$G$3),((1+(J964))^(H964/MIN(G964,365))),((1+(J964))^(1/12)))-$U964))</f>
        <v>95545652.184282482</v>
      </c>
      <c r="AC964" s="21"/>
      <c r="AD964" s="21"/>
      <c r="AE964" s="21"/>
      <c r="AF964" s="282">
        <f t="shared" ca="1" si="524"/>
        <v>31574</v>
      </c>
      <c r="AG964" s="282">
        <f t="shared" ca="1" si="525"/>
        <v>1920000</v>
      </c>
      <c r="AH964" s="282">
        <f t="shared" ca="1" si="526"/>
        <v>95545652</v>
      </c>
      <c r="AI964" s="23" t="str">
        <f t="shared" ca="1" si="543"/>
        <v>81-2</v>
      </c>
      <c r="AJ964" s="281">
        <f ca="1">IF(E964&gt;111,,IF(AND(OP!$C$99=1,T964="F"),Z964,IF(AND(OP!$C$99=2,COUNTIF($T$4:T964,"F")=1),OP!$C$97+IF(F964="F",OP!$C$98,0),"")))</f>
        <v>0</v>
      </c>
      <c r="AK964" s="281">
        <f ca="1">IF(E964&gt;111,,IF(AND(OP!$D$99=1,T964="F"),AA964,IF(AND(OP!$D$99=2,COUNTIF($T$4:T964,"F")=1),OP!$D$97+IF(F964="F",OP!$D$98,0),"")))</f>
        <v>0</v>
      </c>
      <c r="AL964" s="281">
        <f ca="1">IF(E964&gt;111,,IF(AND(OP!$E$99=1,T964="F"),AB964,IF(AND(OP!$E$99=2,COUNTIF($T$4:T964,"F")=1),OP!$E$97+IF(F964="F",OP!$E$98,0),"")))</f>
        <v>0</v>
      </c>
      <c r="AM964" s="1">
        <f t="shared" ca="1" si="552"/>
        <v>2</v>
      </c>
      <c r="AN964" s="1" t="e">
        <f ca="1">IF(OR(VLOOKUP($A964,MP,5,0)="年繳",VLOOKUP($A964,MP,5,0)="半年繳",VLOOKUP($A964,MP,5,0)="季繳",VLOOKUP($A964,MP,5,0)="月繳"),1,"")</f>
        <v>#N/A</v>
      </c>
      <c r="AO964" s="1">
        <f t="shared" ca="1" si="527"/>
        <v>0</v>
      </c>
      <c r="AP964" s="1" t="str">
        <f ca="1">IF(AND(A964&lt;=OP!$C$120,COUNTIF(PAY,C964)=1),1,"")</f>
        <v/>
      </c>
      <c r="AR964" s="301">
        <f ca="1">IF(繳費報酬率資料!$A$1=1,$AY964+$AZ964,$BF964+$BG964)</f>
        <v>0</v>
      </c>
      <c r="AS964" s="1">
        <f ca="1">IF(C964&lt;&gt;IF($C$3=1,12,$C$3-1),0,IF(繳費報酬率資料!$A$1&lt;&gt;1,VLOOKUP($A964,MP,8,0),IF(AND($A964&gt;=OP!$C$79,$A964&lt;=OP!$C$80),OP!$C$78,)))</f>
        <v>0</v>
      </c>
      <c r="AT964" s="298">
        <f t="shared" ca="1" si="528"/>
        <v>0</v>
      </c>
      <c r="AU964" s="298">
        <f ca="1">IF(AND(A964&lt;=OP!$C$120,COUNTIF(PAY,C964)=1),OP!$C$123,0)</f>
        <v>0</v>
      </c>
      <c r="AV964" s="298">
        <f ca="1">IF(AND(A964&gt;=OP!$C$132,A964&lt;=OP!$C$133,$C$3=C964),OP!$C$135,0)</f>
        <v>0</v>
      </c>
      <c r="AW964" s="180">
        <f t="shared" ca="1" si="529"/>
        <v>0.05</v>
      </c>
      <c r="AX964" s="180">
        <f t="shared" ca="1" si="530"/>
        <v>0.05</v>
      </c>
      <c r="AY964" s="286">
        <f t="shared" ca="1" si="531"/>
        <v>0</v>
      </c>
      <c r="AZ964" s="286">
        <f t="shared" ca="1" si="532"/>
        <v>0</v>
      </c>
      <c r="BA964" s="286">
        <f t="shared" ca="1" si="533"/>
        <v>0</v>
      </c>
      <c r="BB964" s="286">
        <f t="shared" ca="1" si="534"/>
        <v>0</v>
      </c>
      <c r="BC964" s="286">
        <f t="shared" ca="1" si="535"/>
        <v>0</v>
      </c>
      <c r="BD964" s="180">
        <f t="shared" ca="1" si="536"/>
        <v>0.05</v>
      </c>
      <c r="BE964" s="180">
        <f t="shared" ca="1" si="537"/>
        <v>0.05</v>
      </c>
      <c r="BF964" s="286">
        <f t="shared" ca="1" si="538"/>
        <v>0</v>
      </c>
      <c r="BG964" s="286">
        <f t="shared" ca="1" si="539"/>
        <v>0</v>
      </c>
    </row>
    <row r="965" spans="1:59">
      <c r="A965" s="1">
        <f t="shared" ref="A965:A1028" ca="1" si="554">IF(C965=$C$4,A964+1,A964)</f>
        <v>81</v>
      </c>
      <c r="B965" s="1">
        <f t="shared" ca="1" si="548"/>
        <v>186</v>
      </c>
      <c r="C965" s="1">
        <f t="shared" ca="1" si="549"/>
        <v>7</v>
      </c>
      <c r="D965" s="1">
        <f ca="1">MIN($D$3,VLOOKUP(C965,OP!$S$30:$T$41,2))</f>
        <v>2</v>
      </c>
      <c r="E965" s="1" t="str">
        <f t="shared" ca="1" si="550"/>
        <v/>
      </c>
      <c r="F965" s="11" t="str">
        <f t="shared" ref="F965:F1028" ca="1" si="555">IF(AND(DATE($E$3+1911,$F$3,$G$3)&gt;DATE(B965+1911,C965,D965),DATE($E$3+1911,$F$3,$G$3)&lt;=DATE(B966+1911,C966,D966)),"F","")</f>
        <v/>
      </c>
      <c r="G965" s="8">
        <f t="shared" ref="G965:G975" ca="1" si="556">G964</f>
        <v>365</v>
      </c>
      <c r="H965" s="8">
        <f t="shared" ref="H965:H1028" ca="1" si="557">DATEDIF(DATE(B965+1911,C965,D965),IF(F965="F",DATE($E$3+1911,$F$3,$G$3),DATE(B966+1911,C966,D966)),"d")</f>
        <v>31</v>
      </c>
      <c r="I965" s="8" t="str">
        <f t="shared" ca="1" si="553"/>
        <v>817</v>
      </c>
      <c r="J965" s="13">
        <f>IF(繳費報酬率資料!$A$1=1,VALUE(OP!$C$121),VLOOKUP(A965,MP,2,0))</f>
        <v>0.05</v>
      </c>
      <c r="K965" s="14">
        <f ca="1">IF(SUM($K$4:K964,IF(繳費報酬率資料!$A$1=1,$AU965+$AV965,$BB965+$BC965))&gt;OP!$L$58,0,IF(繳費報酬率資料!$A$1=1,$AU965+$AV965,$BB965+$BC965))</f>
        <v>0</v>
      </c>
      <c r="L965" s="2"/>
      <c r="M965" s="2"/>
      <c r="N965" s="2"/>
      <c r="O965" s="261">
        <f t="shared" ref="O965:O1028" ca="1" si="558">IF(K965=0,0,$AR965)</f>
        <v>0</v>
      </c>
      <c r="P965" s="261">
        <f t="shared" ca="1" si="540"/>
        <v>0</v>
      </c>
      <c r="Q965" s="3">
        <f ca="1">IF(A965&gt;MAX(OP!$R$17:$R$26),0,VLOOKUP(A965,fees,3,FALSE))</f>
        <v>0</v>
      </c>
      <c r="R965" s="200" t="str">
        <f t="shared" ref="R965:R1028" ca="1" si="559">IF(OR(C966&lt;&gt;$C$3,E965=""),"",A965)</f>
        <v/>
      </c>
      <c r="S965" s="9" t="str">
        <f ca="1">IF(COUNTIF(($T$4:T964),"F")&gt;=1,"",IF(OR(C966&lt;&gt;$C$3,E965=""),"",A965))</f>
        <v/>
      </c>
      <c r="T965" s="20" t="str">
        <f t="shared" ca="1" si="551"/>
        <v/>
      </c>
      <c r="U965" s="2">
        <f ca="1">IF(IF(OP!$C$83=1,$Z964,IF(OP!$C$83=2,$AA964,IF(OP!$C$83=3,$AB964,)))+$K965-$O965-$P965-$AS965&lt;OP!$C$142,0,$AS965)</f>
        <v>0</v>
      </c>
      <c r="V965" s="9"/>
      <c r="W965" s="19">
        <f ca="1">MAX(SUM($K$4:K965),0)</f>
        <v>2000000</v>
      </c>
      <c r="X965" s="19"/>
      <c r="Y965" s="19">
        <f t="shared" ca="1" si="541"/>
        <v>1920000</v>
      </c>
      <c r="Z965" s="2">
        <f ca="1">IF(MIN($Z$4:Z964)=0,0,MAX(0,($Z964+$K965-$O965-$P965)*IF(AND(F965="F",$D$3&lt;&gt;$G$3),((1+(-J965))^(H965/MIN(G965,365))),((1+(-J965))^(1/12)))-$U965))</f>
        <v>31439.593296641684</v>
      </c>
      <c r="AA965" s="2">
        <f ca="1">IF(MIN($AA$4:AA964)=0,0,MAX(0,($AA964+$K965-$O965-$P965)*IF(AND(F965="F",$D$3&lt;&gt;$G$3),((1+$AA$1)^(H965/MIN(G965,365))),((1+$AA$1)^(1/12)))-$U965))</f>
        <v>1920000</v>
      </c>
      <c r="AB965" s="2">
        <f ca="1">IF(MIN($AB$4:AB964)=0,0,MAX(0,($AB964+$K965-$O965-$P965)*IF(AND(F965="F",$D$3&lt;&gt;$G$3),((1+(J965))^(H965/MIN(G965,365))),((1+(J965))^(1/12)))-$U965))</f>
        <v>95934916.998270661</v>
      </c>
      <c r="AC965" s="5"/>
      <c r="AD965" s="5"/>
      <c r="AE965" s="5"/>
      <c r="AF965" s="282">
        <f t="shared" ref="AF965:AF1028" ca="1" si="560">ROUND(Z965*(1-$Q965),$AF$1)</f>
        <v>31440</v>
      </c>
      <c r="AG965" s="282">
        <f t="shared" ref="AG965:AG1028" ca="1" si="561">ROUND(AA965*(1-$Q965),$AF$1)</f>
        <v>1920000</v>
      </c>
      <c r="AH965" s="282">
        <f t="shared" ref="AH965:AH1028" ca="1" si="562">ROUND(AB965*(1-$Q965),$AF$1)</f>
        <v>95934917</v>
      </c>
      <c r="AI965" s="23" t="str">
        <f t="shared" ca="1" si="543"/>
        <v>81-3</v>
      </c>
      <c r="AJ965" s="282">
        <f ca="1">IF(E965&gt;111,,IF(AND(OP!$C$99=1,T965="F"),Z965,IF(AND(OP!$C$99=2,COUNTIF($T$4:T965,"F")=1),OP!$C$97+IF(F965="F",OP!$C$98,0),"")))</f>
        <v>0</v>
      </c>
      <c r="AK965" s="282">
        <f ca="1">IF(E965&gt;111,,IF(AND(OP!$D$99=1,T965="F"),AA965,IF(AND(OP!$D$99=2,COUNTIF($T$4:T965,"F")=1),OP!$D$97+IF(F965="F",OP!$D$98,0),"")))</f>
        <v>0</v>
      </c>
      <c r="AL965" s="282">
        <f ca="1">IF(E965&gt;111,,IF(AND(OP!$E$99=1,T965="F"),AB965,IF(AND(OP!$E$99=2,COUNTIF($T$4:T965,"F")=1),OP!$E$97+IF(F965="F",OP!$E$98,0),"")))</f>
        <v>0</v>
      </c>
      <c r="AM965" s="1">
        <f t="shared" ca="1" si="552"/>
        <v>3</v>
      </c>
      <c r="AN965" s="1" t="e">
        <f ca="1">IF(OR(VLOOKUP($A965,MP,5,0)="月繳"),1,"")</f>
        <v>#N/A</v>
      </c>
      <c r="AO965" s="1">
        <f t="shared" ref="AO965:AO1028" ca="1" si="563">IF(ISNA(VLOOKUP(A965,MP,2,0)),,IF(C965=$C$3,ROUND(VLOOKUP(A965,MP,4,0),0),0)+IF(AN965=1,ROUND(VLOOKUP(A965,MP,6,0),0),0))</f>
        <v>0</v>
      </c>
      <c r="AP965" s="1" t="str">
        <f ca="1">IF(AND(A965&lt;=OP!$C$120,COUNTIF(PAY,C965)=1),1,"")</f>
        <v/>
      </c>
      <c r="AR965" s="301">
        <f ca="1">IF(繳費報酬率資料!$A$1=1,$AY965+$AZ965,$BF965+$BG965)</f>
        <v>0</v>
      </c>
      <c r="AS965" s="1">
        <f ca="1">IF(C965&lt;&gt;IF($C$3=1,12,$C$3-1),0,IF(繳費報酬率資料!$A$1&lt;&gt;1,VLOOKUP($A965,MP,8,0),IF(AND($A965&gt;=OP!$C$79,$A965&lt;=OP!$C$80),OP!$C$78,)))</f>
        <v>0</v>
      </c>
      <c r="AT965" s="298">
        <f t="shared" ref="AT965:AT1028" ca="1" si="564">AU965+AV965</f>
        <v>0</v>
      </c>
      <c r="AU965" s="298">
        <f ca="1">IF(AND(A965&lt;=OP!$C$120,COUNTIF(PAY,C965)=1),OP!$C$123,0)</f>
        <v>0</v>
      </c>
      <c r="AV965" s="298">
        <f ca="1">IF(AND(A965&gt;=OP!$C$132,A965&lt;=OP!$C$133,$C$3=C965),OP!$C$135,0)</f>
        <v>0</v>
      </c>
      <c r="AW965" s="180">
        <f t="shared" ref="AW965:AW1028" ca="1" si="565">HLOOKUP(IF($AU965&lt;$AY$1,1,IF(AND($AU965&gt;=$AY$1,$AU965&lt;$AZ$1),2,IF(AND($AU965&gt;=$AZ$1,$AU965&lt;$BA$1),3,IF(AND($AU965&gt;=$BA$1),4,1)))),PR,2,0)</f>
        <v>0.05</v>
      </c>
      <c r="AX965" s="180">
        <f t="shared" ref="AX965:AX1028" ca="1" si="566">HLOOKUP(IF($AV965&lt;$AY$1,1,IF(AND($AV965&gt;=$AY$1,$AV965&lt;$AZ$1),2,IF(AND($AV965&gt;=$AZ$1,$AV965&lt;$BA$1),3,IF(AND($AV965&gt;=$BA$1),4,1)))),PR,2,0)</f>
        <v>0.05</v>
      </c>
      <c r="AY965" s="286">
        <f t="shared" ref="AY965:AY1028" ca="1" si="567">ROUND(AU965*AW965,0)</f>
        <v>0</v>
      </c>
      <c r="AZ965" s="286">
        <f t="shared" ref="AZ965:AZ1028" ca="1" si="568">ROUND(AV965*AX965,0)</f>
        <v>0</v>
      </c>
      <c r="BA965" s="286">
        <f t="shared" ref="BA965:BA1028" ca="1" si="569">BB965+BC965</f>
        <v>0</v>
      </c>
      <c r="BB965" s="286">
        <f t="shared" ref="BB965:BB1028" ca="1" si="570">IF(ISNA(VLOOKUP(A965,MP,2,0)),,IF(C965=$C$3,ROUND(VLOOKUP(A965,MP,6,0),0),0))</f>
        <v>0</v>
      </c>
      <c r="BC965" s="286">
        <f t="shared" ref="BC965:BC1028" ca="1" si="571">IF(ISNA(VLOOKUP(A965,MP,4,0)),,IF(AND(C965=$C$3,AN965=1),ROUND(VLOOKUP(A965,MP,4,0),0),0))</f>
        <v>0</v>
      </c>
      <c r="BD965" s="180">
        <f t="shared" ref="BD965:BD1028" ca="1" si="572">HLOOKUP(IF($BB965&lt;$AY$1,1,IF(AND($BB965&gt;=$AY$1,$BB965&lt;$AZ$1),2,IF(AND($BB965&gt;=$AZ$1,$BB965&lt;$BA$1),3,IF(AND($BB965&gt;=$BA$1),4,1)))),PR,2,0)</f>
        <v>0.05</v>
      </c>
      <c r="BE965" s="180">
        <f t="shared" ref="BE965:BE1028" ca="1" si="573">HLOOKUP(IF($BC965&lt;$AY$1,1,IF(AND($BC965&gt;=$AY$1,$BC965&lt;$AZ$1),2,IF(AND($BC965&gt;=$AZ$1,$BC965&lt;$BA$1),3,IF(AND($BC965&gt;=$BA$1),4,1)))),PR,2,0)</f>
        <v>0.05</v>
      </c>
      <c r="BF965" s="286">
        <f t="shared" ref="BF965:BF1028" ca="1" si="574">ROUND(BB965*BD965,0)</f>
        <v>0</v>
      </c>
      <c r="BG965" s="286">
        <f t="shared" ref="BG965:BG1028" ca="1" si="575">ROUND(BC965*BE965,0)</f>
        <v>0</v>
      </c>
    </row>
    <row r="966" spans="1:59">
      <c r="A966" s="1">
        <f t="shared" ca="1" si="554"/>
        <v>81</v>
      </c>
      <c r="B966" s="1">
        <f t="shared" ca="1" si="548"/>
        <v>186</v>
      </c>
      <c r="C966" s="1">
        <f t="shared" ca="1" si="549"/>
        <v>8</v>
      </c>
      <c r="D966" s="1">
        <f ca="1">MIN($D$3,VLOOKUP(C966,OP!$S$30:$T$41,2))</f>
        <v>2</v>
      </c>
      <c r="E966" s="1" t="str">
        <f t="shared" ca="1" si="550"/>
        <v/>
      </c>
      <c r="F966" s="11" t="str">
        <f t="shared" ca="1" si="555"/>
        <v/>
      </c>
      <c r="G966" s="8">
        <f t="shared" ca="1" si="556"/>
        <v>365</v>
      </c>
      <c r="H966" s="8">
        <f t="shared" ca="1" si="557"/>
        <v>31</v>
      </c>
      <c r="I966" s="8" t="str">
        <f t="shared" ca="1" si="553"/>
        <v>818</v>
      </c>
      <c r="J966" s="13">
        <f>IF(繳費報酬率資料!$A$1=1,VALUE(OP!$C$121),VLOOKUP(A966,MP,2,0))</f>
        <v>0.05</v>
      </c>
      <c r="K966" s="14">
        <f ca="1">IF(SUM($K$4:K965,IF(繳費報酬率資料!$A$1=1,$AU966+$AV966,$BB966+$BC966))&gt;OP!$L$58,0,IF(繳費報酬率資料!$A$1=1,$AU966+$AV966,$BB966+$BC966))</f>
        <v>0</v>
      </c>
      <c r="L966" s="2"/>
      <c r="M966" s="2"/>
      <c r="N966" s="2"/>
      <c r="O966" s="261">
        <f t="shared" ca="1" si="558"/>
        <v>0</v>
      </c>
      <c r="P966" s="261">
        <f t="shared" ref="P966:P1029" ca="1" si="576">IF(MAX(Z965:AB965)=0,0,P965)</f>
        <v>0</v>
      </c>
      <c r="Q966" s="3">
        <f ca="1">IF(A966&gt;MAX(OP!$R$17:$R$26),0,VLOOKUP(A966,fees,3,FALSE))</f>
        <v>0</v>
      </c>
      <c r="R966" s="200" t="str">
        <f t="shared" ca="1" si="559"/>
        <v/>
      </c>
      <c r="S966" s="9" t="str">
        <f ca="1">IF(COUNTIF(($T$4:T965),"F")&gt;=1,"",IF(OR(C967&lt;&gt;$C$3,E966=""),"",A966))</f>
        <v/>
      </c>
      <c r="T966" s="20" t="str">
        <f t="shared" ca="1" si="551"/>
        <v/>
      </c>
      <c r="U966" s="2">
        <f ca="1">IF(IF(OP!$C$83=1,$Z965,IF(OP!$C$83=2,$AA965,IF(OP!$C$83=3,$AB965,)))+$K966-$O966-$P966-$AS966&lt;OP!$C$142,0,$AS966)</f>
        <v>0</v>
      </c>
      <c r="V966" s="9"/>
      <c r="W966" s="19">
        <f ca="1">MAX(SUM($K$4:K966),0)</f>
        <v>2000000</v>
      </c>
      <c r="X966" s="19"/>
      <c r="Y966" s="19">
        <f t="shared" ref="Y966:Y1029" ca="1" si="577">Y965+K966-O966</f>
        <v>1920000</v>
      </c>
      <c r="Z966" s="2">
        <f ca="1">IF(MIN($Z$4:Z965)=0,0,MAX(0,($Z965+$K966-$O966-$P966)*IF(AND(F966="F",$D$3&lt;&gt;$G$3),((1+(-J966))^(H966/MIN(G966,365))),((1+(-J966))^(1/12)))-$U966))</f>
        <v>31305.493408994647</v>
      </c>
      <c r="AA966" s="2">
        <f ca="1">IF(MIN($AA$4:AA965)=0,0,MAX(0,($AA965+$K966-$O966-$P966)*IF(AND(F966="F",$D$3&lt;&gt;$G$3),((1+$AA$1)^(H966/MIN(G966,365))),((1+$AA$1)^(1/12)))-$U966))</f>
        <v>1920000</v>
      </c>
      <c r="AB966" s="2">
        <f ca="1">IF(MIN($AB$4:AB965)=0,0,MAX(0,($AB965+$K966-$O966-$P966)*IF(AND(F966="F",$D$3&lt;&gt;$G$3),((1+(J966))^(H966/MIN(G966,365))),((1+(J966))^(1/12)))-$U966))</f>
        <v>96325767.725295648</v>
      </c>
      <c r="AC966" s="5"/>
      <c r="AD966" s="5"/>
      <c r="AE966" s="5"/>
      <c r="AF966" s="282">
        <f t="shared" ca="1" si="560"/>
        <v>31305</v>
      </c>
      <c r="AG966" s="282">
        <f t="shared" ca="1" si="561"/>
        <v>1920000</v>
      </c>
      <c r="AH966" s="282">
        <f t="shared" ca="1" si="562"/>
        <v>96325768</v>
      </c>
      <c r="AI966" s="23" t="str">
        <f t="shared" ca="1" si="543"/>
        <v>81-4</v>
      </c>
      <c r="AJ966" s="282">
        <f ca="1">IF(E966&gt;111,,IF(AND(OP!$C$99=1,T966="F"),Z966,IF(AND(OP!$C$99=2,COUNTIF($T$4:T966,"F")=1),OP!$C$97+IF(F966="F",OP!$C$98,0),"")))</f>
        <v>0</v>
      </c>
      <c r="AK966" s="282">
        <f ca="1">IF(E966&gt;111,,IF(AND(OP!$D$99=1,T966="F"),AA966,IF(AND(OP!$D$99=2,COUNTIF($T$4:T966,"F")=1),OP!$D$97+IF(F966="F",OP!$D$98,0),"")))</f>
        <v>0</v>
      </c>
      <c r="AL966" s="282">
        <f ca="1">IF(E966&gt;111,,IF(AND(OP!$E$99=1,T966="F"),AB966,IF(AND(OP!$E$99=2,COUNTIF($T$4:T966,"F")=1),OP!$E$97+IF(F966="F",OP!$E$98,0),"")))</f>
        <v>0</v>
      </c>
      <c r="AM966" s="1">
        <f t="shared" ca="1" si="552"/>
        <v>4</v>
      </c>
      <c r="AN966" s="1" t="e">
        <f ca="1">IF(OR(VLOOKUP($A966,MP,5,0)="月繳"),1,"")</f>
        <v>#N/A</v>
      </c>
      <c r="AO966" s="1">
        <f t="shared" ca="1" si="563"/>
        <v>0</v>
      </c>
      <c r="AP966" s="1" t="str">
        <f ca="1">IF(AND(A966&lt;=OP!$C$120,COUNTIF(PAY,C966)=1),1,"")</f>
        <v/>
      </c>
      <c r="AR966" s="301">
        <f ca="1">IF(繳費報酬率資料!$A$1=1,$AY966+$AZ966,$BF966+$BG966)</f>
        <v>0</v>
      </c>
      <c r="AS966" s="1">
        <f ca="1">IF(C966&lt;&gt;IF($C$3=1,12,$C$3-1),0,IF(繳費報酬率資料!$A$1&lt;&gt;1,VLOOKUP($A966,MP,8,0),IF(AND($A966&gt;=OP!$C$79,$A966&lt;=OP!$C$80),OP!$C$78,)))</f>
        <v>0</v>
      </c>
      <c r="AT966" s="298">
        <f t="shared" ca="1" si="564"/>
        <v>0</v>
      </c>
      <c r="AU966" s="298">
        <f ca="1">IF(AND(A966&lt;=OP!$C$120,COUNTIF(PAY,C966)=1),OP!$C$123,0)</f>
        <v>0</v>
      </c>
      <c r="AV966" s="298">
        <f ca="1">IF(AND(A966&gt;=OP!$C$132,A966&lt;=OP!$C$133,$C$3=C966),OP!$C$135,0)</f>
        <v>0</v>
      </c>
      <c r="AW966" s="180">
        <f t="shared" ca="1" si="565"/>
        <v>0.05</v>
      </c>
      <c r="AX966" s="180">
        <f t="shared" ca="1" si="566"/>
        <v>0.05</v>
      </c>
      <c r="AY966" s="286">
        <f t="shared" ca="1" si="567"/>
        <v>0</v>
      </c>
      <c r="AZ966" s="286">
        <f t="shared" ca="1" si="568"/>
        <v>0</v>
      </c>
      <c r="BA966" s="286">
        <f t="shared" ca="1" si="569"/>
        <v>0</v>
      </c>
      <c r="BB966" s="286">
        <f t="shared" ca="1" si="570"/>
        <v>0</v>
      </c>
      <c r="BC966" s="286">
        <f t="shared" ca="1" si="571"/>
        <v>0</v>
      </c>
      <c r="BD966" s="180">
        <f t="shared" ca="1" si="572"/>
        <v>0.05</v>
      </c>
      <c r="BE966" s="180">
        <f t="shared" ca="1" si="573"/>
        <v>0.05</v>
      </c>
      <c r="BF966" s="286">
        <f t="shared" ca="1" si="574"/>
        <v>0</v>
      </c>
      <c r="BG966" s="286">
        <f t="shared" ca="1" si="575"/>
        <v>0</v>
      </c>
    </row>
    <row r="967" spans="1:59">
      <c r="A967" s="1">
        <f t="shared" ca="1" si="554"/>
        <v>81</v>
      </c>
      <c r="B967" s="1">
        <f t="shared" ca="1" si="548"/>
        <v>186</v>
      </c>
      <c r="C967" s="1">
        <f t="shared" ca="1" si="549"/>
        <v>9</v>
      </c>
      <c r="D967" s="1">
        <f ca="1">MIN($D$3,VLOOKUP(C967,OP!$S$30:$T$41,2))</f>
        <v>2</v>
      </c>
      <c r="E967" s="1" t="str">
        <f t="shared" ca="1" si="550"/>
        <v/>
      </c>
      <c r="F967" s="11" t="str">
        <f t="shared" ca="1" si="555"/>
        <v/>
      </c>
      <c r="G967" s="8">
        <f t="shared" ca="1" si="556"/>
        <v>365</v>
      </c>
      <c r="H967" s="8">
        <f t="shared" ca="1" si="557"/>
        <v>30</v>
      </c>
      <c r="I967" s="8" t="str">
        <f t="shared" ca="1" si="553"/>
        <v>819</v>
      </c>
      <c r="J967" s="13">
        <f>IF(繳費報酬率資料!$A$1=1,VALUE(OP!$C$121),VLOOKUP(A967,MP,2,0))</f>
        <v>0.05</v>
      </c>
      <c r="K967" s="14">
        <f ca="1">IF(SUM($K$4:K966,IF(繳費報酬率資料!$A$1=1,$AU967+$AV967,$BB967+$BC967))&gt;OP!$L$58,0,IF(繳費報酬率資料!$A$1=1,$AU967+$AV967,$BB967+$BC967))</f>
        <v>0</v>
      </c>
      <c r="L967" s="2"/>
      <c r="M967" s="2"/>
      <c r="N967" s="2"/>
      <c r="O967" s="261">
        <f t="shared" ca="1" si="558"/>
        <v>0</v>
      </c>
      <c r="P967" s="261">
        <f t="shared" ca="1" si="576"/>
        <v>0</v>
      </c>
      <c r="Q967" s="3">
        <f ca="1">IF(A967&gt;MAX(OP!$R$17:$R$26),0,VLOOKUP(A967,fees,3,FALSE))</f>
        <v>0</v>
      </c>
      <c r="R967" s="200" t="str">
        <f t="shared" ca="1" si="559"/>
        <v/>
      </c>
      <c r="S967" s="9" t="str">
        <f ca="1">IF(COUNTIF(($T$4:T966),"F")&gt;=1,"",IF(OR(C968&lt;&gt;$C$3,E967=""),"",A967))</f>
        <v/>
      </c>
      <c r="T967" s="20" t="str">
        <f t="shared" ca="1" si="551"/>
        <v/>
      </c>
      <c r="U967" s="2">
        <f ca="1">IF(IF(OP!$C$83=1,$Z966,IF(OP!$C$83=2,$AA966,IF(OP!$C$83=3,$AB966,)))+$K967-$O967-$P967-$AS967&lt;OP!$C$142,0,$AS967)</f>
        <v>0</v>
      </c>
      <c r="V967" s="9"/>
      <c r="W967" s="19">
        <f ca="1">MAX(SUM($K$4:K967),0)</f>
        <v>2000000</v>
      </c>
      <c r="X967" s="19"/>
      <c r="Y967" s="19">
        <f t="shared" ca="1" si="577"/>
        <v>1920000</v>
      </c>
      <c r="Z967" s="2">
        <f ca="1">IF(MIN($Z$4:Z966)=0,0,MAX(0,($Z966+$K967-$O967-$P967)*IF(AND(F967="F",$D$3&lt;&gt;$G$3),((1+(-J967))^(H967/MIN(G967,365))),((1+(-J967))^(1/12)))-$U967))</f>
        <v>31171.965500116461</v>
      </c>
      <c r="AA967" s="2">
        <f ca="1">IF(MIN($AA$4:AA966)=0,0,MAX(0,($AA966+$K967-$O967-$P967)*IF(AND(F967="F",$D$3&lt;&gt;$G$3),((1+$AA$1)^(H967/MIN(G967,365))),((1+$AA$1)^(1/12)))-$U967))</f>
        <v>1920000</v>
      </c>
      <c r="AB967" s="2">
        <f ca="1">IF(MIN($AB$4:AB966)=0,0,MAX(0,($AB966+$K967-$O967-$P967)*IF(AND(F967="F",$D$3&lt;&gt;$G$3),((1+(J967))^(H967/MIN(G967,365))),((1+(J967))^(1/12)))-$U967))</f>
        <v>96718210.826563463</v>
      </c>
      <c r="AC967" s="5"/>
      <c r="AD967" s="5"/>
      <c r="AE967" s="5"/>
      <c r="AF967" s="282">
        <f t="shared" ca="1" si="560"/>
        <v>31172</v>
      </c>
      <c r="AG967" s="282">
        <f t="shared" ca="1" si="561"/>
        <v>1920000</v>
      </c>
      <c r="AH967" s="282">
        <f t="shared" ca="1" si="562"/>
        <v>96718211</v>
      </c>
      <c r="AI967" s="23" t="str">
        <f t="shared" ca="1" si="543"/>
        <v>81-5</v>
      </c>
      <c r="AJ967" s="282">
        <f ca="1">IF(E967&gt;111,,IF(AND(OP!$C$99=1,T967="F"),Z967,IF(AND(OP!$C$99=2,COUNTIF($T$4:T967,"F")=1),OP!$C$97+IF(F967="F",OP!$C$98,0),"")))</f>
        <v>0</v>
      </c>
      <c r="AK967" s="282">
        <f ca="1">IF(E967&gt;111,,IF(AND(OP!$D$99=1,T967="F"),AA967,IF(AND(OP!$D$99=2,COUNTIF($T$4:T967,"F")=1),OP!$D$97+IF(F967="F",OP!$D$98,0),"")))</f>
        <v>0</v>
      </c>
      <c r="AL967" s="282">
        <f ca="1">IF(E967&gt;111,,IF(AND(OP!$E$99=1,T967="F"),AB967,IF(AND(OP!$E$99=2,COUNTIF($T$4:T967,"F")=1),OP!$E$97+IF(F967="F",OP!$E$98,0),"")))</f>
        <v>0</v>
      </c>
      <c r="AM967" s="1">
        <f t="shared" ca="1" si="552"/>
        <v>5</v>
      </c>
      <c r="AN967" s="1" t="e">
        <f ca="1">IF(OR(VLOOKUP($A967,MP,5,0)="季繳",VLOOKUP($A967,MP,5,0)="月繳"),1,"")</f>
        <v>#N/A</v>
      </c>
      <c r="AO967" s="1">
        <f t="shared" ca="1" si="563"/>
        <v>0</v>
      </c>
      <c r="AP967" s="1" t="str">
        <f ca="1">IF(AND(A967&lt;=OP!$C$120,COUNTIF(PAY,C967)=1),1,"")</f>
        <v/>
      </c>
      <c r="AR967" s="301">
        <f ca="1">IF(繳費報酬率資料!$A$1=1,$AY967+$AZ967,$BF967+$BG967)</f>
        <v>0</v>
      </c>
      <c r="AS967" s="1">
        <f ca="1">IF(C967&lt;&gt;IF($C$3=1,12,$C$3-1),0,IF(繳費報酬率資料!$A$1&lt;&gt;1,VLOOKUP($A967,MP,8,0),IF(AND($A967&gt;=OP!$C$79,$A967&lt;=OP!$C$80),OP!$C$78,)))</f>
        <v>0</v>
      </c>
      <c r="AT967" s="298">
        <f t="shared" ca="1" si="564"/>
        <v>0</v>
      </c>
      <c r="AU967" s="298">
        <f ca="1">IF(AND(A967&lt;=OP!$C$120,COUNTIF(PAY,C967)=1),OP!$C$123,0)</f>
        <v>0</v>
      </c>
      <c r="AV967" s="298">
        <f ca="1">IF(AND(A967&gt;=OP!$C$132,A967&lt;=OP!$C$133,$C$3=C967),OP!$C$135,0)</f>
        <v>0</v>
      </c>
      <c r="AW967" s="180">
        <f t="shared" ca="1" si="565"/>
        <v>0.05</v>
      </c>
      <c r="AX967" s="180">
        <f t="shared" ca="1" si="566"/>
        <v>0.05</v>
      </c>
      <c r="AY967" s="286">
        <f t="shared" ca="1" si="567"/>
        <v>0</v>
      </c>
      <c r="AZ967" s="286">
        <f t="shared" ca="1" si="568"/>
        <v>0</v>
      </c>
      <c r="BA967" s="286">
        <f t="shared" ca="1" si="569"/>
        <v>0</v>
      </c>
      <c r="BB967" s="286">
        <f t="shared" ca="1" si="570"/>
        <v>0</v>
      </c>
      <c r="BC967" s="286">
        <f t="shared" ca="1" si="571"/>
        <v>0</v>
      </c>
      <c r="BD967" s="180">
        <f t="shared" ca="1" si="572"/>
        <v>0.05</v>
      </c>
      <c r="BE967" s="180">
        <f t="shared" ca="1" si="573"/>
        <v>0.05</v>
      </c>
      <c r="BF967" s="286">
        <f t="shared" ca="1" si="574"/>
        <v>0</v>
      </c>
      <c r="BG967" s="286">
        <f t="shared" ca="1" si="575"/>
        <v>0</v>
      </c>
    </row>
    <row r="968" spans="1:59">
      <c r="A968" s="1">
        <f t="shared" ca="1" si="554"/>
        <v>81</v>
      </c>
      <c r="B968" s="1">
        <f t="shared" ca="1" si="548"/>
        <v>186</v>
      </c>
      <c r="C968" s="1">
        <f t="shared" ca="1" si="549"/>
        <v>10</v>
      </c>
      <c r="D968" s="1">
        <f ca="1">MIN($D$3,VLOOKUP(C968,OP!$S$30:$T$41,2))</f>
        <v>2</v>
      </c>
      <c r="E968" s="1" t="str">
        <f t="shared" ca="1" si="550"/>
        <v/>
      </c>
      <c r="F968" s="11" t="str">
        <f t="shared" ca="1" si="555"/>
        <v/>
      </c>
      <c r="G968" s="8">
        <f t="shared" ca="1" si="556"/>
        <v>365</v>
      </c>
      <c r="H968" s="8">
        <f t="shared" ca="1" si="557"/>
        <v>31</v>
      </c>
      <c r="I968" s="8" t="str">
        <f t="shared" ca="1" si="553"/>
        <v>8110</v>
      </c>
      <c r="J968" s="13">
        <f>IF(繳費報酬率資料!$A$1=1,VALUE(OP!$C$121),VLOOKUP(A968,MP,2,0))</f>
        <v>0.05</v>
      </c>
      <c r="K968" s="14">
        <f ca="1">IF(SUM($K$4:K967,IF(繳費報酬率資料!$A$1=1,$AU968+$AV968,$BB968+$BC968))&gt;OP!$L$58,0,IF(繳費報酬率資料!$A$1=1,$AU968+$AV968,$BB968+$BC968))</f>
        <v>0</v>
      </c>
      <c r="L968" s="2"/>
      <c r="M968" s="2"/>
      <c r="N968" s="2"/>
      <c r="O968" s="261">
        <f t="shared" ca="1" si="558"/>
        <v>0</v>
      </c>
      <c r="P968" s="261">
        <f t="shared" ca="1" si="576"/>
        <v>0</v>
      </c>
      <c r="Q968" s="3">
        <f ca="1">IF(A968&gt;MAX(OP!$R$17:$R$26),0,VLOOKUP(A968,fees,3,FALSE))</f>
        <v>0</v>
      </c>
      <c r="R968" s="200" t="str">
        <f t="shared" ca="1" si="559"/>
        <v/>
      </c>
      <c r="S968" s="9" t="str">
        <f ca="1">IF(COUNTIF(($T$4:T967),"F")&gt;=1,"",IF(OR(C969&lt;&gt;$C$3,E968=""),"",A968))</f>
        <v/>
      </c>
      <c r="T968" s="20" t="str">
        <f t="shared" ca="1" si="551"/>
        <v/>
      </c>
      <c r="U968" s="2">
        <f ca="1">IF(IF(OP!$C$83=1,$Z967,IF(OP!$C$83=2,$AA967,IF(OP!$C$83=3,$AB967,)))+$K968-$O968-$P968-$AS968&lt;OP!$C$142,0,$AS968)</f>
        <v>0</v>
      </c>
      <c r="V968" s="9"/>
      <c r="W968" s="19">
        <f ca="1">MAX(SUM($K$4:K968),0)</f>
        <v>2000000</v>
      </c>
      <c r="X968" s="19"/>
      <c r="Y968" s="19">
        <f t="shared" ca="1" si="577"/>
        <v>1920000</v>
      </c>
      <c r="Z968" s="2">
        <f ca="1">IF(MIN($Z$4:Z967)=0,0,MAX(0,($Z967+$K968-$O968-$P968)*IF(AND(F968="F",$D$3&lt;&gt;$G$3),((1+(-J968))^(H968/MIN(G968,365))),((1+(-J968))^(1/12)))-$U968))</f>
        <v>31039.007130335343</v>
      </c>
      <c r="AA968" s="2">
        <f ca="1">IF(MIN($AA$4:AA967)=0,0,MAX(0,($AA967+$K968-$O968-$P968)*IF(AND(F968="F",$D$3&lt;&gt;$G$3),((1+$AA$1)^(H968/MIN(G968,365))),((1+$AA$1)^(1/12)))-$U968))</f>
        <v>1920000</v>
      </c>
      <c r="AB968" s="2">
        <f ca="1">IF(MIN($AB$4:AB967)=0,0,MAX(0,($AB967+$K968-$O968-$P968)*IF(AND(F968="F",$D$3&lt;&gt;$G$3),((1+(J968))^(H968/MIN(G968,365))),((1+(J968))^(1/12)))-$U968))</f>
        <v>97112252.789603874</v>
      </c>
      <c r="AC968" s="5"/>
      <c r="AD968" s="5"/>
      <c r="AE968" s="5"/>
      <c r="AF968" s="282">
        <f t="shared" ca="1" si="560"/>
        <v>31039</v>
      </c>
      <c r="AG968" s="282">
        <f t="shared" ca="1" si="561"/>
        <v>1920000</v>
      </c>
      <c r="AH968" s="282">
        <f t="shared" ca="1" si="562"/>
        <v>97112253</v>
      </c>
      <c r="AI968" s="23" t="str">
        <f t="shared" ca="1" si="543"/>
        <v>81-6</v>
      </c>
      <c r="AJ968" s="282">
        <f ca="1">IF(E968&gt;111,,IF(AND(OP!$C$99=1,T968="F"),Z968,IF(AND(OP!$C$99=2,COUNTIF($T$4:T968,"F")=1),OP!$C$97+IF(F968="F",OP!$C$98,0),"")))</f>
        <v>0</v>
      </c>
      <c r="AK968" s="282">
        <f ca="1">IF(E968&gt;111,,IF(AND(OP!$D$99=1,T968="F"),AA968,IF(AND(OP!$D$99=2,COUNTIF($T$4:T968,"F")=1),OP!$D$97+IF(F968="F",OP!$D$98,0),"")))</f>
        <v>0</v>
      </c>
      <c r="AL968" s="282">
        <f ca="1">IF(E968&gt;111,,IF(AND(OP!$E$99=1,T968="F"),AB968,IF(AND(OP!$E$99=2,COUNTIF($T$4:T968,"F")=1),OP!$E$97+IF(F968="F",OP!$E$98,0),"")))</f>
        <v>0</v>
      </c>
      <c r="AM968" s="1">
        <f t="shared" ca="1" si="552"/>
        <v>6</v>
      </c>
      <c r="AN968" s="1" t="e">
        <f ca="1">IF(OR(VLOOKUP($A968,MP,5,0)="月繳"),1,"")</f>
        <v>#N/A</v>
      </c>
      <c r="AO968" s="1">
        <f t="shared" ca="1" si="563"/>
        <v>0</v>
      </c>
      <c r="AP968" s="1" t="str">
        <f ca="1">IF(AND(A968&lt;=OP!$C$120,COUNTIF(PAY,C968)=1),1,"")</f>
        <v/>
      </c>
      <c r="AR968" s="301">
        <f ca="1">IF(繳費報酬率資料!$A$1=1,$AY968+$AZ968,$BF968+$BG968)</f>
        <v>0</v>
      </c>
      <c r="AS968" s="1">
        <f ca="1">IF(C968&lt;&gt;IF($C$3=1,12,$C$3-1),0,IF(繳費報酬率資料!$A$1&lt;&gt;1,VLOOKUP($A968,MP,8,0),IF(AND($A968&gt;=OP!$C$79,$A968&lt;=OP!$C$80),OP!$C$78,)))</f>
        <v>0</v>
      </c>
      <c r="AT968" s="298">
        <f t="shared" ca="1" si="564"/>
        <v>0</v>
      </c>
      <c r="AU968" s="298">
        <f ca="1">IF(AND(A968&lt;=OP!$C$120,COUNTIF(PAY,C968)=1),OP!$C$123,0)</f>
        <v>0</v>
      </c>
      <c r="AV968" s="298">
        <f ca="1">IF(AND(A968&gt;=OP!$C$132,A968&lt;=OP!$C$133,$C$3=C968),OP!$C$135,0)</f>
        <v>0</v>
      </c>
      <c r="AW968" s="180">
        <f t="shared" ca="1" si="565"/>
        <v>0.05</v>
      </c>
      <c r="AX968" s="180">
        <f t="shared" ca="1" si="566"/>
        <v>0.05</v>
      </c>
      <c r="AY968" s="286">
        <f t="shared" ca="1" si="567"/>
        <v>0</v>
      </c>
      <c r="AZ968" s="286">
        <f t="shared" ca="1" si="568"/>
        <v>0</v>
      </c>
      <c r="BA968" s="286">
        <f t="shared" ca="1" si="569"/>
        <v>0</v>
      </c>
      <c r="BB968" s="286">
        <f t="shared" ca="1" si="570"/>
        <v>0</v>
      </c>
      <c r="BC968" s="286">
        <f t="shared" ca="1" si="571"/>
        <v>0</v>
      </c>
      <c r="BD968" s="180">
        <f t="shared" ca="1" si="572"/>
        <v>0.05</v>
      </c>
      <c r="BE968" s="180">
        <f t="shared" ca="1" si="573"/>
        <v>0.05</v>
      </c>
      <c r="BF968" s="286">
        <f t="shared" ca="1" si="574"/>
        <v>0</v>
      </c>
      <c r="BG968" s="286">
        <f t="shared" ca="1" si="575"/>
        <v>0</v>
      </c>
    </row>
    <row r="969" spans="1:59">
      <c r="A969" s="1">
        <f t="shared" ca="1" si="554"/>
        <v>81</v>
      </c>
      <c r="B969" s="1">
        <f t="shared" ca="1" si="548"/>
        <v>186</v>
      </c>
      <c r="C969" s="1">
        <f t="shared" ca="1" si="549"/>
        <v>11</v>
      </c>
      <c r="D969" s="1">
        <f ca="1">MIN($D$3,VLOOKUP(C969,OP!$S$30:$T$41,2))</f>
        <v>2</v>
      </c>
      <c r="E969" s="1" t="str">
        <f t="shared" ca="1" si="550"/>
        <v/>
      </c>
      <c r="F969" s="11" t="str">
        <f t="shared" ca="1" si="555"/>
        <v/>
      </c>
      <c r="G969" s="8">
        <f t="shared" ca="1" si="556"/>
        <v>365</v>
      </c>
      <c r="H969" s="8">
        <f t="shared" ca="1" si="557"/>
        <v>30</v>
      </c>
      <c r="I969" s="8" t="str">
        <f t="shared" ca="1" si="553"/>
        <v>8111</v>
      </c>
      <c r="J969" s="13">
        <f>IF(繳費報酬率資料!$A$1=1,VALUE(OP!$C$121),VLOOKUP(A969,MP,2,0))</f>
        <v>0.05</v>
      </c>
      <c r="K969" s="14">
        <f ca="1">IF(SUM($K$4:K968,IF(繳費報酬率資料!$A$1=1,$AU969+$AV969,$BB969+$BC969))&gt;OP!$L$58,0,IF(繳費報酬率資料!$A$1=1,$AU969+$AV969,$BB969+$BC969))</f>
        <v>0</v>
      </c>
      <c r="L969" s="2"/>
      <c r="M969" s="2"/>
      <c r="N969" s="2"/>
      <c r="O969" s="261">
        <f t="shared" ca="1" si="558"/>
        <v>0</v>
      </c>
      <c r="P969" s="261">
        <f t="shared" ca="1" si="576"/>
        <v>0</v>
      </c>
      <c r="Q969" s="3">
        <f ca="1">IF(A969&gt;MAX(OP!$R$17:$R$26),0,VLOOKUP(A969,fees,3,FALSE))</f>
        <v>0</v>
      </c>
      <c r="R969" s="200" t="str">
        <f t="shared" ca="1" si="559"/>
        <v/>
      </c>
      <c r="S969" s="9" t="str">
        <f ca="1">IF(COUNTIF(($T$4:T968),"F")&gt;=1,"",IF(OR(C970&lt;&gt;$C$3,E969=""),"",A969))</f>
        <v/>
      </c>
      <c r="T969" s="20" t="str">
        <f t="shared" ca="1" si="551"/>
        <v/>
      </c>
      <c r="U969" s="2">
        <f ca="1">IF(IF(OP!$C$83=1,$Z968,IF(OP!$C$83=2,$AA968,IF(OP!$C$83=3,$AB968,)))+$K969-$O969-$P969-$AS969&lt;OP!$C$142,0,$AS969)</f>
        <v>0</v>
      </c>
      <c r="V969" s="9"/>
      <c r="W969" s="19">
        <f ca="1">MAX(SUM($K$4:K969),0)</f>
        <v>2000000</v>
      </c>
      <c r="X969" s="19"/>
      <c r="Y969" s="19">
        <f t="shared" ca="1" si="577"/>
        <v>1920000</v>
      </c>
      <c r="Z969" s="2">
        <f ca="1">IF(MIN($Z$4:Z968)=0,0,MAX(0,($Z968+$K969-$O969-$P969)*IF(AND(F969="F",$D$3&lt;&gt;$G$3),((1+(-J969))^(H969/MIN(G969,365))),((1+(-J969))^(1/12)))-$U969))</f>
        <v>30906.615870385485</v>
      </c>
      <c r="AA969" s="2">
        <f ca="1">IF(MIN($AA$4:AA968)=0,0,MAX(0,($AA968+$K969-$O969-$P969)*IF(AND(F969="F",$D$3&lt;&gt;$G$3),((1+$AA$1)^(H969/MIN(G969,365))),((1+$AA$1)^(1/12)))-$U969))</f>
        <v>1920000</v>
      </c>
      <c r="AB969" s="2">
        <f ca="1">IF(MIN($AB$4:AB968)=0,0,MAX(0,($AB968+$K969-$O969-$P969)*IF(AND(F969="F",$D$3&lt;&gt;$G$3),((1+(J969))^(H969/MIN(G969,365))),((1+(J969))^(1/12)))-$U969))</f>
        <v>97507900.128377676</v>
      </c>
      <c r="AC969" s="5"/>
      <c r="AD969" s="5"/>
      <c r="AE969" s="5"/>
      <c r="AF969" s="282">
        <f t="shared" ca="1" si="560"/>
        <v>30907</v>
      </c>
      <c r="AG969" s="282">
        <f t="shared" ca="1" si="561"/>
        <v>1920000</v>
      </c>
      <c r="AH969" s="282">
        <f t="shared" ca="1" si="562"/>
        <v>97507900</v>
      </c>
      <c r="AI969" s="23" t="str">
        <f t="shared" ca="1" si="543"/>
        <v>81-7</v>
      </c>
      <c r="AJ969" s="282">
        <f ca="1">IF(E969&gt;111,,IF(AND(OP!$C$99=1,T969="F"),Z969,IF(AND(OP!$C$99=2,COUNTIF($T$4:T969,"F")=1),OP!$C$97+IF(F969="F",OP!$C$98,0),"")))</f>
        <v>0</v>
      </c>
      <c r="AK969" s="282">
        <f ca="1">IF(E969&gt;111,,IF(AND(OP!$D$99=1,T969="F"),AA969,IF(AND(OP!$D$99=2,COUNTIF($T$4:T969,"F")=1),OP!$D$97+IF(F969="F",OP!$D$98,0),"")))</f>
        <v>0</v>
      </c>
      <c r="AL969" s="282">
        <f ca="1">IF(E969&gt;111,,IF(AND(OP!$E$99=1,T969="F"),AB969,IF(AND(OP!$E$99=2,COUNTIF($T$4:T969,"F")=1),OP!$E$97+IF(F969="F",OP!$E$98,0),"")))</f>
        <v>0</v>
      </c>
      <c r="AM969" s="1">
        <f t="shared" ca="1" si="552"/>
        <v>7</v>
      </c>
      <c r="AN969" s="1" t="e">
        <f ca="1">IF(OR(VLOOKUP($A969,MP,5,0)="月繳"),1,"")</f>
        <v>#N/A</v>
      </c>
      <c r="AO969" s="1">
        <f t="shared" ca="1" si="563"/>
        <v>0</v>
      </c>
      <c r="AP969" s="1" t="str">
        <f ca="1">IF(AND(A969&lt;=OP!$C$120,COUNTIF(PAY,C969)=1),1,"")</f>
        <v/>
      </c>
      <c r="AR969" s="301">
        <f ca="1">IF(繳費報酬率資料!$A$1=1,$AY969+$AZ969,$BF969+$BG969)</f>
        <v>0</v>
      </c>
      <c r="AS969" s="1">
        <f ca="1">IF(C969&lt;&gt;IF($C$3=1,12,$C$3-1),0,IF(繳費報酬率資料!$A$1&lt;&gt;1,VLOOKUP($A969,MP,8,0),IF(AND($A969&gt;=OP!$C$79,$A969&lt;=OP!$C$80),OP!$C$78,)))</f>
        <v>0</v>
      </c>
      <c r="AT969" s="298">
        <f t="shared" ca="1" si="564"/>
        <v>0</v>
      </c>
      <c r="AU969" s="298">
        <f ca="1">IF(AND(A969&lt;=OP!$C$120,COUNTIF(PAY,C969)=1),OP!$C$123,0)</f>
        <v>0</v>
      </c>
      <c r="AV969" s="298">
        <f ca="1">IF(AND(A969&gt;=OP!$C$132,A969&lt;=OP!$C$133,$C$3=C969),OP!$C$135,0)</f>
        <v>0</v>
      </c>
      <c r="AW969" s="180">
        <f t="shared" ca="1" si="565"/>
        <v>0.05</v>
      </c>
      <c r="AX969" s="180">
        <f t="shared" ca="1" si="566"/>
        <v>0.05</v>
      </c>
      <c r="AY969" s="286">
        <f t="shared" ca="1" si="567"/>
        <v>0</v>
      </c>
      <c r="AZ969" s="286">
        <f t="shared" ca="1" si="568"/>
        <v>0</v>
      </c>
      <c r="BA969" s="286">
        <f t="shared" ca="1" si="569"/>
        <v>0</v>
      </c>
      <c r="BB969" s="286">
        <f t="shared" ca="1" si="570"/>
        <v>0</v>
      </c>
      <c r="BC969" s="286">
        <f t="shared" ca="1" si="571"/>
        <v>0</v>
      </c>
      <c r="BD969" s="180">
        <f t="shared" ca="1" si="572"/>
        <v>0.05</v>
      </c>
      <c r="BE969" s="180">
        <f t="shared" ca="1" si="573"/>
        <v>0.05</v>
      </c>
      <c r="BF969" s="286">
        <f t="shared" ca="1" si="574"/>
        <v>0</v>
      </c>
      <c r="BG969" s="286">
        <f t="shared" ca="1" si="575"/>
        <v>0</v>
      </c>
    </row>
    <row r="970" spans="1:59">
      <c r="A970" s="1">
        <f t="shared" ca="1" si="554"/>
        <v>81</v>
      </c>
      <c r="B970" s="1">
        <f t="shared" ca="1" si="548"/>
        <v>186</v>
      </c>
      <c r="C970" s="1">
        <f t="shared" ca="1" si="549"/>
        <v>12</v>
      </c>
      <c r="D970" s="1">
        <f ca="1">MIN($D$3,VLOOKUP(C970,OP!$S$30:$T$41,2))</f>
        <v>2</v>
      </c>
      <c r="E970" s="1" t="str">
        <f t="shared" ca="1" si="550"/>
        <v/>
      </c>
      <c r="F970" s="11" t="str">
        <f t="shared" ca="1" si="555"/>
        <v/>
      </c>
      <c r="G970" s="8">
        <f t="shared" ca="1" si="556"/>
        <v>365</v>
      </c>
      <c r="H970" s="8">
        <f t="shared" ca="1" si="557"/>
        <v>31</v>
      </c>
      <c r="I970" s="8" t="str">
        <f t="shared" ca="1" si="553"/>
        <v>8112</v>
      </c>
      <c r="J970" s="13">
        <f>IF(繳費報酬率資料!$A$1=1,VALUE(OP!$C$121),VLOOKUP(A970,MP,2,0))</f>
        <v>0.05</v>
      </c>
      <c r="K970" s="14">
        <f ca="1">IF(SUM($K$4:K969,IF(繳費報酬率資料!$A$1=1,$AU970+$AV970,$BB970+$BC970))&gt;OP!$L$58,0,IF(繳費報酬率資料!$A$1=1,$AU970+$AV970,$BB970+$BC970))</f>
        <v>0</v>
      </c>
      <c r="L970" s="2"/>
      <c r="M970" s="2"/>
      <c r="N970" s="2"/>
      <c r="O970" s="261">
        <f t="shared" ca="1" si="558"/>
        <v>0</v>
      </c>
      <c r="P970" s="261">
        <f t="shared" ca="1" si="576"/>
        <v>0</v>
      </c>
      <c r="Q970" s="3">
        <f ca="1">IF(A970&gt;MAX(OP!$R$17:$R$26),0,VLOOKUP(A970,fees,3,FALSE))</f>
        <v>0</v>
      </c>
      <c r="R970" s="200" t="str">
        <f t="shared" ca="1" si="559"/>
        <v/>
      </c>
      <c r="S970" s="9" t="str">
        <f ca="1">IF(COUNTIF(($T$4:T969),"F")&gt;=1,"",IF(OR(C971&lt;&gt;$C$3,E970=""),"",A970))</f>
        <v/>
      </c>
      <c r="T970" s="20" t="str">
        <f t="shared" ca="1" si="551"/>
        <v/>
      </c>
      <c r="U970" s="2">
        <f ca="1">IF(IF(OP!$C$83=1,$Z969,IF(OP!$C$83=2,$AA969,IF(OP!$C$83=3,$AB969,)))+$K970-$O970-$P970-$AS970&lt;OP!$C$142,0,$AS970)</f>
        <v>0</v>
      </c>
      <c r="V970" s="9"/>
      <c r="W970" s="19">
        <f ca="1">MAX(SUM($K$4:K970),0)</f>
        <v>2000000</v>
      </c>
      <c r="X970" s="19"/>
      <c r="Y970" s="19">
        <f t="shared" ca="1" si="577"/>
        <v>1920000</v>
      </c>
      <c r="Z970" s="2">
        <f ca="1">IF(MIN($Z$4:Z969)=0,0,MAX(0,($Z969+$K970-$O970-$P970)*IF(AND(F970="F",$D$3&lt;&gt;$G$3),((1+(-J970))^(H970/MIN(G970,365))),((1+(-J970))^(1/12)))-$U970))</f>
        <v>30774.789301362678</v>
      </c>
      <c r="AA970" s="2">
        <f ca="1">IF(MIN($AA$4:AA969)=0,0,MAX(0,($AA969+$K970-$O970-$P970)*IF(AND(F970="F",$D$3&lt;&gt;$G$3),((1+$AA$1)^(H970/MIN(G970,365))),((1+$AA$1)^(1/12)))-$U970))</f>
        <v>1920000</v>
      </c>
      <c r="AB970" s="2">
        <f ca="1">IF(MIN($AB$4:AB969)=0,0,MAX(0,($AB969+$K970-$O970-$P970)*IF(AND(F970="F",$D$3&lt;&gt;$G$3),((1+(J970))^(H970/MIN(G970,365))),((1+(J970))^(1/12)))-$U970))</f>
        <v>97905159.383384302</v>
      </c>
      <c r="AC970" s="5"/>
      <c r="AD970" s="5"/>
      <c r="AE970" s="5"/>
      <c r="AF970" s="282">
        <f t="shared" ca="1" si="560"/>
        <v>30775</v>
      </c>
      <c r="AG970" s="282">
        <f t="shared" ca="1" si="561"/>
        <v>1920000</v>
      </c>
      <c r="AH970" s="282">
        <f t="shared" ca="1" si="562"/>
        <v>97905159</v>
      </c>
      <c r="AI970" s="23" t="str">
        <f t="shared" ca="1" si="543"/>
        <v>81-8</v>
      </c>
      <c r="AJ970" s="282">
        <f ca="1">IF(E970&gt;111,,IF(AND(OP!$C$99=1,T970="F"),Z970,IF(AND(OP!$C$99=2,COUNTIF($T$4:T970,"F")=1),OP!$C$97+IF(F970="F",OP!$C$98,0),"")))</f>
        <v>0</v>
      </c>
      <c r="AK970" s="282">
        <f ca="1">IF(E970&gt;111,,IF(AND(OP!$D$99=1,T970="F"),AA970,IF(AND(OP!$D$99=2,COUNTIF($T$4:T970,"F")=1),OP!$D$97+IF(F970="F",OP!$D$98,0),"")))</f>
        <v>0</v>
      </c>
      <c r="AL970" s="282">
        <f ca="1">IF(E970&gt;111,,IF(AND(OP!$E$99=1,T970="F"),AB970,IF(AND(OP!$E$99=2,COUNTIF($T$4:T970,"F")=1),OP!$E$97+IF(F970="F",OP!$E$98,0),"")))</f>
        <v>0</v>
      </c>
      <c r="AM970" s="1">
        <f t="shared" ca="1" si="552"/>
        <v>8</v>
      </c>
      <c r="AN970" s="1" t="e">
        <f ca="1">IF(OR(VLOOKUP($A970,MP,5,0)="半年繳",VLOOKUP($A970,MP,5,0)="季繳",VLOOKUP($A970,MP,5,0)="月繳"),1,"")</f>
        <v>#N/A</v>
      </c>
      <c r="AO970" s="1">
        <f t="shared" ca="1" si="563"/>
        <v>0</v>
      </c>
      <c r="AP970" s="1" t="str">
        <f ca="1">IF(AND(A970&lt;=OP!$C$120,COUNTIF(PAY,C970)=1),1,"")</f>
        <v/>
      </c>
      <c r="AR970" s="301">
        <f ca="1">IF(繳費報酬率資料!$A$1=1,$AY970+$AZ970,$BF970+$BG970)</f>
        <v>0</v>
      </c>
      <c r="AS970" s="1">
        <f ca="1">IF(C970&lt;&gt;IF($C$3=1,12,$C$3-1),0,IF(繳費報酬率資料!$A$1&lt;&gt;1,VLOOKUP($A970,MP,8,0),IF(AND($A970&gt;=OP!$C$79,$A970&lt;=OP!$C$80),OP!$C$78,)))</f>
        <v>0</v>
      </c>
      <c r="AT970" s="298">
        <f t="shared" ca="1" si="564"/>
        <v>0</v>
      </c>
      <c r="AU970" s="298">
        <f ca="1">IF(AND(A970&lt;=OP!$C$120,COUNTIF(PAY,C970)=1),OP!$C$123,0)</f>
        <v>0</v>
      </c>
      <c r="AV970" s="298">
        <f ca="1">IF(AND(A970&gt;=OP!$C$132,A970&lt;=OP!$C$133,$C$3=C970),OP!$C$135,0)</f>
        <v>0</v>
      </c>
      <c r="AW970" s="180">
        <f t="shared" ca="1" si="565"/>
        <v>0.05</v>
      </c>
      <c r="AX970" s="180">
        <f t="shared" ca="1" si="566"/>
        <v>0.05</v>
      </c>
      <c r="AY970" s="286">
        <f t="shared" ca="1" si="567"/>
        <v>0</v>
      </c>
      <c r="AZ970" s="286">
        <f t="shared" ca="1" si="568"/>
        <v>0</v>
      </c>
      <c r="BA970" s="286">
        <f t="shared" ca="1" si="569"/>
        <v>0</v>
      </c>
      <c r="BB970" s="286">
        <f t="shared" ca="1" si="570"/>
        <v>0</v>
      </c>
      <c r="BC970" s="286">
        <f t="shared" ca="1" si="571"/>
        <v>0</v>
      </c>
      <c r="BD970" s="180">
        <f t="shared" ca="1" si="572"/>
        <v>0.05</v>
      </c>
      <c r="BE970" s="180">
        <f t="shared" ca="1" si="573"/>
        <v>0.05</v>
      </c>
      <c r="BF970" s="286">
        <f t="shared" ca="1" si="574"/>
        <v>0</v>
      </c>
      <c r="BG970" s="286">
        <f t="shared" ca="1" si="575"/>
        <v>0</v>
      </c>
    </row>
    <row r="971" spans="1:59">
      <c r="A971" s="1">
        <f t="shared" ca="1" si="554"/>
        <v>81</v>
      </c>
      <c r="B971" s="1">
        <f t="shared" ca="1" si="548"/>
        <v>187</v>
      </c>
      <c r="C971" s="1">
        <f t="shared" ca="1" si="549"/>
        <v>1</v>
      </c>
      <c r="D971" s="1">
        <f ca="1">MIN($D$3,VLOOKUP(C971,OP!$S$30:$T$41,2))</f>
        <v>2</v>
      </c>
      <c r="E971" s="1" t="str">
        <f t="shared" ca="1" si="550"/>
        <v/>
      </c>
      <c r="F971" s="11" t="str">
        <f t="shared" ca="1" si="555"/>
        <v/>
      </c>
      <c r="G971" s="8">
        <f t="shared" ca="1" si="556"/>
        <v>365</v>
      </c>
      <c r="H971" s="8">
        <f t="shared" ca="1" si="557"/>
        <v>31</v>
      </c>
      <c r="I971" s="8" t="str">
        <f t="shared" ca="1" si="553"/>
        <v>811</v>
      </c>
      <c r="J971" s="13">
        <f>IF(繳費報酬率資料!$A$1=1,VALUE(OP!$C$121),VLOOKUP(A971,MP,2,0))</f>
        <v>0.05</v>
      </c>
      <c r="K971" s="14">
        <f ca="1">IF(SUM($K$4:K970,IF(繳費報酬率資料!$A$1=1,$AU971+$AV971,$BB971+$BC971))&gt;OP!$L$58,0,IF(繳費報酬率資料!$A$1=1,$AU971+$AV971,$BB971+$BC971))</f>
        <v>0</v>
      </c>
      <c r="L971" s="2"/>
      <c r="M971" s="2"/>
      <c r="N971" s="2"/>
      <c r="O971" s="261">
        <f t="shared" ca="1" si="558"/>
        <v>0</v>
      </c>
      <c r="P971" s="261">
        <f t="shared" ca="1" si="576"/>
        <v>0</v>
      </c>
      <c r="Q971" s="3">
        <f ca="1">IF(A971&gt;MAX(OP!$R$17:$R$26),0,VLOOKUP(A971,fees,3,FALSE))</f>
        <v>0</v>
      </c>
      <c r="R971" s="200" t="str">
        <f t="shared" ca="1" si="559"/>
        <v/>
      </c>
      <c r="S971" s="9" t="str">
        <f ca="1">IF(COUNTIF(($T$4:T970),"F")&gt;=1,"",IF(OR(C972&lt;&gt;$C$3,E971=""),"",A971))</f>
        <v/>
      </c>
      <c r="T971" s="20" t="str">
        <f t="shared" ca="1" si="551"/>
        <v/>
      </c>
      <c r="U971" s="2">
        <f ca="1">IF(IF(OP!$C$83=1,$Z970,IF(OP!$C$83=2,$AA970,IF(OP!$C$83=3,$AB970,)))+$K971-$O971-$P971-$AS971&lt;OP!$C$142,0,$AS971)</f>
        <v>0</v>
      </c>
      <c r="V971" s="9"/>
      <c r="W971" s="19">
        <f ca="1">MAX(SUM($K$4:K971),0)</f>
        <v>2000000</v>
      </c>
      <c r="X971" s="19"/>
      <c r="Y971" s="19">
        <f t="shared" ca="1" si="577"/>
        <v>1920000</v>
      </c>
      <c r="Z971" s="2">
        <f ca="1">IF(MIN($Z$4:Z970)=0,0,MAX(0,($Z970+$K971-$O971-$P971)*IF(AND(F971="F",$D$3&lt;&gt;$G$3),((1+(-J971))^(H971/MIN(G971,365))),((1+(-J971))^(1/12)))-$U971))</f>
        <v>30643.525014680105</v>
      </c>
      <c r="AA971" s="2">
        <f ca="1">IF(MIN($AA$4:AA970)=0,0,MAX(0,($AA970+$K971-$O971-$P971)*IF(AND(F971="F",$D$3&lt;&gt;$G$3),((1+$AA$1)^(H971/MIN(G971,365))),((1+$AA$1)^(1/12)))-$U971))</f>
        <v>1920000</v>
      </c>
      <c r="AB971" s="2">
        <f ca="1">IF(MIN($AB$4:AB970)=0,0,MAX(0,($AB970+$K971-$O971-$P971)*IF(AND(F971="F",$D$3&lt;&gt;$G$3),((1+(J971))^(H971/MIN(G971,365))),((1+(J971))^(1/12)))-$U971))</f>
        <v>98304037.121770024</v>
      </c>
      <c r="AC971" s="5"/>
      <c r="AD971" s="5"/>
      <c r="AE971" s="5"/>
      <c r="AF971" s="282">
        <f t="shared" ca="1" si="560"/>
        <v>30644</v>
      </c>
      <c r="AG971" s="282">
        <f t="shared" ca="1" si="561"/>
        <v>1920000</v>
      </c>
      <c r="AH971" s="282">
        <f t="shared" ca="1" si="562"/>
        <v>98304037</v>
      </c>
      <c r="AI971" s="23" t="str">
        <f t="shared" ca="1" si="543"/>
        <v>81-9</v>
      </c>
      <c r="AJ971" s="282">
        <f ca="1">IF(E971&gt;111,,IF(AND(OP!$C$99=1,T971="F"),Z971,IF(AND(OP!$C$99=2,COUNTIF($T$4:T971,"F")=1),OP!$C$97+IF(F971="F",OP!$C$98,0),"")))</f>
        <v>0</v>
      </c>
      <c r="AK971" s="282">
        <f ca="1">IF(E971&gt;111,,IF(AND(OP!$D$99=1,T971="F"),AA971,IF(AND(OP!$D$99=2,COUNTIF($T$4:T971,"F")=1),OP!$D$97+IF(F971="F",OP!$D$98,0),"")))</f>
        <v>0</v>
      </c>
      <c r="AL971" s="282">
        <f ca="1">IF(E971&gt;111,,IF(AND(OP!$E$99=1,T971="F"),AB971,IF(AND(OP!$E$99=2,COUNTIF($T$4:T971,"F")=1),OP!$E$97+IF(F971="F",OP!$E$98,0),"")))</f>
        <v>0</v>
      </c>
      <c r="AM971" s="1">
        <f t="shared" ca="1" si="552"/>
        <v>9</v>
      </c>
      <c r="AN971" s="1" t="e">
        <f ca="1">IF(OR(VLOOKUP($A971,MP,5,0)="月繳"),1,"")</f>
        <v>#N/A</v>
      </c>
      <c r="AO971" s="1">
        <f t="shared" ca="1" si="563"/>
        <v>0</v>
      </c>
      <c r="AP971" s="1" t="str">
        <f ca="1">IF(AND(A971&lt;=OP!$C$120,COUNTIF(PAY,C971)=1),1,"")</f>
        <v/>
      </c>
      <c r="AR971" s="301">
        <f ca="1">IF(繳費報酬率資料!$A$1=1,$AY971+$AZ971,$BF971+$BG971)</f>
        <v>0</v>
      </c>
      <c r="AS971" s="1">
        <f ca="1">IF(C971&lt;&gt;IF($C$3=1,12,$C$3-1),0,IF(繳費報酬率資料!$A$1&lt;&gt;1,VLOOKUP($A971,MP,8,0),IF(AND($A971&gt;=OP!$C$79,$A971&lt;=OP!$C$80),OP!$C$78,)))</f>
        <v>0</v>
      </c>
      <c r="AT971" s="298">
        <f t="shared" ca="1" si="564"/>
        <v>0</v>
      </c>
      <c r="AU971" s="298">
        <f ca="1">IF(AND(A971&lt;=OP!$C$120,COUNTIF(PAY,C971)=1),OP!$C$123,0)</f>
        <v>0</v>
      </c>
      <c r="AV971" s="298">
        <f ca="1">IF(AND(A971&gt;=OP!$C$132,A971&lt;=OP!$C$133,$C$3=C971),OP!$C$135,0)</f>
        <v>0</v>
      </c>
      <c r="AW971" s="180">
        <f t="shared" ca="1" si="565"/>
        <v>0.05</v>
      </c>
      <c r="AX971" s="180">
        <f t="shared" ca="1" si="566"/>
        <v>0.05</v>
      </c>
      <c r="AY971" s="286">
        <f t="shared" ca="1" si="567"/>
        <v>0</v>
      </c>
      <c r="AZ971" s="286">
        <f t="shared" ca="1" si="568"/>
        <v>0</v>
      </c>
      <c r="BA971" s="286">
        <f t="shared" ca="1" si="569"/>
        <v>0</v>
      </c>
      <c r="BB971" s="286">
        <f t="shared" ca="1" si="570"/>
        <v>0</v>
      </c>
      <c r="BC971" s="286">
        <f t="shared" ca="1" si="571"/>
        <v>0</v>
      </c>
      <c r="BD971" s="180">
        <f t="shared" ca="1" si="572"/>
        <v>0.05</v>
      </c>
      <c r="BE971" s="180">
        <f t="shared" ca="1" si="573"/>
        <v>0.05</v>
      </c>
      <c r="BF971" s="286">
        <f t="shared" ca="1" si="574"/>
        <v>0</v>
      </c>
      <c r="BG971" s="286">
        <f t="shared" ca="1" si="575"/>
        <v>0</v>
      </c>
    </row>
    <row r="972" spans="1:59">
      <c r="A972" s="1">
        <f t="shared" ca="1" si="554"/>
        <v>81</v>
      </c>
      <c r="B972" s="1">
        <f t="shared" ca="1" si="548"/>
        <v>187</v>
      </c>
      <c r="C972" s="1">
        <f t="shared" ca="1" si="549"/>
        <v>2</v>
      </c>
      <c r="D972" s="1">
        <f ca="1">MIN($D$3,VLOOKUP(C972,OP!$S$30:$T$41,2))</f>
        <v>2</v>
      </c>
      <c r="E972" s="1" t="str">
        <f t="shared" ca="1" si="550"/>
        <v/>
      </c>
      <c r="F972" s="11" t="str">
        <f t="shared" ca="1" si="555"/>
        <v/>
      </c>
      <c r="G972" s="8">
        <f t="shared" ca="1" si="556"/>
        <v>365</v>
      </c>
      <c r="H972" s="8">
        <f t="shared" ca="1" si="557"/>
        <v>28</v>
      </c>
      <c r="I972" s="8" t="str">
        <f t="shared" ca="1" si="553"/>
        <v>812</v>
      </c>
      <c r="J972" s="13">
        <f>IF(繳費報酬率資料!$A$1=1,VALUE(OP!$C$121),VLOOKUP(A972,MP,2,0))</f>
        <v>0.05</v>
      </c>
      <c r="K972" s="14">
        <f ca="1">IF(SUM($K$4:K971,IF(繳費報酬率資料!$A$1=1,$AU972+$AV972,$BB972+$BC972))&gt;OP!$L$58,0,IF(繳費報酬率資料!$A$1=1,$AU972+$AV972,$BB972+$BC972))</f>
        <v>0</v>
      </c>
      <c r="L972" s="2"/>
      <c r="M972" s="2"/>
      <c r="N972" s="2"/>
      <c r="O972" s="261">
        <f t="shared" ca="1" si="558"/>
        <v>0</v>
      </c>
      <c r="P972" s="261">
        <f t="shared" ca="1" si="576"/>
        <v>0</v>
      </c>
      <c r="Q972" s="3">
        <f ca="1">IF(A972&gt;MAX(OP!$R$17:$R$26),0,VLOOKUP(A972,fees,3,FALSE))</f>
        <v>0</v>
      </c>
      <c r="R972" s="200" t="str">
        <f t="shared" ca="1" si="559"/>
        <v/>
      </c>
      <c r="S972" s="9" t="str">
        <f ca="1">IF(COUNTIF(($T$4:T971),"F")&gt;=1,"",IF(OR(C973&lt;&gt;$C$3,E972=""),"",A972))</f>
        <v/>
      </c>
      <c r="T972" s="20" t="str">
        <f t="shared" ca="1" si="551"/>
        <v/>
      </c>
      <c r="U972" s="2">
        <f ca="1">IF(IF(OP!$C$83=1,$Z971,IF(OP!$C$83=2,$AA971,IF(OP!$C$83=3,$AB971,)))+$K972-$O972-$P972-$AS972&lt;OP!$C$142,0,$AS972)</f>
        <v>0</v>
      </c>
      <c r="V972" s="9"/>
      <c r="W972" s="19">
        <f ca="1">MAX(SUM($K$4:K972),0)</f>
        <v>2000000</v>
      </c>
      <c r="X972" s="19"/>
      <c r="Y972" s="19">
        <f t="shared" ca="1" si="577"/>
        <v>1920000</v>
      </c>
      <c r="Z972" s="2">
        <f ca="1">IF(MIN($Z$4:Z971)=0,0,MAX(0,($Z971+$K972-$O972-$P972)*IF(AND(F972="F",$D$3&lt;&gt;$G$3),((1+(-J972))^(H972/MIN(G972,365))),((1+(-J972))^(1/12)))-$U972))</f>
        <v>30512.820612024341</v>
      </c>
      <c r="AA972" s="2">
        <f ca="1">IF(MIN($AA$4:AA971)=0,0,MAX(0,($AA971+$K972-$O972-$P972)*IF(AND(F972="F",$D$3&lt;&gt;$G$3),((1+$AA$1)^(H972/MIN(G972,365))),((1+$AA$1)^(1/12)))-$U972))</f>
        <v>1920000</v>
      </c>
      <c r="AB972" s="2">
        <f ca="1">IF(MIN($AB$4:AB971)=0,0,MAX(0,($AB971+$K972-$O972-$P972)*IF(AND(F972="F",$D$3&lt;&gt;$G$3),((1+(J972))^(H972/MIN(G972,365))),((1+(J972))^(1/12)))-$U972))</f>
        <v>98704539.937436476</v>
      </c>
      <c r="AC972" s="5"/>
      <c r="AD972" s="5"/>
      <c r="AE972" s="5"/>
      <c r="AF972" s="282">
        <f t="shared" ca="1" si="560"/>
        <v>30513</v>
      </c>
      <c r="AG972" s="282">
        <f t="shared" ca="1" si="561"/>
        <v>1920000</v>
      </c>
      <c r="AH972" s="282">
        <f t="shared" ca="1" si="562"/>
        <v>98704540</v>
      </c>
      <c r="AI972" s="23" t="str">
        <f t="shared" ref="AI972:AI1035" ca="1" si="578">IF($G$3=D973,A973,A972)&amp;"-"&amp;AM972</f>
        <v>81-10</v>
      </c>
      <c r="AJ972" s="282">
        <f ca="1">IF(E972&gt;111,,IF(AND(OP!$C$99=1,T972="F"),Z972,IF(AND(OP!$C$99=2,COUNTIF($T$4:T972,"F")=1),OP!$C$97+IF(F972="F",OP!$C$98,0),"")))</f>
        <v>0</v>
      </c>
      <c r="AK972" s="282">
        <f ca="1">IF(E972&gt;111,,IF(AND(OP!$D$99=1,T972="F"),AA972,IF(AND(OP!$D$99=2,COUNTIF($T$4:T972,"F")=1),OP!$D$97+IF(F972="F",OP!$D$98,0),"")))</f>
        <v>0</v>
      </c>
      <c r="AL972" s="282">
        <f ca="1">IF(E972&gt;111,,IF(AND(OP!$E$99=1,T972="F"),AB972,IF(AND(OP!$E$99=2,COUNTIF($T$4:T972,"F")=1),OP!$E$97+IF(F972="F",OP!$E$98,0),"")))</f>
        <v>0</v>
      </c>
      <c r="AM972" s="1">
        <f t="shared" ca="1" si="552"/>
        <v>10</v>
      </c>
      <c r="AN972" s="1" t="e">
        <f ca="1">IF(OR(VLOOKUP($A972,MP,5,0)="月繳"),1,"")</f>
        <v>#N/A</v>
      </c>
      <c r="AO972" s="1">
        <f t="shared" ca="1" si="563"/>
        <v>0</v>
      </c>
      <c r="AP972" s="1" t="str">
        <f ca="1">IF(AND(A972&lt;=OP!$C$120,COUNTIF(PAY,C972)=1),1,"")</f>
        <v/>
      </c>
      <c r="AR972" s="301">
        <f ca="1">IF(繳費報酬率資料!$A$1=1,$AY972+$AZ972,$BF972+$BG972)</f>
        <v>0</v>
      </c>
      <c r="AS972" s="1">
        <f ca="1">IF(C972&lt;&gt;IF($C$3=1,12,$C$3-1),0,IF(繳費報酬率資料!$A$1&lt;&gt;1,VLOOKUP($A972,MP,8,0),IF(AND($A972&gt;=OP!$C$79,$A972&lt;=OP!$C$80),OP!$C$78,)))</f>
        <v>0</v>
      </c>
      <c r="AT972" s="298">
        <f t="shared" ca="1" si="564"/>
        <v>0</v>
      </c>
      <c r="AU972" s="298">
        <f ca="1">IF(AND(A972&lt;=OP!$C$120,COUNTIF(PAY,C972)=1),OP!$C$123,0)</f>
        <v>0</v>
      </c>
      <c r="AV972" s="298">
        <f ca="1">IF(AND(A972&gt;=OP!$C$132,A972&lt;=OP!$C$133,$C$3=C972),OP!$C$135,0)</f>
        <v>0</v>
      </c>
      <c r="AW972" s="180">
        <f t="shared" ca="1" si="565"/>
        <v>0.05</v>
      </c>
      <c r="AX972" s="180">
        <f t="shared" ca="1" si="566"/>
        <v>0.05</v>
      </c>
      <c r="AY972" s="286">
        <f t="shared" ca="1" si="567"/>
        <v>0</v>
      </c>
      <c r="AZ972" s="286">
        <f t="shared" ca="1" si="568"/>
        <v>0</v>
      </c>
      <c r="BA972" s="286">
        <f t="shared" ca="1" si="569"/>
        <v>0</v>
      </c>
      <c r="BB972" s="286">
        <f t="shared" ca="1" si="570"/>
        <v>0</v>
      </c>
      <c r="BC972" s="286">
        <f t="shared" ca="1" si="571"/>
        <v>0</v>
      </c>
      <c r="BD972" s="180">
        <f t="shared" ca="1" si="572"/>
        <v>0.05</v>
      </c>
      <c r="BE972" s="180">
        <f t="shared" ca="1" si="573"/>
        <v>0.05</v>
      </c>
      <c r="BF972" s="286">
        <f t="shared" ca="1" si="574"/>
        <v>0</v>
      </c>
      <c r="BG972" s="286">
        <f t="shared" ca="1" si="575"/>
        <v>0</v>
      </c>
    </row>
    <row r="973" spans="1:59">
      <c r="A973" s="1">
        <f t="shared" ca="1" si="554"/>
        <v>81</v>
      </c>
      <c r="B973" s="1">
        <f t="shared" ca="1" si="548"/>
        <v>187</v>
      </c>
      <c r="C973" s="1">
        <f t="shared" ca="1" si="549"/>
        <v>3</v>
      </c>
      <c r="D973" s="1">
        <f ca="1">MIN($D$3,VLOOKUP(C973,OP!$S$30:$T$41,2))</f>
        <v>2</v>
      </c>
      <c r="E973" s="1" t="str">
        <f t="shared" ca="1" si="550"/>
        <v/>
      </c>
      <c r="F973" s="11" t="str">
        <f t="shared" ca="1" si="555"/>
        <v/>
      </c>
      <c r="G973" s="8">
        <f t="shared" ca="1" si="556"/>
        <v>365</v>
      </c>
      <c r="H973" s="8">
        <f t="shared" ca="1" si="557"/>
        <v>31</v>
      </c>
      <c r="I973" s="8" t="str">
        <f t="shared" ca="1" si="553"/>
        <v>813</v>
      </c>
      <c r="J973" s="13">
        <f>IF(繳費報酬率資料!$A$1=1,VALUE(OP!$C$121),VLOOKUP(A973,MP,2,0))</f>
        <v>0.05</v>
      </c>
      <c r="K973" s="14">
        <f ca="1">IF(SUM($K$4:K972,IF(繳費報酬率資料!$A$1=1,$AU973+$AV973,$BB973+$BC973))&gt;OP!$L$58,0,IF(繳費報酬率資料!$A$1=1,$AU973+$AV973,$BB973+$BC973))</f>
        <v>0</v>
      </c>
      <c r="L973" s="2"/>
      <c r="M973" s="2"/>
      <c r="N973" s="2"/>
      <c r="O973" s="261">
        <f t="shared" ca="1" si="558"/>
        <v>0</v>
      </c>
      <c r="P973" s="261">
        <f t="shared" ca="1" si="576"/>
        <v>0</v>
      </c>
      <c r="Q973" s="3">
        <f ca="1">IF(A973&gt;MAX(OP!$R$17:$R$26),0,VLOOKUP(A973,fees,3,FALSE))</f>
        <v>0</v>
      </c>
      <c r="R973" s="200" t="str">
        <f t="shared" ca="1" si="559"/>
        <v/>
      </c>
      <c r="S973" s="9" t="str">
        <f ca="1">IF(COUNTIF(($T$4:T972),"F")&gt;=1,"",IF(OR(C974&lt;&gt;$C$3,E973=""),"",A973))</f>
        <v/>
      </c>
      <c r="T973" s="20" t="str">
        <f t="shared" ca="1" si="551"/>
        <v/>
      </c>
      <c r="U973" s="2">
        <f ca="1">IF(IF(OP!$C$83=1,$Z972,IF(OP!$C$83=2,$AA972,IF(OP!$C$83=3,$AB972,)))+$K973-$O973-$P973-$AS973&lt;OP!$C$142,0,$AS973)</f>
        <v>0</v>
      </c>
      <c r="V973" s="9"/>
      <c r="W973" s="19">
        <f ca="1">MAX(SUM($K$4:K973),0)</f>
        <v>2000000</v>
      </c>
      <c r="X973" s="19"/>
      <c r="Y973" s="19">
        <f t="shared" ca="1" si="577"/>
        <v>1920000</v>
      </c>
      <c r="Z973" s="2">
        <f ca="1">IF(MIN($Z$4:Z972)=0,0,MAX(0,($Z972+$K973-$O973-$P973)*IF(AND(F973="F",$D$3&lt;&gt;$G$3),((1+(-J973))^(H973/MIN(G973,365))),((1+(-J973))^(1/12)))-$U973))</f>
        <v>30382.673705311536</v>
      </c>
      <c r="AA973" s="2">
        <f ca="1">IF(MIN($AA$4:AA972)=0,0,MAX(0,($AA972+$K973-$O973-$P973)*IF(AND(F973="F",$D$3&lt;&gt;$G$3),((1+$AA$1)^(H973/MIN(G973,365))),((1+$AA$1)^(1/12)))-$U973))</f>
        <v>1920000</v>
      </c>
      <c r="AB973" s="2">
        <f ca="1">IF(MIN($AB$4:AB972)=0,0,MAX(0,($AB972+$K973-$O973-$P973)*IF(AND(F973="F",$D$3&lt;&gt;$G$3),((1+(J973))^(H973/MIN(G973,365))),((1+(J973))^(1/12)))-$U973))</f>
        <v>99106674.451149657</v>
      </c>
      <c r="AC973" s="5"/>
      <c r="AD973" s="5"/>
      <c r="AE973" s="5"/>
      <c r="AF973" s="282">
        <f t="shared" ca="1" si="560"/>
        <v>30383</v>
      </c>
      <c r="AG973" s="282">
        <f t="shared" ca="1" si="561"/>
        <v>1920000</v>
      </c>
      <c r="AH973" s="282">
        <f t="shared" ca="1" si="562"/>
        <v>99106674</v>
      </c>
      <c r="AI973" s="23" t="str">
        <f t="shared" ca="1" si="578"/>
        <v>81-11</v>
      </c>
      <c r="AJ973" s="282">
        <f ca="1">IF(E973&gt;111,,IF(AND(OP!$C$99=1,T973="F"),Z973,IF(AND(OP!$C$99=2,COUNTIF($T$4:T973,"F")=1),OP!$C$97+IF(F973="F",OP!$C$98,0),"")))</f>
        <v>0</v>
      </c>
      <c r="AK973" s="282">
        <f ca="1">IF(E973&gt;111,,IF(AND(OP!$D$99=1,T973="F"),AA973,IF(AND(OP!$D$99=2,COUNTIF($T$4:T973,"F")=1),OP!$D$97+IF(F973="F",OP!$D$98,0),"")))</f>
        <v>0</v>
      </c>
      <c r="AL973" s="282">
        <f ca="1">IF(E973&gt;111,,IF(AND(OP!$E$99=1,T973="F"),AB973,IF(AND(OP!$E$99=2,COUNTIF($T$4:T973,"F")=1),OP!$E$97+IF(F973="F",OP!$E$98,0),"")))</f>
        <v>0</v>
      </c>
      <c r="AM973" s="1">
        <f t="shared" ca="1" si="552"/>
        <v>11</v>
      </c>
      <c r="AN973" s="1" t="e">
        <f ca="1">IF(OR(VLOOKUP($A973,MP,5,0)="季繳",VLOOKUP($A973,MP,5,0)="月繳"),1,"")</f>
        <v>#N/A</v>
      </c>
      <c r="AO973" s="1">
        <f t="shared" ca="1" si="563"/>
        <v>0</v>
      </c>
      <c r="AP973" s="1" t="str">
        <f ca="1">IF(AND(A973&lt;=OP!$C$120,COUNTIF(PAY,C973)=1),1,"")</f>
        <v/>
      </c>
      <c r="AR973" s="301">
        <f ca="1">IF(繳費報酬率資料!$A$1=1,$AY973+$AZ973,$BF973+$BG973)</f>
        <v>0</v>
      </c>
      <c r="AS973" s="1">
        <f ca="1">IF(C973&lt;&gt;IF($C$3=1,12,$C$3-1),0,IF(繳費報酬率資料!$A$1&lt;&gt;1,VLOOKUP($A973,MP,8,0),IF(AND($A973&gt;=OP!$C$79,$A973&lt;=OP!$C$80),OP!$C$78,)))</f>
        <v>0</v>
      </c>
      <c r="AT973" s="298">
        <f t="shared" ca="1" si="564"/>
        <v>0</v>
      </c>
      <c r="AU973" s="298">
        <f ca="1">IF(AND(A973&lt;=OP!$C$120,COUNTIF(PAY,C973)=1),OP!$C$123,0)</f>
        <v>0</v>
      </c>
      <c r="AV973" s="298">
        <f ca="1">IF(AND(A973&gt;=OP!$C$132,A973&lt;=OP!$C$133,$C$3=C973),OP!$C$135,0)</f>
        <v>0</v>
      </c>
      <c r="AW973" s="180">
        <f t="shared" ca="1" si="565"/>
        <v>0.05</v>
      </c>
      <c r="AX973" s="180">
        <f t="shared" ca="1" si="566"/>
        <v>0.05</v>
      </c>
      <c r="AY973" s="286">
        <f t="shared" ca="1" si="567"/>
        <v>0</v>
      </c>
      <c r="AZ973" s="286">
        <f t="shared" ca="1" si="568"/>
        <v>0</v>
      </c>
      <c r="BA973" s="286">
        <f t="shared" ca="1" si="569"/>
        <v>0</v>
      </c>
      <c r="BB973" s="286">
        <f t="shared" ca="1" si="570"/>
        <v>0</v>
      </c>
      <c r="BC973" s="286">
        <f t="shared" ca="1" si="571"/>
        <v>0</v>
      </c>
      <c r="BD973" s="180">
        <f t="shared" ca="1" si="572"/>
        <v>0.05</v>
      </c>
      <c r="BE973" s="180">
        <f t="shared" ca="1" si="573"/>
        <v>0.05</v>
      </c>
      <c r="BF973" s="286">
        <f t="shared" ca="1" si="574"/>
        <v>0</v>
      </c>
      <c r="BG973" s="286">
        <f t="shared" ca="1" si="575"/>
        <v>0</v>
      </c>
    </row>
    <row r="974" spans="1:59">
      <c r="A974" s="1">
        <f t="shared" ca="1" si="554"/>
        <v>81</v>
      </c>
      <c r="B974" s="1">
        <f t="shared" ca="1" si="548"/>
        <v>187</v>
      </c>
      <c r="C974" s="1">
        <f t="shared" ca="1" si="549"/>
        <v>4</v>
      </c>
      <c r="D974" s="1">
        <f ca="1">MIN($D$3,VLOOKUP(C974,OP!$S$30:$T$41,2))</f>
        <v>2</v>
      </c>
      <c r="E974" s="1" t="str">
        <f t="shared" ca="1" si="550"/>
        <v/>
      </c>
      <c r="F974" s="11" t="str">
        <f t="shared" ca="1" si="555"/>
        <v/>
      </c>
      <c r="G974" s="8">
        <f t="shared" ca="1" si="556"/>
        <v>365</v>
      </c>
      <c r="H974" s="8">
        <f t="shared" ca="1" si="557"/>
        <v>30</v>
      </c>
      <c r="I974" s="8" t="str">
        <f t="shared" ca="1" si="553"/>
        <v>814</v>
      </c>
      <c r="J974" s="13">
        <f>IF(繳費報酬率資料!$A$1=1,VALUE(OP!$C$121),VLOOKUP(A974,MP,2,0))</f>
        <v>0.05</v>
      </c>
      <c r="K974" s="14">
        <f ca="1">IF(SUM($K$4:K973,IF(繳費報酬率資料!$A$1=1,$AU974+$AV974,$BB974+$BC974))&gt;OP!$L$58,0,IF(繳費報酬率資料!$A$1=1,$AU974+$AV974,$BB974+$BC974))</f>
        <v>0</v>
      </c>
      <c r="L974" s="2"/>
      <c r="M974" s="2"/>
      <c r="N974" s="2"/>
      <c r="O974" s="261">
        <f t="shared" ca="1" si="558"/>
        <v>0</v>
      </c>
      <c r="P974" s="261">
        <f t="shared" ca="1" si="576"/>
        <v>0</v>
      </c>
      <c r="Q974" s="3">
        <f ca="1">IF(A974&gt;MAX(OP!$R$17:$R$26),0,VLOOKUP(A974,fees,3,FALSE))</f>
        <v>0</v>
      </c>
      <c r="R974" s="200" t="str">
        <f t="shared" ca="1" si="559"/>
        <v/>
      </c>
      <c r="S974" s="9" t="str">
        <f ca="1">IF(COUNTIF(($T$4:T973),"F")&gt;=1,"",IF(OR(C975&lt;&gt;$C$3,E974=""),"",A974))</f>
        <v/>
      </c>
      <c r="T974" s="20" t="str">
        <f t="shared" ca="1" si="551"/>
        <v/>
      </c>
      <c r="U974" s="2">
        <f ca="1">IF(IF(OP!$C$83=1,$Z973,IF(OP!$C$83=2,$AA973,IF(OP!$C$83=3,$AB973,)))+$K974-$O974-$P974-$AS974&lt;OP!$C$142,0,$AS974)</f>
        <v>0</v>
      </c>
      <c r="V974" s="9"/>
      <c r="W974" s="19">
        <f ca="1">MAX(SUM($K$4:K974),0)</f>
        <v>2000000</v>
      </c>
      <c r="X974" s="19"/>
      <c r="Y974" s="19">
        <f t="shared" ca="1" si="577"/>
        <v>1920000</v>
      </c>
      <c r="Z974" s="2">
        <f ca="1">IF(MIN($Z$4:Z973)=0,0,MAX(0,($Z973+$K974-$O974-$P974)*IF(AND(F974="F",$D$3&lt;&gt;$G$3),((1+(-J974))^(H974/MIN(G974,365))),((1+(-J974))^(1/12)))-$U974))</f>
        <v>30253.081916643772</v>
      </c>
      <c r="AA974" s="2">
        <f ca="1">IF(MIN($AA$4:AA973)=0,0,MAX(0,($AA973+$K974-$O974-$P974)*IF(AND(F974="F",$D$3&lt;&gt;$G$3),((1+$AA$1)^(H974/MIN(G974,365))),((1+$AA$1)^(1/12)))-$U974))</f>
        <v>1920000</v>
      </c>
      <c r="AB974" s="2">
        <f ca="1">IF(MIN($AB$4:AB973)=0,0,MAX(0,($AB973+$K974-$O974-$P974)*IF(AND(F974="F",$D$3&lt;&gt;$G$3),((1+(J974))^(H974/MIN(G974,365))),((1+(J974))^(1/12)))-$U974))</f>
        <v>99510447.31064938</v>
      </c>
      <c r="AC974" s="5"/>
      <c r="AD974" s="5"/>
      <c r="AE974" s="5"/>
      <c r="AF974" s="282">
        <f t="shared" ca="1" si="560"/>
        <v>30253</v>
      </c>
      <c r="AG974" s="282">
        <f t="shared" ca="1" si="561"/>
        <v>1920000</v>
      </c>
      <c r="AH974" s="282">
        <f t="shared" ca="1" si="562"/>
        <v>99510447</v>
      </c>
      <c r="AI974" s="23" t="str">
        <f t="shared" ca="1" si="578"/>
        <v>81-12</v>
      </c>
      <c r="AJ974" s="282">
        <f ca="1">IF(E974&gt;111,,IF(AND(OP!$C$99=1,T974="F"),Z974,IF(AND(OP!$C$99=2,COUNTIF($T$4:T974,"F")=1),OP!$C$97+IF(F974="F",OP!$C$98,0),"")))</f>
        <v>0</v>
      </c>
      <c r="AK974" s="282">
        <f ca="1">IF(E974&gt;111,,IF(AND(OP!$D$99=1,T974="F"),AA974,IF(AND(OP!$D$99=2,COUNTIF($T$4:T974,"F")=1),OP!$D$97+IF(F974="F",OP!$D$98,0),"")))</f>
        <v>0</v>
      </c>
      <c r="AL974" s="282">
        <f ca="1">IF(E974&gt;111,,IF(AND(OP!$E$99=1,T974="F"),AB974,IF(AND(OP!$E$99=2,COUNTIF($T$4:T974,"F")=1),OP!$E$97+IF(F974="F",OP!$E$98,0),"")))</f>
        <v>0</v>
      </c>
      <c r="AM974" s="1">
        <f t="shared" ca="1" si="552"/>
        <v>12</v>
      </c>
      <c r="AN974" s="1" t="e">
        <f ca="1">IF(OR(VLOOKUP($A974,MP,5,0)="月繳"),1,"")</f>
        <v>#N/A</v>
      </c>
      <c r="AO974" s="1">
        <f t="shared" ca="1" si="563"/>
        <v>0</v>
      </c>
      <c r="AP974" s="1" t="str">
        <f ca="1">IF(AND(A974&lt;=OP!$C$120,COUNTIF(PAY,C974)=1),1,"")</f>
        <v/>
      </c>
      <c r="AR974" s="301">
        <f ca="1">IF(繳費報酬率資料!$A$1=1,$AY974+$AZ974,$BF974+$BG974)</f>
        <v>0</v>
      </c>
      <c r="AS974" s="1">
        <f ca="1">IF(C974&lt;&gt;IF($C$3=1,12,$C$3-1),0,IF(繳費報酬率資料!$A$1&lt;&gt;1,VLOOKUP($A974,MP,8,0),IF(AND($A974&gt;=OP!$C$79,$A974&lt;=OP!$C$80),OP!$C$78,)))</f>
        <v>0</v>
      </c>
      <c r="AT974" s="298">
        <f t="shared" ca="1" si="564"/>
        <v>0</v>
      </c>
      <c r="AU974" s="298">
        <f ca="1">IF(AND(A974&lt;=OP!$C$120,COUNTIF(PAY,C974)=1),OP!$C$123,0)</f>
        <v>0</v>
      </c>
      <c r="AV974" s="298">
        <f ca="1">IF(AND(A974&gt;=OP!$C$132,A974&lt;=OP!$C$133,$C$3=C974),OP!$C$135,0)</f>
        <v>0</v>
      </c>
      <c r="AW974" s="180">
        <f t="shared" ca="1" si="565"/>
        <v>0.05</v>
      </c>
      <c r="AX974" s="180">
        <f t="shared" ca="1" si="566"/>
        <v>0.05</v>
      </c>
      <c r="AY974" s="286">
        <f t="shared" ca="1" si="567"/>
        <v>0</v>
      </c>
      <c r="AZ974" s="286">
        <f t="shared" ca="1" si="568"/>
        <v>0</v>
      </c>
      <c r="BA974" s="286">
        <f t="shared" ca="1" si="569"/>
        <v>0</v>
      </c>
      <c r="BB974" s="286">
        <f t="shared" ca="1" si="570"/>
        <v>0</v>
      </c>
      <c r="BC974" s="286">
        <f t="shared" ca="1" si="571"/>
        <v>0</v>
      </c>
      <c r="BD974" s="180">
        <f t="shared" ca="1" si="572"/>
        <v>0.05</v>
      </c>
      <c r="BE974" s="180">
        <f t="shared" ca="1" si="573"/>
        <v>0.05</v>
      </c>
      <c r="BF974" s="286">
        <f t="shared" ca="1" si="574"/>
        <v>0</v>
      </c>
      <c r="BG974" s="286">
        <f t="shared" ca="1" si="575"/>
        <v>0</v>
      </c>
    </row>
    <row r="975" spans="1:59">
      <c r="A975" s="1">
        <f t="shared" ca="1" si="554"/>
        <v>81</v>
      </c>
      <c r="B975" s="1">
        <f t="shared" ca="1" si="548"/>
        <v>187</v>
      </c>
      <c r="C975" s="1">
        <f t="shared" ca="1" si="549"/>
        <v>5</v>
      </c>
      <c r="D975" s="1">
        <f ca="1">MIN($D$3,VLOOKUP(C975,OP!$S$30:$T$41,2))</f>
        <v>2</v>
      </c>
      <c r="E975" s="1" t="str">
        <f t="shared" ca="1" si="550"/>
        <v/>
      </c>
      <c r="F975" s="11" t="str">
        <f t="shared" ca="1" si="555"/>
        <v/>
      </c>
      <c r="G975" s="8">
        <f t="shared" ca="1" si="556"/>
        <v>365</v>
      </c>
      <c r="H975" s="8">
        <f t="shared" ca="1" si="557"/>
        <v>31</v>
      </c>
      <c r="I975" s="8" t="str">
        <f t="shared" ca="1" si="553"/>
        <v>815</v>
      </c>
      <c r="J975" s="13">
        <f>IF(繳費報酬率資料!$A$1=1,VALUE(OP!$C$121),VLOOKUP(A975,MP,2,0))</f>
        <v>0.05</v>
      </c>
      <c r="K975" s="14">
        <f ca="1">IF(SUM($K$4:K974,IF(繳費報酬率資料!$A$1=1,$AU975+$AV975,$BB975+$BC975))&gt;OP!$L$58,0,IF(繳費報酬率資料!$A$1=1,$AU975+$AV975,$BB975+$BC975))</f>
        <v>0</v>
      </c>
      <c r="L975" s="2">
        <f ca="1">ROUND(IF(OP!$C$78&lt;(IF(OR($T975="F",$E975&gt;=111),0,Z974+$K975-$O975+IF($C$1=1,OP!$C$78,IF($C976=$C$3,SUM(AC964:AC975,0)))))*5%,0,(OP!$C$78-((IF(OR($T975="F",$E975&gt;=111),0,Z974+$K975-$O975+IF($C$1=1,AC975,IF($C976=$C$3,SUM(AC964:AC975,0)))))*5%))*$Q975),0)</f>
        <v>0</v>
      </c>
      <c r="M975" s="2">
        <f ca="1">ROUND(IF(OP!$C$78&lt;(IF(OR($T975="F",$E975&gt;=111),0,AA974+$K975-$O975+IF($C$1=1,AD975,IF($C976=$C$3,SUM(AD964:AD975,0)))))*5%,0,(OP!$C$78-((IF(OR($T975="F",$E975&gt;=111),0,AA974+$K975-$O975+IF($C$1=1,AD975,IF($C976=$C$3,SUM(AD964:AD975,0)))))*5%))*$Q975),0)</f>
        <v>0</v>
      </c>
      <c r="N975" s="2">
        <f ca="1">ROUND(IF(OP!$C$78&lt;(IF(OR($T975="F",$E975&gt;=111),0,AB974+$K975-$O975+IF($C$1=1,AE975,IF($C976=$C$3,SUM(AE964:AE975,0)))))*5%,0,(OP!$C$78-((IF(OR($T975="F",$E975&gt;=111),0,AB974+$K975-$O975+IF($C$1=1,AE975,IF($C976=$C$3,SUM(AE964:AE975,0)))))*5%))*$Q975),0)</f>
        <v>0</v>
      </c>
      <c r="O975" s="261">
        <f t="shared" ca="1" si="558"/>
        <v>0</v>
      </c>
      <c r="P975" s="261">
        <f t="shared" ca="1" si="576"/>
        <v>0</v>
      </c>
      <c r="Q975" s="3">
        <f ca="1">IF(A975&gt;MAX(OP!$R$17:$R$26),0,VLOOKUP(A975,fees,3,FALSE))</f>
        <v>0</v>
      </c>
      <c r="R975" s="200" t="str">
        <f t="shared" ca="1" si="559"/>
        <v/>
      </c>
      <c r="S975" s="9" t="str">
        <f ca="1">IF(COUNTIF(($T$4:T974),"F")&gt;=1,"",IF(OR(C976&lt;&gt;$C$3,E975=""),"",A975))</f>
        <v/>
      </c>
      <c r="T975" s="20" t="str">
        <f t="shared" ca="1" si="551"/>
        <v/>
      </c>
      <c r="U975" s="2">
        <f ca="1">IF(IF(OP!$C$83=1,$Z974,IF(OP!$C$83=2,$AA974,IF(OP!$C$83=3,$AB974,)))+$K975-$O975-$P975-$AS975&lt;OP!$C$142,0,$AS975)</f>
        <v>0</v>
      </c>
      <c r="V975" s="19">
        <f ca="1">SUM(K964:K975)</f>
        <v>0</v>
      </c>
      <c r="W975" s="19">
        <f ca="1">MAX(SUM($K$4:K975),0)</f>
        <v>2000000</v>
      </c>
      <c r="X975" s="19">
        <f ca="1">SUM(O964:P975)</f>
        <v>0</v>
      </c>
      <c r="Y975" s="19">
        <f t="shared" ca="1" si="577"/>
        <v>1920000</v>
      </c>
      <c r="Z975" s="2">
        <f ca="1">IF(MIN($Z$4:Z974)=0,0,MAX(0,($Z974+$K975-$O975-$P975)*IF(AND(F975="F",$D$3&lt;&gt;$G$3),((1+(-J975))^(H975/MIN(G975,365))),((1+(-J975))^(1/12)))-$U975))</f>
        <v>30124.042878265631</v>
      </c>
      <c r="AA975" s="2">
        <f ca="1">IF(MIN($AA$4:AA974)=0,0,MAX(0,($AA974+$K975-$O975-$P975)*IF(AND(F975="F",$D$3&lt;&gt;$G$3),((1+$AA$1)^(H975/MIN(G975,365))),((1+$AA$1)^(1/12)))-$U975))</f>
        <v>1920000</v>
      </c>
      <c r="AB975" s="2">
        <f ca="1">IF(MIN($AB$4:AB974)=0,0,MAX(0,($AB974+$K975-$O975-$P975)*IF(AND(F975="F",$D$3&lt;&gt;$G$3),((1+(J975))^(H975/MIN(G975,365))),((1+(J975))^(1/12)))-$U975))</f>
        <v>99915865.190759182</v>
      </c>
      <c r="AC975" s="5"/>
      <c r="AD975" s="5"/>
      <c r="AE975" s="5"/>
      <c r="AF975" s="282">
        <f t="shared" ca="1" si="560"/>
        <v>30124</v>
      </c>
      <c r="AG975" s="282">
        <f t="shared" ca="1" si="561"/>
        <v>1920000</v>
      </c>
      <c r="AH975" s="282">
        <f t="shared" ca="1" si="562"/>
        <v>99915865</v>
      </c>
      <c r="AI975" s="23" t="str">
        <f t="shared" ca="1" si="578"/>
        <v>82-1</v>
      </c>
      <c r="AJ975" s="282">
        <f ca="1">IF(E975&gt;111,,IF(AND(OP!$C$99=1,T975="F"),Z975,IF(AND(OP!$C$99=2,COUNTIF($T$4:T975,"F")=1),OP!$C$97+IF(F975="F",OP!$C$98,0),"")))</f>
        <v>0</v>
      </c>
      <c r="AK975" s="282">
        <f ca="1">IF(E975&gt;111,,IF(AND(OP!$D$99=1,T975="F"),AA975,IF(AND(OP!$D$99=2,COUNTIF($T$4:T975,"F")=1),OP!$D$97+IF(F975="F",OP!$D$98,0),"")))</f>
        <v>0</v>
      </c>
      <c r="AL975" s="282">
        <f ca="1">IF(E975&gt;111,,IF(AND(OP!$E$99=1,T975="F"),AB975,IF(AND(OP!$E$99=2,COUNTIF($T$4:T975,"F")=1),OP!$E$97+IF(F975="F",OP!$E$98,0),"")))</f>
        <v>0</v>
      </c>
      <c r="AM975" s="1">
        <f t="shared" ca="1" si="552"/>
        <v>1</v>
      </c>
      <c r="AN975" s="1" t="e">
        <f ca="1">IF(OR(VLOOKUP($A975,MP,5,0)="月繳"),1,"")</f>
        <v>#N/A</v>
      </c>
      <c r="AO975" s="1">
        <f t="shared" ca="1" si="563"/>
        <v>0</v>
      </c>
      <c r="AP975" s="1" t="str">
        <f ca="1">IF(AND(A975&lt;=OP!$C$120,COUNTIF(PAY,C975)=1),1,"")</f>
        <v/>
      </c>
      <c r="AR975" s="301">
        <f ca="1">IF(繳費報酬率資料!$A$1=1,$AY975+$AZ975,$BF975+$BG975)</f>
        <v>0</v>
      </c>
      <c r="AS975" s="1">
        <f ca="1">IF(C975&lt;&gt;IF($C$3=1,12,$C$3-1),0,IF(繳費報酬率資料!$A$1&lt;&gt;1,VLOOKUP($A975,MP,8,0),IF(AND($A975&gt;=OP!$C$79,$A975&lt;=OP!$C$80),OP!$C$78,)))</f>
        <v>0</v>
      </c>
      <c r="AT975" s="298">
        <f t="shared" ca="1" si="564"/>
        <v>0</v>
      </c>
      <c r="AU975" s="298">
        <f ca="1">IF(AND(A975&lt;=OP!$C$120,COUNTIF(PAY,C975)=1),OP!$C$123,0)</f>
        <v>0</v>
      </c>
      <c r="AV975" s="298">
        <f ca="1">IF(AND(A975&gt;=OP!$C$132,A975&lt;=OP!$C$133,$C$3=C975),OP!$C$135,0)</f>
        <v>0</v>
      </c>
      <c r="AW975" s="180">
        <f t="shared" ca="1" si="565"/>
        <v>0.05</v>
      </c>
      <c r="AX975" s="180">
        <f t="shared" ca="1" si="566"/>
        <v>0.05</v>
      </c>
      <c r="AY975" s="286">
        <f t="shared" ca="1" si="567"/>
        <v>0</v>
      </c>
      <c r="AZ975" s="286">
        <f t="shared" ca="1" si="568"/>
        <v>0</v>
      </c>
      <c r="BA975" s="286">
        <f t="shared" ca="1" si="569"/>
        <v>0</v>
      </c>
      <c r="BB975" s="286">
        <f t="shared" ca="1" si="570"/>
        <v>0</v>
      </c>
      <c r="BC975" s="286">
        <f t="shared" ca="1" si="571"/>
        <v>0</v>
      </c>
      <c r="BD975" s="180">
        <f t="shared" ca="1" si="572"/>
        <v>0.05</v>
      </c>
      <c r="BE975" s="180">
        <f t="shared" ca="1" si="573"/>
        <v>0.05</v>
      </c>
      <c r="BF975" s="286">
        <f t="shared" ca="1" si="574"/>
        <v>0</v>
      </c>
      <c r="BG975" s="286">
        <f t="shared" ca="1" si="575"/>
        <v>0</v>
      </c>
    </row>
    <row r="976" spans="1:59">
      <c r="A976" s="1">
        <f t="shared" ca="1" si="554"/>
        <v>82</v>
      </c>
      <c r="B976" s="1">
        <f t="shared" ca="1" si="548"/>
        <v>187</v>
      </c>
      <c r="C976" s="1">
        <f t="shared" ca="1" si="549"/>
        <v>6</v>
      </c>
      <c r="D976" s="1">
        <f ca="1">MIN($D$3,VLOOKUP(C976,OP!$S$30:$T$41,2))</f>
        <v>2</v>
      </c>
      <c r="E976" s="1" t="str">
        <f t="shared" ca="1" si="550"/>
        <v/>
      </c>
      <c r="F976" s="11" t="str">
        <f t="shared" ca="1" si="555"/>
        <v/>
      </c>
      <c r="G976" s="6">
        <f ca="1">DATEDIF(DATE(B976+1911,C976,D976),DATE(B988+1911,C988,D988),"d")</f>
        <v>365</v>
      </c>
      <c r="H976" s="8">
        <f t="shared" ca="1" si="557"/>
        <v>30</v>
      </c>
      <c r="I976" s="8" t="str">
        <f t="shared" ca="1" si="553"/>
        <v>826</v>
      </c>
      <c r="J976" s="13">
        <f>IF(繳費報酬率資料!$A$1=1,VALUE(OP!$C$121),VLOOKUP(A976,MP,2,0))</f>
        <v>0.05</v>
      </c>
      <c r="K976" s="14">
        <f ca="1">IF(SUM($K$4:K975,IF(繳費報酬率資料!$A$1=1,$AU976+$AV976,$BB976+$BC976))&gt;OP!$L$58,0,IF(繳費報酬率資料!$A$1=1,$AU976+$AV976,$BB976+$BC976))</f>
        <v>0</v>
      </c>
      <c r="L976" s="2"/>
      <c r="M976" s="2"/>
      <c r="N976" s="2"/>
      <c r="O976" s="261">
        <f t="shared" ca="1" si="558"/>
        <v>0</v>
      </c>
      <c r="P976" s="261">
        <f t="shared" ca="1" si="576"/>
        <v>0</v>
      </c>
      <c r="Q976" s="3">
        <f ca="1">IF(A976&gt;MAX(OP!$R$17:$R$26),0,VLOOKUP(A976,fees,3,FALSE))</f>
        <v>0</v>
      </c>
      <c r="R976" s="200" t="str">
        <f t="shared" ca="1" si="559"/>
        <v/>
      </c>
      <c r="S976" s="9" t="str">
        <f ca="1">IF(COUNTIF(($T$4:T975),"F")&gt;=1,"",IF(OR(C977&lt;&gt;$C$3,E976=""),"",A976))</f>
        <v/>
      </c>
      <c r="T976" s="20" t="str">
        <f t="shared" ca="1" si="551"/>
        <v/>
      </c>
      <c r="U976" s="2">
        <f ca="1">IF(IF(OP!$C$83=1,$Z975,IF(OP!$C$83=2,$AA975,IF(OP!$C$83=3,$AB975,)))+$K976-$O976-$P976-$AS976&lt;OP!$C$142,0,$AS976)</f>
        <v>0</v>
      </c>
      <c r="V976" s="9"/>
      <c r="W976" s="19">
        <f ca="1">MAX(SUM($K$4:K976),0)</f>
        <v>2000000</v>
      </c>
      <c r="X976" s="19"/>
      <c r="Y976" s="19">
        <f t="shared" ca="1" si="577"/>
        <v>1920000</v>
      </c>
      <c r="Z976" s="2">
        <f ca="1">IF(MIN($Z$4:Z975)=0,0,MAX(0,($Z975+$K976-$O976-$P976)*IF(AND(F976="F",$D$3&lt;&gt;$G$3),((1+(-J976))^(H976/MIN(G976,365))),((1+(-J976))^(1/12)))-$U976))</f>
        <v>29995.554232520921</v>
      </c>
      <c r="AA976" s="2">
        <f ca="1">IF(MIN($AA$4:AA975)=0,0,MAX(0,($AA975+$K976-$O976-$P976)*IF(AND(F976="F",$D$3&lt;&gt;$G$3),((1+$AA$1)^(H976/MIN(G976,365))),((1+$AA$1)^(1/12)))-$U976))</f>
        <v>1920000</v>
      </c>
      <c r="AB976" s="2">
        <f ca="1">IF(MIN($AB$4:AB975)=0,0,MAX(0,($AB975+$K976-$O976-$P976)*IF(AND(F976="F",$D$3&lt;&gt;$G$3),((1+(J976))^(H976/MIN(G976,365))),((1+(J976))^(1/12)))-$U976))</f>
        <v>100322934.79349665</v>
      </c>
      <c r="AC976" s="21"/>
      <c r="AD976" s="21"/>
      <c r="AE976" s="21"/>
      <c r="AF976" s="282">
        <f t="shared" ca="1" si="560"/>
        <v>29996</v>
      </c>
      <c r="AG976" s="282">
        <f t="shared" ca="1" si="561"/>
        <v>1920000</v>
      </c>
      <c r="AH976" s="282">
        <f t="shared" ca="1" si="562"/>
        <v>100322935</v>
      </c>
      <c r="AI976" s="23" t="str">
        <f t="shared" ca="1" si="578"/>
        <v>82-2</v>
      </c>
      <c r="AJ976" s="281">
        <f ca="1">IF(E976&gt;111,,IF(AND(OP!$C$99=1,T976="F"),Z976,IF(AND(OP!$C$99=2,COUNTIF($T$4:T976,"F")=1),OP!$C$97+IF(F976="F",OP!$C$98,0),"")))</f>
        <v>0</v>
      </c>
      <c r="AK976" s="281">
        <f ca="1">IF(E976&gt;111,,IF(AND(OP!$D$99=1,T976="F"),AA976,IF(AND(OP!$D$99=2,COUNTIF($T$4:T976,"F")=1),OP!$D$97+IF(F976="F",OP!$D$98,0),"")))</f>
        <v>0</v>
      </c>
      <c r="AL976" s="281">
        <f ca="1">IF(E976&gt;111,,IF(AND(OP!$E$99=1,T976="F"),AB976,IF(AND(OP!$E$99=2,COUNTIF($T$4:T976,"F")=1),OP!$E$97+IF(F976="F",OP!$E$98,0),"")))</f>
        <v>0</v>
      </c>
      <c r="AM976" s="1">
        <f t="shared" ca="1" si="552"/>
        <v>2</v>
      </c>
      <c r="AN976" s="1" t="e">
        <f ca="1">IF(OR(VLOOKUP($A976,MP,5,0)="年繳",VLOOKUP($A976,MP,5,0)="半年繳",VLOOKUP($A976,MP,5,0)="季繳",VLOOKUP($A976,MP,5,0)="月繳"),1,"")</f>
        <v>#N/A</v>
      </c>
      <c r="AO976" s="1">
        <f t="shared" ca="1" si="563"/>
        <v>0</v>
      </c>
      <c r="AP976" s="1" t="str">
        <f ca="1">IF(AND(A976&lt;=OP!$C$120,COUNTIF(PAY,C976)=1),1,"")</f>
        <v/>
      </c>
      <c r="AR976" s="301">
        <f ca="1">IF(繳費報酬率資料!$A$1=1,$AY976+$AZ976,$BF976+$BG976)</f>
        <v>0</v>
      </c>
      <c r="AS976" s="1">
        <f ca="1">IF(C976&lt;&gt;IF($C$3=1,12,$C$3-1),0,IF(繳費報酬率資料!$A$1&lt;&gt;1,VLOOKUP($A976,MP,8,0),IF(AND($A976&gt;=OP!$C$79,$A976&lt;=OP!$C$80),OP!$C$78,)))</f>
        <v>0</v>
      </c>
      <c r="AT976" s="298">
        <f t="shared" ca="1" si="564"/>
        <v>0</v>
      </c>
      <c r="AU976" s="298">
        <f ca="1">IF(AND(A976&lt;=OP!$C$120,COUNTIF(PAY,C976)=1),OP!$C$123,0)</f>
        <v>0</v>
      </c>
      <c r="AV976" s="298">
        <f ca="1">IF(AND(A976&gt;=OP!$C$132,A976&lt;=OP!$C$133,$C$3=C976),OP!$C$135,0)</f>
        <v>0</v>
      </c>
      <c r="AW976" s="180">
        <f t="shared" ca="1" si="565"/>
        <v>0.05</v>
      </c>
      <c r="AX976" s="180">
        <f t="shared" ca="1" si="566"/>
        <v>0.05</v>
      </c>
      <c r="AY976" s="286">
        <f t="shared" ca="1" si="567"/>
        <v>0</v>
      </c>
      <c r="AZ976" s="286">
        <f t="shared" ca="1" si="568"/>
        <v>0</v>
      </c>
      <c r="BA976" s="286">
        <f t="shared" ca="1" si="569"/>
        <v>0</v>
      </c>
      <c r="BB976" s="286">
        <f t="shared" ca="1" si="570"/>
        <v>0</v>
      </c>
      <c r="BC976" s="286">
        <f t="shared" ca="1" si="571"/>
        <v>0</v>
      </c>
      <c r="BD976" s="180">
        <f t="shared" ca="1" si="572"/>
        <v>0.05</v>
      </c>
      <c r="BE976" s="180">
        <f t="shared" ca="1" si="573"/>
        <v>0.05</v>
      </c>
      <c r="BF976" s="286">
        <f t="shared" ca="1" si="574"/>
        <v>0</v>
      </c>
      <c r="BG976" s="286">
        <f t="shared" ca="1" si="575"/>
        <v>0</v>
      </c>
    </row>
    <row r="977" spans="1:59">
      <c r="A977" s="1">
        <f t="shared" ca="1" si="554"/>
        <v>82</v>
      </c>
      <c r="B977" s="1">
        <f t="shared" ca="1" si="548"/>
        <v>187</v>
      </c>
      <c r="C977" s="1">
        <f t="shared" ca="1" si="549"/>
        <v>7</v>
      </c>
      <c r="D977" s="1">
        <f ca="1">MIN($D$3,VLOOKUP(C977,OP!$S$30:$T$41,2))</f>
        <v>2</v>
      </c>
      <c r="E977" s="1" t="str">
        <f t="shared" ca="1" si="550"/>
        <v/>
      </c>
      <c r="F977" s="11" t="str">
        <f t="shared" ca="1" si="555"/>
        <v/>
      </c>
      <c r="G977" s="8">
        <f t="shared" ref="G977:G987" ca="1" si="579">G976</f>
        <v>365</v>
      </c>
      <c r="H977" s="8">
        <f t="shared" ca="1" si="557"/>
        <v>31</v>
      </c>
      <c r="I977" s="8" t="str">
        <f t="shared" ca="1" si="553"/>
        <v>827</v>
      </c>
      <c r="J977" s="13">
        <f>IF(繳費報酬率資料!$A$1=1,VALUE(OP!$C$121),VLOOKUP(A977,MP,2,0))</f>
        <v>0.05</v>
      </c>
      <c r="K977" s="14">
        <f ca="1">IF(SUM($K$4:K976,IF(繳費報酬率資料!$A$1=1,$AU977+$AV977,$BB977+$BC977))&gt;OP!$L$58,0,IF(繳費報酬率資料!$A$1=1,$AU977+$AV977,$BB977+$BC977))</f>
        <v>0</v>
      </c>
      <c r="L977" s="2"/>
      <c r="M977" s="2"/>
      <c r="N977" s="2"/>
      <c r="O977" s="261">
        <f t="shared" ca="1" si="558"/>
        <v>0</v>
      </c>
      <c r="P977" s="261">
        <f t="shared" ca="1" si="576"/>
        <v>0</v>
      </c>
      <c r="Q977" s="3">
        <f ca="1">IF(A977&gt;MAX(OP!$R$17:$R$26),0,VLOOKUP(A977,fees,3,FALSE))</f>
        <v>0</v>
      </c>
      <c r="R977" s="200" t="str">
        <f t="shared" ca="1" si="559"/>
        <v/>
      </c>
      <c r="S977" s="9" t="str">
        <f ca="1">IF(COUNTIF(($T$4:T976),"F")&gt;=1,"",IF(OR(C978&lt;&gt;$C$3,E977=""),"",A977))</f>
        <v/>
      </c>
      <c r="T977" s="20" t="str">
        <f t="shared" ca="1" si="551"/>
        <v/>
      </c>
      <c r="U977" s="2">
        <f ca="1">IF(IF(OP!$C$83=1,$Z976,IF(OP!$C$83=2,$AA976,IF(OP!$C$83=3,$AB976,)))+$K977-$O977-$P977-$AS977&lt;OP!$C$142,0,$AS977)</f>
        <v>0</v>
      </c>
      <c r="V977" s="9"/>
      <c r="W977" s="19">
        <f ca="1">MAX(SUM($K$4:K977),0)</f>
        <v>2000000</v>
      </c>
      <c r="X977" s="19"/>
      <c r="Y977" s="19">
        <f t="shared" ca="1" si="577"/>
        <v>1920000</v>
      </c>
      <c r="Z977" s="2">
        <f ca="1">IF(MIN($Z$4:Z976)=0,0,MAX(0,($Z976+$K977-$O977-$P977)*IF(AND(F977="F",$D$3&lt;&gt;$G$3),((1+(-J977))^(H977/MIN(G977,365))),((1+(-J977))^(1/12)))-$U977))</f>
        <v>29867.613631809611</v>
      </c>
      <c r="AA977" s="2">
        <f ca="1">IF(MIN($AA$4:AA976)=0,0,MAX(0,($AA976+$K977-$O977-$P977)*IF(AND(F977="F",$D$3&lt;&gt;$G$3),((1+$AA$1)^(H977/MIN(G977,365))),((1+$AA$1)^(1/12)))-$U977))</f>
        <v>1920000</v>
      </c>
      <c r="AB977" s="2">
        <f ca="1">IF(MIN($AB$4:AB976)=0,0,MAX(0,($AB976+$K977-$O977-$P977)*IF(AND(F977="F",$D$3&lt;&gt;$G$3),((1+(J977))^(H977/MIN(G977,365))),((1+(J977))^(1/12)))-$U977))</f>
        <v>100731662.84818424</v>
      </c>
      <c r="AC977" s="5"/>
      <c r="AD977" s="5"/>
      <c r="AE977" s="5"/>
      <c r="AF977" s="282">
        <f t="shared" ca="1" si="560"/>
        <v>29868</v>
      </c>
      <c r="AG977" s="282">
        <f t="shared" ca="1" si="561"/>
        <v>1920000</v>
      </c>
      <c r="AH977" s="282">
        <f t="shared" ca="1" si="562"/>
        <v>100731663</v>
      </c>
      <c r="AI977" s="23" t="str">
        <f t="shared" ca="1" si="578"/>
        <v>82-3</v>
      </c>
      <c r="AJ977" s="282">
        <f ca="1">IF(E977&gt;111,,IF(AND(OP!$C$99=1,T977="F"),Z977,IF(AND(OP!$C$99=2,COUNTIF($T$4:T977,"F")=1),OP!$C$97+IF(F977="F",OP!$C$98,0),"")))</f>
        <v>0</v>
      </c>
      <c r="AK977" s="282">
        <f ca="1">IF(E977&gt;111,,IF(AND(OP!$D$99=1,T977="F"),AA977,IF(AND(OP!$D$99=2,COUNTIF($T$4:T977,"F")=1),OP!$D$97+IF(F977="F",OP!$D$98,0),"")))</f>
        <v>0</v>
      </c>
      <c r="AL977" s="282">
        <f ca="1">IF(E977&gt;111,,IF(AND(OP!$E$99=1,T977="F"),AB977,IF(AND(OP!$E$99=2,COUNTIF($T$4:T977,"F")=1),OP!$E$97+IF(F977="F",OP!$E$98,0),"")))</f>
        <v>0</v>
      </c>
      <c r="AM977" s="1">
        <f t="shared" ca="1" si="552"/>
        <v>3</v>
      </c>
      <c r="AN977" s="1" t="e">
        <f ca="1">IF(OR(VLOOKUP($A977,MP,5,0)="月繳"),1,"")</f>
        <v>#N/A</v>
      </c>
      <c r="AO977" s="1">
        <f t="shared" ca="1" si="563"/>
        <v>0</v>
      </c>
      <c r="AP977" s="1" t="str">
        <f ca="1">IF(AND(A977&lt;=OP!$C$120,COUNTIF(PAY,C977)=1),1,"")</f>
        <v/>
      </c>
      <c r="AR977" s="301">
        <f ca="1">IF(繳費報酬率資料!$A$1=1,$AY977+$AZ977,$BF977+$BG977)</f>
        <v>0</v>
      </c>
      <c r="AS977" s="1">
        <f ca="1">IF(C977&lt;&gt;IF($C$3=1,12,$C$3-1),0,IF(繳費報酬率資料!$A$1&lt;&gt;1,VLOOKUP($A977,MP,8,0),IF(AND($A977&gt;=OP!$C$79,$A977&lt;=OP!$C$80),OP!$C$78,)))</f>
        <v>0</v>
      </c>
      <c r="AT977" s="298">
        <f t="shared" ca="1" si="564"/>
        <v>0</v>
      </c>
      <c r="AU977" s="298">
        <f ca="1">IF(AND(A977&lt;=OP!$C$120,COUNTIF(PAY,C977)=1),OP!$C$123,0)</f>
        <v>0</v>
      </c>
      <c r="AV977" s="298">
        <f ca="1">IF(AND(A977&gt;=OP!$C$132,A977&lt;=OP!$C$133,$C$3=C977),OP!$C$135,0)</f>
        <v>0</v>
      </c>
      <c r="AW977" s="180">
        <f t="shared" ca="1" si="565"/>
        <v>0.05</v>
      </c>
      <c r="AX977" s="180">
        <f t="shared" ca="1" si="566"/>
        <v>0.05</v>
      </c>
      <c r="AY977" s="286">
        <f t="shared" ca="1" si="567"/>
        <v>0</v>
      </c>
      <c r="AZ977" s="286">
        <f t="shared" ca="1" si="568"/>
        <v>0</v>
      </c>
      <c r="BA977" s="286">
        <f t="shared" ca="1" si="569"/>
        <v>0</v>
      </c>
      <c r="BB977" s="286">
        <f t="shared" ca="1" si="570"/>
        <v>0</v>
      </c>
      <c r="BC977" s="286">
        <f t="shared" ca="1" si="571"/>
        <v>0</v>
      </c>
      <c r="BD977" s="180">
        <f t="shared" ca="1" si="572"/>
        <v>0.05</v>
      </c>
      <c r="BE977" s="180">
        <f t="shared" ca="1" si="573"/>
        <v>0.05</v>
      </c>
      <c r="BF977" s="286">
        <f t="shared" ca="1" si="574"/>
        <v>0</v>
      </c>
      <c r="BG977" s="286">
        <f t="shared" ca="1" si="575"/>
        <v>0</v>
      </c>
    </row>
    <row r="978" spans="1:59">
      <c r="A978" s="1">
        <f t="shared" ca="1" si="554"/>
        <v>82</v>
      </c>
      <c r="B978" s="1">
        <f t="shared" ca="1" si="548"/>
        <v>187</v>
      </c>
      <c r="C978" s="1">
        <f t="shared" ca="1" si="549"/>
        <v>8</v>
      </c>
      <c r="D978" s="1">
        <f ca="1">MIN($D$3,VLOOKUP(C978,OP!$S$30:$T$41,2))</f>
        <v>2</v>
      </c>
      <c r="E978" s="1" t="str">
        <f t="shared" ca="1" si="550"/>
        <v/>
      </c>
      <c r="F978" s="11" t="str">
        <f t="shared" ca="1" si="555"/>
        <v/>
      </c>
      <c r="G978" s="8">
        <f t="shared" ca="1" si="579"/>
        <v>365</v>
      </c>
      <c r="H978" s="8">
        <f t="shared" ca="1" si="557"/>
        <v>31</v>
      </c>
      <c r="I978" s="8" t="str">
        <f t="shared" ca="1" si="553"/>
        <v>828</v>
      </c>
      <c r="J978" s="13">
        <f>IF(繳費報酬率資料!$A$1=1,VALUE(OP!$C$121),VLOOKUP(A978,MP,2,0))</f>
        <v>0.05</v>
      </c>
      <c r="K978" s="14">
        <f ca="1">IF(SUM($K$4:K977,IF(繳費報酬率資料!$A$1=1,$AU978+$AV978,$BB978+$BC978))&gt;OP!$L$58,0,IF(繳費報酬率資料!$A$1=1,$AU978+$AV978,$BB978+$BC978))</f>
        <v>0</v>
      </c>
      <c r="L978" s="2"/>
      <c r="M978" s="2"/>
      <c r="N978" s="2"/>
      <c r="O978" s="261">
        <f t="shared" ca="1" si="558"/>
        <v>0</v>
      </c>
      <c r="P978" s="261">
        <f t="shared" ca="1" si="576"/>
        <v>0</v>
      </c>
      <c r="Q978" s="3">
        <f ca="1">IF(A978&gt;MAX(OP!$R$17:$R$26),0,VLOOKUP(A978,fees,3,FALSE))</f>
        <v>0</v>
      </c>
      <c r="R978" s="200" t="str">
        <f t="shared" ca="1" si="559"/>
        <v/>
      </c>
      <c r="S978" s="9" t="str">
        <f ca="1">IF(COUNTIF(($T$4:T977),"F")&gt;=1,"",IF(OR(C979&lt;&gt;$C$3,E978=""),"",A978))</f>
        <v/>
      </c>
      <c r="T978" s="20" t="str">
        <f t="shared" ca="1" si="551"/>
        <v/>
      </c>
      <c r="U978" s="2">
        <f ca="1">IF(IF(OP!$C$83=1,$Z977,IF(OP!$C$83=2,$AA977,IF(OP!$C$83=3,$AB977,)))+$K978-$O978-$P978-$AS978&lt;OP!$C$142,0,$AS978)</f>
        <v>0</v>
      </c>
      <c r="V978" s="9"/>
      <c r="W978" s="19">
        <f ca="1">MAX(SUM($K$4:K978),0)</f>
        <v>2000000</v>
      </c>
      <c r="X978" s="19"/>
      <c r="Y978" s="19">
        <f t="shared" ca="1" si="577"/>
        <v>1920000</v>
      </c>
      <c r="Z978" s="2">
        <f ca="1">IF(MIN($Z$4:Z977)=0,0,MAX(0,($Z977+$K978-$O978-$P978)*IF(AND(F978="F",$D$3&lt;&gt;$G$3),((1+(-J978))^(H978/MIN(G978,365))),((1+(-J978))^(1/12)))-$U978))</f>
        <v>29740.218738544925</v>
      </c>
      <c r="AA978" s="2">
        <f ca="1">IF(MIN($AA$4:AA977)=0,0,MAX(0,($AA977+$K978-$O978-$P978)*IF(AND(F978="F",$D$3&lt;&gt;$G$3),((1+$AA$1)^(H978/MIN(G978,365))),((1+$AA$1)^(1/12)))-$U978))</f>
        <v>1920000</v>
      </c>
      <c r="AB978" s="2">
        <f ca="1">IF(MIN($AB$4:AB977)=0,0,MAX(0,($AB977+$K978-$O978-$P978)*IF(AND(F978="F",$D$3&lt;&gt;$G$3),((1+(J978))^(H978/MIN(G978,365))),((1+(J978))^(1/12)))-$U978))</f>
        <v>101142056.11156048</v>
      </c>
      <c r="AC978" s="5"/>
      <c r="AD978" s="5"/>
      <c r="AE978" s="5"/>
      <c r="AF978" s="282">
        <f t="shared" ca="1" si="560"/>
        <v>29740</v>
      </c>
      <c r="AG978" s="282">
        <f t="shared" ca="1" si="561"/>
        <v>1920000</v>
      </c>
      <c r="AH978" s="282">
        <f t="shared" ca="1" si="562"/>
        <v>101142056</v>
      </c>
      <c r="AI978" s="23" t="str">
        <f t="shared" ca="1" si="578"/>
        <v>82-4</v>
      </c>
      <c r="AJ978" s="282">
        <f ca="1">IF(E978&gt;111,,IF(AND(OP!$C$99=1,T978="F"),Z978,IF(AND(OP!$C$99=2,COUNTIF($T$4:T978,"F")=1),OP!$C$97+IF(F978="F",OP!$C$98,0),"")))</f>
        <v>0</v>
      </c>
      <c r="AK978" s="282">
        <f ca="1">IF(E978&gt;111,,IF(AND(OP!$D$99=1,T978="F"),AA978,IF(AND(OP!$D$99=2,COUNTIF($T$4:T978,"F")=1),OP!$D$97+IF(F978="F",OP!$D$98,0),"")))</f>
        <v>0</v>
      </c>
      <c r="AL978" s="282">
        <f ca="1">IF(E978&gt;111,,IF(AND(OP!$E$99=1,T978="F"),AB978,IF(AND(OP!$E$99=2,COUNTIF($T$4:T978,"F")=1),OP!$E$97+IF(F978="F",OP!$E$98,0),"")))</f>
        <v>0</v>
      </c>
      <c r="AM978" s="1">
        <f t="shared" ca="1" si="552"/>
        <v>4</v>
      </c>
      <c r="AN978" s="1" t="e">
        <f ca="1">IF(OR(VLOOKUP($A978,MP,5,0)="月繳"),1,"")</f>
        <v>#N/A</v>
      </c>
      <c r="AO978" s="1">
        <f t="shared" ca="1" si="563"/>
        <v>0</v>
      </c>
      <c r="AP978" s="1" t="str">
        <f ca="1">IF(AND(A978&lt;=OP!$C$120,COUNTIF(PAY,C978)=1),1,"")</f>
        <v/>
      </c>
      <c r="AR978" s="301">
        <f ca="1">IF(繳費報酬率資料!$A$1=1,$AY978+$AZ978,$BF978+$BG978)</f>
        <v>0</v>
      </c>
      <c r="AS978" s="1">
        <f ca="1">IF(C978&lt;&gt;IF($C$3=1,12,$C$3-1),0,IF(繳費報酬率資料!$A$1&lt;&gt;1,VLOOKUP($A978,MP,8,0),IF(AND($A978&gt;=OP!$C$79,$A978&lt;=OP!$C$80),OP!$C$78,)))</f>
        <v>0</v>
      </c>
      <c r="AT978" s="298">
        <f t="shared" ca="1" si="564"/>
        <v>0</v>
      </c>
      <c r="AU978" s="298">
        <f ca="1">IF(AND(A978&lt;=OP!$C$120,COUNTIF(PAY,C978)=1),OP!$C$123,0)</f>
        <v>0</v>
      </c>
      <c r="AV978" s="298">
        <f ca="1">IF(AND(A978&gt;=OP!$C$132,A978&lt;=OP!$C$133,$C$3=C978),OP!$C$135,0)</f>
        <v>0</v>
      </c>
      <c r="AW978" s="180">
        <f t="shared" ca="1" si="565"/>
        <v>0.05</v>
      </c>
      <c r="AX978" s="180">
        <f t="shared" ca="1" si="566"/>
        <v>0.05</v>
      </c>
      <c r="AY978" s="286">
        <f t="shared" ca="1" si="567"/>
        <v>0</v>
      </c>
      <c r="AZ978" s="286">
        <f t="shared" ca="1" si="568"/>
        <v>0</v>
      </c>
      <c r="BA978" s="286">
        <f t="shared" ca="1" si="569"/>
        <v>0</v>
      </c>
      <c r="BB978" s="286">
        <f t="shared" ca="1" si="570"/>
        <v>0</v>
      </c>
      <c r="BC978" s="286">
        <f t="shared" ca="1" si="571"/>
        <v>0</v>
      </c>
      <c r="BD978" s="180">
        <f t="shared" ca="1" si="572"/>
        <v>0.05</v>
      </c>
      <c r="BE978" s="180">
        <f t="shared" ca="1" si="573"/>
        <v>0.05</v>
      </c>
      <c r="BF978" s="286">
        <f t="shared" ca="1" si="574"/>
        <v>0</v>
      </c>
      <c r="BG978" s="286">
        <f t="shared" ca="1" si="575"/>
        <v>0</v>
      </c>
    </row>
    <row r="979" spans="1:59">
      <c r="A979" s="1">
        <f t="shared" ca="1" si="554"/>
        <v>82</v>
      </c>
      <c r="B979" s="1">
        <f t="shared" ca="1" si="548"/>
        <v>187</v>
      </c>
      <c r="C979" s="1">
        <f t="shared" ca="1" si="549"/>
        <v>9</v>
      </c>
      <c r="D979" s="1">
        <f ca="1">MIN($D$3,VLOOKUP(C979,OP!$S$30:$T$41,2))</f>
        <v>2</v>
      </c>
      <c r="E979" s="1" t="str">
        <f t="shared" ca="1" si="550"/>
        <v/>
      </c>
      <c r="F979" s="11" t="str">
        <f t="shared" ca="1" si="555"/>
        <v/>
      </c>
      <c r="G979" s="8">
        <f t="shared" ca="1" si="579"/>
        <v>365</v>
      </c>
      <c r="H979" s="8">
        <f t="shared" ca="1" si="557"/>
        <v>30</v>
      </c>
      <c r="I979" s="8" t="str">
        <f t="shared" ca="1" si="553"/>
        <v>829</v>
      </c>
      <c r="J979" s="13">
        <f>IF(繳費報酬率資料!$A$1=1,VALUE(OP!$C$121),VLOOKUP(A979,MP,2,0))</f>
        <v>0.05</v>
      </c>
      <c r="K979" s="14">
        <f ca="1">IF(SUM($K$4:K978,IF(繳費報酬率資料!$A$1=1,$AU979+$AV979,$BB979+$BC979))&gt;OP!$L$58,0,IF(繳費報酬率資料!$A$1=1,$AU979+$AV979,$BB979+$BC979))</f>
        <v>0</v>
      </c>
      <c r="L979" s="2"/>
      <c r="M979" s="2"/>
      <c r="N979" s="2"/>
      <c r="O979" s="261">
        <f t="shared" ca="1" si="558"/>
        <v>0</v>
      </c>
      <c r="P979" s="261">
        <f t="shared" ca="1" si="576"/>
        <v>0</v>
      </c>
      <c r="Q979" s="3">
        <f ca="1">IF(A979&gt;MAX(OP!$R$17:$R$26),0,VLOOKUP(A979,fees,3,FALSE))</f>
        <v>0</v>
      </c>
      <c r="R979" s="200" t="str">
        <f t="shared" ca="1" si="559"/>
        <v/>
      </c>
      <c r="S979" s="9" t="str">
        <f ca="1">IF(COUNTIF(($T$4:T978),"F")&gt;=1,"",IF(OR(C980&lt;&gt;$C$3,E979=""),"",A979))</f>
        <v/>
      </c>
      <c r="T979" s="20" t="str">
        <f t="shared" ca="1" si="551"/>
        <v/>
      </c>
      <c r="U979" s="2">
        <f ca="1">IF(IF(OP!$C$83=1,$Z978,IF(OP!$C$83=2,$AA978,IF(OP!$C$83=3,$AB978,)))+$K979-$O979-$P979-$AS979&lt;OP!$C$142,0,$AS979)</f>
        <v>0</v>
      </c>
      <c r="V979" s="9"/>
      <c r="W979" s="19">
        <f ca="1">MAX(SUM($K$4:K979),0)</f>
        <v>2000000</v>
      </c>
      <c r="X979" s="19"/>
      <c r="Y979" s="19">
        <f t="shared" ca="1" si="577"/>
        <v>1920000</v>
      </c>
      <c r="Z979" s="2">
        <f ca="1">IF(MIN($Z$4:Z978)=0,0,MAX(0,($Z978+$K979-$O979-$P979)*IF(AND(F979="F",$D$3&lt;&gt;$G$3),((1+(-J979))^(H979/MIN(G979,365))),((1+(-J979))^(1/12)))-$U979))</f>
        <v>29613.367225110647</v>
      </c>
      <c r="AA979" s="2">
        <f ca="1">IF(MIN($AA$4:AA978)=0,0,MAX(0,($AA978+$K979-$O979-$P979)*IF(AND(F979="F",$D$3&lt;&gt;$G$3),((1+$AA$1)^(H979/MIN(G979,365))),((1+$AA$1)^(1/12)))-$U979))</f>
        <v>1920000</v>
      </c>
      <c r="AB979" s="2">
        <f ca="1">IF(MIN($AB$4:AB978)=0,0,MAX(0,($AB978+$K979-$O979-$P979)*IF(AND(F979="F",$D$3&lt;&gt;$G$3),((1+(J979))^(H979/MIN(G979,365))),((1+(J979))^(1/12)))-$U979))</f>
        <v>101554121.36789168</v>
      </c>
      <c r="AC979" s="5"/>
      <c r="AD979" s="5"/>
      <c r="AE979" s="5"/>
      <c r="AF979" s="282">
        <f t="shared" ca="1" si="560"/>
        <v>29613</v>
      </c>
      <c r="AG979" s="282">
        <f t="shared" ca="1" si="561"/>
        <v>1920000</v>
      </c>
      <c r="AH979" s="282">
        <f t="shared" ca="1" si="562"/>
        <v>101554121</v>
      </c>
      <c r="AI979" s="23" t="str">
        <f t="shared" ca="1" si="578"/>
        <v>82-5</v>
      </c>
      <c r="AJ979" s="282">
        <f ca="1">IF(E979&gt;111,,IF(AND(OP!$C$99=1,T979="F"),Z979,IF(AND(OP!$C$99=2,COUNTIF($T$4:T979,"F")=1),OP!$C$97+IF(F979="F",OP!$C$98,0),"")))</f>
        <v>0</v>
      </c>
      <c r="AK979" s="282">
        <f ca="1">IF(E979&gt;111,,IF(AND(OP!$D$99=1,T979="F"),AA979,IF(AND(OP!$D$99=2,COUNTIF($T$4:T979,"F")=1),OP!$D$97+IF(F979="F",OP!$D$98,0),"")))</f>
        <v>0</v>
      </c>
      <c r="AL979" s="282">
        <f ca="1">IF(E979&gt;111,,IF(AND(OP!$E$99=1,T979="F"),AB979,IF(AND(OP!$E$99=2,COUNTIF($T$4:T979,"F")=1),OP!$E$97+IF(F979="F",OP!$E$98,0),"")))</f>
        <v>0</v>
      </c>
      <c r="AM979" s="1">
        <f t="shared" ca="1" si="552"/>
        <v>5</v>
      </c>
      <c r="AN979" s="1" t="e">
        <f ca="1">IF(OR(VLOOKUP($A979,MP,5,0)="季繳",VLOOKUP($A979,MP,5,0)="月繳"),1,"")</f>
        <v>#N/A</v>
      </c>
      <c r="AO979" s="1">
        <f t="shared" ca="1" si="563"/>
        <v>0</v>
      </c>
      <c r="AP979" s="1" t="str">
        <f ca="1">IF(AND(A979&lt;=OP!$C$120,COUNTIF(PAY,C979)=1),1,"")</f>
        <v/>
      </c>
      <c r="AR979" s="301">
        <f ca="1">IF(繳費報酬率資料!$A$1=1,$AY979+$AZ979,$BF979+$BG979)</f>
        <v>0</v>
      </c>
      <c r="AS979" s="1">
        <f ca="1">IF(C979&lt;&gt;IF($C$3=1,12,$C$3-1),0,IF(繳費報酬率資料!$A$1&lt;&gt;1,VLOOKUP($A979,MP,8,0),IF(AND($A979&gt;=OP!$C$79,$A979&lt;=OP!$C$80),OP!$C$78,)))</f>
        <v>0</v>
      </c>
      <c r="AT979" s="298">
        <f t="shared" ca="1" si="564"/>
        <v>0</v>
      </c>
      <c r="AU979" s="298">
        <f ca="1">IF(AND(A979&lt;=OP!$C$120,COUNTIF(PAY,C979)=1),OP!$C$123,0)</f>
        <v>0</v>
      </c>
      <c r="AV979" s="298">
        <f ca="1">IF(AND(A979&gt;=OP!$C$132,A979&lt;=OP!$C$133,$C$3=C979),OP!$C$135,0)</f>
        <v>0</v>
      </c>
      <c r="AW979" s="180">
        <f t="shared" ca="1" si="565"/>
        <v>0.05</v>
      </c>
      <c r="AX979" s="180">
        <f t="shared" ca="1" si="566"/>
        <v>0.05</v>
      </c>
      <c r="AY979" s="286">
        <f t="shared" ca="1" si="567"/>
        <v>0</v>
      </c>
      <c r="AZ979" s="286">
        <f t="shared" ca="1" si="568"/>
        <v>0</v>
      </c>
      <c r="BA979" s="286">
        <f t="shared" ca="1" si="569"/>
        <v>0</v>
      </c>
      <c r="BB979" s="286">
        <f t="shared" ca="1" si="570"/>
        <v>0</v>
      </c>
      <c r="BC979" s="286">
        <f t="shared" ca="1" si="571"/>
        <v>0</v>
      </c>
      <c r="BD979" s="180">
        <f t="shared" ca="1" si="572"/>
        <v>0.05</v>
      </c>
      <c r="BE979" s="180">
        <f t="shared" ca="1" si="573"/>
        <v>0.05</v>
      </c>
      <c r="BF979" s="286">
        <f t="shared" ca="1" si="574"/>
        <v>0</v>
      </c>
      <c r="BG979" s="286">
        <f t="shared" ca="1" si="575"/>
        <v>0</v>
      </c>
    </row>
    <row r="980" spans="1:59">
      <c r="A980" s="1">
        <f t="shared" ca="1" si="554"/>
        <v>82</v>
      </c>
      <c r="B980" s="1">
        <f t="shared" ca="1" si="548"/>
        <v>187</v>
      </c>
      <c r="C980" s="1">
        <f t="shared" ca="1" si="549"/>
        <v>10</v>
      </c>
      <c r="D980" s="1">
        <f ca="1">MIN($D$3,VLOOKUP(C980,OP!$S$30:$T$41,2))</f>
        <v>2</v>
      </c>
      <c r="E980" s="1" t="str">
        <f t="shared" ca="1" si="550"/>
        <v/>
      </c>
      <c r="F980" s="11" t="str">
        <f t="shared" ca="1" si="555"/>
        <v/>
      </c>
      <c r="G980" s="8">
        <f t="shared" ca="1" si="579"/>
        <v>365</v>
      </c>
      <c r="H980" s="8">
        <f t="shared" ca="1" si="557"/>
        <v>31</v>
      </c>
      <c r="I980" s="8" t="str">
        <f t="shared" ca="1" si="553"/>
        <v>8210</v>
      </c>
      <c r="J980" s="13">
        <f>IF(繳費報酬率資料!$A$1=1,VALUE(OP!$C$121),VLOOKUP(A980,MP,2,0))</f>
        <v>0.05</v>
      </c>
      <c r="K980" s="14">
        <f ca="1">IF(SUM($K$4:K979,IF(繳費報酬率資料!$A$1=1,$AU980+$AV980,$BB980+$BC980))&gt;OP!$L$58,0,IF(繳費報酬率資料!$A$1=1,$AU980+$AV980,$BB980+$BC980))</f>
        <v>0</v>
      </c>
      <c r="L980" s="2"/>
      <c r="M980" s="2"/>
      <c r="N980" s="2"/>
      <c r="O980" s="261">
        <f t="shared" ca="1" si="558"/>
        <v>0</v>
      </c>
      <c r="P980" s="261">
        <f t="shared" ca="1" si="576"/>
        <v>0</v>
      </c>
      <c r="Q980" s="3">
        <f ca="1">IF(A980&gt;MAX(OP!$R$17:$R$26),0,VLOOKUP(A980,fees,3,FALSE))</f>
        <v>0</v>
      </c>
      <c r="R980" s="200" t="str">
        <f t="shared" ca="1" si="559"/>
        <v/>
      </c>
      <c r="S980" s="9" t="str">
        <f ca="1">IF(COUNTIF(($T$4:T979),"F")&gt;=1,"",IF(OR(C981&lt;&gt;$C$3,E980=""),"",A980))</f>
        <v/>
      </c>
      <c r="T980" s="20" t="str">
        <f t="shared" ca="1" si="551"/>
        <v/>
      </c>
      <c r="U980" s="2">
        <f ca="1">IF(IF(OP!$C$83=1,$Z979,IF(OP!$C$83=2,$AA979,IF(OP!$C$83=3,$AB979,)))+$K980-$O980-$P980-$AS980&lt;OP!$C$142,0,$AS980)</f>
        <v>0</v>
      </c>
      <c r="V980" s="9"/>
      <c r="W980" s="19">
        <f ca="1">MAX(SUM($K$4:K980),0)</f>
        <v>2000000</v>
      </c>
      <c r="X980" s="19"/>
      <c r="Y980" s="19">
        <f t="shared" ca="1" si="577"/>
        <v>1920000</v>
      </c>
      <c r="Z980" s="2">
        <f ca="1">IF(MIN($Z$4:Z979)=0,0,MAX(0,($Z979+$K980-$O980-$P980)*IF(AND(F980="F",$D$3&lt;&gt;$G$3),((1+(-J980))^(H980/MIN(G980,365))),((1+(-J980))^(1/12)))-$U980))</f>
        <v>29487.056773818585</v>
      </c>
      <c r="AA980" s="2">
        <f ca="1">IF(MIN($AA$4:AA979)=0,0,MAX(0,($AA979+$K980-$O980-$P980)*IF(AND(F980="F",$D$3&lt;&gt;$G$3),((1+$AA$1)^(H980/MIN(G980,365))),((1+$AA$1)^(1/12)))-$U980))</f>
        <v>1920000</v>
      </c>
      <c r="AB980" s="2">
        <f ca="1">IF(MIN($AB$4:AB979)=0,0,MAX(0,($AB979+$K980-$O980-$P980)*IF(AND(F980="F",$D$3&lt;&gt;$G$3),((1+(J980))^(H980/MIN(G980,365))),((1+(J980))^(1/12)))-$U980))</f>
        <v>101967865.42908412</v>
      </c>
      <c r="AC980" s="5"/>
      <c r="AD980" s="5"/>
      <c r="AE980" s="5"/>
      <c r="AF980" s="282">
        <f t="shared" ca="1" si="560"/>
        <v>29487</v>
      </c>
      <c r="AG980" s="282">
        <f t="shared" ca="1" si="561"/>
        <v>1920000</v>
      </c>
      <c r="AH980" s="282">
        <f t="shared" ca="1" si="562"/>
        <v>101967865</v>
      </c>
      <c r="AI980" s="23" t="str">
        <f t="shared" ca="1" si="578"/>
        <v>82-6</v>
      </c>
      <c r="AJ980" s="282">
        <f ca="1">IF(E980&gt;111,,IF(AND(OP!$C$99=1,T980="F"),Z980,IF(AND(OP!$C$99=2,COUNTIF($T$4:T980,"F")=1),OP!$C$97+IF(F980="F",OP!$C$98,0),"")))</f>
        <v>0</v>
      </c>
      <c r="AK980" s="282">
        <f ca="1">IF(E980&gt;111,,IF(AND(OP!$D$99=1,T980="F"),AA980,IF(AND(OP!$D$99=2,COUNTIF($T$4:T980,"F")=1),OP!$D$97+IF(F980="F",OP!$D$98,0),"")))</f>
        <v>0</v>
      </c>
      <c r="AL980" s="282">
        <f ca="1">IF(E980&gt;111,,IF(AND(OP!$E$99=1,T980="F"),AB980,IF(AND(OP!$E$99=2,COUNTIF($T$4:T980,"F")=1),OP!$E$97+IF(F980="F",OP!$E$98,0),"")))</f>
        <v>0</v>
      </c>
      <c r="AM980" s="1">
        <f t="shared" ca="1" si="552"/>
        <v>6</v>
      </c>
      <c r="AN980" s="1" t="e">
        <f ca="1">IF(OR(VLOOKUP($A980,MP,5,0)="月繳"),1,"")</f>
        <v>#N/A</v>
      </c>
      <c r="AO980" s="1">
        <f t="shared" ca="1" si="563"/>
        <v>0</v>
      </c>
      <c r="AP980" s="1" t="str">
        <f ca="1">IF(AND(A980&lt;=OP!$C$120,COUNTIF(PAY,C980)=1),1,"")</f>
        <v/>
      </c>
      <c r="AR980" s="301">
        <f ca="1">IF(繳費報酬率資料!$A$1=1,$AY980+$AZ980,$BF980+$BG980)</f>
        <v>0</v>
      </c>
      <c r="AS980" s="1">
        <f ca="1">IF(C980&lt;&gt;IF($C$3=1,12,$C$3-1),0,IF(繳費報酬率資料!$A$1&lt;&gt;1,VLOOKUP($A980,MP,8,0),IF(AND($A980&gt;=OP!$C$79,$A980&lt;=OP!$C$80),OP!$C$78,)))</f>
        <v>0</v>
      </c>
      <c r="AT980" s="298">
        <f t="shared" ca="1" si="564"/>
        <v>0</v>
      </c>
      <c r="AU980" s="298">
        <f ca="1">IF(AND(A980&lt;=OP!$C$120,COUNTIF(PAY,C980)=1),OP!$C$123,0)</f>
        <v>0</v>
      </c>
      <c r="AV980" s="298">
        <f ca="1">IF(AND(A980&gt;=OP!$C$132,A980&lt;=OP!$C$133,$C$3=C980),OP!$C$135,0)</f>
        <v>0</v>
      </c>
      <c r="AW980" s="180">
        <f t="shared" ca="1" si="565"/>
        <v>0.05</v>
      </c>
      <c r="AX980" s="180">
        <f t="shared" ca="1" si="566"/>
        <v>0.05</v>
      </c>
      <c r="AY980" s="286">
        <f t="shared" ca="1" si="567"/>
        <v>0</v>
      </c>
      <c r="AZ980" s="286">
        <f t="shared" ca="1" si="568"/>
        <v>0</v>
      </c>
      <c r="BA980" s="286">
        <f t="shared" ca="1" si="569"/>
        <v>0</v>
      </c>
      <c r="BB980" s="286">
        <f t="shared" ca="1" si="570"/>
        <v>0</v>
      </c>
      <c r="BC980" s="286">
        <f t="shared" ca="1" si="571"/>
        <v>0</v>
      </c>
      <c r="BD980" s="180">
        <f t="shared" ca="1" si="572"/>
        <v>0.05</v>
      </c>
      <c r="BE980" s="180">
        <f t="shared" ca="1" si="573"/>
        <v>0.05</v>
      </c>
      <c r="BF980" s="286">
        <f t="shared" ca="1" si="574"/>
        <v>0</v>
      </c>
      <c r="BG980" s="286">
        <f t="shared" ca="1" si="575"/>
        <v>0</v>
      </c>
    </row>
    <row r="981" spans="1:59">
      <c r="A981" s="1">
        <f t="shared" ca="1" si="554"/>
        <v>82</v>
      </c>
      <c r="B981" s="1">
        <f t="shared" ca="1" si="548"/>
        <v>187</v>
      </c>
      <c r="C981" s="1">
        <f t="shared" ca="1" si="549"/>
        <v>11</v>
      </c>
      <c r="D981" s="1">
        <f ca="1">MIN($D$3,VLOOKUP(C981,OP!$S$30:$T$41,2))</f>
        <v>2</v>
      </c>
      <c r="E981" s="1" t="str">
        <f t="shared" ca="1" si="550"/>
        <v/>
      </c>
      <c r="F981" s="11" t="str">
        <f t="shared" ca="1" si="555"/>
        <v/>
      </c>
      <c r="G981" s="8">
        <f t="shared" ca="1" si="579"/>
        <v>365</v>
      </c>
      <c r="H981" s="8">
        <f t="shared" ca="1" si="557"/>
        <v>30</v>
      </c>
      <c r="I981" s="8" t="str">
        <f t="shared" ca="1" si="553"/>
        <v>8211</v>
      </c>
      <c r="J981" s="13">
        <f>IF(繳費報酬率資料!$A$1=1,VALUE(OP!$C$121),VLOOKUP(A981,MP,2,0))</f>
        <v>0.05</v>
      </c>
      <c r="K981" s="14">
        <f ca="1">IF(SUM($K$4:K980,IF(繳費報酬率資料!$A$1=1,$AU981+$AV981,$BB981+$BC981))&gt;OP!$L$58,0,IF(繳費報酬率資料!$A$1=1,$AU981+$AV981,$BB981+$BC981))</f>
        <v>0</v>
      </c>
      <c r="L981" s="2"/>
      <c r="M981" s="2"/>
      <c r="N981" s="2"/>
      <c r="O981" s="261">
        <f t="shared" ca="1" si="558"/>
        <v>0</v>
      </c>
      <c r="P981" s="261">
        <f t="shared" ca="1" si="576"/>
        <v>0</v>
      </c>
      <c r="Q981" s="3">
        <f ca="1">IF(A981&gt;MAX(OP!$R$17:$R$26),0,VLOOKUP(A981,fees,3,FALSE))</f>
        <v>0</v>
      </c>
      <c r="R981" s="200" t="str">
        <f t="shared" ca="1" si="559"/>
        <v/>
      </c>
      <c r="S981" s="9" t="str">
        <f ca="1">IF(COUNTIF(($T$4:T980),"F")&gt;=1,"",IF(OR(C982&lt;&gt;$C$3,E981=""),"",A981))</f>
        <v/>
      </c>
      <c r="T981" s="20" t="str">
        <f t="shared" ca="1" si="551"/>
        <v/>
      </c>
      <c r="U981" s="2">
        <f ca="1">IF(IF(OP!$C$83=1,$Z980,IF(OP!$C$83=2,$AA980,IF(OP!$C$83=3,$AB980,)))+$K981-$O981-$P981-$AS981&lt;OP!$C$142,0,$AS981)</f>
        <v>0</v>
      </c>
      <c r="V981" s="9"/>
      <c r="W981" s="19">
        <f ca="1">MAX(SUM($K$4:K981),0)</f>
        <v>2000000</v>
      </c>
      <c r="X981" s="19"/>
      <c r="Y981" s="19">
        <f t="shared" ca="1" si="577"/>
        <v>1920000</v>
      </c>
      <c r="Z981" s="2">
        <f ca="1">IF(MIN($Z$4:Z980)=0,0,MAX(0,($Z980+$K981-$O981-$P981)*IF(AND(F981="F",$D$3&lt;&gt;$G$3),((1+(-J981))^(H981/MIN(G981,365))),((1+(-J981))^(1/12)))-$U981))</f>
        <v>29361.285076866221</v>
      </c>
      <c r="AA981" s="2">
        <f ca="1">IF(MIN($AA$4:AA980)=0,0,MAX(0,($AA980+$K981-$O981-$P981)*IF(AND(F981="F",$D$3&lt;&gt;$G$3),((1+$AA$1)^(H981/MIN(G981,365))),((1+$AA$1)^(1/12)))-$U981))</f>
        <v>1920000</v>
      </c>
      <c r="AB981" s="2">
        <f ca="1">IF(MIN($AB$4:AB980)=0,0,MAX(0,($AB980+$K981-$O981-$P981)*IF(AND(F981="F",$D$3&lt;&gt;$G$3),((1+(J981))^(H981/MIN(G981,365))),((1+(J981))^(1/12)))-$U981))</f>
        <v>102383295.1347966</v>
      </c>
      <c r="AC981" s="5"/>
      <c r="AD981" s="5"/>
      <c r="AE981" s="5"/>
      <c r="AF981" s="282">
        <f t="shared" ca="1" si="560"/>
        <v>29361</v>
      </c>
      <c r="AG981" s="282">
        <f t="shared" ca="1" si="561"/>
        <v>1920000</v>
      </c>
      <c r="AH981" s="282">
        <f t="shared" ca="1" si="562"/>
        <v>102383295</v>
      </c>
      <c r="AI981" s="23" t="str">
        <f t="shared" ca="1" si="578"/>
        <v>82-7</v>
      </c>
      <c r="AJ981" s="282">
        <f ca="1">IF(E981&gt;111,,IF(AND(OP!$C$99=1,T981="F"),Z981,IF(AND(OP!$C$99=2,COUNTIF($T$4:T981,"F")=1),OP!$C$97+IF(F981="F",OP!$C$98,0),"")))</f>
        <v>0</v>
      </c>
      <c r="AK981" s="282">
        <f ca="1">IF(E981&gt;111,,IF(AND(OP!$D$99=1,T981="F"),AA981,IF(AND(OP!$D$99=2,COUNTIF($T$4:T981,"F")=1),OP!$D$97+IF(F981="F",OP!$D$98,0),"")))</f>
        <v>0</v>
      </c>
      <c r="AL981" s="282">
        <f ca="1">IF(E981&gt;111,,IF(AND(OP!$E$99=1,T981="F"),AB981,IF(AND(OP!$E$99=2,COUNTIF($T$4:T981,"F")=1),OP!$E$97+IF(F981="F",OP!$E$98,0),"")))</f>
        <v>0</v>
      </c>
      <c r="AM981" s="1">
        <f t="shared" ca="1" si="552"/>
        <v>7</v>
      </c>
      <c r="AN981" s="1" t="e">
        <f ca="1">IF(OR(VLOOKUP($A981,MP,5,0)="月繳"),1,"")</f>
        <v>#N/A</v>
      </c>
      <c r="AO981" s="1">
        <f t="shared" ca="1" si="563"/>
        <v>0</v>
      </c>
      <c r="AP981" s="1" t="str">
        <f ca="1">IF(AND(A981&lt;=OP!$C$120,COUNTIF(PAY,C981)=1),1,"")</f>
        <v/>
      </c>
      <c r="AR981" s="301">
        <f ca="1">IF(繳費報酬率資料!$A$1=1,$AY981+$AZ981,$BF981+$BG981)</f>
        <v>0</v>
      </c>
      <c r="AS981" s="1">
        <f ca="1">IF(C981&lt;&gt;IF($C$3=1,12,$C$3-1),0,IF(繳費報酬率資料!$A$1&lt;&gt;1,VLOOKUP($A981,MP,8,0),IF(AND($A981&gt;=OP!$C$79,$A981&lt;=OP!$C$80),OP!$C$78,)))</f>
        <v>0</v>
      </c>
      <c r="AT981" s="298">
        <f t="shared" ca="1" si="564"/>
        <v>0</v>
      </c>
      <c r="AU981" s="298">
        <f ca="1">IF(AND(A981&lt;=OP!$C$120,COUNTIF(PAY,C981)=1),OP!$C$123,0)</f>
        <v>0</v>
      </c>
      <c r="AV981" s="298">
        <f ca="1">IF(AND(A981&gt;=OP!$C$132,A981&lt;=OP!$C$133,$C$3=C981),OP!$C$135,0)</f>
        <v>0</v>
      </c>
      <c r="AW981" s="180">
        <f t="shared" ca="1" si="565"/>
        <v>0.05</v>
      </c>
      <c r="AX981" s="180">
        <f t="shared" ca="1" si="566"/>
        <v>0.05</v>
      </c>
      <c r="AY981" s="286">
        <f t="shared" ca="1" si="567"/>
        <v>0</v>
      </c>
      <c r="AZ981" s="286">
        <f t="shared" ca="1" si="568"/>
        <v>0</v>
      </c>
      <c r="BA981" s="286">
        <f t="shared" ca="1" si="569"/>
        <v>0</v>
      </c>
      <c r="BB981" s="286">
        <f t="shared" ca="1" si="570"/>
        <v>0</v>
      </c>
      <c r="BC981" s="286">
        <f t="shared" ca="1" si="571"/>
        <v>0</v>
      </c>
      <c r="BD981" s="180">
        <f t="shared" ca="1" si="572"/>
        <v>0.05</v>
      </c>
      <c r="BE981" s="180">
        <f t="shared" ca="1" si="573"/>
        <v>0.05</v>
      </c>
      <c r="BF981" s="286">
        <f t="shared" ca="1" si="574"/>
        <v>0</v>
      </c>
      <c r="BG981" s="286">
        <f t="shared" ca="1" si="575"/>
        <v>0</v>
      </c>
    </row>
    <row r="982" spans="1:59">
      <c r="A982" s="1">
        <f t="shared" ca="1" si="554"/>
        <v>82</v>
      </c>
      <c r="B982" s="1">
        <f t="shared" ca="1" si="548"/>
        <v>187</v>
      </c>
      <c r="C982" s="1">
        <f t="shared" ca="1" si="549"/>
        <v>12</v>
      </c>
      <c r="D982" s="1">
        <f ca="1">MIN($D$3,VLOOKUP(C982,OP!$S$30:$T$41,2))</f>
        <v>2</v>
      </c>
      <c r="E982" s="1" t="str">
        <f t="shared" ca="1" si="550"/>
        <v/>
      </c>
      <c r="F982" s="11" t="str">
        <f t="shared" ca="1" si="555"/>
        <v/>
      </c>
      <c r="G982" s="8">
        <f t="shared" ca="1" si="579"/>
        <v>365</v>
      </c>
      <c r="H982" s="8">
        <f t="shared" ca="1" si="557"/>
        <v>31</v>
      </c>
      <c r="I982" s="8" t="str">
        <f t="shared" ca="1" si="553"/>
        <v>8212</v>
      </c>
      <c r="J982" s="13">
        <f>IF(繳費報酬率資料!$A$1=1,VALUE(OP!$C$121),VLOOKUP(A982,MP,2,0))</f>
        <v>0.05</v>
      </c>
      <c r="K982" s="14">
        <f ca="1">IF(SUM($K$4:K981,IF(繳費報酬率資料!$A$1=1,$AU982+$AV982,$BB982+$BC982))&gt;OP!$L$58,0,IF(繳費報酬率資料!$A$1=1,$AU982+$AV982,$BB982+$BC982))</f>
        <v>0</v>
      </c>
      <c r="L982" s="2"/>
      <c r="M982" s="2"/>
      <c r="N982" s="2"/>
      <c r="O982" s="261">
        <f t="shared" ca="1" si="558"/>
        <v>0</v>
      </c>
      <c r="P982" s="261">
        <f t="shared" ca="1" si="576"/>
        <v>0</v>
      </c>
      <c r="Q982" s="3">
        <f ca="1">IF(A982&gt;MAX(OP!$R$17:$R$26),0,VLOOKUP(A982,fees,3,FALSE))</f>
        <v>0</v>
      </c>
      <c r="R982" s="200" t="str">
        <f t="shared" ca="1" si="559"/>
        <v/>
      </c>
      <c r="S982" s="9" t="str">
        <f ca="1">IF(COUNTIF(($T$4:T981),"F")&gt;=1,"",IF(OR(C983&lt;&gt;$C$3,E982=""),"",A982))</f>
        <v/>
      </c>
      <c r="T982" s="20" t="str">
        <f t="shared" ca="1" si="551"/>
        <v/>
      </c>
      <c r="U982" s="2">
        <f ca="1">IF(IF(OP!$C$83=1,$Z981,IF(OP!$C$83=2,$AA981,IF(OP!$C$83=3,$AB981,)))+$K982-$O982-$P982-$AS982&lt;OP!$C$142,0,$AS982)</f>
        <v>0</v>
      </c>
      <c r="V982" s="9"/>
      <c r="W982" s="19">
        <f ca="1">MAX(SUM($K$4:K982),0)</f>
        <v>2000000</v>
      </c>
      <c r="X982" s="19"/>
      <c r="Y982" s="19">
        <f t="shared" ca="1" si="577"/>
        <v>1920000</v>
      </c>
      <c r="Z982" s="2">
        <f ca="1">IF(MIN($Z$4:Z981)=0,0,MAX(0,($Z981+$K982-$O982-$P982)*IF(AND(F982="F",$D$3&lt;&gt;$G$3),((1+(-J982))^(H982/MIN(G982,365))),((1+(-J982))^(1/12)))-$U982))</f>
        <v>29236.049836294551</v>
      </c>
      <c r="AA982" s="2">
        <f ca="1">IF(MIN($AA$4:AA981)=0,0,MAX(0,($AA981+$K982-$O982-$P982)*IF(AND(F982="F",$D$3&lt;&gt;$G$3),((1+$AA$1)^(H982/MIN(G982,365))),((1+$AA$1)^(1/12)))-$U982))</f>
        <v>1920000</v>
      </c>
      <c r="AB982" s="2">
        <f ca="1">IF(MIN($AB$4:AB981)=0,0,MAX(0,($AB981+$K982-$O982-$P982)*IF(AND(F982="F",$D$3&lt;&gt;$G$3),((1+(J982))^(H982/MIN(G982,365))),((1+(J982))^(1/12)))-$U982))</f>
        <v>102800417.35255356</v>
      </c>
      <c r="AC982" s="5"/>
      <c r="AD982" s="5"/>
      <c r="AE982" s="5"/>
      <c r="AF982" s="282">
        <f t="shared" ca="1" si="560"/>
        <v>29236</v>
      </c>
      <c r="AG982" s="282">
        <f t="shared" ca="1" si="561"/>
        <v>1920000</v>
      </c>
      <c r="AH982" s="282">
        <f t="shared" ca="1" si="562"/>
        <v>102800417</v>
      </c>
      <c r="AI982" s="23" t="str">
        <f t="shared" ca="1" si="578"/>
        <v>82-8</v>
      </c>
      <c r="AJ982" s="282">
        <f ca="1">IF(E982&gt;111,,IF(AND(OP!$C$99=1,T982="F"),Z982,IF(AND(OP!$C$99=2,COUNTIF($T$4:T982,"F")=1),OP!$C$97+IF(F982="F",OP!$C$98,0),"")))</f>
        <v>0</v>
      </c>
      <c r="AK982" s="282">
        <f ca="1">IF(E982&gt;111,,IF(AND(OP!$D$99=1,T982="F"),AA982,IF(AND(OP!$D$99=2,COUNTIF($T$4:T982,"F")=1),OP!$D$97+IF(F982="F",OP!$D$98,0),"")))</f>
        <v>0</v>
      </c>
      <c r="AL982" s="282">
        <f ca="1">IF(E982&gt;111,,IF(AND(OP!$E$99=1,T982="F"),AB982,IF(AND(OP!$E$99=2,COUNTIF($T$4:T982,"F")=1),OP!$E$97+IF(F982="F",OP!$E$98,0),"")))</f>
        <v>0</v>
      </c>
      <c r="AM982" s="1">
        <f t="shared" ca="1" si="552"/>
        <v>8</v>
      </c>
      <c r="AN982" s="1" t="e">
        <f ca="1">IF(OR(VLOOKUP($A982,MP,5,0)="半年繳",VLOOKUP($A982,MP,5,0)="季繳",VLOOKUP($A982,MP,5,0)="月繳"),1,"")</f>
        <v>#N/A</v>
      </c>
      <c r="AO982" s="1">
        <f t="shared" ca="1" si="563"/>
        <v>0</v>
      </c>
      <c r="AP982" s="1" t="str">
        <f ca="1">IF(AND(A982&lt;=OP!$C$120,COUNTIF(PAY,C982)=1),1,"")</f>
        <v/>
      </c>
      <c r="AR982" s="301">
        <f ca="1">IF(繳費報酬率資料!$A$1=1,$AY982+$AZ982,$BF982+$BG982)</f>
        <v>0</v>
      </c>
      <c r="AS982" s="1">
        <f ca="1">IF(C982&lt;&gt;IF($C$3=1,12,$C$3-1),0,IF(繳費報酬率資料!$A$1&lt;&gt;1,VLOOKUP($A982,MP,8,0),IF(AND($A982&gt;=OP!$C$79,$A982&lt;=OP!$C$80),OP!$C$78,)))</f>
        <v>0</v>
      </c>
      <c r="AT982" s="298">
        <f t="shared" ca="1" si="564"/>
        <v>0</v>
      </c>
      <c r="AU982" s="298">
        <f ca="1">IF(AND(A982&lt;=OP!$C$120,COUNTIF(PAY,C982)=1),OP!$C$123,0)</f>
        <v>0</v>
      </c>
      <c r="AV982" s="298">
        <f ca="1">IF(AND(A982&gt;=OP!$C$132,A982&lt;=OP!$C$133,$C$3=C982),OP!$C$135,0)</f>
        <v>0</v>
      </c>
      <c r="AW982" s="180">
        <f t="shared" ca="1" si="565"/>
        <v>0.05</v>
      </c>
      <c r="AX982" s="180">
        <f t="shared" ca="1" si="566"/>
        <v>0.05</v>
      </c>
      <c r="AY982" s="286">
        <f t="shared" ca="1" si="567"/>
        <v>0</v>
      </c>
      <c r="AZ982" s="286">
        <f t="shared" ca="1" si="568"/>
        <v>0</v>
      </c>
      <c r="BA982" s="286">
        <f t="shared" ca="1" si="569"/>
        <v>0</v>
      </c>
      <c r="BB982" s="286">
        <f t="shared" ca="1" si="570"/>
        <v>0</v>
      </c>
      <c r="BC982" s="286">
        <f t="shared" ca="1" si="571"/>
        <v>0</v>
      </c>
      <c r="BD982" s="180">
        <f t="shared" ca="1" si="572"/>
        <v>0.05</v>
      </c>
      <c r="BE982" s="180">
        <f t="shared" ca="1" si="573"/>
        <v>0.05</v>
      </c>
      <c r="BF982" s="286">
        <f t="shared" ca="1" si="574"/>
        <v>0</v>
      </c>
      <c r="BG982" s="286">
        <f t="shared" ca="1" si="575"/>
        <v>0</v>
      </c>
    </row>
    <row r="983" spans="1:59">
      <c r="A983" s="1">
        <f t="shared" ca="1" si="554"/>
        <v>82</v>
      </c>
      <c r="B983" s="1">
        <f t="shared" ca="1" si="548"/>
        <v>188</v>
      </c>
      <c r="C983" s="1">
        <f t="shared" ca="1" si="549"/>
        <v>1</v>
      </c>
      <c r="D983" s="1">
        <f ca="1">MIN($D$3,VLOOKUP(C983,OP!$S$30:$T$41,2))</f>
        <v>2</v>
      </c>
      <c r="E983" s="1" t="str">
        <f t="shared" ca="1" si="550"/>
        <v/>
      </c>
      <c r="F983" s="11" t="str">
        <f t="shared" ca="1" si="555"/>
        <v/>
      </c>
      <c r="G983" s="8">
        <f t="shared" ca="1" si="579"/>
        <v>365</v>
      </c>
      <c r="H983" s="8">
        <f t="shared" ca="1" si="557"/>
        <v>31</v>
      </c>
      <c r="I983" s="8" t="str">
        <f t="shared" ca="1" si="553"/>
        <v>821</v>
      </c>
      <c r="J983" s="13">
        <f>IF(繳費報酬率資料!$A$1=1,VALUE(OP!$C$121),VLOOKUP(A983,MP,2,0))</f>
        <v>0.05</v>
      </c>
      <c r="K983" s="14">
        <f ca="1">IF(SUM($K$4:K982,IF(繳費報酬率資料!$A$1=1,$AU983+$AV983,$BB983+$BC983))&gt;OP!$L$58,0,IF(繳費報酬率資料!$A$1=1,$AU983+$AV983,$BB983+$BC983))</f>
        <v>0</v>
      </c>
      <c r="L983" s="2"/>
      <c r="M983" s="2"/>
      <c r="N983" s="2"/>
      <c r="O983" s="261">
        <f t="shared" ca="1" si="558"/>
        <v>0</v>
      </c>
      <c r="P983" s="261">
        <f t="shared" ca="1" si="576"/>
        <v>0</v>
      </c>
      <c r="Q983" s="3">
        <f ca="1">IF(A983&gt;MAX(OP!$R$17:$R$26),0,VLOOKUP(A983,fees,3,FALSE))</f>
        <v>0</v>
      </c>
      <c r="R983" s="200" t="str">
        <f t="shared" ca="1" si="559"/>
        <v/>
      </c>
      <c r="S983" s="9" t="str">
        <f ca="1">IF(COUNTIF(($T$4:T982),"F")&gt;=1,"",IF(OR(C984&lt;&gt;$C$3,E983=""),"",A983))</f>
        <v/>
      </c>
      <c r="T983" s="20" t="str">
        <f t="shared" ca="1" si="551"/>
        <v/>
      </c>
      <c r="U983" s="2">
        <f ca="1">IF(IF(OP!$C$83=1,$Z982,IF(OP!$C$83=2,$AA982,IF(OP!$C$83=3,$AB982,)))+$K983-$O983-$P983-$AS983&lt;OP!$C$142,0,$AS983)</f>
        <v>0</v>
      </c>
      <c r="V983" s="9"/>
      <c r="W983" s="19">
        <f ca="1">MAX(SUM($K$4:K983),0)</f>
        <v>2000000</v>
      </c>
      <c r="X983" s="19"/>
      <c r="Y983" s="19">
        <f t="shared" ca="1" si="577"/>
        <v>1920000</v>
      </c>
      <c r="Z983" s="2">
        <f ca="1">IF(MIN($Z$4:Z982)=0,0,MAX(0,($Z982+$K983-$O983-$P983)*IF(AND(F983="F",$D$3&lt;&gt;$G$3),((1+(-J983))^(H983/MIN(G983,365))),((1+(-J983))^(1/12)))-$U983))</f>
        <v>29111.348763946105</v>
      </c>
      <c r="AA983" s="2">
        <f ca="1">IF(MIN($AA$4:AA982)=0,0,MAX(0,($AA982+$K983-$O983-$P983)*IF(AND(F983="F",$D$3&lt;&gt;$G$3),((1+$AA$1)^(H983/MIN(G983,365))),((1+$AA$1)^(1/12)))-$U983))</f>
        <v>1920000</v>
      </c>
      <c r="AB983" s="2">
        <f ca="1">IF(MIN($AB$4:AB982)=0,0,MAX(0,($AB982+$K983-$O983-$P983)*IF(AND(F983="F",$D$3&lt;&gt;$G$3),((1+(J983))^(H983/MIN(G983,365))),((1+(J983))^(1/12)))-$U983))</f>
        <v>103219238.97785857</v>
      </c>
      <c r="AC983" s="5"/>
      <c r="AD983" s="5"/>
      <c r="AE983" s="5"/>
      <c r="AF983" s="282">
        <f t="shared" ca="1" si="560"/>
        <v>29111</v>
      </c>
      <c r="AG983" s="282">
        <f t="shared" ca="1" si="561"/>
        <v>1920000</v>
      </c>
      <c r="AH983" s="282">
        <f t="shared" ca="1" si="562"/>
        <v>103219239</v>
      </c>
      <c r="AI983" s="23" t="str">
        <f t="shared" ca="1" si="578"/>
        <v>82-9</v>
      </c>
      <c r="AJ983" s="282">
        <f ca="1">IF(E983&gt;111,,IF(AND(OP!$C$99=1,T983="F"),Z983,IF(AND(OP!$C$99=2,COUNTIF($T$4:T983,"F")=1),OP!$C$97+IF(F983="F",OP!$C$98,0),"")))</f>
        <v>0</v>
      </c>
      <c r="AK983" s="282">
        <f ca="1">IF(E983&gt;111,,IF(AND(OP!$D$99=1,T983="F"),AA983,IF(AND(OP!$D$99=2,COUNTIF($T$4:T983,"F")=1),OP!$D$97+IF(F983="F",OP!$D$98,0),"")))</f>
        <v>0</v>
      </c>
      <c r="AL983" s="282">
        <f ca="1">IF(E983&gt;111,,IF(AND(OP!$E$99=1,T983="F"),AB983,IF(AND(OP!$E$99=2,COUNTIF($T$4:T983,"F")=1),OP!$E$97+IF(F983="F",OP!$E$98,0),"")))</f>
        <v>0</v>
      </c>
      <c r="AM983" s="1">
        <f t="shared" ca="1" si="552"/>
        <v>9</v>
      </c>
      <c r="AN983" s="1" t="e">
        <f ca="1">IF(OR(VLOOKUP($A983,MP,5,0)="月繳"),1,"")</f>
        <v>#N/A</v>
      </c>
      <c r="AO983" s="1">
        <f t="shared" ca="1" si="563"/>
        <v>0</v>
      </c>
      <c r="AP983" s="1" t="str">
        <f ca="1">IF(AND(A983&lt;=OP!$C$120,COUNTIF(PAY,C983)=1),1,"")</f>
        <v/>
      </c>
      <c r="AR983" s="301">
        <f ca="1">IF(繳費報酬率資料!$A$1=1,$AY983+$AZ983,$BF983+$BG983)</f>
        <v>0</v>
      </c>
      <c r="AS983" s="1">
        <f ca="1">IF(C983&lt;&gt;IF($C$3=1,12,$C$3-1),0,IF(繳費報酬率資料!$A$1&lt;&gt;1,VLOOKUP($A983,MP,8,0),IF(AND($A983&gt;=OP!$C$79,$A983&lt;=OP!$C$80),OP!$C$78,)))</f>
        <v>0</v>
      </c>
      <c r="AT983" s="298">
        <f t="shared" ca="1" si="564"/>
        <v>0</v>
      </c>
      <c r="AU983" s="298">
        <f ca="1">IF(AND(A983&lt;=OP!$C$120,COUNTIF(PAY,C983)=1),OP!$C$123,0)</f>
        <v>0</v>
      </c>
      <c r="AV983" s="298">
        <f ca="1">IF(AND(A983&gt;=OP!$C$132,A983&lt;=OP!$C$133,$C$3=C983),OP!$C$135,0)</f>
        <v>0</v>
      </c>
      <c r="AW983" s="180">
        <f t="shared" ca="1" si="565"/>
        <v>0.05</v>
      </c>
      <c r="AX983" s="180">
        <f t="shared" ca="1" si="566"/>
        <v>0.05</v>
      </c>
      <c r="AY983" s="286">
        <f t="shared" ca="1" si="567"/>
        <v>0</v>
      </c>
      <c r="AZ983" s="286">
        <f t="shared" ca="1" si="568"/>
        <v>0</v>
      </c>
      <c r="BA983" s="286">
        <f t="shared" ca="1" si="569"/>
        <v>0</v>
      </c>
      <c r="BB983" s="286">
        <f t="shared" ca="1" si="570"/>
        <v>0</v>
      </c>
      <c r="BC983" s="286">
        <f t="shared" ca="1" si="571"/>
        <v>0</v>
      </c>
      <c r="BD983" s="180">
        <f t="shared" ca="1" si="572"/>
        <v>0.05</v>
      </c>
      <c r="BE983" s="180">
        <f t="shared" ca="1" si="573"/>
        <v>0.05</v>
      </c>
      <c r="BF983" s="286">
        <f t="shared" ca="1" si="574"/>
        <v>0</v>
      </c>
      <c r="BG983" s="286">
        <f t="shared" ca="1" si="575"/>
        <v>0</v>
      </c>
    </row>
    <row r="984" spans="1:59">
      <c r="A984" s="1">
        <f t="shared" ca="1" si="554"/>
        <v>82</v>
      </c>
      <c r="B984" s="1">
        <f t="shared" ca="1" si="548"/>
        <v>188</v>
      </c>
      <c r="C984" s="1">
        <f t="shared" ca="1" si="549"/>
        <v>2</v>
      </c>
      <c r="D984" s="1">
        <f ca="1">MIN($D$3,VLOOKUP(C984,OP!$S$30:$T$41,2))</f>
        <v>2</v>
      </c>
      <c r="E984" s="1" t="str">
        <f t="shared" ca="1" si="550"/>
        <v/>
      </c>
      <c r="F984" s="11" t="str">
        <f t="shared" ca="1" si="555"/>
        <v/>
      </c>
      <c r="G984" s="8">
        <f t="shared" ca="1" si="579"/>
        <v>365</v>
      </c>
      <c r="H984" s="8">
        <f t="shared" ca="1" si="557"/>
        <v>28</v>
      </c>
      <c r="I984" s="8" t="str">
        <f t="shared" ca="1" si="553"/>
        <v>822</v>
      </c>
      <c r="J984" s="13">
        <f>IF(繳費報酬率資料!$A$1=1,VALUE(OP!$C$121),VLOOKUP(A984,MP,2,0))</f>
        <v>0.05</v>
      </c>
      <c r="K984" s="14">
        <f ca="1">IF(SUM($K$4:K983,IF(繳費報酬率資料!$A$1=1,$AU984+$AV984,$BB984+$BC984))&gt;OP!$L$58,0,IF(繳費報酬率資料!$A$1=1,$AU984+$AV984,$BB984+$BC984))</f>
        <v>0</v>
      </c>
      <c r="L984" s="2"/>
      <c r="M984" s="2"/>
      <c r="N984" s="2"/>
      <c r="O984" s="261">
        <f t="shared" ca="1" si="558"/>
        <v>0</v>
      </c>
      <c r="P984" s="261">
        <f t="shared" ca="1" si="576"/>
        <v>0</v>
      </c>
      <c r="Q984" s="3">
        <f ca="1">IF(A984&gt;MAX(OP!$R$17:$R$26),0,VLOOKUP(A984,fees,3,FALSE))</f>
        <v>0</v>
      </c>
      <c r="R984" s="200" t="str">
        <f t="shared" ca="1" si="559"/>
        <v/>
      </c>
      <c r="S984" s="9" t="str">
        <f ca="1">IF(COUNTIF(($T$4:T983),"F")&gt;=1,"",IF(OR(C985&lt;&gt;$C$3,E984=""),"",A984))</f>
        <v/>
      </c>
      <c r="T984" s="20" t="str">
        <f t="shared" ca="1" si="551"/>
        <v/>
      </c>
      <c r="U984" s="2">
        <f ca="1">IF(IF(OP!$C$83=1,$Z983,IF(OP!$C$83=2,$AA983,IF(OP!$C$83=3,$AB983,)))+$K984-$O984-$P984-$AS984&lt;OP!$C$142,0,$AS984)</f>
        <v>0</v>
      </c>
      <c r="V984" s="9"/>
      <c r="W984" s="19">
        <f ca="1">MAX(SUM($K$4:K984),0)</f>
        <v>2000000</v>
      </c>
      <c r="X984" s="19"/>
      <c r="Y984" s="19">
        <f t="shared" ca="1" si="577"/>
        <v>1920000</v>
      </c>
      <c r="Z984" s="2">
        <f ca="1">IF(MIN($Z$4:Z983)=0,0,MAX(0,($Z983+$K984-$O984-$P984)*IF(AND(F984="F",$D$3&lt;&gt;$G$3),((1+(-J984))^(H984/MIN(G984,365))),((1+(-J984))^(1/12)))-$U984))</f>
        <v>28987.17958142313</v>
      </c>
      <c r="AA984" s="2">
        <f ca="1">IF(MIN($AA$4:AA983)=0,0,MAX(0,($AA983+$K984-$O984-$P984)*IF(AND(F984="F",$D$3&lt;&gt;$G$3),((1+$AA$1)^(H984/MIN(G984,365))),((1+$AA$1)^(1/12)))-$U984))</f>
        <v>1920000</v>
      </c>
      <c r="AB984" s="2">
        <f ca="1">IF(MIN($AB$4:AB983)=0,0,MAX(0,($AB983+$K984-$O984-$P984)*IF(AND(F984="F",$D$3&lt;&gt;$G$3),((1+(J984))^(H984/MIN(G984,365))),((1+(J984))^(1/12)))-$U984))</f>
        <v>103639766.93430835</v>
      </c>
      <c r="AC984" s="5"/>
      <c r="AD984" s="5"/>
      <c r="AE984" s="5"/>
      <c r="AF984" s="282">
        <f t="shared" ca="1" si="560"/>
        <v>28987</v>
      </c>
      <c r="AG984" s="282">
        <f t="shared" ca="1" si="561"/>
        <v>1920000</v>
      </c>
      <c r="AH984" s="282">
        <f t="shared" ca="1" si="562"/>
        <v>103639767</v>
      </c>
      <c r="AI984" s="23" t="str">
        <f t="shared" ca="1" si="578"/>
        <v>82-10</v>
      </c>
      <c r="AJ984" s="282">
        <f ca="1">IF(E984&gt;111,,IF(AND(OP!$C$99=1,T984="F"),Z984,IF(AND(OP!$C$99=2,COUNTIF($T$4:T984,"F")=1),OP!$C$97+IF(F984="F",OP!$C$98,0),"")))</f>
        <v>0</v>
      </c>
      <c r="AK984" s="282">
        <f ca="1">IF(E984&gt;111,,IF(AND(OP!$D$99=1,T984="F"),AA984,IF(AND(OP!$D$99=2,COUNTIF($T$4:T984,"F")=1),OP!$D$97+IF(F984="F",OP!$D$98,0),"")))</f>
        <v>0</v>
      </c>
      <c r="AL984" s="282">
        <f ca="1">IF(E984&gt;111,,IF(AND(OP!$E$99=1,T984="F"),AB984,IF(AND(OP!$E$99=2,COUNTIF($T$4:T984,"F")=1),OP!$E$97+IF(F984="F",OP!$E$98,0),"")))</f>
        <v>0</v>
      </c>
      <c r="AM984" s="1">
        <f t="shared" ca="1" si="552"/>
        <v>10</v>
      </c>
      <c r="AN984" s="1" t="e">
        <f ca="1">IF(OR(VLOOKUP($A984,MP,5,0)="月繳"),1,"")</f>
        <v>#N/A</v>
      </c>
      <c r="AO984" s="1">
        <f t="shared" ca="1" si="563"/>
        <v>0</v>
      </c>
      <c r="AP984" s="1" t="str">
        <f ca="1">IF(AND(A984&lt;=OP!$C$120,COUNTIF(PAY,C984)=1),1,"")</f>
        <v/>
      </c>
      <c r="AR984" s="301">
        <f ca="1">IF(繳費報酬率資料!$A$1=1,$AY984+$AZ984,$BF984+$BG984)</f>
        <v>0</v>
      </c>
      <c r="AS984" s="1">
        <f ca="1">IF(C984&lt;&gt;IF($C$3=1,12,$C$3-1),0,IF(繳費報酬率資料!$A$1&lt;&gt;1,VLOOKUP($A984,MP,8,0),IF(AND($A984&gt;=OP!$C$79,$A984&lt;=OP!$C$80),OP!$C$78,)))</f>
        <v>0</v>
      </c>
      <c r="AT984" s="298">
        <f t="shared" ca="1" si="564"/>
        <v>0</v>
      </c>
      <c r="AU984" s="298">
        <f ca="1">IF(AND(A984&lt;=OP!$C$120,COUNTIF(PAY,C984)=1),OP!$C$123,0)</f>
        <v>0</v>
      </c>
      <c r="AV984" s="298">
        <f ca="1">IF(AND(A984&gt;=OP!$C$132,A984&lt;=OP!$C$133,$C$3=C984),OP!$C$135,0)</f>
        <v>0</v>
      </c>
      <c r="AW984" s="180">
        <f t="shared" ca="1" si="565"/>
        <v>0.05</v>
      </c>
      <c r="AX984" s="180">
        <f t="shared" ca="1" si="566"/>
        <v>0.05</v>
      </c>
      <c r="AY984" s="286">
        <f t="shared" ca="1" si="567"/>
        <v>0</v>
      </c>
      <c r="AZ984" s="286">
        <f t="shared" ca="1" si="568"/>
        <v>0</v>
      </c>
      <c r="BA984" s="286">
        <f t="shared" ca="1" si="569"/>
        <v>0</v>
      </c>
      <c r="BB984" s="286">
        <f t="shared" ca="1" si="570"/>
        <v>0</v>
      </c>
      <c r="BC984" s="286">
        <f t="shared" ca="1" si="571"/>
        <v>0</v>
      </c>
      <c r="BD984" s="180">
        <f t="shared" ca="1" si="572"/>
        <v>0.05</v>
      </c>
      <c r="BE984" s="180">
        <f t="shared" ca="1" si="573"/>
        <v>0.05</v>
      </c>
      <c r="BF984" s="286">
        <f t="shared" ca="1" si="574"/>
        <v>0</v>
      </c>
      <c r="BG984" s="286">
        <f t="shared" ca="1" si="575"/>
        <v>0</v>
      </c>
    </row>
    <row r="985" spans="1:59">
      <c r="A985" s="1">
        <f t="shared" ca="1" si="554"/>
        <v>82</v>
      </c>
      <c r="B985" s="1">
        <f t="shared" ca="1" si="548"/>
        <v>188</v>
      </c>
      <c r="C985" s="1">
        <f t="shared" ca="1" si="549"/>
        <v>3</v>
      </c>
      <c r="D985" s="1">
        <f ca="1">MIN($D$3,VLOOKUP(C985,OP!$S$30:$T$41,2))</f>
        <v>2</v>
      </c>
      <c r="E985" s="1" t="str">
        <f t="shared" ca="1" si="550"/>
        <v/>
      </c>
      <c r="F985" s="11" t="str">
        <f t="shared" ca="1" si="555"/>
        <v/>
      </c>
      <c r="G985" s="8">
        <f t="shared" ca="1" si="579"/>
        <v>365</v>
      </c>
      <c r="H985" s="8">
        <f t="shared" ca="1" si="557"/>
        <v>31</v>
      </c>
      <c r="I985" s="8" t="str">
        <f t="shared" ca="1" si="553"/>
        <v>823</v>
      </c>
      <c r="J985" s="13">
        <f>IF(繳費報酬率資料!$A$1=1,VALUE(OP!$C$121),VLOOKUP(A985,MP,2,0))</f>
        <v>0.05</v>
      </c>
      <c r="K985" s="14">
        <f ca="1">IF(SUM($K$4:K984,IF(繳費報酬率資料!$A$1=1,$AU985+$AV985,$BB985+$BC985))&gt;OP!$L$58,0,IF(繳費報酬率資料!$A$1=1,$AU985+$AV985,$BB985+$BC985))</f>
        <v>0</v>
      </c>
      <c r="L985" s="2"/>
      <c r="M985" s="2"/>
      <c r="N985" s="2"/>
      <c r="O985" s="261">
        <f t="shared" ca="1" si="558"/>
        <v>0</v>
      </c>
      <c r="P985" s="261">
        <f t="shared" ca="1" si="576"/>
        <v>0</v>
      </c>
      <c r="Q985" s="3">
        <f ca="1">IF(A985&gt;MAX(OP!$R$17:$R$26),0,VLOOKUP(A985,fees,3,FALSE))</f>
        <v>0</v>
      </c>
      <c r="R985" s="200" t="str">
        <f t="shared" ca="1" si="559"/>
        <v/>
      </c>
      <c r="S985" s="9" t="str">
        <f ca="1">IF(COUNTIF(($T$4:T984),"F")&gt;=1,"",IF(OR(C986&lt;&gt;$C$3,E985=""),"",A985))</f>
        <v/>
      </c>
      <c r="T985" s="20" t="str">
        <f t="shared" ca="1" si="551"/>
        <v/>
      </c>
      <c r="U985" s="2">
        <f ca="1">IF(IF(OP!$C$83=1,$Z984,IF(OP!$C$83=2,$AA984,IF(OP!$C$83=3,$AB984,)))+$K985-$O985-$P985-$AS985&lt;OP!$C$142,0,$AS985)</f>
        <v>0</v>
      </c>
      <c r="V985" s="9"/>
      <c r="W985" s="19">
        <f ca="1">MAX(SUM($K$4:K985),0)</f>
        <v>2000000</v>
      </c>
      <c r="X985" s="19"/>
      <c r="Y985" s="19">
        <f t="shared" ca="1" si="577"/>
        <v>1920000</v>
      </c>
      <c r="Z985" s="2">
        <f ca="1">IF(MIN($Z$4:Z984)=0,0,MAX(0,($Z984+$K985-$O985-$P985)*IF(AND(F985="F",$D$3&lt;&gt;$G$3),((1+(-J985))^(H985/MIN(G985,365))),((1+(-J985))^(1/12)))-$U985))</f>
        <v>28863.540020045963</v>
      </c>
      <c r="AA985" s="2">
        <f ca="1">IF(MIN($AA$4:AA984)=0,0,MAX(0,($AA984+$K985-$O985-$P985)*IF(AND(F985="F",$D$3&lt;&gt;$G$3),((1+$AA$1)^(H985/MIN(G985,365))),((1+$AA$1)^(1/12)))-$U985))</f>
        <v>1920000</v>
      </c>
      <c r="AB985" s="2">
        <f ca="1">IF(MIN($AB$4:AB984)=0,0,MAX(0,($AB984+$K985-$O985-$P985)*IF(AND(F985="F",$D$3&lt;&gt;$G$3),((1+(J985))^(H985/MIN(G985,365))),((1+(J985))^(1/12)))-$U985))</f>
        <v>104062008.17370719</v>
      </c>
      <c r="AC985" s="5"/>
      <c r="AD985" s="5"/>
      <c r="AE985" s="5"/>
      <c r="AF985" s="282">
        <f t="shared" ca="1" si="560"/>
        <v>28864</v>
      </c>
      <c r="AG985" s="282">
        <f t="shared" ca="1" si="561"/>
        <v>1920000</v>
      </c>
      <c r="AH985" s="282">
        <f t="shared" ca="1" si="562"/>
        <v>104062008</v>
      </c>
      <c r="AI985" s="23" t="str">
        <f t="shared" ca="1" si="578"/>
        <v>82-11</v>
      </c>
      <c r="AJ985" s="282">
        <f ca="1">IF(E985&gt;111,,IF(AND(OP!$C$99=1,T985="F"),Z985,IF(AND(OP!$C$99=2,COUNTIF($T$4:T985,"F")=1),OP!$C$97+IF(F985="F",OP!$C$98,0),"")))</f>
        <v>0</v>
      </c>
      <c r="AK985" s="282">
        <f ca="1">IF(E985&gt;111,,IF(AND(OP!$D$99=1,T985="F"),AA985,IF(AND(OP!$D$99=2,COUNTIF($T$4:T985,"F")=1),OP!$D$97+IF(F985="F",OP!$D$98,0),"")))</f>
        <v>0</v>
      </c>
      <c r="AL985" s="282">
        <f ca="1">IF(E985&gt;111,,IF(AND(OP!$E$99=1,T985="F"),AB985,IF(AND(OP!$E$99=2,COUNTIF($T$4:T985,"F")=1),OP!$E$97+IF(F985="F",OP!$E$98,0),"")))</f>
        <v>0</v>
      </c>
      <c r="AM985" s="1">
        <f t="shared" ca="1" si="552"/>
        <v>11</v>
      </c>
      <c r="AN985" s="1" t="e">
        <f ca="1">IF(OR(VLOOKUP($A985,MP,5,0)="季繳",VLOOKUP($A985,MP,5,0)="月繳"),1,"")</f>
        <v>#N/A</v>
      </c>
      <c r="AO985" s="1">
        <f t="shared" ca="1" si="563"/>
        <v>0</v>
      </c>
      <c r="AP985" s="1" t="str">
        <f ca="1">IF(AND(A985&lt;=OP!$C$120,COUNTIF(PAY,C985)=1),1,"")</f>
        <v/>
      </c>
      <c r="AR985" s="301">
        <f ca="1">IF(繳費報酬率資料!$A$1=1,$AY985+$AZ985,$BF985+$BG985)</f>
        <v>0</v>
      </c>
      <c r="AS985" s="1">
        <f ca="1">IF(C985&lt;&gt;IF($C$3=1,12,$C$3-1),0,IF(繳費報酬率資料!$A$1&lt;&gt;1,VLOOKUP($A985,MP,8,0),IF(AND($A985&gt;=OP!$C$79,$A985&lt;=OP!$C$80),OP!$C$78,)))</f>
        <v>0</v>
      </c>
      <c r="AT985" s="298">
        <f t="shared" ca="1" si="564"/>
        <v>0</v>
      </c>
      <c r="AU985" s="298">
        <f ca="1">IF(AND(A985&lt;=OP!$C$120,COUNTIF(PAY,C985)=1),OP!$C$123,0)</f>
        <v>0</v>
      </c>
      <c r="AV985" s="298">
        <f ca="1">IF(AND(A985&gt;=OP!$C$132,A985&lt;=OP!$C$133,$C$3=C985),OP!$C$135,0)</f>
        <v>0</v>
      </c>
      <c r="AW985" s="180">
        <f t="shared" ca="1" si="565"/>
        <v>0.05</v>
      </c>
      <c r="AX985" s="180">
        <f t="shared" ca="1" si="566"/>
        <v>0.05</v>
      </c>
      <c r="AY985" s="286">
        <f t="shared" ca="1" si="567"/>
        <v>0</v>
      </c>
      <c r="AZ985" s="286">
        <f t="shared" ca="1" si="568"/>
        <v>0</v>
      </c>
      <c r="BA985" s="286">
        <f t="shared" ca="1" si="569"/>
        <v>0</v>
      </c>
      <c r="BB985" s="286">
        <f t="shared" ca="1" si="570"/>
        <v>0</v>
      </c>
      <c r="BC985" s="286">
        <f t="shared" ca="1" si="571"/>
        <v>0</v>
      </c>
      <c r="BD985" s="180">
        <f t="shared" ca="1" si="572"/>
        <v>0.05</v>
      </c>
      <c r="BE985" s="180">
        <f t="shared" ca="1" si="573"/>
        <v>0.05</v>
      </c>
      <c r="BF985" s="286">
        <f t="shared" ca="1" si="574"/>
        <v>0</v>
      </c>
      <c r="BG985" s="286">
        <f t="shared" ca="1" si="575"/>
        <v>0</v>
      </c>
    </row>
    <row r="986" spans="1:59">
      <c r="A986" s="1">
        <f t="shared" ca="1" si="554"/>
        <v>82</v>
      </c>
      <c r="B986" s="1">
        <f t="shared" ca="1" si="548"/>
        <v>188</v>
      </c>
      <c r="C986" s="1">
        <f t="shared" ca="1" si="549"/>
        <v>4</v>
      </c>
      <c r="D986" s="1">
        <f ca="1">MIN($D$3,VLOOKUP(C986,OP!$S$30:$T$41,2))</f>
        <v>2</v>
      </c>
      <c r="E986" s="1" t="str">
        <f t="shared" ca="1" si="550"/>
        <v/>
      </c>
      <c r="F986" s="11" t="str">
        <f t="shared" ca="1" si="555"/>
        <v/>
      </c>
      <c r="G986" s="8">
        <f t="shared" ca="1" si="579"/>
        <v>365</v>
      </c>
      <c r="H986" s="8">
        <f t="shared" ca="1" si="557"/>
        <v>30</v>
      </c>
      <c r="I986" s="8" t="str">
        <f t="shared" ca="1" si="553"/>
        <v>824</v>
      </c>
      <c r="J986" s="13">
        <f>IF(繳費報酬率資料!$A$1=1,VALUE(OP!$C$121),VLOOKUP(A986,MP,2,0))</f>
        <v>0.05</v>
      </c>
      <c r="K986" s="14">
        <f ca="1">IF(SUM($K$4:K985,IF(繳費報酬率資料!$A$1=1,$AU986+$AV986,$BB986+$BC986))&gt;OP!$L$58,0,IF(繳費報酬率資料!$A$1=1,$AU986+$AV986,$BB986+$BC986))</f>
        <v>0</v>
      </c>
      <c r="L986" s="2"/>
      <c r="M986" s="2"/>
      <c r="N986" s="2"/>
      <c r="O986" s="261">
        <f t="shared" ca="1" si="558"/>
        <v>0</v>
      </c>
      <c r="P986" s="261">
        <f t="shared" ca="1" si="576"/>
        <v>0</v>
      </c>
      <c r="Q986" s="3">
        <f ca="1">IF(A986&gt;MAX(OP!$R$17:$R$26),0,VLOOKUP(A986,fees,3,FALSE))</f>
        <v>0</v>
      </c>
      <c r="R986" s="200" t="str">
        <f t="shared" ca="1" si="559"/>
        <v/>
      </c>
      <c r="S986" s="9" t="str">
        <f ca="1">IF(COUNTIF(($T$4:T985),"F")&gt;=1,"",IF(OR(C987&lt;&gt;$C$3,E986=""),"",A986))</f>
        <v/>
      </c>
      <c r="T986" s="20" t="str">
        <f t="shared" ca="1" si="551"/>
        <v/>
      </c>
      <c r="U986" s="2">
        <f ca="1">IF(IF(OP!$C$83=1,$Z985,IF(OP!$C$83=2,$AA985,IF(OP!$C$83=3,$AB985,)))+$K986-$O986-$P986-$AS986&lt;OP!$C$142,0,$AS986)</f>
        <v>0</v>
      </c>
      <c r="V986" s="9"/>
      <c r="W986" s="19">
        <f ca="1">MAX(SUM($K$4:K986),0)</f>
        <v>2000000</v>
      </c>
      <c r="X986" s="19"/>
      <c r="Y986" s="19">
        <f t="shared" ca="1" si="577"/>
        <v>1920000</v>
      </c>
      <c r="Z986" s="2">
        <f ca="1">IF(MIN($Z$4:Z985)=0,0,MAX(0,($Z985+$K986-$O986-$P986)*IF(AND(F986="F",$D$3&lt;&gt;$G$3),((1+(-J986))^(H986/MIN(G986,365))),((1+(-J986))^(1/12)))-$U986))</f>
        <v>28740.427820811587</v>
      </c>
      <c r="AA986" s="2">
        <f ca="1">IF(MIN($AA$4:AA985)=0,0,MAX(0,($AA985+$K986-$O986-$P986)*IF(AND(F986="F",$D$3&lt;&gt;$G$3),((1+$AA$1)^(H986/MIN(G986,365))),((1+$AA$1)^(1/12)))-$U986))</f>
        <v>1920000</v>
      </c>
      <c r="AB986" s="2">
        <f ca="1">IF(MIN($AB$4:AB985)=0,0,MAX(0,($AB985+$K986-$O986-$P986)*IF(AND(F986="F",$D$3&lt;&gt;$G$3),((1+(J986))^(H986/MIN(G986,365))),((1+(J986))^(1/12)))-$U986))</f>
        <v>104485969.6761819</v>
      </c>
      <c r="AC986" s="5"/>
      <c r="AD986" s="5"/>
      <c r="AE986" s="5"/>
      <c r="AF986" s="282">
        <f t="shared" ca="1" si="560"/>
        <v>28740</v>
      </c>
      <c r="AG986" s="282">
        <f t="shared" ca="1" si="561"/>
        <v>1920000</v>
      </c>
      <c r="AH986" s="282">
        <f t="shared" ca="1" si="562"/>
        <v>104485970</v>
      </c>
      <c r="AI986" s="23" t="str">
        <f t="shared" ca="1" si="578"/>
        <v>82-12</v>
      </c>
      <c r="AJ986" s="282">
        <f ca="1">IF(E986&gt;111,,IF(AND(OP!$C$99=1,T986="F"),Z986,IF(AND(OP!$C$99=2,COUNTIF($T$4:T986,"F")=1),OP!$C$97+IF(F986="F",OP!$C$98,0),"")))</f>
        <v>0</v>
      </c>
      <c r="AK986" s="282">
        <f ca="1">IF(E986&gt;111,,IF(AND(OP!$D$99=1,T986="F"),AA986,IF(AND(OP!$D$99=2,COUNTIF($T$4:T986,"F")=1),OP!$D$97+IF(F986="F",OP!$D$98,0),"")))</f>
        <v>0</v>
      </c>
      <c r="AL986" s="282">
        <f ca="1">IF(E986&gt;111,,IF(AND(OP!$E$99=1,T986="F"),AB986,IF(AND(OP!$E$99=2,COUNTIF($T$4:T986,"F")=1),OP!$E$97+IF(F986="F",OP!$E$98,0),"")))</f>
        <v>0</v>
      </c>
      <c r="AM986" s="1">
        <f t="shared" ca="1" si="552"/>
        <v>12</v>
      </c>
      <c r="AN986" s="1" t="e">
        <f ca="1">IF(OR(VLOOKUP($A986,MP,5,0)="月繳"),1,"")</f>
        <v>#N/A</v>
      </c>
      <c r="AO986" s="1">
        <f t="shared" ca="1" si="563"/>
        <v>0</v>
      </c>
      <c r="AP986" s="1" t="str">
        <f ca="1">IF(AND(A986&lt;=OP!$C$120,COUNTIF(PAY,C986)=1),1,"")</f>
        <v/>
      </c>
      <c r="AR986" s="301">
        <f ca="1">IF(繳費報酬率資料!$A$1=1,$AY986+$AZ986,$BF986+$BG986)</f>
        <v>0</v>
      </c>
      <c r="AS986" s="1">
        <f ca="1">IF(C986&lt;&gt;IF($C$3=1,12,$C$3-1),0,IF(繳費報酬率資料!$A$1&lt;&gt;1,VLOOKUP($A986,MP,8,0),IF(AND($A986&gt;=OP!$C$79,$A986&lt;=OP!$C$80),OP!$C$78,)))</f>
        <v>0</v>
      </c>
      <c r="AT986" s="298">
        <f t="shared" ca="1" si="564"/>
        <v>0</v>
      </c>
      <c r="AU986" s="298">
        <f ca="1">IF(AND(A986&lt;=OP!$C$120,COUNTIF(PAY,C986)=1),OP!$C$123,0)</f>
        <v>0</v>
      </c>
      <c r="AV986" s="298">
        <f ca="1">IF(AND(A986&gt;=OP!$C$132,A986&lt;=OP!$C$133,$C$3=C986),OP!$C$135,0)</f>
        <v>0</v>
      </c>
      <c r="AW986" s="180">
        <f t="shared" ca="1" si="565"/>
        <v>0.05</v>
      </c>
      <c r="AX986" s="180">
        <f t="shared" ca="1" si="566"/>
        <v>0.05</v>
      </c>
      <c r="AY986" s="286">
        <f t="shared" ca="1" si="567"/>
        <v>0</v>
      </c>
      <c r="AZ986" s="286">
        <f t="shared" ca="1" si="568"/>
        <v>0</v>
      </c>
      <c r="BA986" s="286">
        <f t="shared" ca="1" si="569"/>
        <v>0</v>
      </c>
      <c r="BB986" s="286">
        <f t="shared" ca="1" si="570"/>
        <v>0</v>
      </c>
      <c r="BC986" s="286">
        <f t="shared" ca="1" si="571"/>
        <v>0</v>
      </c>
      <c r="BD986" s="180">
        <f t="shared" ca="1" si="572"/>
        <v>0.05</v>
      </c>
      <c r="BE986" s="180">
        <f t="shared" ca="1" si="573"/>
        <v>0.05</v>
      </c>
      <c r="BF986" s="286">
        <f t="shared" ca="1" si="574"/>
        <v>0</v>
      </c>
      <c r="BG986" s="286">
        <f t="shared" ca="1" si="575"/>
        <v>0</v>
      </c>
    </row>
    <row r="987" spans="1:59">
      <c r="A987" s="1">
        <f t="shared" ca="1" si="554"/>
        <v>82</v>
      </c>
      <c r="B987" s="1">
        <f t="shared" ca="1" si="548"/>
        <v>188</v>
      </c>
      <c r="C987" s="1">
        <f t="shared" ca="1" si="549"/>
        <v>5</v>
      </c>
      <c r="D987" s="1">
        <f ca="1">MIN($D$3,VLOOKUP(C987,OP!$S$30:$T$41,2))</f>
        <v>2</v>
      </c>
      <c r="E987" s="1" t="str">
        <f t="shared" ca="1" si="550"/>
        <v/>
      </c>
      <c r="F987" s="11" t="str">
        <f t="shared" ca="1" si="555"/>
        <v/>
      </c>
      <c r="G987" s="8">
        <f t="shared" ca="1" si="579"/>
        <v>365</v>
      </c>
      <c r="H987" s="8">
        <f t="shared" ca="1" si="557"/>
        <v>31</v>
      </c>
      <c r="I987" s="8" t="str">
        <f t="shared" ca="1" si="553"/>
        <v>825</v>
      </c>
      <c r="J987" s="13">
        <f>IF(繳費報酬率資料!$A$1=1,VALUE(OP!$C$121),VLOOKUP(A987,MP,2,0))</f>
        <v>0.05</v>
      </c>
      <c r="K987" s="14">
        <f ca="1">IF(SUM($K$4:K986,IF(繳費報酬率資料!$A$1=1,$AU987+$AV987,$BB987+$BC987))&gt;OP!$L$58,0,IF(繳費報酬率資料!$A$1=1,$AU987+$AV987,$BB987+$BC987))</f>
        <v>0</v>
      </c>
      <c r="L987" s="2">
        <f ca="1">ROUND(IF(OP!$C$78&lt;(IF(OR($T987="F",$E987&gt;=111),0,Z986+$K987-$O987+IF($C$1=1,OP!$C$78,IF($C988=$C$3,SUM(AC976:AC987,0)))))*5%,0,(OP!$C$78-((IF(OR($T987="F",$E987&gt;=111),0,Z986+$K987-$O987+IF($C$1=1,AC987,IF($C988=$C$3,SUM(AC976:AC987,0)))))*5%))*$Q987),0)</f>
        <v>0</v>
      </c>
      <c r="M987" s="2">
        <f ca="1">ROUND(IF(OP!$C$78&lt;(IF(OR($T987="F",$E987&gt;=111),0,AA986+$K987-$O987+IF($C$1=1,AD987,IF($C988=$C$3,SUM(AD976:AD987,0)))))*5%,0,(OP!$C$78-((IF(OR($T987="F",$E987&gt;=111),0,AA986+$K987-$O987+IF($C$1=1,AD987,IF($C988=$C$3,SUM(AD976:AD987,0)))))*5%))*$Q987),0)</f>
        <v>0</v>
      </c>
      <c r="N987" s="2">
        <f ca="1">ROUND(IF(OP!$C$78&lt;(IF(OR($T987="F",$E987&gt;=111),0,AB986+$K987-$O987+IF($C$1=1,AE987,IF($C988=$C$3,SUM(AE976:AE987,0)))))*5%,0,(OP!$C$78-((IF(OR($T987="F",$E987&gt;=111),0,AB986+$K987-$O987+IF($C$1=1,AE987,IF($C988=$C$3,SUM(AE976:AE987,0)))))*5%))*$Q987),0)</f>
        <v>0</v>
      </c>
      <c r="O987" s="261">
        <f t="shared" ca="1" si="558"/>
        <v>0</v>
      </c>
      <c r="P987" s="261">
        <f t="shared" ca="1" si="576"/>
        <v>0</v>
      </c>
      <c r="Q987" s="3">
        <f ca="1">IF(A987&gt;MAX(OP!$R$17:$R$26),0,VLOOKUP(A987,fees,3,FALSE))</f>
        <v>0</v>
      </c>
      <c r="R987" s="200" t="str">
        <f t="shared" ca="1" si="559"/>
        <v/>
      </c>
      <c r="S987" s="9" t="str">
        <f ca="1">IF(COUNTIF(($T$4:T986),"F")&gt;=1,"",IF(OR(C988&lt;&gt;$C$3,E987=""),"",A987))</f>
        <v/>
      </c>
      <c r="T987" s="20" t="str">
        <f t="shared" ca="1" si="551"/>
        <v/>
      </c>
      <c r="U987" s="2">
        <f ca="1">IF(IF(OP!$C$83=1,$Z986,IF(OP!$C$83=2,$AA986,IF(OP!$C$83=3,$AB986,)))+$K987-$O987-$P987-$AS987&lt;OP!$C$142,0,$AS987)</f>
        <v>0</v>
      </c>
      <c r="V987" s="19">
        <f ca="1">SUM(K976:K987)</f>
        <v>0</v>
      </c>
      <c r="W987" s="19">
        <f ca="1">MAX(SUM($K$4:K987),0)</f>
        <v>2000000</v>
      </c>
      <c r="X987" s="19">
        <f ca="1">SUM(O976:P987)</f>
        <v>0</v>
      </c>
      <c r="Y987" s="19">
        <f t="shared" ca="1" si="577"/>
        <v>1920000</v>
      </c>
      <c r="Z987" s="2">
        <f ca="1">IF(MIN($Z$4:Z986)=0,0,MAX(0,($Z986+$K987-$O987-$P987)*IF(AND(F987="F",$D$3&lt;&gt;$G$3),((1+(-J987))^(H987/MIN(G987,365))),((1+(-J987))^(1/12)))-$U987))</f>
        <v>28617.840734352354</v>
      </c>
      <c r="AA987" s="2">
        <f ca="1">IF(MIN($AA$4:AA986)=0,0,MAX(0,($AA986+$K987-$O987-$P987)*IF(AND(F987="F",$D$3&lt;&gt;$G$3),((1+$AA$1)^(H987/MIN(G987,365))),((1+$AA$1)^(1/12)))-$U987))</f>
        <v>1920000</v>
      </c>
      <c r="AB987" s="2">
        <f ca="1">IF(MIN($AB$4:AB986)=0,0,MAX(0,($AB986+$K987-$O987-$P987)*IF(AND(F987="F",$D$3&lt;&gt;$G$3),((1+(J987))^(H987/MIN(G987,365))),((1+(J987))^(1/12)))-$U987))</f>
        <v>104911658.45029719</v>
      </c>
      <c r="AC987" s="5"/>
      <c r="AD987" s="5"/>
      <c r="AE987" s="5"/>
      <c r="AF987" s="282">
        <f t="shared" ca="1" si="560"/>
        <v>28618</v>
      </c>
      <c r="AG987" s="282">
        <f t="shared" ca="1" si="561"/>
        <v>1920000</v>
      </c>
      <c r="AH987" s="282">
        <f t="shared" ca="1" si="562"/>
        <v>104911658</v>
      </c>
      <c r="AI987" s="23" t="str">
        <f t="shared" ca="1" si="578"/>
        <v>83-1</v>
      </c>
      <c r="AJ987" s="282">
        <f ca="1">IF(E987&gt;111,,IF(AND(OP!$C$99=1,T987="F"),Z987,IF(AND(OP!$C$99=2,COUNTIF($T$4:T987,"F")=1),OP!$C$97+IF(F987="F",OP!$C$98,0),"")))</f>
        <v>0</v>
      </c>
      <c r="AK987" s="282">
        <f ca="1">IF(E987&gt;111,,IF(AND(OP!$D$99=1,T987="F"),AA987,IF(AND(OP!$D$99=2,COUNTIF($T$4:T987,"F")=1),OP!$D$97+IF(F987="F",OP!$D$98,0),"")))</f>
        <v>0</v>
      </c>
      <c r="AL987" s="282">
        <f ca="1">IF(E987&gt;111,,IF(AND(OP!$E$99=1,T987="F"),AB987,IF(AND(OP!$E$99=2,COUNTIF($T$4:T987,"F")=1),OP!$E$97+IF(F987="F",OP!$E$98,0),"")))</f>
        <v>0</v>
      </c>
      <c r="AM987" s="1">
        <f t="shared" ca="1" si="552"/>
        <v>1</v>
      </c>
      <c r="AN987" s="1" t="e">
        <f ca="1">IF(OR(VLOOKUP($A987,MP,5,0)="月繳"),1,"")</f>
        <v>#N/A</v>
      </c>
      <c r="AO987" s="1">
        <f t="shared" ca="1" si="563"/>
        <v>0</v>
      </c>
      <c r="AP987" s="1" t="str">
        <f ca="1">IF(AND(A987&lt;=OP!$C$120,COUNTIF(PAY,C987)=1),1,"")</f>
        <v/>
      </c>
      <c r="AR987" s="301">
        <f ca="1">IF(繳費報酬率資料!$A$1=1,$AY987+$AZ987,$BF987+$BG987)</f>
        <v>0</v>
      </c>
      <c r="AS987" s="1">
        <f ca="1">IF(C987&lt;&gt;IF($C$3=1,12,$C$3-1),0,IF(繳費報酬率資料!$A$1&lt;&gt;1,VLOOKUP($A987,MP,8,0),IF(AND($A987&gt;=OP!$C$79,$A987&lt;=OP!$C$80),OP!$C$78,)))</f>
        <v>0</v>
      </c>
      <c r="AT987" s="298">
        <f t="shared" ca="1" si="564"/>
        <v>0</v>
      </c>
      <c r="AU987" s="298">
        <f ca="1">IF(AND(A987&lt;=OP!$C$120,COUNTIF(PAY,C987)=1),OP!$C$123,0)</f>
        <v>0</v>
      </c>
      <c r="AV987" s="298">
        <f ca="1">IF(AND(A987&gt;=OP!$C$132,A987&lt;=OP!$C$133,$C$3=C987),OP!$C$135,0)</f>
        <v>0</v>
      </c>
      <c r="AW987" s="180">
        <f t="shared" ca="1" si="565"/>
        <v>0.05</v>
      </c>
      <c r="AX987" s="180">
        <f t="shared" ca="1" si="566"/>
        <v>0.05</v>
      </c>
      <c r="AY987" s="286">
        <f t="shared" ca="1" si="567"/>
        <v>0</v>
      </c>
      <c r="AZ987" s="286">
        <f t="shared" ca="1" si="568"/>
        <v>0</v>
      </c>
      <c r="BA987" s="286">
        <f t="shared" ca="1" si="569"/>
        <v>0</v>
      </c>
      <c r="BB987" s="286">
        <f t="shared" ca="1" si="570"/>
        <v>0</v>
      </c>
      <c r="BC987" s="286">
        <f t="shared" ca="1" si="571"/>
        <v>0</v>
      </c>
      <c r="BD987" s="180">
        <f t="shared" ca="1" si="572"/>
        <v>0.05</v>
      </c>
      <c r="BE987" s="180">
        <f t="shared" ca="1" si="573"/>
        <v>0.05</v>
      </c>
      <c r="BF987" s="286">
        <f t="shared" ca="1" si="574"/>
        <v>0</v>
      </c>
      <c r="BG987" s="286">
        <f t="shared" ca="1" si="575"/>
        <v>0</v>
      </c>
    </row>
    <row r="988" spans="1:59">
      <c r="A988" s="1">
        <f t="shared" ca="1" si="554"/>
        <v>83</v>
      </c>
      <c r="B988" s="1">
        <f ca="1">IF(C988=1,B987+1,B987)</f>
        <v>188</v>
      </c>
      <c r="C988" s="1">
        <f t="shared" ca="1" si="549"/>
        <v>6</v>
      </c>
      <c r="D988" s="1">
        <f ca="1">MIN($D$3,VLOOKUP(C988,OP!$S$30:$T$41,2))</f>
        <v>2</v>
      </c>
      <c r="E988" s="1" t="str">
        <f t="shared" ref="E988:E1051" ca="1" si="580">IF($K$1+A988-1&gt;$D$1,"",$K$1+A988-1)</f>
        <v/>
      </c>
      <c r="F988" s="11" t="str">
        <f t="shared" ca="1" si="555"/>
        <v/>
      </c>
      <c r="G988" s="6">
        <f ca="1">DATEDIF(DATE(B988+1911,C988,D988),DATE(B1000+1911,C1000,D1000),"d")</f>
        <v>365</v>
      </c>
      <c r="H988" s="8">
        <f t="shared" ca="1" si="557"/>
        <v>30</v>
      </c>
      <c r="I988" s="8" t="str">
        <f t="shared" ca="1" si="553"/>
        <v>836</v>
      </c>
      <c r="J988" s="13">
        <f>IF(繳費報酬率資料!$A$1=1,VALUE(OP!$C$121),VLOOKUP(A988,MP,2,0))</f>
        <v>0.05</v>
      </c>
      <c r="K988" s="14">
        <f ca="1">IF(SUM($K$4:K987,IF(繳費報酬率資料!$A$1=1,$AU988+$AV988,$BB988+$BC988))&gt;OP!$L$58,0,IF(繳費報酬率資料!$A$1=1,$AU988+$AV988,$BB988+$BC988))</f>
        <v>0</v>
      </c>
      <c r="L988" s="2"/>
      <c r="M988" s="2"/>
      <c r="N988" s="2"/>
      <c r="O988" s="261">
        <f t="shared" ca="1" si="558"/>
        <v>0</v>
      </c>
      <c r="P988" s="261">
        <f t="shared" ca="1" si="576"/>
        <v>0</v>
      </c>
      <c r="Q988" s="3">
        <f ca="1">IF(A988&gt;MAX(OP!$R$17:$R$26),0,VLOOKUP(A988,fees,3,FALSE))</f>
        <v>0</v>
      </c>
      <c r="R988" s="200" t="str">
        <f t="shared" ca="1" si="559"/>
        <v/>
      </c>
      <c r="S988" s="9" t="str">
        <f ca="1">IF(COUNTIF(($T$4:T987),"F")&gt;=1,"",IF(OR(C989&lt;&gt;$C$3,E988=""),"",A988))</f>
        <v/>
      </c>
      <c r="T988" s="20" t="str">
        <f t="shared" ref="T988:T1051" ca="1" si="581">IF(F988&lt;&gt;"","F","")</f>
        <v/>
      </c>
      <c r="U988" s="2">
        <f ca="1">IF(IF(OP!$C$83=1,$Z987,IF(OP!$C$83=2,$AA987,IF(OP!$C$83=3,$AB987,)))+$K988-$O988-$P988-$AS988&lt;OP!$C$142,0,$AS988)</f>
        <v>0</v>
      </c>
      <c r="V988" s="9"/>
      <c r="W988" s="19">
        <f ca="1">MAX(SUM($K$4:K988),0)</f>
        <v>2000000</v>
      </c>
      <c r="X988" s="19"/>
      <c r="Y988" s="19">
        <f t="shared" ca="1" si="577"/>
        <v>1920000</v>
      </c>
      <c r="Z988" s="2">
        <f ca="1">IF(MIN($Z$4:Z987)=0,0,MAX(0,($Z987+$K988-$O988-$P988)*IF(AND(F988="F",$D$3&lt;&gt;$G$3),((1+(-J988))^(H988/MIN(G988,365))),((1+(-J988))^(1/12)))-$U988))</f>
        <v>28495.77652089488</v>
      </c>
      <c r="AA988" s="2">
        <f ca="1">IF(MIN($AA$4:AA987)=0,0,MAX(0,($AA987+$K988-$O988-$P988)*IF(AND(F988="F",$D$3&lt;&gt;$G$3),((1+$AA$1)^(H988/MIN(G988,365))),((1+$AA$1)^(1/12)))-$U988))</f>
        <v>1920000</v>
      </c>
      <c r="AB988" s="2">
        <f ca="1">IF(MIN($AB$4:AB987)=0,0,MAX(0,($AB987+$K988-$O988-$P988)*IF(AND(F988="F",$D$3&lt;&gt;$G$3),((1+(J988))^(H988/MIN(G988,365))),((1+(J988))^(1/12)))-$U988))</f>
        <v>105339081.53317153</v>
      </c>
      <c r="AC988" s="21"/>
      <c r="AD988" s="21"/>
      <c r="AE988" s="21"/>
      <c r="AF988" s="282">
        <f t="shared" ca="1" si="560"/>
        <v>28496</v>
      </c>
      <c r="AG988" s="282">
        <f t="shared" ca="1" si="561"/>
        <v>1920000</v>
      </c>
      <c r="AH988" s="282">
        <f t="shared" ca="1" si="562"/>
        <v>105339082</v>
      </c>
      <c r="AI988" s="23" t="str">
        <f t="shared" ca="1" si="578"/>
        <v>83-2</v>
      </c>
      <c r="AJ988" s="281">
        <f ca="1">IF(E988&gt;111,,IF(AND(OP!$C$99=1,T988="F"),Z988,IF(AND(OP!$C$99=2,COUNTIF($T$4:T988,"F")=1),OP!$C$97+IF(F988="F",OP!$C$98,0),"")))</f>
        <v>0</v>
      </c>
      <c r="AK988" s="281">
        <f ca="1">IF(E988&gt;111,,IF(AND(OP!$D$99=1,T988="F"),AA988,IF(AND(OP!$D$99=2,COUNTIF($T$4:T988,"F")=1),OP!$D$97+IF(F988="F",OP!$D$98,0),"")))</f>
        <v>0</v>
      </c>
      <c r="AL988" s="281">
        <f ca="1">IF(E988&gt;111,,IF(AND(OP!$E$99=1,T988="F"),AB988,IF(AND(OP!$E$99=2,COUNTIF($T$4:T988,"F")=1),OP!$E$97+IF(F988="F",OP!$E$98,0),"")))</f>
        <v>0</v>
      </c>
      <c r="AM988" s="1">
        <f t="shared" ref="AM988:AM1051" ca="1" si="582">IF(AND(AK988&lt;&gt;"",AM987=""),1,IF(AND(AK988&lt;&gt;"",AM987&gt;0),IF(AM987=12,1,AM987+1),""))</f>
        <v>2</v>
      </c>
      <c r="AN988" s="1" t="e">
        <f ca="1">IF(OR(VLOOKUP($A988,MP,5,0)="年繳",VLOOKUP($A988,MP,5,0)="半年繳",VLOOKUP($A988,MP,5,0)="季繳",VLOOKUP($A988,MP,5,0)="月繳"),1,"")</f>
        <v>#N/A</v>
      </c>
      <c r="AO988" s="1">
        <f t="shared" ca="1" si="563"/>
        <v>0</v>
      </c>
      <c r="AP988" s="1" t="str">
        <f ca="1">IF(AND(A988&lt;=OP!$C$120,COUNTIF(PAY,C988)=1),1,"")</f>
        <v/>
      </c>
      <c r="AR988" s="301">
        <f ca="1">IF(繳費報酬率資料!$A$1=1,$AY988+$AZ988,$BF988+$BG988)</f>
        <v>0</v>
      </c>
      <c r="AS988" s="1">
        <f ca="1">IF(C988&lt;&gt;IF($C$3=1,12,$C$3-1),0,IF(繳費報酬率資料!$A$1&lt;&gt;1,VLOOKUP($A988,MP,8,0),IF(AND($A988&gt;=OP!$C$79,$A988&lt;=OP!$C$80),OP!$C$78,)))</f>
        <v>0</v>
      </c>
      <c r="AT988" s="298">
        <f t="shared" ca="1" si="564"/>
        <v>0</v>
      </c>
      <c r="AU988" s="298">
        <f ca="1">IF(AND(A988&lt;=OP!$C$120,COUNTIF(PAY,C988)=1),OP!$C$123,0)</f>
        <v>0</v>
      </c>
      <c r="AV988" s="298">
        <f ca="1">IF(AND(A988&gt;=OP!$C$132,A988&lt;=OP!$C$133,$C$3=C988),OP!$C$135,0)</f>
        <v>0</v>
      </c>
      <c r="AW988" s="180">
        <f t="shared" ca="1" si="565"/>
        <v>0.05</v>
      </c>
      <c r="AX988" s="180">
        <f t="shared" ca="1" si="566"/>
        <v>0.05</v>
      </c>
      <c r="AY988" s="286">
        <f t="shared" ca="1" si="567"/>
        <v>0</v>
      </c>
      <c r="AZ988" s="286">
        <f t="shared" ca="1" si="568"/>
        <v>0</v>
      </c>
      <c r="BA988" s="286">
        <f t="shared" ca="1" si="569"/>
        <v>0</v>
      </c>
      <c r="BB988" s="286">
        <f t="shared" ca="1" si="570"/>
        <v>0</v>
      </c>
      <c r="BC988" s="286">
        <f t="shared" ca="1" si="571"/>
        <v>0</v>
      </c>
      <c r="BD988" s="180">
        <f t="shared" ca="1" si="572"/>
        <v>0.05</v>
      </c>
      <c r="BE988" s="180">
        <f t="shared" ca="1" si="573"/>
        <v>0.05</v>
      </c>
      <c r="BF988" s="286">
        <f t="shared" ca="1" si="574"/>
        <v>0</v>
      </c>
      <c r="BG988" s="286">
        <f t="shared" ca="1" si="575"/>
        <v>0</v>
      </c>
    </row>
    <row r="989" spans="1:59">
      <c r="A989" s="1">
        <f t="shared" ca="1" si="554"/>
        <v>83</v>
      </c>
      <c r="B989" s="1">
        <f t="shared" ref="B989:B1052" ca="1" si="583">IF(C989=1,B988+1,B988)</f>
        <v>188</v>
      </c>
      <c r="C989" s="1">
        <f t="shared" ref="C989:C1052" ca="1" si="584">IF(C988=12,1,C988+1)</f>
        <v>7</v>
      </c>
      <c r="D989" s="1">
        <f ca="1">MIN($D$3,VLOOKUP(C989,OP!$S$30:$T$41,2))</f>
        <v>2</v>
      </c>
      <c r="E989" s="1" t="str">
        <f t="shared" ca="1" si="580"/>
        <v/>
      </c>
      <c r="F989" s="11" t="str">
        <f t="shared" ca="1" si="555"/>
        <v/>
      </c>
      <c r="G989" s="8">
        <f t="shared" ref="G989:G999" ca="1" si="585">G988</f>
        <v>365</v>
      </c>
      <c r="H989" s="8">
        <f t="shared" ca="1" si="557"/>
        <v>31</v>
      </c>
      <c r="I989" s="8" t="str">
        <f t="shared" ca="1" si="553"/>
        <v>837</v>
      </c>
      <c r="J989" s="13">
        <f>IF(繳費報酬率資料!$A$1=1,VALUE(OP!$C$121),VLOOKUP(A989,MP,2,0))</f>
        <v>0.05</v>
      </c>
      <c r="K989" s="14">
        <f ca="1">IF(SUM($K$4:K988,IF(繳費報酬率資料!$A$1=1,$AU989+$AV989,$BB989+$BC989))&gt;OP!$L$58,0,IF(繳費報酬率資料!$A$1=1,$AU989+$AV989,$BB989+$BC989))</f>
        <v>0</v>
      </c>
      <c r="L989" s="2"/>
      <c r="M989" s="2"/>
      <c r="N989" s="2"/>
      <c r="O989" s="261">
        <f t="shared" ca="1" si="558"/>
        <v>0</v>
      </c>
      <c r="P989" s="261">
        <f t="shared" ca="1" si="576"/>
        <v>0</v>
      </c>
      <c r="Q989" s="3">
        <f ca="1">IF(A989&gt;MAX(OP!$R$17:$R$26),0,VLOOKUP(A989,fees,3,FALSE))</f>
        <v>0</v>
      </c>
      <c r="R989" s="200" t="str">
        <f t="shared" ca="1" si="559"/>
        <v/>
      </c>
      <c r="S989" s="9" t="str">
        <f ca="1">IF(COUNTIF(($T$4:T988),"F")&gt;=1,"",IF(OR(C990&lt;&gt;$C$3,E989=""),"",A989))</f>
        <v/>
      </c>
      <c r="T989" s="20" t="str">
        <f t="shared" ca="1" si="581"/>
        <v/>
      </c>
      <c r="U989" s="2">
        <f ca="1">IF(IF(OP!$C$83=1,$Z988,IF(OP!$C$83=2,$AA988,IF(OP!$C$83=3,$AB988,)))+$K989-$O989-$P989-$AS989&lt;OP!$C$142,0,$AS989)</f>
        <v>0</v>
      </c>
      <c r="V989" s="9"/>
      <c r="W989" s="19">
        <f ca="1">MAX(SUM($K$4:K989),0)</f>
        <v>2000000</v>
      </c>
      <c r="X989" s="19"/>
      <c r="Y989" s="19">
        <f t="shared" ca="1" si="577"/>
        <v>1920000</v>
      </c>
      <c r="Z989" s="2">
        <f ca="1">IF(MIN($Z$4:Z988)=0,0,MAX(0,($Z988+$K989-$O989-$P989)*IF(AND(F989="F",$D$3&lt;&gt;$G$3),((1+(-J989))^(H989/MIN(G989,365))),((1+(-J989))^(1/12)))-$U989))</f>
        <v>28374.232950219135</v>
      </c>
      <c r="AA989" s="2">
        <f ca="1">IF(MIN($AA$4:AA988)=0,0,MAX(0,($AA988+$K989-$O989-$P989)*IF(AND(F989="F",$D$3&lt;&gt;$G$3),((1+$AA$1)^(H989/MIN(G989,365))),((1+$AA$1)^(1/12)))-$U989))</f>
        <v>1920000</v>
      </c>
      <c r="AB989" s="2">
        <f ca="1">IF(MIN($AB$4:AB988)=0,0,MAX(0,($AB988+$K989-$O989-$P989)*IF(AND(F989="F",$D$3&lt;&gt;$G$3),((1+(J989))^(H989/MIN(G989,365))),((1+(J989))^(1/12)))-$U989))</f>
        <v>105768245.99059351</v>
      </c>
      <c r="AC989" s="5"/>
      <c r="AD989" s="5"/>
      <c r="AE989" s="5"/>
      <c r="AF989" s="282">
        <f t="shared" ca="1" si="560"/>
        <v>28374</v>
      </c>
      <c r="AG989" s="282">
        <f t="shared" ca="1" si="561"/>
        <v>1920000</v>
      </c>
      <c r="AH989" s="282">
        <f t="shared" ca="1" si="562"/>
        <v>105768246</v>
      </c>
      <c r="AI989" s="23" t="str">
        <f t="shared" ca="1" si="578"/>
        <v>83-3</v>
      </c>
      <c r="AJ989" s="282">
        <f ca="1">IF(E989&gt;111,,IF(AND(OP!$C$99=1,T989="F"),Z989,IF(AND(OP!$C$99=2,COUNTIF($T$4:T989,"F")=1),OP!$C$97+IF(F989="F",OP!$C$98,0),"")))</f>
        <v>0</v>
      </c>
      <c r="AK989" s="282">
        <f ca="1">IF(E989&gt;111,,IF(AND(OP!$D$99=1,T989="F"),AA989,IF(AND(OP!$D$99=2,COUNTIF($T$4:T989,"F")=1),OP!$D$97+IF(F989="F",OP!$D$98,0),"")))</f>
        <v>0</v>
      </c>
      <c r="AL989" s="282">
        <f ca="1">IF(E989&gt;111,,IF(AND(OP!$E$99=1,T989="F"),AB989,IF(AND(OP!$E$99=2,COUNTIF($T$4:T989,"F")=1),OP!$E$97+IF(F989="F",OP!$E$98,0),"")))</f>
        <v>0</v>
      </c>
      <c r="AM989" s="1">
        <f t="shared" ca="1" si="582"/>
        <v>3</v>
      </c>
      <c r="AN989" s="1" t="e">
        <f ca="1">IF(OR(VLOOKUP($A989,MP,5,0)="月繳"),1,"")</f>
        <v>#N/A</v>
      </c>
      <c r="AO989" s="1">
        <f t="shared" ca="1" si="563"/>
        <v>0</v>
      </c>
      <c r="AP989" s="1" t="str">
        <f ca="1">IF(AND(A989&lt;=OP!$C$120,COUNTIF(PAY,C989)=1),1,"")</f>
        <v/>
      </c>
      <c r="AR989" s="301">
        <f ca="1">IF(繳費報酬率資料!$A$1=1,$AY989+$AZ989,$BF989+$BG989)</f>
        <v>0</v>
      </c>
      <c r="AS989" s="1">
        <f ca="1">IF(C989&lt;&gt;IF($C$3=1,12,$C$3-1),0,IF(繳費報酬率資料!$A$1&lt;&gt;1,VLOOKUP($A989,MP,8,0),IF(AND($A989&gt;=OP!$C$79,$A989&lt;=OP!$C$80),OP!$C$78,)))</f>
        <v>0</v>
      </c>
      <c r="AT989" s="298">
        <f t="shared" ca="1" si="564"/>
        <v>0</v>
      </c>
      <c r="AU989" s="298">
        <f ca="1">IF(AND(A989&lt;=OP!$C$120,COUNTIF(PAY,C989)=1),OP!$C$123,0)</f>
        <v>0</v>
      </c>
      <c r="AV989" s="298">
        <f ca="1">IF(AND(A989&gt;=OP!$C$132,A989&lt;=OP!$C$133,$C$3=C989),OP!$C$135,0)</f>
        <v>0</v>
      </c>
      <c r="AW989" s="180">
        <f t="shared" ca="1" si="565"/>
        <v>0.05</v>
      </c>
      <c r="AX989" s="180">
        <f t="shared" ca="1" si="566"/>
        <v>0.05</v>
      </c>
      <c r="AY989" s="286">
        <f t="shared" ca="1" si="567"/>
        <v>0</v>
      </c>
      <c r="AZ989" s="286">
        <f t="shared" ca="1" si="568"/>
        <v>0</v>
      </c>
      <c r="BA989" s="286">
        <f t="shared" ca="1" si="569"/>
        <v>0</v>
      </c>
      <c r="BB989" s="286">
        <f t="shared" ca="1" si="570"/>
        <v>0</v>
      </c>
      <c r="BC989" s="286">
        <f t="shared" ca="1" si="571"/>
        <v>0</v>
      </c>
      <c r="BD989" s="180">
        <f t="shared" ca="1" si="572"/>
        <v>0.05</v>
      </c>
      <c r="BE989" s="180">
        <f t="shared" ca="1" si="573"/>
        <v>0.05</v>
      </c>
      <c r="BF989" s="286">
        <f t="shared" ca="1" si="574"/>
        <v>0</v>
      </c>
      <c r="BG989" s="286">
        <f t="shared" ca="1" si="575"/>
        <v>0</v>
      </c>
    </row>
    <row r="990" spans="1:59">
      <c r="A990" s="1">
        <f t="shared" ca="1" si="554"/>
        <v>83</v>
      </c>
      <c r="B990" s="1">
        <f t="shared" ca="1" si="583"/>
        <v>188</v>
      </c>
      <c r="C990" s="1">
        <f t="shared" ca="1" si="584"/>
        <v>8</v>
      </c>
      <c r="D990" s="1">
        <f ca="1">MIN($D$3,VLOOKUP(C990,OP!$S$30:$T$41,2))</f>
        <v>2</v>
      </c>
      <c r="E990" s="1" t="str">
        <f t="shared" ca="1" si="580"/>
        <v/>
      </c>
      <c r="F990" s="11" t="str">
        <f t="shared" ca="1" si="555"/>
        <v/>
      </c>
      <c r="G990" s="8">
        <f t="shared" ca="1" si="585"/>
        <v>365</v>
      </c>
      <c r="H990" s="8">
        <f t="shared" ca="1" si="557"/>
        <v>31</v>
      </c>
      <c r="I990" s="8" t="str">
        <f t="shared" ca="1" si="553"/>
        <v>838</v>
      </c>
      <c r="J990" s="13">
        <f>IF(繳費報酬率資料!$A$1=1,VALUE(OP!$C$121),VLOOKUP(A990,MP,2,0))</f>
        <v>0.05</v>
      </c>
      <c r="K990" s="14">
        <f ca="1">IF(SUM($K$4:K989,IF(繳費報酬率資料!$A$1=1,$AU990+$AV990,$BB990+$BC990))&gt;OP!$L$58,0,IF(繳費報酬率資料!$A$1=1,$AU990+$AV990,$BB990+$BC990))</f>
        <v>0</v>
      </c>
      <c r="L990" s="2"/>
      <c r="M990" s="2"/>
      <c r="N990" s="2"/>
      <c r="O990" s="261">
        <f t="shared" ca="1" si="558"/>
        <v>0</v>
      </c>
      <c r="P990" s="261">
        <f t="shared" ca="1" si="576"/>
        <v>0</v>
      </c>
      <c r="Q990" s="3">
        <f ca="1">IF(A990&gt;MAX(OP!$R$17:$R$26),0,VLOOKUP(A990,fees,3,FALSE))</f>
        <v>0</v>
      </c>
      <c r="R990" s="200" t="str">
        <f t="shared" ca="1" si="559"/>
        <v/>
      </c>
      <c r="S990" s="9" t="str">
        <f ca="1">IF(COUNTIF(($T$4:T989),"F")&gt;=1,"",IF(OR(C991&lt;&gt;$C$3,E990=""),"",A990))</f>
        <v/>
      </c>
      <c r="T990" s="20" t="str">
        <f t="shared" ca="1" si="581"/>
        <v/>
      </c>
      <c r="U990" s="2">
        <f ca="1">IF(IF(OP!$C$83=1,$Z989,IF(OP!$C$83=2,$AA989,IF(OP!$C$83=3,$AB989,)))+$K990-$O990-$P990-$AS990&lt;OP!$C$142,0,$AS990)</f>
        <v>0</v>
      </c>
      <c r="V990" s="9"/>
      <c r="W990" s="19">
        <f ca="1">MAX(SUM($K$4:K990),0)</f>
        <v>2000000</v>
      </c>
      <c r="X990" s="19"/>
      <c r="Y990" s="19">
        <f t="shared" ca="1" si="577"/>
        <v>1920000</v>
      </c>
      <c r="Z990" s="2">
        <f ca="1">IF(MIN($Z$4:Z989)=0,0,MAX(0,($Z989+$K990-$O990-$P990)*IF(AND(F990="F",$D$3&lt;&gt;$G$3),((1+(-J990))^(H990/MIN(G990,365))),((1+(-J990))^(1/12)))-$U990))</f>
        <v>28253.207801617686</v>
      </c>
      <c r="AA990" s="2">
        <f ca="1">IF(MIN($AA$4:AA989)=0,0,MAX(0,($AA989+$K990-$O990-$P990)*IF(AND(F990="F",$D$3&lt;&gt;$G$3),((1+$AA$1)^(H990/MIN(G990,365))),((1+$AA$1)^(1/12)))-$U990))</f>
        <v>1920000</v>
      </c>
      <c r="AB990" s="2">
        <f ca="1">IF(MIN($AB$4:AB989)=0,0,MAX(0,($AB989+$K990-$O990-$P990)*IF(AND(F990="F",$D$3&lt;&gt;$G$3),((1+(J990))^(H990/MIN(G990,365))),((1+(J990))^(1/12)))-$U990))</f>
        <v>106199158.91713856</v>
      </c>
      <c r="AC990" s="5"/>
      <c r="AD990" s="5"/>
      <c r="AE990" s="5"/>
      <c r="AF990" s="282">
        <f t="shared" ca="1" si="560"/>
        <v>28253</v>
      </c>
      <c r="AG990" s="282">
        <f t="shared" ca="1" si="561"/>
        <v>1920000</v>
      </c>
      <c r="AH990" s="282">
        <f t="shared" ca="1" si="562"/>
        <v>106199159</v>
      </c>
      <c r="AI990" s="23" t="str">
        <f t="shared" ca="1" si="578"/>
        <v>83-4</v>
      </c>
      <c r="AJ990" s="282">
        <f ca="1">IF(E990&gt;111,,IF(AND(OP!$C$99=1,T990="F"),Z990,IF(AND(OP!$C$99=2,COUNTIF($T$4:T990,"F")=1),OP!$C$97+IF(F990="F",OP!$C$98,0),"")))</f>
        <v>0</v>
      </c>
      <c r="AK990" s="282">
        <f ca="1">IF(E990&gt;111,,IF(AND(OP!$D$99=1,T990="F"),AA990,IF(AND(OP!$D$99=2,COUNTIF($T$4:T990,"F")=1),OP!$D$97+IF(F990="F",OP!$D$98,0),"")))</f>
        <v>0</v>
      </c>
      <c r="AL990" s="282">
        <f ca="1">IF(E990&gt;111,,IF(AND(OP!$E$99=1,T990="F"),AB990,IF(AND(OP!$E$99=2,COUNTIF($T$4:T990,"F")=1),OP!$E$97+IF(F990="F",OP!$E$98,0),"")))</f>
        <v>0</v>
      </c>
      <c r="AM990" s="1">
        <f t="shared" ca="1" si="582"/>
        <v>4</v>
      </c>
      <c r="AN990" s="1" t="e">
        <f ca="1">IF(OR(VLOOKUP($A990,MP,5,0)="月繳"),1,"")</f>
        <v>#N/A</v>
      </c>
      <c r="AO990" s="1">
        <f t="shared" ca="1" si="563"/>
        <v>0</v>
      </c>
      <c r="AP990" s="1" t="str">
        <f ca="1">IF(AND(A990&lt;=OP!$C$120,COUNTIF(PAY,C990)=1),1,"")</f>
        <v/>
      </c>
      <c r="AR990" s="301">
        <f ca="1">IF(繳費報酬率資料!$A$1=1,$AY990+$AZ990,$BF990+$BG990)</f>
        <v>0</v>
      </c>
      <c r="AS990" s="1">
        <f ca="1">IF(C990&lt;&gt;IF($C$3=1,12,$C$3-1),0,IF(繳費報酬率資料!$A$1&lt;&gt;1,VLOOKUP($A990,MP,8,0),IF(AND($A990&gt;=OP!$C$79,$A990&lt;=OP!$C$80),OP!$C$78,)))</f>
        <v>0</v>
      </c>
      <c r="AT990" s="298">
        <f t="shared" ca="1" si="564"/>
        <v>0</v>
      </c>
      <c r="AU990" s="298">
        <f ca="1">IF(AND(A990&lt;=OP!$C$120,COUNTIF(PAY,C990)=1),OP!$C$123,0)</f>
        <v>0</v>
      </c>
      <c r="AV990" s="298">
        <f ca="1">IF(AND(A990&gt;=OP!$C$132,A990&lt;=OP!$C$133,$C$3=C990),OP!$C$135,0)</f>
        <v>0</v>
      </c>
      <c r="AW990" s="180">
        <f t="shared" ca="1" si="565"/>
        <v>0.05</v>
      </c>
      <c r="AX990" s="180">
        <f t="shared" ca="1" si="566"/>
        <v>0.05</v>
      </c>
      <c r="AY990" s="286">
        <f t="shared" ca="1" si="567"/>
        <v>0</v>
      </c>
      <c r="AZ990" s="286">
        <f t="shared" ca="1" si="568"/>
        <v>0</v>
      </c>
      <c r="BA990" s="286">
        <f t="shared" ca="1" si="569"/>
        <v>0</v>
      </c>
      <c r="BB990" s="286">
        <f t="shared" ca="1" si="570"/>
        <v>0</v>
      </c>
      <c r="BC990" s="286">
        <f t="shared" ca="1" si="571"/>
        <v>0</v>
      </c>
      <c r="BD990" s="180">
        <f t="shared" ca="1" si="572"/>
        <v>0.05</v>
      </c>
      <c r="BE990" s="180">
        <f t="shared" ca="1" si="573"/>
        <v>0.05</v>
      </c>
      <c r="BF990" s="286">
        <f t="shared" ca="1" si="574"/>
        <v>0</v>
      </c>
      <c r="BG990" s="286">
        <f t="shared" ca="1" si="575"/>
        <v>0</v>
      </c>
    </row>
    <row r="991" spans="1:59">
      <c r="A991" s="1">
        <f t="shared" ca="1" si="554"/>
        <v>83</v>
      </c>
      <c r="B991" s="1">
        <f t="shared" ca="1" si="583"/>
        <v>188</v>
      </c>
      <c r="C991" s="1">
        <f t="shared" ca="1" si="584"/>
        <v>9</v>
      </c>
      <c r="D991" s="1">
        <f ca="1">MIN($D$3,VLOOKUP(C991,OP!$S$30:$T$41,2))</f>
        <v>2</v>
      </c>
      <c r="E991" s="1" t="str">
        <f t="shared" ca="1" si="580"/>
        <v/>
      </c>
      <c r="F991" s="11" t="str">
        <f t="shared" ca="1" si="555"/>
        <v/>
      </c>
      <c r="G991" s="8">
        <f t="shared" ca="1" si="585"/>
        <v>365</v>
      </c>
      <c r="H991" s="8">
        <f t="shared" ca="1" si="557"/>
        <v>30</v>
      </c>
      <c r="I991" s="8" t="str">
        <f t="shared" ca="1" si="553"/>
        <v>839</v>
      </c>
      <c r="J991" s="13">
        <f>IF(繳費報酬率資料!$A$1=1,VALUE(OP!$C$121),VLOOKUP(A991,MP,2,0))</f>
        <v>0.05</v>
      </c>
      <c r="K991" s="14">
        <f ca="1">IF(SUM($K$4:K990,IF(繳費報酬率資料!$A$1=1,$AU991+$AV991,$BB991+$BC991))&gt;OP!$L$58,0,IF(繳費報酬率資料!$A$1=1,$AU991+$AV991,$BB991+$BC991))</f>
        <v>0</v>
      </c>
      <c r="L991" s="2"/>
      <c r="M991" s="2"/>
      <c r="N991" s="2"/>
      <c r="O991" s="261">
        <f t="shared" ca="1" si="558"/>
        <v>0</v>
      </c>
      <c r="P991" s="261">
        <f t="shared" ca="1" si="576"/>
        <v>0</v>
      </c>
      <c r="Q991" s="3">
        <f ca="1">IF(A991&gt;MAX(OP!$R$17:$R$26),0,VLOOKUP(A991,fees,3,FALSE))</f>
        <v>0</v>
      </c>
      <c r="R991" s="200" t="str">
        <f t="shared" ca="1" si="559"/>
        <v/>
      </c>
      <c r="S991" s="9" t="str">
        <f ca="1">IF(COUNTIF(($T$4:T990),"F")&gt;=1,"",IF(OR(C992&lt;&gt;$C$3,E991=""),"",A991))</f>
        <v/>
      </c>
      <c r="T991" s="20" t="str">
        <f t="shared" ca="1" si="581"/>
        <v/>
      </c>
      <c r="U991" s="2">
        <f ca="1">IF(IF(OP!$C$83=1,$Z990,IF(OP!$C$83=2,$AA990,IF(OP!$C$83=3,$AB990,)))+$K991-$O991-$P991-$AS991&lt;OP!$C$142,0,$AS991)</f>
        <v>0</v>
      </c>
      <c r="V991" s="9"/>
      <c r="W991" s="19">
        <f ca="1">MAX(SUM($K$4:K991),0)</f>
        <v>2000000</v>
      </c>
      <c r="X991" s="19"/>
      <c r="Y991" s="19">
        <f t="shared" ca="1" si="577"/>
        <v>1920000</v>
      </c>
      <c r="Z991" s="2">
        <f ca="1">IF(MIN($Z$4:Z990)=0,0,MAX(0,($Z990+$K991-$O991-$P991)*IF(AND(F991="F",$D$3&lt;&gt;$G$3),((1+(-J991))^(H991/MIN(G991,365))),((1+(-J991))^(1/12)))-$U991))</f>
        <v>28132.698863855123</v>
      </c>
      <c r="AA991" s="2">
        <f ca="1">IF(MIN($AA$4:AA990)=0,0,MAX(0,($AA990+$K991-$O991-$P991)*IF(AND(F991="F",$D$3&lt;&gt;$G$3),((1+$AA$1)^(H991/MIN(G991,365))),((1+$AA$1)^(1/12)))-$U991))</f>
        <v>1920000</v>
      </c>
      <c r="AB991" s="2">
        <f ca="1">IF(MIN($AB$4:AB990)=0,0,MAX(0,($AB990+$K991-$O991-$P991)*IF(AND(F991="F",$D$3&lt;&gt;$G$3),((1+(J991))^(H991/MIN(G991,365))),((1+(J991))^(1/12)))-$U991))</f>
        <v>106631827.43628633</v>
      </c>
      <c r="AC991" s="5"/>
      <c r="AD991" s="5"/>
      <c r="AE991" s="5"/>
      <c r="AF991" s="282">
        <f t="shared" ca="1" si="560"/>
        <v>28133</v>
      </c>
      <c r="AG991" s="282">
        <f t="shared" ca="1" si="561"/>
        <v>1920000</v>
      </c>
      <c r="AH991" s="282">
        <f t="shared" ca="1" si="562"/>
        <v>106631827</v>
      </c>
      <c r="AI991" s="23" t="str">
        <f t="shared" ca="1" si="578"/>
        <v>83-5</v>
      </c>
      <c r="AJ991" s="282">
        <f ca="1">IF(E991&gt;111,,IF(AND(OP!$C$99=1,T991="F"),Z991,IF(AND(OP!$C$99=2,COUNTIF($T$4:T991,"F")=1),OP!$C$97+IF(F991="F",OP!$C$98,0),"")))</f>
        <v>0</v>
      </c>
      <c r="AK991" s="282">
        <f ca="1">IF(E991&gt;111,,IF(AND(OP!$D$99=1,T991="F"),AA991,IF(AND(OP!$D$99=2,COUNTIF($T$4:T991,"F")=1),OP!$D$97+IF(F991="F",OP!$D$98,0),"")))</f>
        <v>0</v>
      </c>
      <c r="AL991" s="282">
        <f ca="1">IF(E991&gt;111,,IF(AND(OP!$E$99=1,T991="F"),AB991,IF(AND(OP!$E$99=2,COUNTIF($T$4:T991,"F")=1),OP!$E$97+IF(F991="F",OP!$E$98,0),"")))</f>
        <v>0</v>
      </c>
      <c r="AM991" s="1">
        <f t="shared" ca="1" si="582"/>
        <v>5</v>
      </c>
      <c r="AN991" s="1" t="e">
        <f ca="1">IF(OR(VLOOKUP($A991,MP,5,0)="季繳",VLOOKUP($A991,MP,5,0)="月繳"),1,"")</f>
        <v>#N/A</v>
      </c>
      <c r="AO991" s="1">
        <f t="shared" ca="1" si="563"/>
        <v>0</v>
      </c>
      <c r="AP991" s="1" t="str">
        <f ca="1">IF(AND(A991&lt;=OP!$C$120,COUNTIF(PAY,C991)=1),1,"")</f>
        <v/>
      </c>
      <c r="AR991" s="301">
        <f ca="1">IF(繳費報酬率資料!$A$1=1,$AY991+$AZ991,$BF991+$BG991)</f>
        <v>0</v>
      </c>
      <c r="AS991" s="1">
        <f ca="1">IF(C991&lt;&gt;IF($C$3=1,12,$C$3-1),0,IF(繳費報酬率資料!$A$1&lt;&gt;1,VLOOKUP($A991,MP,8,0),IF(AND($A991&gt;=OP!$C$79,$A991&lt;=OP!$C$80),OP!$C$78,)))</f>
        <v>0</v>
      </c>
      <c r="AT991" s="298">
        <f t="shared" ca="1" si="564"/>
        <v>0</v>
      </c>
      <c r="AU991" s="298">
        <f ca="1">IF(AND(A991&lt;=OP!$C$120,COUNTIF(PAY,C991)=1),OP!$C$123,0)</f>
        <v>0</v>
      </c>
      <c r="AV991" s="298">
        <f ca="1">IF(AND(A991&gt;=OP!$C$132,A991&lt;=OP!$C$133,$C$3=C991),OP!$C$135,0)</f>
        <v>0</v>
      </c>
      <c r="AW991" s="180">
        <f t="shared" ca="1" si="565"/>
        <v>0.05</v>
      </c>
      <c r="AX991" s="180">
        <f t="shared" ca="1" si="566"/>
        <v>0.05</v>
      </c>
      <c r="AY991" s="286">
        <f t="shared" ca="1" si="567"/>
        <v>0</v>
      </c>
      <c r="AZ991" s="286">
        <f t="shared" ca="1" si="568"/>
        <v>0</v>
      </c>
      <c r="BA991" s="286">
        <f t="shared" ca="1" si="569"/>
        <v>0</v>
      </c>
      <c r="BB991" s="286">
        <f t="shared" ca="1" si="570"/>
        <v>0</v>
      </c>
      <c r="BC991" s="286">
        <f t="shared" ca="1" si="571"/>
        <v>0</v>
      </c>
      <c r="BD991" s="180">
        <f t="shared" ca="1" si="572"/>
        <v>0.05</v>
      </c>
      <c r="BE991" s="180">
        <f t="shared" ca="1" si="573"/>
        <v>0.05</v>
      </c>
      <c r="BF991" s="286">
        <f t="shared" ca="1" si="574"/>
        <v>0</v>
      </c>
      <c r="BG991" s="286">
        <f t="shared" ca="1" si="575"/>
        <v>0</v>
      </c>
    </row>
    <row r="992" spans="1:59">
      <c r="A992" s="1">
        <f t="shared" ca="1" si="554"/>
        <v>83</v>
      </c>
      <c r="B992" s="1">
        <f t="shared" ca="1" si="583"/>
        <v>188</v>
      </c>
      <c r="C992" s="1">
        <f t="shared" ca="1" si="584"/>
        <v>10</v>
      </c>
      <c r="D992" s="1">
        <f ca="1">MIN($D$3,VLOOKUP(C992,OP!$S$30:$T$41,2))</f>
        <v>2</v>
      </c>
      <c r="E992" s="1" t="str">
        <f t="shared" ca="1" si="580"/>
        <v/>
      </c>
      <c r="F992" s="11" t="str">
        <f t="shared" ca="1" si="555"/>
        <v/>
      </c>
      <c r="G992" s="8">
        <f t="shared" ca="1" si="585"/>
        <v>365</v>
      </c>
      <c r="H992" s="8">
        <f t="shared" ca="1" si="557"/>
        <v>31</v>
      </c>
      <c r="I992" s="8" t="str">
        <f t="shared" ca="1" si="553"/>
        <v>8310</v>
      </c>
      <c r="J992" s="13">
        <f>IF(繳費報酬率資料!$A$1=1,VALUE(OP!$C$121),VLOOKUP(A992,MP,2,0))</f>
        <v>0.05</v>
      </c>
      <c r="K992" s="14">
        <f ca="1">IF(SUM($K$4:K991,IF(繳費報酬率資料!$A$1=1,$AU992+$AV992,$BB992+$BC992))&gt;OP!$L$58,0,IF(繳費報酬率資料!$A$1=1,$AU992+$AV992,$BB992+$BC992))</f>
        <v>0</v>
      </c>
      <c r="L992" s="2"/>
      <c r="M992" s="2"/>
      <c r="N992" s="2"/>
      <c r="O992" s="261">
        <f t="shared" ca="1" si="558"/>
        <v>0</v>
      </c>
      <c r="P992" s="261">
        <f t="shared" ca="1" si="576"/>
        <v>0</v>
      </c>
      <c r="Q992" s="3">
        <f ca="1">IF(A992&gt;MAX(OP!$R$17:$R$26),0,VLOOKUP(A992,fees,3,FALSE))</f>
        <v>0</v>
      </c>
      <c r="R992" s="200" t="str">
        <f t="shared" ca="1" si="559"/>
        <v/>
      </c>
      <c r="S992" s="9" t="str">
        <f ca="1">IF(COUNTIF(($T$4:T991),"F")&gt;=1,"",IF(OR(C993&lt;&gt;$C$3,E992=""),"",A992))</f>
        <v/>
      </c>
      <c r="T992" s="20" t="str">
        <f t="shared" ca="1" si="581"/>
        <v/>
      </c>
      <c r="U992" s="2">
        <f ca="1">IF(IF(OP!$C$83=1,$Z991,IF(OP!$C$83=2,$AA991,IF(OP!$C$83=3,$AB991,)))+$K992-$O992-$P992-$AS992&lt;OP!$C$142,0,$AS992)</f>
        <v>0</v>
      </c>
      <c r="V992" s="9"/>
      <c r="W992" s="19">
        <f ca="1">MAX(SUM($K$4:K992),0)</f>
        <v>2000000</v>
      </c>
      <c r="X992" s="19"/>
      <c r="Y992" s="19">
        <f t="shared" ca="1" si="577"/>
        <v>1920000</v>
      </c>
      <c r="Z992" s="2">
        <f ca="1">IF(MIN($Z$4:Z991)=0,0,MAX(0,($Z991+$K992-$O992-$P992)*IF(AND(F992="F",$D$3&lt;&gt;$G$3),((1+(-J992))^(H992/MIN(G992,365))),((1+(-J992))^(1/12)))-$U992))</f>
        <v>28012.703935127662</v>
      </c>
      <c r="AA992" s="2">
        <f ca="1">IF(MIN($AA$4:AA991)=0,0,MAX(0,($AA991+$K992-$O992-$P992)*IF(AND(F992="F",$D$3&lt;&gt;$G$3),((1+$AA$1)^(H992/MIN(G992,365))),((1+$AA$1)^(1/12)))-$U992))</f>
        <v>1920000</v>
      </c>
      <c r="AB992" s="2">
        <f ca="1">IF(MIN($AB$4:AB991)=0,0,MAX(0,($AB991+$K992-$O992-$P992)*IF(AND(F992="F",$D$3&lt;&gt;$G$3),((1+(J992))^(H992/MIN(G992,365))),((1+(J992))^(1/12)))-$U992))</f>
        <v>107066258.7005384</v>
      </c>
      <c r="AC992" s="5"/>
      <c r="AD992" s="5"/>
      <c r="AE992" s="5"/>
      <c r="AF992" s="282">
        <f t="shared" ca="1" si="560"/>
        <v>28013</v>
      </c>
      <c r="AG992" s="282">
        <f t="shared" ca="1" si="561"/>
        <v>1920000</v>
      </c>
      <c r="AH992" s="282">
        <f t="shared" ca="1" si="562"/>
        <v>107066259</v>
      </c>
      <c r="AI992" s="23" t="str">
        <f t="shared" ca="1" si="578"/>
        <v>83-6</v>
      </c>
      <c r="AJ992" s="282">
        <f ca="1">IF(E992&gt;111,,IF(AND(OP!$C$99=1,T992="F"),Z992,IF(AND(OP!$C$99=2,COUNTIF($T$4:T992,"F")=1),OP!$C$97+IF(F992="F",OP!$C$98,0),"")))</f>
        <v>0</v>
      </c>
      <c r="AK992" s="282">
        <f ca="1">IF(E992&gt;111,,IF(AND(OP!$D$99=1,T992="F"),AA992,IF(AND(OP!$D$99=2,COUNTIF($T$4:T992,"F")=1),OP!$D$97+IF(F992="F",OP!$D$98,0),"")))</f>
        <v>0</v>
      </c>
      <c r="AL992" s="282">
        <f ca="1">IF(E992&gt;111,,IF(AND(OP!$E$99=1,T992="F"),AB992,IF(AND(OP!$E$99=2,COUNTIF($T$4:T992,"F")=1),OP!$E$97+IF(F992="F",OP!$E$98,0),"")))</f>
        <v>0</v>
      </c>
      <c r="AM992" s="1">
        <f t="shared" ca="1" si="582"/>
        <v>6</v>
      </c>
      <c r="AN992" s="1" t="e">
        <f ca="1">IF(OR(VLOOKUP($A992,MP,5,0)="月繳"),1,"")</f>
        <v>#N/A</v>
      </c>
      <c r="AO992" s="1">
        <f t="shared" ca="1" si="563"/>
        <v>0</v>
      </c>
      <c r="AP992" s="1" t="str">
        <f ca="1">IF(AND(A992&lt;=OP!$C$120,COUNTIF(PAY,C992)=1),1,"")</f>
        <v/>
      </c>
      <c r="AR992" s="301">
        <f ca="1">IF(繳費報酬率資料!$A$1=1,$AY992+$AZ992,$BF992+$BG992)</f>
        <v>0</v>
      </c>
      <c r="AS992" s="1">
        <f ca="1">IF(C992&lt;&gt;IF($C$3=1,12,$C$3-1),0,IF(繳費報酬率資料!$A$1&lt;&gt;1,VLOOKUP($A992,MP,8,0),IF(AND($A992&gt;=OP!$C$79,$A992&lt;=OP!$C$80),OP!$C$78,)))</f>
        <v>0</v>
      </c>
      <c r="AT992" s="298">
        <f t="shared" ca="1" si="564"/>
        <v>0</v>
      </c>
      <c r="AU992" s="298">
        <f ca="1">IF(AND(A992&lt;=OP!$C$120,COUNTIF(PAY,C992)=1),OP!$C$123,0)</f>
        <v>0</v>
      </c>
      <c r="AV992" s="298">
        <f ca="1">IF(AND(A992&gt;=OP!$C$132,A992&lt;=OP!$C$133,$C$3=C992),OP!$C$135,0)</f>
        <v>0</v>
      </c>
      <c r="AW992" s="180">
        <f t="shared" ca="1" si="565"/>
        <v>0.05</v>
      </c>
      <c r="AX992" s="180">
        <f t="shared" ca="1" si="566"/>
        <v>0.05</v>
      </c>
      <c r="AY992" s="286">
        <f t="shared" ca="1" si="567"/>
        <v>0</v>
      </c>
      <c r="AZ992" s="286">
        <f t="shared" ca="1" si="568"/>
        <v>0</v>
      </c>
      <c r="BA992" s="286">
        <f t="shared" ca="1" si="569"/>
        <v>0</v>
      </c>
      <c r="BB992" s="286">
        <f t="shared" ca="1" si="570"/>
        <v>0</v>
      </c>
      <c r="BC992" s="286">
        <f t="shared" ca="1" si="571"/>
        <v>0</v>
      </c>
      <c r="BD992" s="180">
        <f t="shared" ca="1" si="572"/>
        <v>0.05</v>
      </c>
      <c r="BE992" s="180">
        <f t="shared" ca="1" si="573"/>
        <v>0.05</v>
      </c>
      <c r="BF992" s="286">
        <f t="shared" ca="1" si="574"/>
        <v>0</v>
      </c>
      <c r="BG992" s="286">
        <f t="shared" ca="1" si="575"/>
        <v>0</v>
      </c>
    </row>
    <row r="993" spans="1:59">
      <c r="A993" s="1">
        <f t="shared" ca="1" si="554"/>
        <v>83</v>
      </c>
      <c r="B993" s="1">
        <f t="shared" ca="1" si="583"/>
        <v>188</v>
      </c>
      <c r="C993" s="1">
        <f t="shared" ca="1" si="584"/>
        <v>11</v>
      </c>
      <c r="D993" s="1">
        <f ca="1">MIN($D$3,VLOOKUP(C993,OP!$S$30:$T$41,2))</f>
        <v>2</v>
      </c>
      <c r="E993" s="1" t="str">
        <f t="shared" ca="1" si="580"/>
        <v/>
      </c>
      <c r="F993" s="11" t="str">
        <f t="shared" ca="1" si="555"/>
        <v/>
      </c>
      <c r="G993" s="8">
        <f t="shared" ca="1" si="585"/>
        <v>365</v>
      </c>
      <c r="H993" s="8">
        <f t="shared" ca="1" si="557"/>
        <v>30</v>
      </c>
      <c r="I993" s="8" t="str">
        <f t="shared" ca="1" si="553"/>
        <v>8311</v>
      </c>
      <c r="J993" s="13">
        <f>IF(繳費報酬率資料!$A$1=1,VALUE(OP!$C$121),VLOOKUP(A993,MP,2,0))</f>
        <v>0.05</v>
      </c>
      <c r="K993" s="14">
        <f ca="1">IF(SUM($K$4:K992,IF(繳費報酬率資料!$A$1=1,$AU993+$AV993,$BB993+$BC993))&gt;OP!$L$58,0,IF(繳費報酬率資料!$A$1=1,$AU993+$AV993,$BB993+$BC993))</f>
        <v>0</v>
      </c>
      <c r="L993" s="2"/>
      <c r="M993" s="2"/>
      <c r="N993" s="2"/>
      <c r="O993" s="261">
        <f t="shared" ca="1" si="558"/>
        <v>0</v>
      </c>
      <c r="P993" s="261">
        <f t="shared" ca="1" si="576"/>
        <v>0</v>
      </c>
      <c r="Q993" s="3">
        <f ca="1">IF(A993&gt;MAX(OP!$R$17:$R$26),0,VLOOKUP(A993,fees,3,FALSE))</f>
        <v>0</v>
      </c>
      <c r="R993" s="200" t="str">
        <f t="shared" ca="1" si="559"/>
        <v/>
      </c>
      <c r="S993" s="9" t="str">
        <f ca="1">IF(COUNTIF(($T$4:T992),"F")&gt;=1,"",IF(OR(C994&lt;&gt;$C$3,E993=""),"",A993))</f>
        <v/>
      </c>
      <c r="T993" s="20" t="str">
        <f t="shared" ca="1" si="581"/>
        <v/>
      </c>
      <c r="U993" s="2">
        <f ca="1">IF(IF(OP!$C$83=1,$Z992,IF(OP!$C$83=2,$AA992,IF(OP!$C$83=3,$AB992,)))+$K993-$O993-$P993-$AS993&lt;OP!$C$142,0,$AS993)</f>
        <v>0</v>
      </c>
      <c r="V993" s="9"/>
      <c r="W993" s="19">
        <f ca="1">MAX(SUM($K$4:K993),0)</f>
        <v>2000000</v>
      </c>
      <c r="X993" s="19"/>
      <c r="Y993" s="19">
        <f t="shared" ca="1" si="577"/>
        <v>1920000</v>
      </c>
      <c r="Z993" s="2">
        <f ca="1">IF(MIN($Z$4:Z992)=0,0,MAX(0,($Z992+$K993-$O993-$P993)*IF(AND(F993="F",$D$3&lt;&gt;$G$3),((1+(-J993))^(H993/MIN(G993,365))),((1+(-J993))^(1/12)))-$U993))</f>
        <v>27893.220823022915</v>
      </c>
      <c r="AA993" s="2">
        <f ca="1">IF(MIN($AA$4:AA992)=0,0,MAX(0,($AA992+$K993-$O993-$P993)*IF(AND(F993="F",$D$3&lt;&gt;$G$3),((1+$AA$1)^(H993/MIN(G993,365))),((1+$AA$1)^(1/12)))-$U993))</f>
        <v>1920000</v>
      </c>
      <c r="AB993" s="2">
        <f ca="1">IF(MIN($AB$4:AB992)=0,0,MAX(0,($AB992+$K993-$O993-$P993)*IF(AND(F993="F",$D$3&lt;&gt;$G$3),((1+(J993))^(H993/MIN(G993,365))),((1+(J993))^(1/12)))-$U993))</f>
        <v>107502459.8915365</v>
      </c>
      <c r="AC993" s="5"/>
      <c r="AD993" s="5"/>
      <c r="AE993" s="5"/>
      <c r="AF993" s="282">
        <f t="shared" ca="1" si="560"/>
        <v>27893</v>
      </c>
      <c r="AG993" s="282">
        <f t="shared" ca="1" si="561"/>
        <v>1920000</v>
      </c>
      <c r="AH993" s="282">
        <f t="shared" ca="1" si="562"/>
        <v>107502460</v>
      </c>
      <c r="AI993" s="23" t="str">
        <f t="shared" ca="1" si="578"/>
        <v>83-7</v>
      </c>
      <c r="AJ993" s="282">
        <f ca="1">IF(E993&gt;111,,IF(AND(OP!$C$99=1,T993="F"),Z993,IF(AND(OP!$C$99=2,COUNTIF($T$4:T993,"F")=1),OP!$C$97+IF(F993="F",OP!$C$98,0),"")))</f>
        <v>0</v>
      </c>
      <c r="AK993" s="282">
        <f ca="1">IF(E993&gt;111,,IF(AND(OP!$D$99=1,T993="F"),AA993,IF(AND(OP!$D$99=2,COUNTIF($T$4:T993,"F")=1),OP!$D$97+IF(F993="F",OP!$D$98,0),"")))</f>
        <v>0</v>
      </c>
      <c r="AL993" s="282">
        <f ca="1">IF(E993&gt;111,,IF(AND(OP!$E$99=1,T993="F"),AB993,IF(AND(OP!$E$99=2,COUNTIF($T$4:T993,"F")=1),OP!$E$97+IF(F993="F",OP!$E$98,0),"")))</f>
        <v>0</v>
      </c>
      <c r="AM993" s="1">
        <f t="shared" ca="1" si="582"/>
        <v>7</v>
      </c>
      <c r="AN993" s="1" t="e">
        <f ca="1">IF(OR(VLOOKUP($A993,MP,5,0)="月繳"),1,"")</f>
        <v>#N/A</v>
      </c>
      <c r="AO993" s="1">
        <f t="shared" ca="1" si="563"/>
        <v>0</v>
      </c>
      <c r="AP993" s="1" t="str">
        <f ca="1">IF(AND(A993&lt;=OP!$C$120,COUNTIF(PAY,C993)=1),1,"")</f>
        <v/>
      </c>
      <c r="AR993" s="301">
        <f ca="1">IF(繳費報酬率資料!$A$1=1,$AY993+$AZ993,$BF993+$BG993)</f>
        <v>0</v>
      </c>
      <c r="AS993" s="1">
        <f ca="1">IF(C993&lt;&gt;IF($C$3=1,12,$C$3-1),0,IF(繳費報酬率資料!$A$1&lt;&gt;1,VLOOKUP($A993,MP,8,0),IF(AND($A993&gt;=OP!$C$79,$A993&lt;=OP!$C$80),OP!$C$78,)))</f>
        <v>0</v>
      </c>
      <c r="AT993" s="298">
        <f t="shared" ca="1" si="564"/>
        <v>0</v>
      </c>
      <c r="AU993" s="298">
        <f ca="1">IF(AND(A993&lt;=OP!$C$120,COUNTIF(PAY,C993)=1),OP!$C$123,0)</f>
        <v>0</v>
      </c>
      <c r="AV993" s="298">
        <f ca="1">IF(AND(A993&gt;=OP!$C$132,A993&lt;=OP!$C$133,$C$3=C993),OP!$C$135,0)</f>
        <v>0</v>
      </c>
      <c r="AW993" s="180">
        <f t="shared" ca="1" si="565"/>
        <v>0.05</v>
      </c>
      <c r="AX993" s="180">
        <f t="shared" ca="1" si="566"/>
        <v>0.05</v>
      </c>
      <c r="AY993" s="286">
        <f t="shared" ca="1" si="567"/>
        <v>0</v>
      </c>
      <c r="AZ993" s="286">
        <f t="shared" ca="1" si="568"/>
        <v>0</v>
      </c>
      <c r="BA993" s="286">
        <f t="shared" ca="1" si="569"/>
        <v>0</v>
      </c>
      <c r="BB993" s="286">
        <f t="shared" ca="1" si="570"/>
        <v>0</v>
      </c>
      <c r="BC993" s="286">
        <f t="shared" ca="1" si="571"/>
        <v>0</v>
      </c>
      <c r="BD993" s="180">
        <f t="shared" ca="1" si="572"/>
        <v>0.05</v>
      </c>
      <c r="BE993" s="180">
        <f t="shared" ca="1" si="573"/>
        <v>0.05</v>
      </c>
      <c r="BF993" s="286">
        <f t="shared" ca="1" si="574"/>
        <v>0</v>
      </c>
      <c r="BG993" s="286">
        <f t="shared" ca="1" si="575"/>
        <v>0</v>
      </c>
    </row>
    <row r="994" spans="1:59">
      <c r="A994" s="1">
        <f t="shared" ca="1" si="554"/>
        <v>83</v>
      </c>
      <c r="B994" s="1">
        <f t="shared" ca="1" si="583"/>
        <v>188</v>
      </c>
      <c r="C994" s="1">
        <f t="shared" ca="1" si="584"/>
        <v>12</v>
      </c>
      <c r="D994" s="1">
        <f ca="1">MIN($D$3,VLOOKUP(C994,OP!$S$30:$T$41,2))</f>
        <v>2</v>
      </c>
      <c r="E994" s="1" t="str">
        <f t="shared" ca="1" si="580"/>
        <v/>
      </c>
      <c r="F994" s="11" t="str">
        <f t="shared" ca="1" si="555"/>
        <v/>
      </c>
      <c r="G994" s="8">
        <f t="shared" ca="1" si="585"/>
        <v>365</v>
      </c>
      <c r="H994" s="8">
        <f t="shared" ca="1" si="557"/>
        <v>31</v>
      </c>
      <c r="I994" s="8" t="str">
        <f t="shared" ca="1" si="553"/>
        <v>8312</v>
      </c>
      <c r="J994" s="13">
        <f>IF(繳費報酬率資料!$A$1=1,VALUE(OP!$C$121),VLOOKUP(A994,MP,2,0))</f>
        <v>0.05</v>
      </c>
      <c r="K994" s="14">
        <f ca="1">IF(SUM($K$4:K993,IF(繳費報酬率資料!$A$1=1,$AU994+$AV994,$BB994+$BC994))&gt;OP!$L$58,0,IF(繳費報酬率資料!$A$1=1,$AU994+$AV994,$BB994+$BC994))</f>
        <v>0</v>
      </c>
      <c r="L994" s="2"/>
      <c r="M994" s="2"/>
      <c r="N994" s="2"/>
      <c r="O994" s="261">
        <f t="shared" ca="1" si="558"/>
        <v>0</v>
      </c>
      <c r="P994" s="261">
        <f t="shared" ca="1" si="576"/>
        <v>0</v>
      </c>
      <c r="Q994" s="3">
        <f ca="1">IF(A994&gt;MAX(OP!$R$17:$R$26),0,VLOOKUP(A994,fees,3,FALSE))</f>
        <v>0</v>
      </c>
      <c r="R994" s="200" t="str">
        <f t="shared" ca="1" si="559"/>
        <v/>
      </c>
      <c r="S994" s="9" t="str">
        <f ca="1">IF(COUNTIF(($T$4:T993),"F")&gt;=1,"",IF(OR(C995&lt;&gt;$C$3,E994=""),"",A994))</f>
        <v/>
      </c>
      <c r="T994" s="20" t="str">
        <f t="shared" ca="1" si="581"/>
        <v/>
      </c>
      <c r="U994" s="2">
        <f ca="1">IF(IF(OP!$C$83=1,$Z993,IF(OP!$C$83=2,$AA993,IF(OP!$C$83=3,$AB993,)))+$K994-$O994-$P994-$AS994&lt;OP!$C$142,0,$AS994)</f>
        <v>0</v>
      </c>
      <c r="V994" s="9"/>
      <c r="W994" s="19">
        <f ca="1">MAX(SUM($K$4:K994),0)</f>
        <v>2000000</v>
      </c>
      <c r="X994" s="19"/>
      <c r="Y994" s="19">
        <f t="shared" ca="1" si="577"/>
        <v>1920000</v>
      </c>
      <c r="Z994" s="2">
        <f ca="1">IF(MIN($Z$4:Z993)=0,0,MAX(0,($Z993+$K994-$O994-$P994)*IF(AND(F994="F",$D$3&lt;&gt;$G$3),((1+(-J994))^(H994/MIN(G994,365))),((1+(-J994))^(1/12)))-$U994))</f>
        <v>27774.247344479831</v>
      </c>
      <c r="AA994" s="2">
        <f ca="1">IF(MIN($AA$4:AA993)=0,0,MAX(0,($AA993+$K994-$O994-$P994)*IF(AND(F994="F",$D$3&lt;&gt;$G$3),((1+$AA$1)^(H994/MIN(G994,365))),((1+$AA$1)^(1/12)))-$U994))</f>
        <v>1920000</v>
      </c>
      <c r="AB994" s="2">
        <f ca="1">IF(MIN($AB$4:AB993)=0,0,MAX(0,($AB993+$K994-$O994-$P994)*IF(AND(F994="F",$D$3&lt;&gt;$G$3),((1+(J994))^(H994/MIN(G994,365))),((1+(J994))^(1/12)))-$U994))</f>
        <v>107940438.22018132</v>
      </c>
      <c r="AC994" s="5"/>
      <c r="AD994" s="5"/>
      <c r="AE994" s="5"/>
      <c r="AF994" s="282">
        <f t="shared" ca="1" si="560"/>
        <v>27774</v>
      </c>
      <c r="AG994" s="282">
        <f t="shared" ca="1" si="561"/>
        <v>1920000</v>
      </c>
      <c r="AH994" s="282">
        <f t="shared" ca="1" si="562"/>
        <v>107940438</v>
      </c>
      <c r="AI994" s="23" t="str">
        <f t="shared" ca="1" si="578"/>
        <v>83-8</v>
      </c>
      <c r="AJ994" s="282">
        <f ca="1">IF(E994&gt;111,,IF(AND(OP!$C$99=1,T994="F"),Z994,IF(AND(OP!$C$99=2,COUNTIF($T$4:T994,"F")=1),OP!$C$97+IF(F994="F",OP!$C$98,0),"")))</f>
        <v>0</v>
      </c>
      <c r="AK994" s="282">
        <f ca="1">IF(E994&gt;111,,IF(AND(OP!$D$99=1,T994="F"),AA994,IF(AND(OP!$D$99=2,COUNTIF($T$4:T994,"F")=1),OP!$D$97+IF(F994="F",OP!$D$98,0),"")))</f>
        <v>0</v>
      </c>
      <c r="AL994" s="282">
        <f ca="1">IF(E994&gt;111,,IF(AND(OP!$E$99=1,T994="F"),AB994,IF(AND(OP!$E$99=2,COUNTIF($T$4:T994,"F")=1),OP!$E$97+IF(F994="F",OP!$E$98,0),"")))</f>
        <v>0</v>
      </c>
      <c r="AM994" s="1">
        <f t="shared" ca="1" si="582"/>
        <v>8</v>
      </c>
      <c r="AN994" s="1" t="e">
        <f ca="1">IF(OR(VLOOKUP($A994,MP,5,0)="半年繳",VLOOKUP($A994,MP,5,0)="季繳",VLOOKUP($A994,MP,5,0)="月繳"),1,"")</f>
        <v>#N/A</v>
      </c>
      <c r="AO994" s="1">
        <f t="shared" ca="1" si="563"/>
        <v>0</v>
      </c>
      <c r="AP994" s="1" t="str">
        <f ca="1">IF(AND(A994&lt;=OP!$C$120,COUNTIF(PAY,C994)=1),1,"")</f>
        <v/>
      </c>
      <c r="AR994" s="301">
        <f ca="1">IF(繳費報酬率資料!$A$1=1,$AY994+$AZ994,$BF994+$BG994)</f>
        <v>0</v>
      </c>
      <c r="AS994" s="1">
        <f ca="1">IF(C994&lt;&gt;IF($C$3=1,12,$C$3-1),0,IF(繳費報酬率資料!$A$1&lt;&gt;1,VLOOKUP($A994,MP,8,0),IF(AND($A994&gt;=OP!$C$79,$A994&lt;=OP!$C$80),OP!$C$78,)))</f>
        <v>0</v>
      </c>
      <c r="AT994" s="298">
        <f t="shared" ca="1" si="564"/>
        <v>0</v>
      </c>
      <c r="AU994" s="298">
        <f ca="1">IF(AND(A994&lt;=OP!$C$120,COUNTIF(PAY,C994)=1),OP!$C$123,0)</f>
        <v>0</v>
      </c>
      <c r="AV994" s="298">
        <f ca="1">IF(AND(A994&gt;=OP!$C$132,A994&lt;=OP!$C$133,$C$3=C994),OP!$C$135,0)</f>
        <v>0</v>
      </c>
      <c r="AW994" s="180">
        <f t="shared" ca="1" si="565"/>
        <v>0.05</v>
      </c>
      <c r="AX994" s="180">
        <f t="shared" ca="1" si="566"/>
        <v>0.05</v>
      </c>
      <c r="AY994" s="286">
        <f t="shared" ca="1" si="567"/>
        <v>0</v>
      </c>
      <c r="AZ994" s="286">
        <f t="shared" ca="1" si="568"/>
        <v>0</v>
      </c>
      <c r="BA994" s="286">
        <f t="shared" ca="1" si="569"/>
        <v>0</v>
      </c>
      <c r="BB994" s="286">
        <f t="shared" ca="1" si="570"/>
        <v>0</v>
      </c>
      <c r="BC994" s="286">
        <f t="shared" ca="1" si="571"/>
        <v>0</v>
      </c>
      <c r="BD994" s="180">
        <f t="shared" ca="1" si="572"/>
        <v>0.05</v>
      </c>
      <c r="BE994" s="180">
        <f t="shared" ca="1" si="573"/>
        <v>0.05</v>
      </c>
      <c r="BF994" s="286">
        <f t="shared" ca="1" si="574"/>
        <v>0</v>
      </c>
      <c r="BG994" s="286">
        <f t="shared" ca="1" si="575"/>
        <v>0</v>
      </c>
    </row>
    <row r="995" spans="1:59">
      <c r="A995" s="1">
        <f t="shared" ca="1" si="554"/>
        <v>83</v>
      </c>
      <c r="B995" s="1">
        <f t="shared" ca="1" si="583"/>
        <v>189</v>
      </c>
      <c r="C995" s="1">
        <f t="shared" ca="1" si="584"/>
        <v>1</v>
      </c>
      <c r="D995" s="1">
        <f ca="1">MIN($D$3,VLOOKUP(C995,OP!$S$30:$T$41,2))</f>
        <v>2</v>
      </c>
      <c r="E995" s="1" t="str">
        <f t="shared" ca="1" si="580"/>
        <v/>
      </c>
      <c r="F995" s="11" t="str">
        <f t="shared" ca="1" si="555"/>
        <v/>
      </c>
      <c r="G995" s="8">
        <f t="shared" ca="1" si="585"/>
        <v>365</v>
      </c>
      <c r="H995" s="8">
        <f t="shared" ca="1" si="557"/>
        <v>31</v>
      </c>
      <c r="I995" s="8" t="str">
        <f t="shared" ca="1" si="553"/>
        <v>831</v>
      </c>
      <c r="J995" s="13">
        <f>IF(繳費報酬率資料!$A$1=1,VALUE(OP!$C$121),VLOOKUP(A995,MP,2,0))</f>
        <v>0.05</v>
      </c>
      <c r="K995" s="14">
        <f ca="1">IF(SUM($K$4:K994,IF(繳費報酬率資料!$A$1=1,$AU995+$AV995,$BB995+$BC995))&gt;OP!$L$58,0,IF(繳費報酬率資料!$A$1=1,$AU995+$AV995,$BB995+$BC995))</f>
        <v>0</v>
      </c>
      <c r="L995" s="2"/>
      <c r="M995" s="2"/>
      <c r="N995" s="2"/>
      <c r="O995" s="261">
        <f t="shared" ca="1" si="558"/>
        <v>0</v>
      </c>
      <c r="P995" s="261">
        <f t="shared" ca="1" si="576"/>
        <v>0</v>
      </c>
      <c r="Q995" s="3">
        <f ca="1">IF(A995&gt;MAX(OP!$R$17:$R$26),0,VLOOKUP(A995,fees,3,FALSE))</f>
        <v>0</v>
      </c>
      <c r="R995" s="200" t="str">
        <f t="shared" ca="1" si="559"/>
        <v/>
      </c>
      <c r="S995" s="9" t="str">
        <f ca="1">IF(COUNTIF(($T$4:T994),"F")&gt;=1,"",IF(OR(C996&lt;&gt;$C$3,E995=""),"",A995))</f>
        <v/>
      </c>
      <c r="T995" s="20" t="str">
        <f t="shared" ca="1" si="581"/>
        <v/>
      </c>
      <c r="U995" s="2">
        <f ca="1">IF(IF(OP!$C$83=1,$Z994,IF(OP!$C$83=2,$AA994,IF(OP!$C$83=3,$AB994,)))+$K995-$O995-$P995-$AS995&lt;OP!$C$142,0,$AS995)</f>
        <v>0</v>
      </c>
      <c r="V995" s="9"/>
      <c r="W995" s="19">
        <f ca="1">MAX(SUM($K$4:K995),0)</f>
        <v>2000000</v>
      </c>
      <c r="X995" s="19"/>
      <c r="Y995" s="19">
        <f t="shared" ca="1" si="577"/>
        <v>1920000</v>
      </c>
      <c r="Z995" s="2">
        <f ca="1">IF(MIN($Z$4:Z994)=0,0,MAX(0,($Z994+$K995-$O995-$P995)*IF(AND(F995="F",$D$3&lt;&gt;$G$3),((1+(-J995))^(H995/MIN(G995,365))),((1+(-J995))^(1/12)))-$U995))</f>
        <v>27655.781325748809</v>
      </c>
      <c r="AA995" s="2">
        <f ca="1">IF(MIN($AA$4:AA994)=0,0,MAX(0,($AA994+$K995-$O995-$P995)*IF(AND(F995="F",$D$3&lt;&gt;$G$3),((1+$AA$1)^(H995/MIN(G995,365))),((1+$AA$1)^(1/12)))-$U995))</f>
        <v>1920000</v>
      </c>
      <c r="AB995" s="2">
        <f ca="1">IF(MIN($AB$4:AB994)=0,0,MAX(0,($AB994+$K995-$O995-$P995)*IF(AND(F995="F",$D$3&lt;&gt;$G$3),((1+(J995))^(H995/MIN(G995,365))),((1+(J995))^(1/12)))-$U995))</f>
        <v>108380200.92675158</v>
      </c>
      <c r="AC995" s="5"/>
      <c r="AD995" s="5"/>
      <c r="AE995" s="5"/>
      <c r="AF995" s="282">
        <f t="shared" ca="1" si="560"/>
        <v>27656</v>
      </c>
      <c r="AG995" s="282">
        <f t="shared" ca="1" si="561"/>
        <v>1920000</v>
      </c>
      <c r="AH995" s="282">
        <f t="shared" ca="1" si="562"/>
        <v>108380201</v>
      </c>
      <c r="AI995" s="23" t="str">
        <f t="shared" ca="1" si="578"/>
        <v>83-9</v>
      </c>
      <c r="AJ995" s="282">
        <f ca="1">IF(E995&gt;111,,IF(AND(OP!$C$99=1,T995="F"),Z995,IF(AND(OP!$C$99=2,COUNTIF($T$4:T995,"F")=1),OP!$C$97+IF(F995="F",OP!$C$98,0),"")))</f>
        <v>0</v>
      </c>
      <c r="AK995" s="282">
        <f ca="1">IF(E995&gt;111,,IF(AND(OP!$D$99=1,T995="F"),AA995,IF(AND(OP!$D$99=2,COUNTIF($T$4:T995,"F")=1),OP!$D$97+IF(F995="F",OP!$D$98,0),"")))</f>
        <v>0</v>
      </c>
      <c r="AL995" s="282">
        <f ca="1">IF(E995&gt;111,,IF(AND(OP!$E$99=1,T995="F"),AB995,IF(AND(OP!$E$99=2,COUNTIF($T$4:T995,"F")=1),OP!$E$97+IF(F995="F",OP!$E$98,0),"")))</f>
        <v>0</v>
      </c>
      <c r="AM995" s="1">
        <f t="shared" ca="1" si="582"/>
        <v>9</v>
      </c>
      <c r="AN995" s="1" t="e">
        <f ca="1">IF(OR(VLOOKUP($A995,MP,5,0)="月繳"),1,"")</f>
        <v>#N/A</v>
      </c>
      <c r="AO995" s="1">
        <f t="shared" ca="1" si="563"/>
        <v>0</v>
      </c>
      <c r="AP995" s="1" t="str">
        <f ca="1">IF(AND(A995&lt;=OP!$C$120,COUNTIF(PAY,C995)=1),1,"")</f>
        <v/>
      </c>
      <c r="AR995" s="301">
        <f ca="1">IF(繳費報酬率資料!$A$1=1,$AY995+$AZ995,$BF995+$BG995)</f>
        <v>0</v>
      </c>
      <c r="AS995" s="1">
        <f ca="1">IF(C995&lt;&gt;IF($C$3=1,12,$C$3-1),0,IF(繳費報酬率資料!$A$1&lt;&gt;1,VLOOKUP($A995,MP,8,0),IF(AND($A995&gt;=OP!$C$79,$A995&lt;=OP!$C$80),OP!$C$78,)))</f>
        <v>0</v>
      </c>
      <c r="AT995" s="298">
        <f t="shared" ca="1" si="564"/>
        <v>0</v>
      </c>
      <c r="AU995" s="298">
        <f ca="1">IF(AND(A995&lt;=OP!$C$120,COUNTIF(PAY,C995)=1),OP!$C$123,0)</f>
        <v>0</v>
      </c>
      <c r="AV995" s="298">
        <f ca="1">IF(AND(A995&gt;=OP!$C$132,A995&lt;=OP!$C$133,$C$3=C995),OP!$C$135,0)</f>
        <v>0</v>
      </c>
      <c r="AW995" s="180">
        <f t="shared" ca="1" si="565"/>
        <v>0.05</v>
      </c>
      <c r="AX995" s="180">
        <f t="shared" ca="1" si="566"/>
        <v>0.05</v>
      </c>
      <c r="AY995" s="286">
        <f t="shared" ca="1" si="567"/>
        <v>0</v>
      </c>
      <c r="AZ995" s="286">
        <f t="shared" ca="1" si="568"/>
        <v>0</v>
      </c>
      <c r="BA995" s="286">
        <f t="shared" ca="1" si="569"/>
        <v>0</v>
      </c>
      <c r="BB995" s="286">
        <f t="shared" ca="1" si="570"/>
        <v>0</v>
      </c>
      <c r="BC995" s="286">
        <f t="shared" ca="1" si="571"/>
        <v>0</v>
      </c>
      <c r="BD995" s="180">
        <f t="shared" ca="1" si="572"/>
        <v>0.05</v>
      </c>
      <c r="BE995" s="180">
        <f t="shared" ca="1" si="573"/>
        <v>0.05</v>
      </c>
      <c r="BF995" s="286">
        <f t="shared" ca="1" si="574"/>
        <v>0</v>
      </c>
      <c r="BG995" s="286">
        <f t="shared" ca="1" si="575"/>
        <v>0</v>
      </c>
    </row>
    <row r="996" spans="1:59">
      <c r="A996" s="1">
        <f t="shared" ca="1" si="554"/>
        <v>83</v>
      </c>
      <c r="B996" s="1">
        <f t="shared" ca="1" si="583"/>
        <v>189</v>
      </c>
      <c r="C996" s="1">
        <f t="shared" ca="1" si="584"/>
        <v>2</v>
      </c>
      <c r="D996" s="1">
        <f ca="1">MIN($D$3,VLOOKUP(C996,OP!$S$30:$T$41,2))</f>
        <v>2</v>
      </c>
      <c r="E996" s="1" t="str">
        <f t="shared" ca="1" si="580"/>
        <v/>
      </c>
      <c r="F996" s="11" t="str">
        <f t="shared" ca="1" si="555"/>
        <v/>
      </c>
      <c r="G996" s="8">
        <f t="shared" ca="1" si="585"/>
        <v>365</v>
      </c>
      <c r="H996" s="8">
        <f t="shared" ca="1" si="557"/>
        <v>28</v>
      </c>
      <c r="I996" s="8" t="str">
        <f t="shared" ca="1" si="553"/>
        <v>832</v>
      </c>
      <c r="J996" s="13">
        <f>IF(繳費報酬率資料!$A$1=1,VALUE(OP!$C$121),VLOOKUP(A996,MP,2,0))</f>
        <v>0.05</v>
      </c>
      <c r="K996" s="14">
        <f ca="1">IF(SUM($K$4:K995,IF(繳費報酬率資料!$A$1=1,$AU996+$AV996,$BB996+$BC996))&gt;OP!$L$58,0,IF(繳費報酬率資料!$A$1=1,$AU996+$AV996,$BB996+$BC996))</f>
        <v>0</v>
      </c>
      <c r="L996" s="2"/>
      <c r="M996" s="2"/>
      <c r="N996" s="2"/>
      <c r="O996" s="261">
        <f t="shared" ca="1" si="558"/>
        <v>0</v>
      </c>
      <c r="P996" s="261">
        <f t="shared" ca="1" si="576"/>
        <v>0</v>
      </c>
      <c r="Q996" s="3">
        <f ca="1">IF(A996&gt;MAX(OP!$R$17:$R$26),0,VLOOKUP(A996,fees,3,FALSE))</f>
        <v>0</v>
      </c>
      <c r="R996" s="200" t="str">
        <f t="shared" ca="1" si="559"/>
        <v/>
      </c>
      <c r="S996" s="9" t="str">
        <f ca="1">IF(COUNTIF(($T$4:T995),"F")&gt;=1,"",IF(OR(C997&lt;&gt;$C$3,E996=""),"",A996))</f>
        <v/>
      </c>
      <c r="T996" s="20" t="str">
        <f t="shared" ca="1" si="581"/>
        <v/>
      </c>
      <c r="U996" s="2">
        <f ca="1">IF(IF(OP!$C$83=1,$Z995,IF(OP!$C$83=2,$AA995,IF(OP!$C$83=3,$AB995,)))+$K996-$O996-$P996-$AS996&lt;OP!$C$142,0,$AS996)</f>
        <v>0</v>
      </c>
      <c r="V996" s="9"/>
      <c r="W996" s="19">
        <f ca="1">MAX(SUM($K$4:K996),0)</f>
        <v>2000000</v>
      </c>
      <c r="X996" s="19"/>
      <c r="Y996" s="19">
        <f t="shared" ca="1" si="577"/>
        <v>1920000</v>
      </c>
      <c r="Z996" s="2">
        <f ca="1">IF(MIN($Z$4:Z995)=0,0,MAX(0,($Z995+$K996-$O996-$P996)*IF(AND(F996="F",$D$3&lt;&gt;$G$3),((1+(-J996))^(H996/MIN(G996,365))),((1+(-J996))^(1/12)))-$U996))</f>
        <v>27537.820602351982</v>
      </c>
      <c r="AA996" s="2">
        <f ca="1">IF(MIN($AA$4:AA995)=0,0,MAX(0,($AA995+$K996-$O996-$P996)*IF(AND(F996="F",$D$3&lt;&gt;$G$3),((1+$AA$1)^(H996/MIN(G996,365))),((1+$AA$1)^(1/12)))-$U996))</f>
        <v>1920000</v>
      </c>
      <c r="AB996" s="2">
        <f ca="1">IF(MIN($AB$4:AB995)=0,0,MAX(0,($AB995+$K996-$O996-$P996)*IF(AND(F996="F",$D$3&lt;&gt;$G$3),((1+(J996))^(H996/MIN(G996,365))),((1+(J996))^(1/12)))-$U996))</f>
        <v>108821755.28102385</v>
      </c>
      <c r="AC996" s="5"/>
      <c r="AD996" s="5"/>
      <c r="AE996" s="5"/>
      <c r="AF996" s="282">
        <f t="shared" ca="1" si="560"/>
        <v>27538</v>
      </c>
      <c r="AG996" s="282">
        <f t="shared" ca="1" si="561"/>
        <v>1920000</v>
      </c>
      <c r="AH996" s="282">
        <f t="shared" ca="1" si="562"/>
        <v>108821755</v>
      </c>
      <c r="AI996" s="23" t="str">
        <f t="shared" ca="1" si="578"/>
        <v>83-10</v>
      </c>
      <c r="AJ996" s="282">
        <f ca="1">IF(E996&gt;111,,IF(AND(OP!$C$99=1,T996="F"),Z996,IF(AND(OP!$C$99=2,COUNTIF($T$4:T996,"F")=1),OP!$C$97+IF(F996="F",OP!$C$98,0),"")))</f>
        <v>0</v>
      </c>
      <c r="AK996" s="282">
        <f ca="1">IF(E996&gt;111,,IF(AND(OP!$D$99=1,T996="F"),AA996,IF(AND(OP!$D$99=2,COUNTIF($T$4:T996,"F")=1),OP!$D$97+IF(F996="F",OP!$D$98,0),"")))</f>
        <v>0</v>
      </c>
      <c r="AL996" s="282">
        <f ca="1">IF(E996&gt;111,,IF(AND(OP!$E$99=1,T996="F"),AB996,IF(AND(OP!$E$99=2,COUNTIF($T$4:T996,"F")=1),OP!$E$97+IF(F996="F",OP!$E$98,0),"")))</f>
        <v>0</v>
      </c>
      <c r="AM996" s="1">
        <f t="shared" ca="1" si="582"/>
        <v>10</v>
      </c>
      <c r="AN996" s="1" t="e">
        <f ca="1">IF(OR(VLOOKUP($A996,MP,5,0)="月繳"),1,"")</f>
        <v>#N/A</v>
      </c>
      <c r="AO996" s="1">
        <f t="shared" ca="1" si="563"/>
        <v>0</v>
      </c>
      <c r="AP996" s="1" t="str">
        <f ca="1">IF(AND(A996&lt;=OP!$C$120,COUNTIF(PAY,C996)=1),1,"")</f>
        <v/>
      </c>
      <c r="AR996" s="301">
        <f ca="1">IF(繳費報酬率資料!$A$1=1,$AY996+$AZ996,$BF996+$BG996)</f>
        <v>0</v>
      </c>
      <c r="AS996" s="1">
        <f ca="1">IF(C996&lt;&gt;IF($C$3=1,12,$C$3-1),0,IF(繳費報酬率資料!$A$1&lt;&gt;1,VLOOKUP($A996,MP,8,0),IF(AND($A996&gt;=OP!$C$79,$A996&lt;=OP!$C$80),OP!$C$78,)))</f>
        <v>0</v>
      </c>
      <c r="AT996" s="298">
        <f t="shared" ca="1" si="564"/>
        <v>0</v>
      </c>
      <c r="AU996" s="298">
        <f ca="1">IF(AND(A996&lt;=OP!$C$120,COUNTIF(PAY,C996)=1),OP!$C$123,0)</f>
        <v>0</v>
      </c>
      <c r="AV996" s="298">
        <f ca="1">IF(AND(A996&gt;=OP!$C$132,A996&lt;=OP!$C$133,$C$3=C996),OP!$C$135,0)</f>
        <v>0</v>
      </c>
      <c r="AW996" s="180">
        <f t="shared" ca="1" si="565"/>
        <v>0.05</v>
      </c>
      <c r="AX996" s="180">
        <f t="shared" ca="1" si="566"/>
        <v>0.05</v>
      </c>
      <c r="AY996" s="286">
        <f t="shared" ca="1" si="567"/>
        <v>0</v>
      </c>
      <c r="AZ996" s="286">
        <f t="shared" ca="1" si="568"/>
        <v>0</v>
      </c>
      <c r="BA996" s="286">
        <f t="shared" ca="1" si="569"/>
        <v>0</v>
      </c>
      <c r="BB996" s="286">
        <f t="shared" ca="1" si="570"/>
        <v>0</v>
      </c>
      <c r="BC996" s="286">
        <f t="shared" ca="1" si="571"/>
        <v>0</v>
      </c>
      <c r="BD996" s="180">
        <f t="shared" ca="1" si="572"/>
        <v>0.05</v>
      </c>
      <c r="BE996" s="180">
        <f t="shared" ca="1" si="573"/>
        <v>0.05</v>
      </c>
      <c r="BF996" s="286">
        <f t="shared" ca="1" si="574"/>
        <v>0</v>
      </c>
      <c r="BG996" s="286">
        <f t="shared" ca="1" si="575"/>
        <v>0</v>
      </c>
    </row>
    <row r="997" spans="1:59">
      <c r="A997" s="1">
        <f t="shared" ca="1" si="554"/>
        <v>83</v>
      </c>
      <c r="B997" s="1">
        <f t="shared" ca="1" si="583"/>
        <v>189</v>
      </c>
      <c r="C997" s="1">
        <f t="shared" ca="1" si="584"/>
        <v>3</v>
      </c>
      <c r="D997" s="1">
        <f ca="1">MIN($D$3,VLOOKUP(C997,OP!$S$30:$T$41,2))</f>
        <v>2</v>
      </c>
      <c r="E997" s="1" t="str">
        <f t="shared" ca="1" si="580"/>
        <v/>
      </c>
      <c r="F997" s="11" t="str">
        <f t="shared" ca="1" si="555"/>
        <v/>
      </c>
      <c r="G997" s="8">
        <f t="shared" ca="1" si="585"/>
        <v>365</v>
      </c>
      <c r="H997" s="8">
        <f t="shared" ca="1" si="557"/>
        <v>31</v>
      </c>
      <c r="I997" s="8" t="str">
        <f t="shared" ca="1" si="553"/>
        <v>833</v>
      </c>
      <c r="J997" s="13">
        <f>IF(繳費報酬率資料!$A$1=1,VALUE(OP!$C$121),VLOOKUP(A997,MP,2,0))</f>
        <v>0.05</v>
      </c>
      <c r="K997" s="14">
        <f ca="1">IF(SUM($K$4:K996,IF(繳費報酬率資料!$A$1=1,$AU997+$AV997,$BB997+$BC997))&gt;OP!$L$58,0,IF(繳費報酬率資料!$A$1=1,$AU997+$AV997,$BB997+$BC997))</f>
        <v>0</v>
      </c>
      <c r="L997" s="2"/>
      <c r="M997" s="2"/>
      <c r="N997" s="2"/>
      <c r="O997" s="261">
        <f t="shared" ca="1" si="558"/>
        <v>0</v>
      </c>
      <c r="P997" s="261">
        <f t="shared" ca="1" si="576"/>
        <v>0</v>
      </c>
      <c r="Q997" s="3">
        <f ca="1">IF(A997&gt;MAX(OP!$R$17:$R$26),0,VLOOKUP(A997,fees,3,FALSE))</f>
        <v>0</v>
      </c>
      <c r="R997" s="200" t="str">
        <f t="shared" ca="1" si="559"/>
        <v/>
      </c>
      <c r="S997" s="9" t="str">
        <f ca="1">IF(COUNTIF(($T$4:T996),"F")&gt;=1,"",IF(OR(C998&lt;&gt;$C$3,E997=""),"",A997))</f>
        <v/>
      </c>
      <c r="T997" s="20" t="str">
        <f t="shared" ca="1" si="581"/>
        <v/>
      </c>
      <c r="U997" s="2">
        <f ca="1">IF(IF(OP!$C$83=1,$Z996,IF(OP!$C$83=2,$AA996,IF(OP!$C$83=3,$AB996,)))+$K997-$O997-$P997-$AS997&lt;OP!$C$142,0,$AS997)</f>
        <v>0</v>
      </c>
      <c r="V997" s="9"/>
      <c r="W997" s="19">
        <f ca="1">MAX(SUM($K$4:K997),0)</f>
        <v>2000000</v>
      </c>
      <c r="X997" s="19"/>
      <c r="Y997" s="19">
        <f t="shared" ca="1" si="577"/>
        <v>1920000</v>
      </c>
      <c r="Z997" s="2">
        <f ca="1">IF(MIN($Z$4:Z996)=0,0,MAX(0,($Z996+$K997-$O997-$P997)*IF(AND(F997="F",$D$3&lt;&gt;$G$3),((1+(-J997))^(H997/MIN(G997,365))),((1+(-J997))^(1/12)))-$U997))</f>
        <v>27420.363019043674</v>
      </c>
      <c r="AA997" s="2">
        <f ca="1">IF(MIN($AA$4:AA996)=0,0,MAX(0,($AA996+$K997-$O997-$P997)*IF(AND(F997="F",$D$3&lt;&gt;$G$3),((1+$AA$1)^(H997/MIN(G997,365))),((1+$AA$1)^(1/12)))-$U997))</f>
        <v>1920000</v>
      </c>
      <c r="AB997" s="2">
        <f ca="1">IF(MIN($AB$4:AB996)=0,0,MAX(0,($AB996+$K997-$O997-$P997)*IF(AND(F997="F",$D$3&lt;&gt;$G$3),((1+(J997))^(H997/MIN(G997,365))),((1+(J997))^(1/12)))-$U997))</f>
        <v>109265108.58239262</v>
      </c>
      <c r="AC997" s="5"/>
      <c r="AD997" s="5"/>
      <c r="AE997" s="5"/>
      <c r="AF997" s="282">
        <f t="shared" ca="1" si="560"/>
        <v>27420</v>
      </c>
      <c r="AG997" s="282">
        <f t="shared" ca="1" si="561"/>
        <v>1920000</v>
      </c>
      <c r="AH997" s="282">
        <f t="shared" ca="1" si="562"/>
        <v>109265109</v>
      </c>
      <c r="AI997" s="23" t="str">
        <f t="shared" ca="1" si="578"/>
        <v>83-11</v>
      </c>
      <c r="AJ997" s="282">
        <f ca="1">IF(E997&gt;111,,IF(AND(OP!$C$99=1,T997="F"),Z997,IF(AND(OP!$C$99=2,COUNTIF($T$4:T997,"F")=1),OP!$C$97+IF(F997="F",OP!$C$98,0),"")))</f>
        <v>0</v>
      </c>
      <c r="AK997" s="282">
        <f ca="1">IF(E997&gt;111,,IF(AND(OP!$D$99=1,T997="F"),AA997,IF(AND(OP!$D$99=2,COUNTIF($T$4:T997,"F")=1),OP!$D$97+IF(F997="F",OP!$D$98,0),"")))</f>
        <v>0</v>
      </c>
      <c r="AL997" s="282">
        <f ca="1">IF(E997&gt;111,,IF(AND(OP!$E$99=1,T997="F"),AB997,IF(AND(OP!$E$99=2,COUNTIF($T$4:T997,"F")=1),OP!$E$97+IF(F997="F",OP!$E$98,0),"")))</f>
        <v>0</v>
      </c>
      <c r="AM997" s="1">
        <f t="shared" ca="1" si="582"/>
        <v>11</v>
      </c>
      <c r="AN997" s="1" t="e">
        <f ca="1">IF(OR(VLOOKUP($A997,MP,5,0)="季繳",VLOOKUP($A997,MP,5,0)="月繳"),1,"")</f>
        <v>#N/A</v>
      </c>
      <c r="AO997" s="1">
        <f t="shared" ca="1" si="563"/>
        <v>0</v>
      </c>
      <c r="AP997" s="1" t="str">
        <f ca="1">IF(AND(A997&lt;=OP!$C$120,COUNTIF(PAY,C997)=1),1,"")</f>
        <v/>
      </c>
      <c r="AR997" s="301">
        <f ca="1">IF(繳費報酬率資料!$A$1=1,$AY997+$AZ997,$BF997+$BG997)</f>
        <v>0</v>
      </c>
      <c r="AS997" s="1">
        <f ca="1">IF(C997&lt;&gt;IF($C$3=1,12,$C$3-1),0,IF(繳費報酬率資料!$A$1&lt;&gt;1,VLOOKUP($A997,MP,8,0),IF(AND($A997&gt;=OP!$C$79,$A997&lt;=OP!$C$80),OP!$C$78,)))</f>
        <v>0</v>
      </c>
      <c r="AT997" s="298">
        <f t="shared" ca="1" si="564"/>
        <v>0</v>
      </c>
      <c r="AU997" s="298">
        <f ca="1">IF(AND(A997&lt;=OP!$C$120,COUNTIF(PAY,C997)=1),OP!$C$123,0)</f>
        <v>0</v>
      </c>
      <c r="AV997" s="298">
        <f ca="1">IF(AND(A997&gt;=OP!$C$132,A997&lt;=OP!$C$133,$C$3=C997),OP!$C$135,0)</f>
        <v>0</v>
      </c>
      <c r="AW997" s="180">
        <f t="shared" ca="1" si="565"/>
        <v>0.05</v>
      </c>
      <c r="AX997" s="180">
        <f t="shared" ca="1" si="566"/>
        <v>0.05</v>
      </c>
      <c r="AY997" s="286">
        <f t="shared" ca="1" si="567"/>
        <v>0</v>
      </c>
      <c r="AZ997" s="286">
        <f t="shared" ca="1" si="568"/>
        <v>0</v>
      </c>
      <c r="BA997" s="286">
        <f t="shared" ca="1" si="569"/>
        <v>0</v>
      </c>
      <c r="BB997" s="286">
        <f t="shared" ca="1" si="570"/>
        <v>0</v>
      </c>
      <c r="BC997" s="286">
        <f t="shared" ca="1" si="571"/>
        <v>0</v>
      </c>
      <c r="BD997" s="180">
        <f t="shared" ca="1" si="572"/>
        <v>0.05</v>
      </c>
      <c r="BE997" s="180">
        <f t="shared" ca="1" si="573"/>
        <v>0.05</v>
      </c>
      <c r="BF997" s="286">
        <f t="shared" ca="1" si="574"/>
        <v>0</v>
      </c>
      <c r="BG997" s="286">
        <f t="shared" ca="1" si="575"/>
        <v>0</v>
      </c>
    </row>
    <row r="998" spans="1:59">
      <c r="A998" s="1">
        <f t="shared" ca="1" si="554"/>
        <v>83</v>
      </c>
      <c r="B998" s="1">
        <f t="shared" ca="1" si="583"/>
        <v>189</v>
      </c>
      <c r="C998" s="1">
        <f t="shared" ca="1" si="584"/>
        <v>4</v>
      </c>
      <c r="D998" s="1">
        <f ca="1">MIN($D$3,VLOOKUP(C998,OP!$S$30:$T$41,2))</f>
        <v>2</v>
      </c>
      <c r="E998" s="1" t="str">
        <f t="shared" ca="1" si="580"/>
        <v/>
      </c>
      <c r="F998" s="11" t="str">
        <f t="shared" ca="1" si="555"/>
        <v/>
      </c>
      <c r="G998" s="8">
        <f t="shared" ca="1" si="585"/>
        <v>365</v>
      </c>
      <c r="H998" s="8">
        <f t="shared" ca="1" si="557"/>
        <v>30</v>
      </c>
      <c r="I998" s="8" t="str">
        <f t="shared" ca="1" si="553"/>
        <v>834</v>
      </c>
      <c r="J998" s="13">
        <f>IF(繳費報酬率資料!$A$1=1,VALUE(OP!$C$121),VLOOKUP(A998,MP,2,0))</f>
        <v>0.05</v>
      </c>
      <c r="K998" s="14">
        <f ca="1">IF(SUM($K$4:K997,IF(繳費報酬率資料!$A$1=1,$AU998+$AV998,$BB998+$BC998))&gt;OP!$L$58,0,IF(繳費報酬率資料!$A$1=1,$AU998+$AV998,$BB998+$BC998))</f>
        <v>0</v>
      </c>
      <c r="L998" s="2"/>
      <c r="M998" s="2"/>
      <c r="N998" s="2"/>
      <c r="O998" s="261">
        <f t="shared" ca="1" si="558"/>
        <v>0</v>
      </c>
      <c r="P998" s="261">
        <f t="shared" ca="1" si="576"/>
        <v>0</v>
      </c>
      <c r="Q998" s="3">
        <f ca="1">IF(A998&gt;MAX(OP!$R$17:$R$26),0,VLOOKUP(A998,fees,3,FALSE))</f>
        <v>0</v>
      </c>
      <c r="R998" s="200" t="str">
        <f t="shared" ca="1" si="559"/>
        <v/>
      </c>
      <c r="S998" s="9" t="str">
        <f ca="1">IF(COUNTIF(($T$4:T997),"F")&gt;=1,"",IF(OR(C999&lt;&gt;$C$3,E998=""),"",A998))</f>
        <v/>
      </c>
      <c r="T998" s="20" t="str">
        <f t="shared" ca="1" si="581"/>
        <v/>
      </c>
      <c r="U998" s="2">
        <f ca="1">IF(IF(OP!$C$83=1,$Z997,IF(OP!$C$83=2,$AA997,IF(OP!$C$83=3,$AB997,)))+$K998-$O998-$P998-$AS998&lt;OP!$C$142,0,$AS998)</f>
        <v>0</v>
      </c>
      <c r="V998" s="9"/>
      <c r="W998" s="19">
        <f ca="1">MAX(SUM($K$4:K998),0)</f>
        <v>2000000</v>
      </c>
      <c r="X998" s="19"/>
      <c r="Y998" s="19">
        <f t="shared" ca="1" si="577"/>
        <v>1920000</v>
      </c>
      <c r="Z998" s="2">
        <f ca="1">IF(MIN($Z$4:Z997)=0,0,MAX(0,($Z997+$K998-$O998-$P998)*IF(AND(F998="F",$D$3&lt;&gt;$G$3),((1+(-J998))^(H998/MIN(G998,365))),((1+(-J998))^(1/12)))-$U998))</f>
        <v>27303.406429771017</v>
      </c>
      <c r="AA998" s="2">
        <f ca="1">IF(MIN($AA$4:AA997)=0,0,MAX(0,($AA997+$K998-$O998-$P998)*IF(AND(F998="F",$D$3&lt;&gt;$G$3),((1+$AA$1)^(H998/MIN(G998,365))),((1+$AA$1)^(1/12)))-$U998))</f>
        <v>1920000</v>
      </c>
      <c r="AB998" s="2">
        <f ca="1">IF(MIN($AB$4:AB997)=0,0,MAX(0,($AB997+$K998-$O998-$P998)*IF(AND(F998="F",$D$3&lt;&gt;$G$3),((1+(J998))^(H998/MIN(G998,365))),((1+(J998))^(1/12)))-$U998))</f>
        <v>109710268.15999107</v>
      </c>
      <c r="AC998" s="5"/>
      <c r="AD998" s="5"/>
      <c r="AE998" s="5"/>
      <c r="AF998" s="282">
        <f t="shared" ca="1" si="560"/>
        <v>27303</v>
      </c>
      <c r="AG998" s="282">
        <f t="shared" ca="1" si="561"/>
        <v>1920000</v>
      </c>
      <c r="AH998" s="282">
        <f t="shared" ca="1" si="562"/>
        <v>109710268</v>
      </c>
      <c r="AI998" s="23" t="str">
        <f t="shared" ca="1" si="578"/>
        <v>83-12</v>
      </c>
      <c r="AJ998" s="282">
        <f ca="1">IF(E998&gt;111,,IF(AND(OP!$C$99=1,T998="F"),Z998,IF(AND(OP!$C$99=2,COUNTIF($T$4:T998,"F")=1),OP!$C$97+IF(F998="F",OP!$C$98,0),"")))</f>
        <v>0</v>
      </c>
      <c r="AK998" s="282">
        <f ca="1">IF(E998&gt;111,,IF(AND(OP!$D$99=1,T998="F"),AA998,IF(AND(OP!$D$99=2,COUNTIF($T$4:T998,"F")=1),OP!$D$97+IF(F998="F",OP!$D$98,0),"")))</f>
        <v>0</v>
      </c>
      <c r="AL998" s="282">
        <f ca="1">IF(E998&gt;111,,IF(AND(OP!$E$99=1,T998="F"),AB998,IF(AND(OP!$E$99=2,COUNTIF($T$4:T998,"F")=1),OP!$E$97+IF(F998="F",OP!$E$98,0),"")))</f>
        <v>0</v>
      </c>
      <c r="AM998" s="1">
        <f t="shared" ca="1" si="582"/>
        <v>12</v>
      </c>
      <c r="AN998" s="1" t="e">
        <f ca="1">IF(OR(VLOOKUP($A998,MP,5,0)="月繳"),1,"")</f>
        <v>#N/A</v>
      </c>
      <c r="AO998" s="1">
        <f t="shared" ca="1" si="563"/>
        <v>0</v>
      </c>
      <c r="AP998" s="1" t="str">
        <f ca="1">IF(AND(A998&lt;=OP!$C$120,COUNTIF(PAY,C998)=1),1,"")</f>
        <v/>
      </c>
      <c r="AR998" s="301">
        <f ca="1">IF(繳費報酬率資料!$A$1=1,$AY998+$AZ998,$BF998+$BG998)</f>
        <v>0</v>
      </c>
      <c r="AS998" s="1">
        <f ca="1">IF(C998&lt;&gt;IF($C$3=1,12,$C$3-1),0,IF(繳費報酬率資料!$A$1&lt;&gt;1,VLOOKUP($A998,MP,8,0),IF(AND($A998&gt;=OP!$C$79,$A998&lt;=OP!$C$80),OP!$C$78,)))</f>
        <v>0</v>
      </c>
      <c r="AT998" s="298">
        <f t="shared" ca="1" si="564"/>
        <v>0</v>
      </c>
      <c r="AU998" s="298">
        <f ca="1">IF(AND(A998&lt;=OP!$C$120,COUNTIF(PAY,C998)=1),OP!$C$123,0)</f>
        <v>0</v>
      </c>
      <c r="AV998" s="298">
        <f ca="1">IF(AND(A998&gt;=OP!$C$132,A998&lt;=OP!$C$133,$C$3=C998),OP!$C$135,0)</f>
        <v>0</v>
      </c>
      <c r="AW998" s="180">
        <f t="shared" ca="1" si="565"/>
        <v>0.05</v>
      </c>
      <c r="AX998" s="180">
        <f t="shared" ca="1" si="566"/>
        <v>0.05</v>
      </c>
      <c r="AY998" s="286">
        <f t="shared" ca="1" si="567"/>
        <v>0</v>
      </c>
      <c r="AZ998" s="286">
        <f t="shared" ca="1" si="568"/>
        <v>0</v>
      </c>
      <c r="BA998" s="286">
        <f t="shared" ca="1" si="569"/>
        <v>0</v>
      </c>
      <c r="BB998" s="286">
        <f t="shared" ca="1" si="570"/>
        <v>0</v>
      </c>
      <c r="BC998" s="286">
        <f t="shared" ca="1" si="571"/>
        <v>0</v>
      </c>
      <c r="BD998" s="180">
        <f t="shared" ca="1" si="572"/>
        <v>0.05</v>
      </c>
      <c r="BE998" s="180">
        <f t="shared" ca="1" si="573"/>
        <v>0.05</v>
      </c>
      <c r="BF998" s="286">
        <f t="shared" ca="1" si="574"/>
        <v>0</v>
      </c>
      <c r="BG998" s="286">
        <f t="shared" ca="1" si="575"/>
        <v>0</v>
      </c>
    </row>
    <row r="999" spans="1:59">
      <c r="A999" s="1">
        <f t="shared" ca="1" si="554"/>
        <v>83</v>
      </c>
      <c r="B999" s="1">
        <f t="shared" ca="1" si="583"/>
        <v>189</v>
      </c>
      <c r="C999" s="1">
        <f t="shared" ca="1" si="584"/>
        <v>5</v>
      </c>
      <c r="D999" s="1">
        <f ca="1">MIN($D$3,VLOOKUP(C999,OP!$S$30:$T$41,2))</f>
        <v>2</v>
      </c>
      <c r="E999" s="1" t="str">
        <f t="shared" ca="1" si="580"/>
        <v/>
      </c>
      <c r="F999" s="11" t="str">
        <f t="shared" ca="1" si="555"/>
        <v/>
      </c>
      <c r="G999" s="8">
        <f t="shared" ca="1" si="585"/>
        <v>365</v>
      </c>
      <c r="H999" s="8">
        <f t="shared" ca="1" si="557"/>
        <v>31</v>
      </c>
      <c r="I999" s="8" t="str">
        <f t="shared" ca="1" si="553"/>
        <v>835</v>
      </c>
      <c r="J999" s="13">
        <f>IF(繳費報酬率資料!$A$1=1,VALUE(OP!$C$121),VLOOKUP(A999,MP,2,0))</f>
        <v>0.05</v>
      </c>
      <c r="K999" s="14">
        <f ca="1">IF(SUM($K$4:K998,IF(繳費報酬率資料!$A$1=1,$AU999+$AV999,$BB999+$BC999))&gt;OP!$L$58,0,IF(繳費報酬率資料!$A$1=1,$AU999+$AV999,$BB999+$BC999))</f>
        <v>0</v>
      </c>
      <c r="L999" s="2">
        <f ca="1">ROUND(IF(OP!$C$78&lt;(IF(OR($T999="F",$E999&gt;=111),0,Z998+$K999-$O999+IF($C$1=1,OP!$C$78,IF($C1000=$C$3,SUM(AC988:AC999,0)))))*5%,0,(OP!$C$78-((IF(OR($T999="F",$E999&gt;=111),0,Z998+$K999-$O999+IF($C$1=1,AC999,IF($C1000=$C$3,SUM(AC988:AC999,0)))))*5%))*$Q999),0)</f>
        <v>0</v>
      </c>
      <c r="M999" s="2">
        <f ca="1">ROUND(IF(OP!$C$78&lt;(IF(OR($T999="F",$E999&gt;=111),0,AA998+$K999-$O999+IF($C$1=1,AD999,IF($C1000=$C$3,SUM(AD988:AD999,0)))))*5%,0,(OP!$C$78-((IF(OR($T999="F",$E999&gt;=111),0,AA998+$K999-$O999+IF($C$1=1,AD999,IF($C1000=$C$3,SUM(AD988:AD999,0)))))*5%))*$Q999),0)</f>
        <v>0</v>
      </c>
      <c r="N999" s="2">
        <f ca="1">ROUND(IF(OP!$C$78&lt;(IF(OR($T999="F",$E999&gt;=111),0,AB998+$K999-$O999+IF($C$1=1,AE999,IF($C1000=$C$3,SUM(AE988:AE999,0)))))*5%,0,(OP!$C$78-((IF(OR($T999="F",$E999&gt;=111),0,AB998+$K999-$O999+IF($C$1=1,AE999,IF($C1000=$C$3,SUM(AE988:AE999,0)))))*5%))*$Q999),0)</f>
        <v>0</v>
      </c>
      <c r="O999" s="261">
        <f t="shared" ca="1" si="558"/>
        <v>0</v>
      </c>
      <c r="P999" s="261">
        <f t="shared" ca="1" si="576"/>
        <v>0</v>
      </c>
      <c r="Q999" s="3">
        <f ca="1">IF(A999&gt;MAX(OP!$R$17:$R$26),0,VLOOKUP(A999,fees,3,FALSE))</f>
        <v>0</v>
      </c>
      <c r="R999" s="200" t="str">
        <f t="shared" ca="1" si="559"/>
        <v/>
      </c>
      <c r="S999" s="9" t="str">
        <f ca="1">IF(COUNTIF(($T$4:T998),"F")&gt;=1,"",IF(OR(C1000&lt;&gt;$C$3,E999=""),"",A999))</f>
        <v/>
      </c>
      <c r="T999" s="20" t="str">
        <f t="shared" ca="1" si="581"/>
        <v/>
      </c>
      <c r="U999" s="2">
        <f ca="1">IF(IF(OP!$C$83=1,$Z998,IF(OP!$C$83=2,$AA998,IF(OP!$C$83=3,$AB998,)))+$K999-$O999-$P999-$AS999&lt;OP!$C$142,0,$AS999)</f>
        <v>0</v>
      </c>
      <c r="V999" s="19">
        <f ca="1">SUM(K988:K999)</f>
        <v>0</v>
      </c>
      <c r="W999" s="19">
        <f ca="1">MAX(SUM($K$4:K999),0)</f>
        <v>2000000</v>
      </c>
      <c r="X999" s="19">
        <f ca="1">SUM(O988:P999)</f>
        <v>0</v>
      </c>
      <c r="Y999" s="19">
        <f t="shared" ca="1" si="577"/>
        <v>1920000</v>
      </c>
      <c r="Z999" s="2">
        <f ca="1">IF(MIN($Z$4:Z998)=0,0,MAX(0,($Z998+$K999-$O999-$P999)*IF(AND(F999="F",$D$3&lt;&gt;$G$3),((1+(-J999))^(H999/MIN(G999,365))),((1+(-J999))^(1/12)))-$U999))</f>
        <v>27186.948697634743</v>
      </c>
      <c r="AA999" s="2">
        <f ca="1">IF(MIN($AA$4:AA998)=0,0,MAX(0,($AA998+$K999-$O999-$P999)*IF(AND(F999="F",$D$3&lt;&gt;$G$3),((1+$AA$1)^(H999/MIN(G999,365))),((1+$AA$1)^(1/12)))-$U999))</f>
        <v>1920000</v>
      </c>
      <c r="AB999" s="2">
        <f ca="1">IF(MIN($AB$4:AB998)=0,0,MAX(0,($AB998+$K999-$O999-$P999)*IF(AND(F999="F",$D$3&lt;&gt;$G$3),((1+(J999))^(H999/MIN(G999,365))),((1+(J999))^(1/12)))-$U999))</f>
        <v>110157241.37281212</v>
      </c>
      <c r="AC999" s="5"/>
      <c r="AD999" s="5"/>
      <c r="AE999" s="5"/>
      <c r="AF999" s="282">
        <f t="shared" ca="1" si="560"/>
        <v>27187</v>
      </c>
      <c r="AG999" s="282">
        <f t="shared" ca="1" si="561"/>
        <v>1920000</v>
      </c>
      <c r="AH999" s="282">
        <f t="shared" ca="1" si="562"/>
        <v>110157241</v>
      </c>
      <c r="AI999" s="23" t="str">
        <f t="shared" ca="1" si="578"/>
        <v>84-1</v>
      </c>
      <c r="AJ999" s="282">
        <f ca="1">IF(E999&gt;111,,IF(AND(OP!$C$99=1,T999="F"),Z999,IF(AND(OP!$C$99=2,COUNTIF($T$4:T999,"F")=1),OP!$C$97+IF(F999="F",OP!$C$98,0),"")))</f>
        <v>0</v>
      </c>
      <c r="AK999" s="282">
        <f ca="1">IF(E999&gt;111,,IF(AND(OP!$D$99=1,T999="F"),AA999,IF(AND(OP!$D$99=2,COUNTIF($T$4:T999,"F")=1),OP!$D$97+IF(F999="F",OP!$D$98,0),"")))</f>
        <v>0</v>
      </c>
      <c r="AL999" s="282">
        <f ca="1">IF(E999&gt;111,,IF(AND(OP!$E$99=1,T999="F"),AB999,IF(AND(OP!$E$99=2,COUNTIF($T$4:T999,"F")=1),OP!$E$97+IF(F999="F",OP!$E$98,0),"")))</f>
        <v>0</v>
      </c>
      <c r="AM999" s="1">
        <f t="shared" ca="1" si="582"/>
        <v>1</v>
      </c>
      <c r="AN999" s="1" t="e">
        <f ca="1">IF(OR(VLOOKUP($A999,MP,5,0)="月繳"),1,"")</f>
        <v>#N/A</v>
      </c>
      <c r="AO999" s="1">
        <f t="shared" ca="1" si="563"/>
        <v>0</v>
      </c>
      <c r="AP999" s="1" t="str">
        <f ca="1">IF(AND(A999&lt;=OP!$C$120,COUNTIF(PAY,C999)=1),1,"")</f>
        <v/>
      </c>
      <c r="AR999" s="301">
        <f ca="1">IF(繳費報酬率資料!$A$1=1,$AY999+$AZ999,$BF999+$BG999)</f>
        <v>0</v>
      </c>
      <c r="AS999" s="1">
        <f ca="1">IF(C999&lt;&gt;IF($C$3=1,12,$C$3-1),0,IF(繳費報酬率資料!$A$1&lt;&gt;1,VLOOKUP($A999,MP,8,0),IF(AND($A999&gt;=OP!$C$79,$A999&lt;=OP!$C$80),OP!$C$78,)))</f>
        <v>0</v>
      </c>
      <c r="AT999" s="298">
        <f t="shared" ca="1" si="564"/>
        <v>0</v>
      </c>
      <c r="AU999" s="298">
        <f ca="1">IF(AND(A999&lt;=OP!$C$120,COUNTIF(PAY,C999)=1),OP!$C$123,0)</f>
        <v>0</v>
      </c>
      <c r="AV999" s="298">
        <f ca="1">IF(AND(A999&gt;=OP!$C$132,A999&lt;=OP!$C$133,$C$3=C999),OP!$C$135,0)</f>
        <v>0</v>
      </c>
      <c r="AW999" s="180">
        <f t="shared" ca="1" si="565"/>
        <v>0.05</v>
      </c>
      <c r="AX999" s="180">
        <f t="shared" ca="1" si="566"/>
        <v>0.05</v>
      </c>
      <c r="AY999" s="286">
        <f t="shared" ca="1" si="567"/>
        <v>0</v>
      </c>
      <c r="AZ999" s="286">
        <f t="shared" ca="1" si="568"/>
        <v>0</v>
      </c>
      <c r="BA999" s="286">
        <f t="shared" ca="1" si="569"/>
        <v>0</v>
      </c>
      <c r="BB999" s="286">
        <f t="shared" ca="1" si="570"/>
        <v>0</v>
      </c>
      <c r="BC999" s="286">
        <f t="shared" ca="1" si="571"/>
        <v>0</v>
      </c>
      <c r="BD999" s="180">
        <f t="shared" ca="1" si="572"/>
        <v>0.05</v>
      </c>
      <c r="BE999" s="180">
        <f t="shared" ca="1" si="573"/>
        <v>0.05</v>
      </c>
      <c r="BF999" s="286">
        <f t="shared" ca="1" si="574"/>
        <v>0</v>
      </c>
      <c r="BG999" s="286">
        <f t="shared" ca="1" si="575"/>
        <v>0</v>
      </c>
    </row>
    <row r="1000" spans="1:59">
      <c r="A1000" s="1">
        <f t="shared" ca="1" si="554"/>
        <v>84</v>
      </c>
      <c r="B1000" s="1">
        <f t="shared" ca="1" si="583"/>
        <v>189</v>
      </c>
      <c r="C1000" s="1">
        <f t="shared" ca="1" si="584"/>
        <v>6</v>
      </c>
      <c r="D1000" s="1">
        <f ca="1">MIN($D$3,VLOOKUP(C1000,OP!$S$30:$T$41,2))</f>
        <v>2</v>
      </c>
      <c r="E1000" s="1" t="str">
        <f t="shared" ca="1" si="580"/>
        <v/>
      </c>
      <c r="F1000" s="11" t="str">
        <f t="shared" ca="1" si="555"/>
        <v/>
      </c>
      <c r="G1000" s="6">
        <f ca="1">DATEDIF(DATE(B1000+1911,C1000,D1000),DATE(B1012+1911,C1012,D1012),"d")</f>
        <v>365</v>
      </c>
      <c r="H1000" s="8">
        <f t="shared" ca="1" si="557"/>
        <v>30</v>
      </c>
      <c r="I1000" s="8" t="str">
        <f t="shared" ca="1" si="553"/>
        <v>846</v>
      </c>
      <c r="J1000" s="13">
        <f>IF(繳費報酬率資料!$A$1=1,VALUE(OP!$C$121),VLOOKUP(A1000,MP,2,0))</f>
        <v>0.05</v>
      </c>
      <c r="K1000" s="14">
        <f ca="1">IF(SUM($K$4:K999,IF(繳費報酬率資料!$A$1=1,$AU1000+$AV1000,$BB1000+$BC1000))&gt;OP!$L$58,0,IF(繳費報酬率資料!$A$1=1,$AU1000+$AV1000,$BB1000+$BC1000))</f>
        <v>0</v>
      </c>
      <c r="L1000" s="2"/>
      <c r="M1000" s="2"/>
      <c r="N1000" s="2"/>
      <c r="O1000" s="261">
        <f t="shared" ca="1" si="558"/>
        <v>0</v>
      </c>
      <c r="P1000" s="261">
        <f t="shared" ca="1" si="576"/>
        <v>0</v>
      </c>
      <c r="Q1000" s="3">
        <f ca="1">IF(A1000&gt;MAX(OP!$R$17:$R$26),0,VLOOKUP(A1000,fees,3,FALSE))</f>
        <v>0</v>
      </c>
      <c r="R1000" s="200" t="str">
        <f t="shared" ca="1" si="559"/>
        <v/>
      </c>
      <c r="S1000" s="9" t="str">
        <f ca="1">IF(COUNTIF(($T$4:T999),"F")&gt;=1,"",IF(OR(C1001&lt;&gt;$C$3,E1000=""),"",A1000))</f>
        <v/>
      </c>
      <c r="T1000" s="20" t="str">
        <f t="shared" ca="1" si="581"/>
        <v/>
      </c>
      <c r="U1000" s="2">
        <f ca="1">IF(IF(OP!$C$83=1,$Z999,IF(OP!$C$83=2,$AA999,IF(OP!$C$83=3,$AB999,)))+$K1000-$O1000-$P1000-$AS1000&lt;OP!$C$142,0,$AS1000)</f>
        <v>0</v>
      </c>
      <c r="V1000" s="9"/>
      <c r="W1000" s="19">
        <f ca="1">MAX(SUM($K$4:K1000),0)</f>
        <v>2000000</v>
      </c>
      <c r="X1000" s="19"/>
      <c r="Y1000" s="19">
        <f t="shared" ca="1" si="577"/>
        <v>1920000</v>
      </c>
      <c r="Z1000" s="2">
        <f ca="1">IF(MIN($Z$4:Z999)=0,0,MAX(0,($Z999+$K1000-$O1000-$P1000)*IF(AND(F1000="F",$D$3&lt;&gt;$G$3),((1+(-J1000))^(H1000/MIN(G1000,365))),((1+(-J1000))^(1/12)))-$U1000))</f>
        <v>27070.987694850144</v>
      </c>
      <c r="AA1000" s="2">
        <f ca="1">IF(MIN($AA$4:AA999)=0,0,MAX(0,($AA999+$K1000-$O1000-$P1000)*IF(AND(F1000="F",$D$3&lt;&gt;$G$3),((1+$AA$1)^(H1000/MIN(G1000,365))),((1+$AA$1)^(1/12)))-$U1000))</f>
        <v>1920000</v>
      </c>
      <c r="AB1000" s="2">
        <f ca="1">IF(MIN($AB$4:AB999)=0,0,MAX(0,($AB999+$K1000-$O1000-$P1000)*IF(AND(F1000="F",$D$3&lt;&gt;$G$3),((1+(J1000))^(H1000/MIN(G1000,365))),((1+(J1000))^(1/12)))-$U1000))</f>
        <v>110606035.60983019</v>
      </c>
      <c r="AC1000" s="21"/>
      <c r="AD1000" s="21"/>
      <c r="AE1000" s="21"/>
      <c r="AF1000" s="282">
        <f t="shared" ca="1" si="560"/>
        <v>27071</v>
      </c>
      <c r="AG1000" s="282">
        <f t="shared" ca="1" si="561"/>
        <v>1920000</v>
      </c>
      <c r="AH1000" s="282">
        <f t="shared" ca="1" si="562"/>
        <v>110606036</v>
      </c>
      <c r="AI1000" s="23" t="str">
        <f t="shared" ca="1" si="578"/>
        <v>84-2</v>
      </c>
      <c r="AJ1000" s="281">
        <f ca="1">IF(E1000&gt;111,,IF(AND(OP!$C$99=1,T1000="F"),Z1000,IF(AND(OP!$C$99=2,COUNTIF($T$4:T1000,"F")=1),OP!$C$97+IF(F1000="F",OP!$C$98,0),"")))</f>
        <v>0</v>
      </c>
      <c r="AK1000" s="281">
        <f ca="1">IF(E1000&gt;111,,IF(AND(OP!$D$99=1,T1000="F"),AA1000,IF(AND(OP!$D$99=2,COUNTIF($T$4:T1000,"F")=1),OP!$D$97+IF(F1000="F",OP!$D$98,0),"")))</f>
        <v>0</v>
      </c>
      <c r="AL1000" s="281">
        <f ca="1">IF(E1000&gt;111,,IF(AND(OP!$E$99=1,T1000="F"),AB1000,IF(AND(OP!$E$99=2,COUNTIF($T$4:T1000,"F")=1),OP!$E$97+IF(F1000="F",OP!$E$98,0),"")))</f>
        <v>0</v>
      </c>
      <c r="AM1000" s="1">
        <f t="shared" ca="1" si="582"/>
        <v>2</v>
      </c>
      <c r="AN1000" s="1" t="e">
        <f ca="1">IF(OR(VLOOKUP($A1000,MP,5,0)="年繳",VLOOKUP($A1000,MP,5,0)="半年繳",VLOOKUP($A1000,MP,5,0)="季繳",VLOOKUP($A1000,MP,5,0)="月繳"),1,"")</f>
        <v>#N/A</v>
      </c>
      <c r="AO1000" s="1">
        <f t="shared" ca="1" si="563"/>
        <v>0</v>
      </c>
      <c r="AP1000" s="1" t="str">
        <f ca="1">IF(AND(A1000&lt;=OP!$C$120,COUNTIF(PAY,C1000)=1),1,"")</f>
        <v/>
      </c>
      <c r="AR1000" s="301">
        <f ca="1">IF(繳費報酬率資料!$A$1=1,$AY1000+$AZ1000,$BF1000+$BG1000)</f>
        <v>0</v>
      </c>
      <c r="AS1000" s="1">
        <f ca="1">IF(C1000&lt;&gt;IF($C$3=1,12,$C$3-1),0,IF(繳費報酬率資料!$A$1&lt;&gt;1,VLOOKUP($A1000,MP,8,0),IF(AND($A1000&gt;=OP!$C$79,$A1000&lt;=OP!$C$80),OP!$C$78,)))</f>
        <v>0</v>
      </c>
      <c r="AT1000" s="298">
        <f t="shared" ca="1" si="564"/>
        <v>0</v>
      </c>
      <c r="AU1000" s="298">
        <f ca="1">IF(AND(A1000&lt;=OP!$C$120,COUNTIF(PAY,C1000)=1),OP!$C$123,0)</f>
        <v>0</v>
      </c>
      <c r="AV1000" s="298">
        <f ca="1">IF(AND(A1000&gt;=OP!$C$132,A1000&lt;=OP!$C$133,$C$3=C1000),OP!$C$135,0)</f>
        <v>0</v>
      </c>
      <c r="AW1000" s="180">
        <f t="shared" ca="1" si="565"/>
        <v>0.05</v>
      </c>
      <c r="AX1000" s="180">
        <f t="shared" ca="1" si="566"/>
        <v>0.05</v>
      </c>
      <c r="AY1000" s="286">
        <f t="shared" ca="1" si="567"/>
        <v>0</v>
      </c>
      <c r="AZ1000" s="286">
        <f t="shared" ca="1" si="568"/>
        <v>0</v>
      </c>
      <c r="BA1000" s="286">
        <f t="shared" ca="1" si="569"/>
        <v>0</v>
      </c>
      <c r="BB1000" s="286">
        <f t="shared" ca="1" si="570"/>
        <v>0</v>
      </c>
      <c r="BC1000" s="286">
        <f t="shared" ca="1" si="571"/>
        <v>0</v>
      </c>
      <c r="BD1000" s="180">
        <f t="shared" ca="1" si="572"/>
        <v>0.05</v>
      </c>
      <c r="BE1000" s="180">
        <f t="shared" ca="1" si="573"/>
        <v>0.05</v>
      </c>
      <c r="BF1000" s="286">
        <f t="shared" ca="1" si="574"/>
        <v>0</v>
      </c>
      <c r="BG1000" s="286">
        <f t="shared" ca="1" si="575"/>
        <v>0</v>
      </c>
    </row>
    <row r="1001" spans="1:59">
      <c r="A1001" s="1">
        <f t="shared" ca="1" si="554"/>
        <v>84</v>
      </c>
      <c r="B1001" s="1">
        <f t="shared" ca="1" si="583"/>
        <v>189</v>
      </c>
      <c r="C1001" s="1">
        <f t="shared" ca="1" si="584"/>
        <v>7</v>
      </c>
      <c r="D1001" s="1">
        <f ca="1">MIN($D$3,VLOOKUP(C1001,OP!$S$30:$T$41,2))</f>
        <v>2</v>
      </c>
      <c r="E1001" s="1" t="str">
        <f t="shared" ca="1" si="580"/>
        <v/>
      </c>
      <c r="F1001" s="11" t="str">
        <f t="shared" ca="1" si="555"/>
        <v/>
      </c>
      <c r="G1001" s="8">
        <f t="shared" ref="G1001:G1011" ca="1" si="586">G1000</f>
        <v>365</v>
      </c>
      <c r="H1001" s="8">
        <f t="shared" ca="1" si="557"/>
        <v>31</v>
      </c>
      <c r="I1001" s="8" t="str">
        <f t="shared" ca="1" si="553"/>
        <v>847</v>
      </c>
      <c r="J1001" s="13">
        <f>IF(繳費報酬率資料!$A$1=1,VALUE(OP!$C$121),VLOOKUP(A1001,MP,2,0))</f>
        <v>0.05</v>
      </c>
      <c r="K1001" s="14">
        <f ca="1">IF(SUM($K$4:K1000,IF(繳費報酬率資料!$A$1=1,$AU1001+$AV1001,$BB1001+$BC1001))&gt;OP!$L$58,0,IF(繳費報酬率資料!$A$1=1,$AU1001+$AV1001,$BB1001+$BC1001))</f>
        <v>0</v>
      </c>
      <c r="L1001" s="2"/>
      <c r="M1001" s="2"/>
      <c r="N1001" s="2"/>
      <c r="O1001" s="261">
        <f t="shared" ca="1" si="558"/>
        <v>0</v>
      </c>
      <c r="P1001" s="261">
        <f t="shared" ca="1" si="576"/>
        <v>0</v>
      </c>
      <c r="Q1001" s="3">
        <f ca="1">IF(A1001&gt;MAX(OP!$R$17:$R$26),0,VLOOKUP(A1001,fees,3,FALSE))</f>
        <v>0</v>
      </c>
      <c r="R1001" s="200" t="str">
        <f t="shared" ca="1" si="559"/>
        <v/>
      </c>
      <c r="S1001" s="9" t="str">
        <f ca="1">IF(COUNTIF(($T$4:T1000),"F")&gt;=1,"",IF(OR(C1002&lt;&gt;$C$3,E1001=""),"",A1001))</f>
        <v/>
      </c>
      <c r="T1001" s="20" t="str">
        <f t="shared" ca="1" si="581"/>
        <v/>
      </c>
      <c r="U1001" s="2">
        <f ca="1">IF(IF(OP!$C$83=1,$Z1000,IF(OP!$C$83=2,$AA1000,IF(OP!$C$83=3,$AB1000,)))+$K1001-$O1001-$P1001-$AS1001&lt;OP!$C$142,0,$AS1001)</f>
        <v>0</v>
      </c>
      <c r="V1001" s="9"/>
      <c r="W1001" s="19">
        <f ca="1">MAX(SUM($K$4:K1001),0)</f>
        <v>2000000</v>
      </c>
      <c r="X1001" s="19"/>
      <c r="Y1001" s="19">
        <f t="shared" ca="1" si="577"/>
        <v>1920000</v>
      </c>
      <c r="Z1001" s="2">
        <f ca="1">IF(MIN($Z$4:Z1000)=0,0,MAX(0,($Z1000+$K1001-$O1001-$P1001)*IF(AND(F1001="F",$D$3&lt;&gt;$G$3),((1+(-J1001))^(H1001/MIN(G1001,365))),((1+(-J1001))^(1/12)))-$U1001))</f>
        <v>26955.521302708188</v>
      </c>
      <c r="AA1001" s="2">
        <f ca="1">IF(MIN($AA$4:AA1000)=0,0,MAX(0,($AA1000+$K1001-$O1001-$P1001)*IF(AND(F1001="F",$D$3&lt;&gt;$G$3),((1+$AA$1)^(H1001/MIN(G1001,365))),((1+$AA$1)^(1/12)))-$U1001))</f>
        <v>1920000</v>
      </c>
      <c r="AB1001" s="2">
        <f ca="1">IF(MIN($AB$4:AB1000)=0,0,MAX(0,($AB1000+$K1001-$O1001-$P1001)*IF(AND(F1001="F",$D$3&lt;&gt;$G$3),((1+(J1001))^(H1001/MIN(G1001,365))),((1+(J1001))^(1/12)))-$U1001))</f>
        <v>111056658.29012325</v>
      </c>
      <c r="AC1001" s="5"/>
      <c r="AD1001" s="5"/>
      <c r="AE1001" s="5"/>
      <c r="AF1001" s="282">
        <f t="shared" ca="1" si="560"/>
        <v>26956</v>
      </c>
      <c r="AG1001" s="282">
        <f t="shared" ca="1" si="561"/>
        <v>1920000</v>
      </c>
      <c r="AH1001" s="282">
        <f t="shared" ca="1" si="562"/>
        <v>111056658</v>
      </c>
      <c r="AI1001" s="23" t="str">
        <f t="shared" ca="1" si="578"/>
        <v>84-3</v>
      </c>
      <c r="AJ1001" s="282">
        <f ca="1">IF(E1001&gt;111,,IF(AND(OP!$C$99=1,T1001="F"),Z1001,IF(AND(OP!$C$99=2,COUNTIF($T$4:T1001,"F")=1),OP!$C$97+IF(F1001="F",OP!$C$98,0),"")))</f>
        <v>0</v>
      </c>
      <c r="AK1001" s="282">
        <f ca="1">IF(E1001&gt;111,,IF(AND(OP!$D$99=1,T1001="F"),AA1001,IF(AND(OP!$D$99=2,COUNTIF($T$4:T1001,"F")=1),OP!$D$97+IF(F1001="F",OP!$D$98,0),"")))</f>
        <v>0</v>
      </c>
      <c r="AL1001" s="282">
        <f ca="1">IF(E1001&gt;111,,IF(AND(OP!$E$99=1,T1001="F"),AB1001,IF(AND(OP!$E$99=2,COUNTIF($T$4:T1001,"F")=1),OP!$E$97+IF(F1001="F",OP!$E$98,0),"")))</f>
        <v>0</v>
      </c>
      <c r="AM1001" s="1">
        <f t="shared" ca="1" si="582"/>
        <v>3</v>
      </c>
      <c r="AN1001" s="1" t="e">
        <f ca="1">IF(OR(VLOOKUP($A1001,MP,5,0)="月繳"),1,"")</f>
        <v>#N/A</v>
      </c>
      <c r="AO1001" s="1">
        <f t="shared" ca="1" si="563"/>
        <v>0</v>
      </c>
      <c r="AP1001" s="1" t="str">
        <f ca="1">IF(AND(A1001&lt;=OP!$C$120,COUNTIF(PAY,C1001)=1),1,"")</f>
        <v/>
      </c>
      <c r="AR1001" s="301">
        <f ca="1">IF(繳費報酬率資料!$A$1=1,$AY1001+$AZ1001,$BF1001+$BG1001)</f>
        <v>0</v>
      </c>
      <c r="AS1001" s="1">
        <f ca="1">IF(C1001&lt;&gt;IF($C$3=1,12,$C$3-1),0,IF(繳費報酬率資料!$A$1&lt;&gt;1,VLOOKUP($A1001,MP,8,0),IF(AND($A1001&gt;=OP!$C$79,$A1001&lt;=OP!$C$80),OP!$C$78,)))</f>
        <v>0</v>
      </c>
      <c r="AT1001" s="298">
        <f t="shared" ca="1" si="564"/>
        <v>0</v>
      </c>
      <c r="AU1001" s="298">
        <f ca="1">IF(AND(A1001&lt;=OP!$C$120,COUNTIF(PAY,C1001)=1),OP!$C$123,0)</f>
        <v>0</v>
      </c>
      <c r="AV1001" s="298">
        <f ca="1">IF(AND(A1001&gt;=OP!$C$132,A1001&lt;=OP!$C$133,$C$3=C1001),OP!$C$135,0)</f>
        <v>0</v>
      </c>
      <c r="AW1001" s="180">
        <f t="shared" ca="1" si="565"/>
        <v>0.05</v>
      </c>
      <c r="AX1001" s="180">
        <f t="shared" ca="1" si="566"/>
        <v>0.05</v>
      </c>
      <c r="AY1001" s="286">
        <f t="shared" ca="1" si="567"/>
        <v>0</v>
      </c>
      <c r="AZ1001" s="286">
        <f t="shared" ca="1" si="568"/>
        <v>0</v>
      </c>
      <c r="BA1001" s="286">
        <f t="shared" ca="1" si="569"/>
        <v>0</v>
      </c>
      <c r="BB1001" s="286">
        <f t="shared" ca="1" si="570"/>
        <v>0</v>
      </c>
      <c r="BC1001" s="286">
        <f t="shared" ca="1" si="571"/>
        <v>0</v>
      </c>
      <c r="BD1001" s="180">
        <f t="shared" ca="1" si="572"/>
        <v>0.05</v>
      </c>
      <c r="BE1001" s="180">
        <f t="shared" ca="1" si="573"/>
        <v>0.05</v>
      </c>
      <c r="BF1001" s="286">
        <f t="shared" ca="1" si="574"/>
        <v>0</v>
      </c>
      <c r="BG1001" s="286">
        <f t="shared" ca="1" si="575"/>
        <v>0</v>
      </c>
    </row>
    <row r="1002" spans="1:59">
      <c r="A1002" s="1">
        <f t="shared" ca="1" si="554"/>
        <v>84</v>
      </c>
      <c r="B1002" s="1">
        <f t="shared" ca="1" si="583"/>
        <v>189</v>
      </c>
      <c r="C1002" s="1">
        <f t="shared" ca="1" si="584"/>
        <v>8</v>
      </c>
      <c r="D1002" s="1">
        <f ca="1">MIN($D$3,VLOOKUP(C1002,OP!$S$30:$T$41,2))</f>
        <v>2</v>
      </c>
      <c r="E1002" s="1" t="str">
        <f t="shared" ca="1" si="580"/>
        <v/>
      </c>
      <c r="F1002" s="11" t="str">
        <f t="shared" ca="1" si="555"/>
        <v/>
      </c>
      <c r="G1002" s="8">
        <f t="shared" ca="1" si="586"/>
        <v>365</v>
      </c>
      <c r="H1002" s="8">
        <f t="shared" ca="1" si="557"/>
        <v>31</v>
      </c>
      <c r="I1002" s="8" t="str">
        <f t="shared" ca="1" si="553"/>
        <v>848</v>
      </c>
      <c r="J1002" s="13">
        <f>IF(繳費報酬率資料!$A$1=1,VALUE(OP!$C$121),VLOOKUP(A1002,MP,2,0))</f>
        <v>0.05</v>
      </c>
      <c r="K1002" s="14">
        <f ca="1">IF(SUM($K$4:K1001,IF(繳費報酬率資料!$A$1=1,$AU1002+$AV1002,$BB1002+$BC1002))&gt;OP!$L$58,0,IF(繳費報酬率資料!$A$1=1,$AU1002+$AV1002,$BB1002+$BC1002))</f>
        <v>0</v>
      </c>
      <c r="L1002" s="2"/>
      <c r="M1002" s="2"/>
      <c r="N1002" s="2"/>
      <c r="O1002" s="261">
        <f t="shared" ca="1" si="558"/>
        <v>0</v>
      </c>
      <c r="P1002" s="261">
        <f t="shared" ca="1" si="576"/>
        <v>0</v>
      </c>
      <c r="Q1002" s="3">
        <f ca="1">IF(A1002&gt;MAX(OP!$R$17:$R$26),0,VLOOKUP(A1002,fees,3,FALSE))</f>
        <v>0</v>
      </c>
      <c r="R1002" s="200" t="str">
        <f t="shared" ca="1" si="559"/>
        <v/>
      </c>
      <c r="S1002" s="9" t="str">
        <f ca="1">IF(COUNTIF(($T$4:T1001),"F")&gt;=1,"",IF(OR(C1003&lt;&gt;$C$3,E1002=""),"",A1002))</f>
        <v/>
      </c>
      <c r="T1002" s="20" t="str">
        <f t="shared" ca="1" si="581"/>
        <v/>
      </c>
      <c r="U1002" s="2">
        <f ca="1">IF(IF(OP!$C$83=1,$Z1001,IF(OP!$C$83=2,$AA1001,IF(OP!$C$83=3,$AB1001,)))+$K1002-$O1002-$P1002-$AS1002&lt;OP!$C$142,0,$AS1002)</f>
        <v>0</v>
      </c>
      <c r="V1002" s="9"/>
      <c r="W1002" s="19">
        <f ca="1">MAX(SUM($K$4:K1002),0)</f>
        <v>2000000</v>
      </c>
      <c r="X1002" s="19"/>
      <c r="Y1002" s="19">
        <f t="shared" ca="1" si="577"/>
        <v>1920000</v>
      </c>
      <c r="Z1002" s="2">
        <f ca="1">IF(MIN($Z$4:Z1001)=0,0,MAX(0,($Z1001+$K1002-$O1002-$P1002)*IF(AND(F1002="F",$D$3&lt;&gt;$G$3),((1+(-J1002))^(H1002/MIN(G1002,365))),((1+(-J1002))^(1/12)))-$U1002))</f>
        <v>26840.547411536812</v>
      </c>
      <c r="AA1002" s="2">
        <f ca="1">IF(MIN($AA$4:AA1001)=0,0,MAX(0,($AA1001+$K1002-$O1002-$P1002)*IF(AND(F1002="F",$D$3&lt;&gt;$G$3),((1+$AA$1)^(H1002/MIN(G1002,365))),((1+$AA$1)^(1/12)))-$U1002))</f>
        <v>1920000</v>
      </c>
      <c r="AB1002" s="2">
        <f ca="1">IF(MIN($AB$4:AB1001)=0,0,MAX(0,($AB1001+$K1002-$O1002-$P1002)*IF(AND(F1002="F",$D$3&lt;&gt;$G$3),((1+(J1002))^(H1002/MIN(G1002,365))),((1+(J1002))^(1/12)))-$U1002))</f>
        <v>111509116.86299555</v>
      </c>
      <c r="AC1002" s="5"/>
      <c r="AD1002" s="5"/>
      <c r="AE1002" s="5"/>
      <c r="AF1002" s="282">
        <f t="shared" ca="1" si="560"/>
        <v>26841</v>
      </c>
      <c r="AG1002" s="282">
        <f t="shared" ca="1" si="561"/>
        <v>1920000</v>
      </c>
      <c r="AH1002" s="282">
        <f t="shared" ca="1" si="562"/>
        <v>111509117</v>
      </c>
      <c r="AI1002" s="23" t="str">
        <f t="shared" ca="1" si="578"/>
        <v>84-4</v>
      </c>
      <c r="AJ1002" s="282">
        <f ca="1">IF(E1002&gt;111,,IF(AND(OP!$C$99=1,T1002="F"),Z1002,IF(AND(OP!$C$99=2,COUNTIF($T$4:T1002,"F")=1),OP!$C$97+IF(F1002="F",OP!$C$98,0),"")))</f>
        <v>0</v>
      </c>
      <c r="AK1002" s="282">
        <f ca="1">IF(E1002&gt;111,,IF(AND(OP!$D$99=1,T1002="F"),AA1002,IF(AND(OP!$D$99=2,COUNTIF($T$4:T1002,"F")=1),OP!$D$97+IF(F1002="F",OP!$D$98,0),"")))</f>
        <v>0</v>
      </c>
      <c r="AL1002" s="282">
        <f ca="1">IF(E1002&gt;111,,IF(AND(OP!$E$99=1,T1002="F"),AB1002,IF(AND(OP!$E$99=2,COUNTIF($T$4:T1002,"F")=1),OP!$E$97+IF(F1002="F",OP!$E$98,0),"")))</f>
        <v>0</v>
      </c>
      <c r="AM1002" s="1">
        <f t="shared" ca="1" si="582"/>
        <v>4</v>
      </c>
      <c r="AN1002" s="1" t="e">
        <f ca="1">IF(OR(VLOOKUP($A1002,MP,5,0)="月繳"),1,"")</f>
        <v>#N/A</v>
      </c>
      <c r="AO1002" s="1">
        <f t="shared" ca="1" si="563"/>
        <v>0</v>
      </c>
      <c r="AP1002" s="1" t="str">
        <f ca="1">IF(AND(A1002&lt;=OP!$C$120,COUNTIF(PAY,C1002)=1),1,"")</f>
        <v/>
      </c>
      <c r="AR1002" s="301">
        <f ca="1">IF(繳費報酬率資料!$A$1=1,$AY1002+$AZ1002,$BF1002+$BG1002)</f>
        <v>0</v>
      </c>
      <c r="AS1002" s="1">
        <f ca="1">IF(C1002&lt;&gt;IF($C$3=1,12,$C$3-1),0,IF(繳費報酬率資料!$A$1&lt;&gt;1,VLOOKUP($A1002,MP,8,0),IF(AND($A1002&gt;=OP!$C$79,$A1002&lt;=OP!$C$80),OP!$C$78,)))</f>
        <v>0</v>
      </c>
      <c r="AT1002" s="298">
        <f t="shared" ca="1" si="564"/>
        <v>0</v>
      </c>
      <c r="AU1002" s="298">
        <f ca="1">IF(AND(A1002&lt;=OP!$C$120,COUNTIF(PAY,C1002)=1),OP!$C$123,0)</f>
        <v>0</v>
      </c>
      <c r="AV1002" s="298">
        <f ca="1">IF(AND(A1002&gt;=OP!$C$132,A1002&lt;=OP!$C$133,$C$3=C1002),OP!$C$135,0)</f>
        <v>0</v>
      </c>
      <c r="AW1002" s="180">
        <f t="shared" ca="1" si="565"/>
        <v>0.05</v>
      </c>
      <c r="AX1002" s="180">
        <f t="shared" ca="1" si="566"/>
        <v>0.05</v>
      </c>
      <c r="AY1002" s="286">
        <f t="shared" ca="1" si="567"/>
        <v>0</v>
      </c>
      <c r="AZ1002" s="286">
        <f t="shared" ca="1" si="568"/>
        <v>0</v>
      </c>
      <c r="BA1002" s="286">
        <f t="shared" ca="1" si="569"/>
        <v>0</v>
      </c>
      <c r="BB1002" s="286">
        <f t="shared" ca="1" si="570"/>
        <v>0</v>
      </c>
      <c r="BC1002" s="286">
        <f t="shared" ca="1" si="571"/>
        <v>0</v>
      </c>
      <c r="BD1002" s="180">
        <f t="shared" ca="1" si="572"/>
        <v>0.05</v>
      </c>
      <c r="BE1002" s="180">
        <f t="shared" ca="1" si="573"/>
        <v>0.05</v>
      </c>
      <c r="BF1002" s="286">
        <f t="shared" ca="1" si="574"/>
        <v>0</v>
      </c>
      <c r="BG1002" s="286">
        <f t="shared" ca="1" si="575"/>
        <v>0</v>
      </c>
    </row>
    <row r="1003" spans="1:59">
      <c r="A1003" s="1">
        <f t="shared" ca="1" si="554"/>
        <v>84</v>
      </c>
      <c r="B1003" s="1">
        <f t="shared" ca="1" si="583"/>
        <v>189</v>
      </c>
      <c r="C1003" s="1">
        <f t="shared" ca="1" si="584"/>
        <v>9</v>
      </c>
      <c r="D1003" s="1">
        <f ca="1">MIN($D$3,VLOOKUP(C1003,OP!$S$30:$T$41,2))</f>
        <v>2</v>
      </c>
      <c r="E1003" s="1" t="str">
        <f t="shared" ca="1" si="580"/>
        <v/>
      </c>
      <c r="F1003" s="11" t="str">
        <f t="shared" ca="1" si="555"/>
        <v/>
      </c>
      <c r="G1003" s="8">
        <f t="shared" ca="1" si="586"/>
        <v>365</v>
      </c>
      <c r="H1003" s="8">
        <f t="shared" ca="1" si="557"/>
        <v>30</v>
      </c>
      <c r="I1003" s="8" t="str">
        <f t="shared" ca="1" si="553"/>
        <v>849</v>
      </c>
      <c r="J1003" s="13">
        <f>IF(繳費報酬率資料!$A$1=1,VALUE(OP!$C$121),VLOOKUP(A1003,MP,2,0))</f>
        <v>0.05</v>
      </c>
      <c r="K1003" s="14">
        <f ca="1">IF(SUM($K$4:K1002,IF(繳費報酬率資料!$A$1=1,$AU1003+$AV1003,$BB1003+$BC1003))&gt;OP!$L$58,0,IF(繳費報酬率資料!$A$1=1,$AU1003+$AV1003,$BB1003+$BC1003))</f>
        <v>0</v>
      </c>
      <c r="L1003" s="2"/>
      <c r="M1003" s="2"/>
      <c r="N1003" s="2"/>
      <c r="O1003" s="261">
        <f t="shared" ca="1" si="558"/>
        <v>0</v>
      </c>
      <c r="P1003" s="261">
        <f t="shared" ca="1" si="576"/>
        <v>0</v>
      </c>
      <c r="Q1003" s="3">
        <f ca="1">IF(A1003&gt;MAX(OP!$R$17:$R$26),0,VLOOKUP(A1003,fees,3,FALSE))</f>
        <v>0</v>
      </c>
      <c r="R1003" s="200" t="str">
        <f t="shared" ca="1" si="559"/>
        <v/>
      </c>
      <c r="S1003" s="9" t="str">
        <f ca="1">IF(COUNTIF(($T$4:T1002),"F")&gt;=1,"",IF(OR(C1004&lt;&gt;$C$3,E1003=""),"",A1003))</f>
        <v/>
      </c>
      <c r="T1003" s="20" t="str">
        <f t="shared" ca="1" si="581"/>
        <v/>
      </c>
      <c r="U1003" s="2">
        <f ca="1">IF(IF(OP!$C$83=1,$Z1002,IF(OP!$C$83=2,$AA1002,IF(OP!$C$83=3,$AB1002,)))+$K1003-$O1003-$P1003-$AS1003&lt;OP!$C$142,0,$AS1003)</f>
        <v>0</v>
      </c>
      <c r="V1003" s="9"/>
      <c r="W1003" s="19">
        <f ca="1">MAX(SUM($K$4:K1003),0)</f>
        <v>2000000</v>
      </c>
      <c r="X1003" s="19"/>
      <c r="Y1003" s="19">
        <f t="shared" ca="1" si="577"/>
        <v>1920000</v>
      </c>
      <c r="Z1003" s="2">
        <f ca="1">IF(MIN($Z$4:Z1002)=0,0,MAX(0,($Z1002+$K1003-$O1003-$P1003)*IF(AND(F1003="F",$D$3&lt;&gt;$G$3),((1+(-J1003))^(H1003/MIN(G1003,365))),((1+(-J1003))^(1/12)))-$U1003))</f>
        <v>26726.063920662378</v>
      </c>
      <c r="AA1003" s="2">
        <f ca="1">IF(MIN($AA$4:AA1002)=0,0,MAX(0,($AA1002+$K1003-$O1003-$P1003)*IF(AND(F1003="F",$D$3&lt;&gt;$G$3),((1+$AA$1)^(H1003/MIN(G1003,365))),((1+$AA$1)^(1/12)))-$U1003))</f>
        <v>1920000</v>
      </c>
      <c r="AB1003" s="2">
        <f ca="1">IF(MIN($AB$4:AB1002)=0,0,MAX(0,($AB1002+$K1003-$O1003-$P1003)*IF(AND(F1003="F",$D$3&lt;&gt;$G$3),((1+(J1003))^(H1003/MIN(G1003,365))),((1+(J1003))^(1/12)))-$U1003))</f>
        <v>111963418.8081007</v>
      </c>
      <c r="AC1003" s="5"/>
      <c r="AD1003" s="5"/>
      <c r="AE1003" s="5"/>
      <c r="AF1003" s="282">
        <f t="shared" ca="1" si="560"/>
        <v>26726</v>
      </c>
      <c r="AG1003" s="282">
        <f t="shared" ca="1" si="561"/>
        <v>1920000</v>
      </c>
      <c r="AH1003" s="282">
        <f t="shared" ca="1" si="562"/>
        <v>111963419</v>
      </c>
      <c r="AI1003" s="23" t="str">
        <f t="shared" ca="1" si="578"/>
        <v>84-5</v>
      </c>
      <c r="AJ1003" s="282">
        <f ca="1">IF(E1003&gt;111,,IF(AND(OP!$C$99=1,T1003="F"),Z1003,IF(AND(OP!$C$99=2,COUNTIF($T$4:T1003,"F")=1),OP!$C$97+IF(F1003="F",OP!$C$98,0),"")))</f>
        <v>0</v>
      </c>
      <c r="AK1003" s="282">
        <f ca="1">IF(E1003&gt;111,,IF(AND(OP!$D$99=1,T1003="F"),AA1003,IF(AND(OP!$D$99=2,COUNTIF($T$4:T1003,"F")=1),OP!$D$97+IF(F1003="F",OP!$D$98,0),"")))</f>
        <v>0</v>
      </c>
      <c r="AL1003" s="282">
        <f ca="1">IF(E1003&gt;111,,IF(AND(OP!$E$99=1,T1003="F"),AB1003,IF(AND(OP!$E$99=2,COUNTIF($T$4:T1003,"F")=1),OP!$E$97+IF(F1003="F",OP!$E$98,0),"")))</f>
        <v>0</v>
      </c>
      <c r="AM1003" s="1">
        <f t="shared" ca="1" si="582"/>
        <v>5</v>
      </c>
      <c r="AN1003" s="1" t="e">
        <f ca="1">IF(OR(VLOOKUP($A1003,MP,5,0)="季繳",VLOOKUP($A1003,MP,5,0)="月繳"),1,"")</f>
        <v>#N/A</v>
      </c>
      <c r="AO1003" s="1">
        <f t="shared" ca="1" si="563"/>
        <v>0</v>
      </c>
      <c r="AP1003" s="1" t="str">
        <f ca="1">IF(AND(A1003&lt;=OP!$C$120,COUNTIF(PAY,C1003)=1),1,"")</f>
        <v/>
      </c>
      <c r="AR1003" s="301">
        <f ca="1">IF(繳費報酬率資料!$A$1=1,$AY1003+$AZ1003,$BF1003+$BG1003)</f>
        <v>0</v>
      </c>
      <c r="AS1003" s="1">
        <f ca="1">IF(C1003&lt;&gt;IF($C$3=1,12,$C$3-1),0,IF(繳費報酬率資料!$A$1&lt;&gt;1,VLOOKUP($A1003,MP,8,0),IF(AND($A1003&gt;=OP!$C$79,$A1003&lt;=OP!$C$80),OP!$C$78,)))</f>
        <v>0</v>
      </c>
      <c r="AT1003" s="298">
        <f t="shared" ca="1" si="564"/>
        <v>0</v>
      </c>
      <c r="AU1003" s="298">
        <f ca="1">IF(AND(A1003&lt;=OP!$C$120,COUNTIF(PAY,C1003)=1),OP!$C$123,0)</f>
        <v>0</v>
      </c>
      <c r="AV1003" s="298">
        <f ca="1">IF(AND(A1003&gt;=OP!$C$132,A1003&lt;=OP!$C$133,$C$3=C1003),OP!$C$135,0)</f>
        <v>0</v>
      </c>
      <c r="AW1003" s="180">
        <f t="shared" ca="1" si="565"/>
        <v>0.05</v>
      </c>
      <c r="AX1003" s="180">
        <f t="shared" ca="1" si="566"/>
        <v>0.05</v>
      </c>
      <c r="AY1003" s="286">
        <f t="shared" ca="1" si="567"/>
        <v>0</v>
      </c>
      <c r="AZ1003" s="286">
        <f t="shared" ca="1" si="568"/>
        <v>0</v>
      </c>
      <c r="BA1003" s="286">
        <f t="shared" ca="1" si="569"/>
        <v>0</v>
      </c>
      <c r="BB1003" s="286">
        <f t="shared" ca="1" si="570"/>
        <v>0</v>
      </c>
      <c r="BC1003" s="286">
        <f t="shared" ca="1" si="571"/>
        <v>0</v>
      </c>
      <c r="BD1003" s="180">
        <f t="shared" ca="1" si="572"/>
        <v>0.05</v>
      </c>
      <c r="BE1003" s="180">
        <f t="shared" ca="1" si="573"/>
        <v>0.05</v>
      </c>
      <c r="BF1003" s="286">
        <f t="shared" ca="1" si="574"/>
        <v>0</v>
      </c>
      <c r="BG1003" s="286">
        <f t="shared" ca="1" si="575"/>
        <v>0</v>
      </c>
    </row>
    <row r="1004" spans="1:59">
      <c r="A1004" s="1">
        <f t="shared" ca="1" si="554"/>
        <v>84</v>
      </c>
      <c r="B1004" s="1">
        <f t="shared" ca="1" si="583"/>
        <v>189</v>
      </c>
      <c r="C1004" s="1">
        <f t="shared" ca="1" si="584"/>
        <v>10</v>
      </c>
      <c r="D1004" s="1">
        <f ca="1">MIN($D$3,VLOOKUP(C1004,OP!$S$30:$T$41,2))</f>
        <v>2</v>
      </c>
      <c r="E1004" s="1" t="str">
        <f t="shared" ca="1" si="580"/>
        <v/>
      </c>
      <c r="F1004" s="11" t="str">
        <f t="shared" ca="1" si="555"/>
        <v/>
      </c>
      <c r="G1004" s="8">
        <f t="shared" ca="1" si="586"/>
        <v>365</v>
      </c>
      <c r="H1004" s="8">
        <f t="shared" ca="1" si="557"/>
        <v>31</v>
      </c>
      <c r="I1004" s="8" t="str">
        <f t="shared" ca="1" si="553"/>
        <v>8410</v>
      </c>
      <c r="J1004" s="13">
        <f>IF(繳費報酬率資料!$A$1=1,VALUE(OP!$C$121),VLOOKUP(A1004,MP,2,0))</f>
        <v>0.05</v>
      </c>
      <c r="K1004" s="14">
        <f ca="1">IF(SUM($K$4:K1003,IF(繳費報酬率資料!$A$1=1,$AU1004+$AV1004,$BB1004+$BC1004))&gt;OP!$L$58,0,IF(繳費報酬率資料!$A$1=1,$AU1004+$AV1004,$BB1004+$BC1004))</f>
        <v>0</v>
      </c>
      <c r="L1004" s="2"/>
      <c r="M1004" s="2"/>
      <c r="N1004" s="2"/>
      <c r="O1004" s="261">
        <f t="shared" ca="1" si="558"/>
        <v>0</v>
      </c>
      <c r="P1004" s="261">
        <f t="shared" ca="1" si="576"/>
        <v>0</v>
      </c>
      <c r="Q1004" s="3">
        <f ca="1">IF(A1004&gt;MAX(OP!$R$17:$R$26),0,VLOOKUP(A1004,fees,3,FALSE))</f>
        <v>0</v>
      </c>
      <c r="R1004" s="200" t="str">
        <f t="shared" ca="1" si="559"/>
        <v/>
      </c>
      <c r="S1004" s="9" t="str">
        <f ca="1">IF(COUNTIF(($T$4:T1003),"F")&gt;=1,"",IF(OR(C1005&lt;&gt;$C$3,E1004=""),"",A1004))</f>
        <v/>
      </c>
      <c r="T1004" s="20" t="str">
        <f t="shared" ca="1" si="581"/>
        <v/>
      </c>
      <c r="U1004" s="2">
        <f ca="1">IF(IF(OP!$C$83=1,$Z1003,IF(OP!$C$83=2,$AA1003,IF(OP!$C$83=3,$AB1003,)))+$K1004-$O1004-$P1004-$AS1004&lt;OP!$C$142,0,$AS1004)</f>
        <v>0</v>
      </c>
      <c r="V1004" s="9"/>
      <c r="W1004" s="19">
        <f ca="1">MAX(SUM($K$4:K1004),0)</f>
        <v>2000000</v>
      </c>
      <c r="X1004" s="19"/>
      <c r="Y1004" s="19">
        <f t="shared" ca="1" si="577"/>
        <v>1920000</v>
      </c>
      <c r="Z1004" s="2">
        <f ca="1">IF(MIN($Z$4:Z1003)=0,0,MAX(0,($Z1003+$K1004-$O1004-$P1004)*IF(AND(F1004="F",$D$3&lt;&gt;$G$3),((1+(-J1004))^(H1004/MIN(G1004,365))),((1+(-J1004))^(1/12)))-$U1004))</f>
        <v>26612.06873837129</v>
      </c>
      <c r="AA1004" s="2">
        <f ca="1">IF(MIN($AA$4:AA1003)=0,0,MAX(0,($AA1003+$K1004-$O1004-$P1004)*IF(AND(F1004="F",$D$3&lt;&gt;$G$3),((1+$AA$1)^(H1004/MIN(G1004,365))),((1+$AA$1)^(1/12)))-$U1004))</f>
        <v>1920000</v>
      </c>
      <c r="AB1004" s="2">
        <f ca="1">IF(MIN($AB$4:AB1003)=0,0,MAX(0,($AB1003+$K1004-$O1004-$P1004)*IF(AND(F1004="F",$D$3&lt;&gt;$G$3),((1+(J1004))^(H1004/MIN(G1004,365))),((1+(J1004))^(1/12)))-$U1004))</f>
        <v>112419571.63556537</v>
      </c>
      <c r="AC1004" s="5"/>
      <c r="AD1004" s="5"/>
      <c r="AE1004" s="5"/>
      <c r="AF1004" s="282">
        <f t="shared" ca="1" si="560"/>
        <v>26612</v>
      </c>
      <c r="AG1004" s="282">
        <f t="shared" ca="1" si="561"/>
        <v>1920000</v>
      </c>
      <c r="AH1004" s="282">
        <f t="shared" ca="1" si="562"/>
        <v>112419572</v>
      </c>
      <c r="AI1004" s="23" t="str">
        <f t="shared" ca="1" si="578"/>
        <v>84-6</v>
      </c>
      <c r="AJ1004" s="282">
        <f ca="1">IF(E1004&gt;111,,IF(AND(OP!$C$99=1,T1004="F"),Z1004,IF(AND(OP!$C$99=2,COUNTIF($T$4:T1004,"F")=1),OP!$C$97+IF(F1004="F",OP!$C$98,0),"")))</f>
        <v>0</v>
      </c>
      <c r="AK1004" s="282">
        <f ca="1">IF(E1004&gt;111,,IF(AND(OP!$D$99=1,T1004="F"),AA1004,IF(AND(OP!$D$99=2,COUNTIF($T$4:T1004,"F")=1),OP!$D$97+IF(F1004="F",OP!$D$98,0),"")))</f>
        <v>0</v>
      </c>
      <c r="AL1004" s="282">
        <f ca="1">IF(E1004&gt;111,,IF(AND(OP!$E$99=1,T1004="F"),AB1004,IF(AND(OP!$E$99=2,COUNTIF($T$4:T1004,"F")=1),OP!$E$97+IF(F1004="F",OP!$E$98,0),"")))</f>
        <v>0</v>
      </c>
      <c r="AM1004" s="1">
        <f t="shared" ca="1" si="582"/>
        <v>6</v>
      </c>
      <c r="AN1004" s="1" t="e">
        <f ca="1">IF(OR(VLOOKUP($A1004,MP,5,0)="月繳"),1,"")</f>
        <v>#N/A</v>
      </c>
      <c r="AO1004" s="1">
        <f t="shared" ca="1" si="563"/>
        <v>0</v>
      </c>
      <c r="AP1004" s="1" t="str">
        <f ca="1">IF(AND(A1004&lt;=OP!$C$120,COUNTIF(PAY,C1004)=1),1,"")</f>
        <v/>
      </c>
      <c r="AR1004" s="301">
        <f ca="1">IF(繳費報酬率資料!$A$1=1,$AY1004+$AZ1004,$BF1004+$BG1004)</f>
        <v>0</v>
      </c>
      <c r="AS1004" s="1">
        <f ca="1">IF(C1004&lt;&gt;IF($C$3=1,12,$C$3-1),0,IF(繳費報酬率資料!$A$1&lt;&gt;1,VLOOKUP($A1004,MP,8,0),IF(AND($A1004&gt;=OP!$C$79,$A1004&lt;=OP!$C$80),OP!$C$78,)))</f>
        <v>0</v>
      </c>
      <c r="AT1004" s="298">
        <f t="shared" ca="1" si="564"/>
        <v>0</v>
      </c>
      <c r="AU1004" s="298">
        <f ca="1">IF(AND(A1004&lt;=OP!$C$120,COUNTIF(PAY,C1004)=1),OP!$C$123,0)</f>
        <v>0</v>
      </c>
      <c r="AV1004" s="298">
        <f ca="1">IF(AND(A1004&gt;=OP!$C$132,A1004&lt;=OP!$C$133,$C$3=C1004),OP!$C$135,0)</f>
        <v>0</v>
      </c>
      <c r="AW1004" s="180">
        <f t="shared" ca="1" si="565"/>
        <v>0.05</v>
      </c>
      <c r="AX1004" s="180">
        <f t="shared" ca="1" si="566"/>
        <v>0.05</v>
      </c>
      <c r="AY1004" s="286">
        <f t="shared" ca="1" si="567"/>
        <v>0</v>
      </c>
      <c r="AZ1004" s="286">
        <f t="shared" ca="1" si="568"/>
        <v>0</v>
      </c>
      <c r="BA1004" s="286">
        <f t="shared" ca="1" si="569"/>
        <v>0</v>
      </c>
      <c r="BB1004" s="286">
        <f t="shared" ca="1" si="570"/>
        <v>0</v>
      </c>
      <c r="BC1004" s="286">
        <f t="shared" ca="1" si="571"/>
        <v>0</v>
      </c>
      <c r="BD1004" s="180">
        <f t="shared" ca="1" si="572"/>
        <v>0.05</v>
      </c>
      <c r="BE1004" s="180">
        <f t="shared" ca="1" si="573"/>
        <v>0.05</v>
      </c>
      <c r="BF1004" s="286">
        <f t="shared" ca="1" si="574"/>
        <v>0</v>
      </c>
      <c r="BG1004" s="286">
        <f t="shared" ca="1" si="575"/>
        <v>0</v>
      </c>
    </row>
    <row r="1005" spans="1:59">
      <c r="A1005" s="1">
        <f t="shared" ca="1" si="554"/>
        <v>84</v>
      </c>
      <c r="B1005" s="1">
        <f t="shared" ca="1" si="583"/>
        <v>189</v>
      </c>
      <c r="C1005" s="1">
        <f t="shared" ca="1" si="584"/>
        <v>11</v>
      </c>
      <c r="D1005" s="1">
        <f ca="1">MIN($D$3,VLOOKUP(C1005,OP!$S$30:$T$41,2))</f>
        <v>2</v>
      </c>
      <c r="E1005" s="1" t="str">
        <f t="shared" ca="1" si="580"/>
        <v/>
      </c>
      <c r="F1005" s="11" t="str">
        <f t="shared" ca="1" si="555"/>
        <v/>
      </c>
      <c r="G1005" s="8">
        <f t="shared" ca="1" si="586"/>
        <v>365</v>
      </c>
      <c r="H1005" s="8">
        <f t="shared" ca="1" si="557"/>
        <v>30</v>
      </c>
      <c r="I1005" s="8" t="str">
        <f t="shared" ca="1" si="553"/>
        <v>8411</v>
      </c>
      <c r="J1005" s="13">
        <f>IF(繳費報酬率資料!$A$1=1,VALUE(OP!$C$121),VLOOKUP(A1005,MP,2,0))</f>
        <v>0.05</v>
      </c>
      <c r="K1005" s="14">
        <f ca="1">IF(SUM($K$4:K1004,IF(繳費報酬率資料!$A$1=1,$AU1005+$AV1005,$BB1005+$BC1005))&gt;OP!$L$58,0,IF(繳費報酬率資料!$A$1=1,$AU1005+$AV1005,$BB1005+$BC1005))</f>
        <v>0</v>
      </c>
      <c r="L1005" s="2"/>
      <c r="M1005" s="2"/>
      <c r="N1005" s="2"/>
      <c r="O1005" s="261">
        <f t="shared" ca="1" si="558"/>
        <v>0</v>
      </c>
      <c r="P1005" s="261">
        <f t="shared" ca="1" si="576"/>
        <v>0</v>
      </c>
      <c r="Q1005" s="3">
        <f ca="1">IF(A1005&gt;MAX(OP!$R$17:$R$26),0,VLOOKUP(A1005,fees,3,FALSE))</f>
        <v>0</v>
      </c>
      <c r="R1005" s="200" t="str">
        <f t="shared" ca="1" si="559"/>
        <v/>
      </c>
      <c r="S1005" s="9" t="str">
        <f ca="1">IF(COUNTIF(($T$4:T1004),"F")&gt;=1,"",IF(OR(C1006&lt;&gt;$C$3,E1005=""),"",A1005))</f>
        <v/>
      </c>
      <c r="T1005" s="20" t="str">
        <f t="shared" ca="1" si="581"/>
        <v/>
      </c>
      <c r="U1005" s="2">
        <f ca="1">IF(IF(OP!$C$83=1,$Z1004,IF(OP!$C$83=2,$AA1004,IF(OP!$C$83=3,$AB1004,)))+$K1005-$O1005-$P1005-$AS1005&lt;OP!$C$142,0,$AS1005)</f>
        <v>0</v>
      </c>
      <c r="V1005" s="9"/>
      <c r="W1005" s="19">
        <f ca="1">MAX(SUM($K$4:K1005),0)</f>
        <v>2000000</v>
      </c>
      <c r="X1005" s="19"/>
      <c r="Y1005" s="19">
        <f t="shared" ca="1" si="577"/>
        <v>1920000</v>
      </c>
      <c r="Z1005" s="2">
        <f ca="1">IF(MIN($Z$4:Z1004)=0,0,MAX(0,($Z1004+$K1005-$O1005-$P1005)*IF(AND(F1005="F",$D$3&lt;&gt;$G$3),((1+(-J1005))^(H1005/MIN(G1005,365))),((1+(-J1005))^(1/12)))-$U1005))</f>
        <v>26498.55978187178</v>
      </c>
      <c r="AA1005" s="2">
        <f ca="1">IF(MIN($AA$4:AA1004)=0,0,MAX(0,($AA1004+$K1005-$O1005-$P1005)*IF(AND(F1005="F",$D$3&lt;&gt;$G$3),((1+$AA$1)^(H1005/MIN(G1005,365))),((1+$AA$1)^(1/12)))-$U1005))</f>
        <v>1920000</v>
      </c>
      <c r="AB1005" s="2">
        <f ca="1">IF(MIN($AB$4:AB1004)=0,0,MAX(0,($AB1004+$K1005-$O1005-$P1005)*IF(AND(F1005="F",$D$3&lt;&gt;$G$3),((1+(J1005))^(H1005/MIN(G1005,365))),((1+(J1005))^(1/12)))-$U1005))</f>
        <v>112877582.88611339</v>
      </c>
      <c r="AC1005" s="5"/>
      <c r="AD1005" s="5"/>
      <c r="AE1005" s="5"/>
      <c r="AF1005" s="282">
        <f t="shared" ca="1" si="560"/>
        <v>26499</v>
      </c>
      <c r="AG1005" s="282">
        <f t="shared" ca="1" si="561"/>
        <v>1920000</v>
      </c>
      <c r="AH1005" s="282">
        <f t="shared" ca="1" si="562"/>
        <v>112877583</v>
      </c>
      <c r="AI1005" s="23" t="str">
        <f t="shared" ca="1" si="578"/>
        <v>84-7</v>
      </c>
      <c r="AJ1005" s="282">
        <f ca="1">IF(E1005&gt;111,,IF(AND(OP!$C$99=1,T1005="F"),Z1005,IF(AND(OP!$C$99=2,COUNTIF($T$4:T1005,"F")=1),OP!$C$97+IF(F1005="F",OP!$C$98,0),"")))</f>
        <v>0</v>
      </c>
      <c r="AK1005" s="282">
        <f ca="1">IF(E1005&gt;111,,IF(AND(OP!$D$99=1,T1005="F"),AA1005,IF(AND(OP!$D$99=2,COUNTIF($T$4:T1005,"F")=1),OP!$D$97+IF(F1005="F",OP!$D$98,0),"")))</f>
        <v>0</v>
      </c>
      <c r="AL1005" s="282">
        <f ca="1">IF(E1005&gt;111,,IF(AND(OP!$E$99=1,T1005="F"),AB1005,IF(AND(OP!$E$99=2,COUNTIF($T$4:T1005,"F")=1),OP!$E$97+IF(F1005="F",OP!$E$98,0),"")))</f>
        <v>0</v>
      </c>
      <c r="AM1005" s="1">
        <f t="shared" ca="1" si="582"/>
        <v>7</v>
      </c>
      <c r="AN1005" s="1" t="e">
        <f ca="1">IF(OR(VLOOKUP($A1005,MP,5,0)="月繳"),1,"")</f>
        <v>#N/A</v>
      </c>
      <c r="AO1005" s="1">
        <f t="shared" ca="1" si="563"/>
        <v>0</v>
      </c>
      <c r="AP1005" s="1" t="str">
        <f ca="1">IF(AND(A1005&lt;=OP!$C$120,COUNTIF(PAY,C1005)=1),1,"")</f>
        <v/>
      </c>
      <c r="AR1005" s="301">
        <f ca="1">IF(繳費報酬率資料!$A$1=1,$AY1005+$AZ1005,$BF1005+$BG1005)</f>
        <v>0</v>
      </c>
      <c r="AS1005" s="1">
        <f ca="1">IF(C1005&lt;&gt;IF($C$3=1,12,$C$3-1),0,IF(繳費報酬率資料!$A$1&lt;&gt;1,VLOOKUP($A1005,MP,8,0),IF(AND($A1005&gt;=OP!$C$79,$A1005&lt;=OP!$C$80),OP!$C$78,)))</f>
        <v>0</v>
      </c>
      <c r="AT1005" s="298">
        <f t="shared" ca="1" si="564"/>
        <v>0</v>
      </c>
      <c r="AU1005" s="298">
        <f ca="1">IF(AND(A1005&lt;=OP!$C$120,COUNTIF(PAY,C1005)=1),OP!$C$123,0)</f>
        <v>0</v>
      </c>
      <c r="AV1005" s="298">
        <f ca="1">IF(AND(A1005&gt;=OP!$C$132,A1005&lt;=OP!$C$133,$C$3=C1005),OP!$C$135,0)</f>
        <v>0</v>
      </c>
      <c r="AW1005" s="180">
        <f t="shared" ca="1" si="565"/>
        <v>0.05</v>
      </c>
      <c r="AX1005" s="180">
        <f t="shared" ca="1" si="566"/>
        <v>0.05</v>
      </c>
      <c r="AY1005" s="286">
        <f t="shared" ca="1" si="567"/>
        <v>0</v>
      </c>
      <c r="AZ1005" s="286">
        <f t="shared" ca="1" si="568"/>
        <v>0</v>
      </c>
      <c r="BA1005" s="286">
        <f t="shared" ca="1" si="569"/>
        <v>0</v>
      </c>
      <c r="BB1005" s="286">
        <f t="shared" ca="1" si="570"/>
        <v>0</v>
      </c>
      <c r="BC1005" s="286">
        <f t="shared" ca="1" si="571"/>
        <v>0</v>
      </c>
      <c r="BD1005" s="180">
        <f t="shared" ca="1" si="572"/>
        <v>0.05</v>
      </c>
      <c r="BE1005" s="180">
        <f t="shared" ca="1" si="573"/>
        <v>0.05</v>
      </c>
      <c r="BF1005" s="286">
        <f t="shared" ca="1" si="574"/>
        <v>0</v>
      </c>
      <c r="BG1005" s="286">
        <f t="shared" ca="1" si="575"/>
        <v>0</v>
      </c>
    </row>
    <row r="1006" spans="1:59">
      <c r="A1006" s="1">
        <f t="shared" ca="1" si="554"/>
        <v>84</v>
      </c>
      <c r="B1006" s="1">
        <f t="shared" ca="1" si="583"/>
        <v>189</v>
      </c>
      <c r="C1006" s="1">
        <f t="shared" ca="1" si="584"/>
        <v>12</v>
      </c>
      <c r="D1006" s="1">
        <f ca="1">MIN($D$3,VLOOKUP(C1006,OP!$S$30:$T$41,2))</f>
        <v>2</v>
      </c>
      <c r="E1006" s="1" t="str">
        <f t="shared" ca="1" si="580"/>
        <v/>
      </c>
      <c r="F1006" s="11" t="str">
        <f t="shared" ca="1" si="555"/>
        <v/>
      </c>
      <c r="G1006" s="8">
        <f t="shared" ca="1" si="586"/>
        <v>365</v>
      </c>
      <c r="H1006" s="8">
        <f t="shared" ca="1" si="557"/>
        <v>31</v>
      </c>
      <c r="I1006" s="8" t="str">
        <f t="shared" ca="1" si="553"/>
        <v>8412</v>
      </c>
      <c r="J1006" s="13">
        <f>IF(繳費報酬率資料!$A$1=1,VALUE(OP!$C$121),VLOOKUP(A1006,MP,2,0))</f>
        <v>0.05</v>
      </c>
      <c r="K1006" s="14">
        <f ca="1">IF(SUM($K$4:K1005,IF(繳費報酬率資料!$A$1=1,$AU1006+$AV1006,$BB1006+$BC1006))&gt;OP!$L$58,0,IF(繳費報酬率資料!$A$1=1,$AU1006+$AV1006,$BB1006+$BC1006))</f>
        <v>0</v>
      </c>
      <c r="L1006" s="2"/>
      <c r="M1006" s="2"/>
      <c r="N1006" s="2"/>
      <c r="O1006" s="261">
        <f t="shared" ca="1" si="558"/>
        <v>0</v>
      </c>
      <c r="P1006" s="261">
        <f t="shared" ca="1" si="576"/>
        <v>0</v>
      </c>
      <c r="Q1006" s="3">
        <f ca="1">IF(A1006&gt;MAX(OP!$R$17:$R$26),0,VLOOKUP(A1006,fees,3,FALSE))</f>
        <v>0</v>
      </c>
      <c r="R1006" s="200" t="str">
        <f t="shared" ca="1" si="559"/>
        <v/>
      </c>
      <c r="S1006" s="9" t="str">
        <f ca="1">IF(COUNTIF(($T$4:T1005),"F")&gt;=1,"",IF(OR(C1007&lt;&gt;$C$3,E1006=""),"",A1006))</f>
        <v/>
      </c>
      <c r="T1006" s="20" t="str">
        <f t="shared" ca="1" si="581"/>
        <v/>
      </c>
      <c r="U1006" s="2">
        <f ca="1">IF(IF(OP!$C$83=1,$Z1005,IF(OP!$C$83=2,$AA1005,IF(OP!$C$83=3,$AB1005,)))+$K1006-$O1006-$P1006-$AS1006&lt;OP!$C$142,0,$AS1006)</f>
        <v>0</v>
      </c>
      <c r="V1006" s="9"/>
      <c r="W1006" s="19">
        <f ca="1">MAX(SUM($K$4:K1006),0)</f>
        <v>2000000</v>
      </c>
      <c r="X1006" s="19"/>
      <c r="Y1006" s="19">
        <f t="shared" ca="1" si="577"/>
        <v>1920000</v>
      </c>
      <c r="Z1006" s="2">
        <f ca="1">IF(MIN($Z$4:Z1005)=0,0,MAX(0,($Z1005+$K1006-$O1006-$P1006)*IF(AND(F1006="F",$D$3&lt;&gt;$G$3),((1+(-J1006))^(H1006/MIN(G1006,365))),((1+(-J1006))^(1/12)))-$U1006))</f>
        <v>26385.534977255847</v>
      </c>
      <c r="AA1006" s="2">
        <f ca="1">IF(MIN($AA$4:AA1005)=0,0,MAX(0,($AA1005+$K1006-$O1006-$P1006)*IF(AND(F1006="F",$D$3&lt;&gt;$G$3),((1+$AA$1)^(H1006/MIN(G1006,365))),((1+$AA$1)^(1/12)))-$U1006))</f>
        <v>1920000</v>
      </c>
      <c r="AB1006" s="2">
        <f ca="1">IF(MIN($AB$4:AB1005)=0,0,MAX(0,($AB1005+$K1006-$O1006-$P1006)*IF(AND(F1006="F",$D$3&lt;&gt;$G$3),((1+(J1006))^(H1006/MIN(G1006,365))),((1+(J1006))^(1/12)))-$U1006))</f>
        <v>113337460.13119045</v>
      </c>
      <c r="AC1006" s="5"/>
      <c r="AD1006" s="5"/>
      <c r="AE1006" s="5"/>
      <c r="AF1006" s="282">
        <f t="shared" ca="1" si="560"/>
        <v>26386</v>
      </c>
      <c r="AG1006" s="282">
        <f t="shared" ca="1" si="561"/>
        <v>1920000</v>
      </c>
      <c r="AH1006" s="282">
        <f t="shared" ca="1" si="562"/>
        <v>113337460</v>
      </c>
      <c r="AI1006" s="23" t="str">
        <f t="shared" ca="1" si="578"/>
        <v>84-8</v>
      </c>
      <c r="AJ1006" s="282">
        <f ca="1">IF(E1006&gt;111,,IF(AND(OP!$C$99=1,T1006="F"),Z1006,IF(AND(OP!$C$99=2,COUNTIF($T$4:T1006,"F")=1),OP!$C$97+IF(F1006="F",OP!$C$98,0),"")))</f>
        <v>0</v>
      </c>
      <c r="AK1006" s="282">
        <f ca="1">IF(E1006&gt;111,,IF(AND(OP!$D$99=1,T1006="F"),AA1006,IF(AND(OP!$D$99=2,COUNTIF($T$4:T1006,"F")=1),OP!$D$97+IF(F1006="F",OP!$D$98,0),"")))</f>
        <v>0</v>
      </c>
      <c r="AL1006" s="282">
        <f ca="1">IF(E1006&gt;111,,IF(AND(OP!$E$99=1,T1006="F"),AB1006,IF(AND(OP!$E$99=2,COUNTIF($T$4:T1006,"F")=1),OP!$E$97+IF(F1006="F",OP!$E$98,0),"")))</f>
        <v>0</v>
      </c>
      <c r="AM1006" s="1">
        <f t="shared" ca="1" si="582"/>
        <v>8</v>
      </c>
      <c r="AN1006" s="1" t="e">
        <f ca="1">IF(OR(VLOOKUP($A1006,MP,5,0)="半年繳",VLOOKUP($A1006,MP,5,0)="季繳",VLOOKUP($A1006,MP,5,0)="月繳"),1,"")</f>
        <v>#N/A</v>
      </c>
      <c r="AO1006" s="1">
        <f t="shared" ca="1" si="563"/>
        <v>0</v>
      </c>
      <c r="AP1006" s="1" t="str">
        <f ca="1">IF(AND(A1006&lt;=OP!$C$120,COUNTIF(PAY,C1006)=1),1,"")</f>
        <v/>
      </c>
      <c r="AR1006" s="301">
        <f ca="1">IF(繳費報酬率資料!$A$1=1,$AY1006+$AZ1006,$BF1006+$BG1006)</f>
        <v>0</v>
      </c>
      <c r="AS1006" s="1">
        <f ca="1">IF(C1006&lt;&gt;IF($C$3=1,12,$C$3-1),0,IF(繳費報酬率資料!$A$1&lt;&gt;1,VLOOKUP($A1006,MP,8,0),IF(AND($A1006&gt;=OP!$C$79,$A1006&lt;=OP!$C$80),OP!$C$78,)))</f>
        <v>0</v>
      </c>
      <c r="AT1006" s="298">
        <f t="shared" ca="1" si="564"/>
        <v>0</v>
      </c>
      <c r="AU1006" s="298">
        <f ca="1">IF(AND(A1006&lt;=OP!$C$120,COUNTIF(PAY,C1006)=1),OP!$C$123,0)</f>
        <v>0</v>
      </c>
      <c r="AV1006" s="298">
        <f ca="1">IF(AND(A1006&gt;=OP!$C$132,A1006&lt;=OP!$C$133,$C$3=C1006),OP!$C$135,0)</f>
        <v>0</v>
      </c>
      <c r="AW1006" s="180">
        <f t="shared" ca="1" si="565"/>
        <v>0.05</v>
      </c>
      <c r="AX1006" s="180">
        <f t="shared" ca="1" si="566"/>
        <v>0.05</v>
      </c>
      <c r="AY1006" s="286">
        <f t="shared" ca="1" si="567"/>
        <v>0</v>
      </c>
      <c r="AZ1006" s="286">
        <f t="shared" ca="1" si="568"/>
        <v>0</v>
      </c>
      <c r="BA1006" s="286">
        <f t="shared" ca="1" si="569"/>
        <v>0</v>
      </c>
      <c r="BB1006" s="286">
        <f t="shared" ca="1" si="570"/>
        <v>0</v>
      </c>
      <c r="BC1006" s="286">
        <f t="shared" ca="1" si="571"/>
        <v>0</v>
      </c>
      <c r="BD1006" s="180">
        <f t="shared" ca="1" si="572"/>
        <v>0.05</v>
      </c>
      <c r="BE1006" s="180">
        <f t="shared" ca="1" si="573"/>
        <v>0.05</v>
      </c>
      <c r="BF1006" s="286">
        <f t="shared" ca="1" si="574"/>
        <v>0</v>
      </c>
      <c r="BG1006" s="286">
        <f t="shared" ca="1" si="575"/>
        <v>0</v>
      </c>
    </row>
    <row r="1007" spans="1:59">
      <c r="A1007" s="1">
        <f t="shared" ca="1" si="554"/>
        <v>84</v>
      </c>
      <c r="B1007" s="1">
        <f t="shared" ca="1" si="583"/>
        <v>190</v>
      </c>
      <c r="C1007" s="1">
        <f t="shared" ca="1" si="584"/>
        <v>1</v>
      </c>
      <c r="D1007" s="1">
        <f ca="1">MIN($D$3,VLOOKUP(C1007,OP!$S$30:$T$41,2))</f>
        <v>2</v>
      </c>
      <c r="E1007" s="1" t="str">
        <f t="shared" ca="1" si="580"/>
        <v/>
      </c>
      <c r="F1007" s="11" t="str">
        <f t="shared" ca="1" si="555"/>
        <v/>
      </c>
      <c r="G1007" s="8">
        <f t="shared" ca="1" si="586"/>
        <v>365</v>
      </c>
      <c r="H1007" s="8">
        <f t="shared" ca="1" si="557"/>
        <v>31</v>
      </c>
      <c r="I1007" s="8" t="str">
        <f t="shared" ca="1" si="553"/>
        <v>841</v>
      </c>
      <c r="J1007" s="13">
        <f>IF(繳費報酬率資料!$A$1=1,VALUE(OP!$C$121),VLOOKUP(A1007,MP,2,0))</f>
        <v>0.05</v>
      </c>
      <c r="K1007" s="14">
        <f ca="1">IF(SUM($K$4:K1006,IF(繳費報酬率資料!$A$1=1,$AU1007+$AV1007,$BB1007+$BC1007))&gt;OP!$L$58,0,IF(繳費報酬率資料!$A$1=1,$AU1007+$AV1007,$BB1007+$BC1007))</f>
        <v>0</v>
      </c>
      <c r="L1007" s="2"/>
      <c r="M1007" s="2"/>
      <c r="N1007" s="2"/>
      <c r="O1007" s="261">
        <f t="shared" ca="1" si="558"/>
        <v>0</v>
      </c>
      <c r="P1007" s="261">
        <f t="shared" ca="1" si="576"/>
        <v>0</v>
      </c>
      <c r="Q1007" s="3">
        <f ca="1">IF(A1007&gt;MAX(OP!$R$17:$R$26),0,VLOOKUP(A1007,fees,3,FALSE))</f>
        <v>0</v>
      </c>
      <c r="R1007" s="200" t="str">
        <f t="shared" ca="1" si="559"/>
        <v/>
      </c>
      <c r="S1007" s="9" t="str">
        <f ca="1">IF(COUNTIF(($T$4:T1006),"F")&gt;=1,"",IF(OR(C1008&lt;&gt;$C$3,E1007=""),"",A1007))</f>
        <v/>
      </c>
      <c r="T1007" s="20" t="str">
        <f t="shared" ca="1" si="581"/>
        <v/>
      </c>
      <c r="U1007" s="2">
        <f ca="1">IF(IF(OP!$C$83=1,$Z1006,IF(OP!$C$83=2,$AA1006,IF(OP!$C$83=3,$AB1006,)))+$K1007-$O1007-$P1007-$AS1007&lt;OP!$C$142,0,$AS1007)</f>
        <v>0</v>
      </c>
      <c r="V1007" s="9"/>
      <c r="W1007" s="19">
        <f ca="1">MAX(SUM($K$4:K1007),0)</f>
        <v>2000000</v>
      </c>
      <c r="X1007" s="19"/>
      <c r="Y1007" s="19">
        <f t="shared" ca="1" si="577"/>
        <v>1920000</v>
      </c>
      <c r="Z1007" s="2">
        <f ca="1">IF(MIN($Z$4:Z1006)=0,0,MAX(0,($Z1006+$K1007-$O1007-$P1007)*IF(AND(F1007="F",$D$3&lt;&gt;$G$3),((1+(-J1007))^(H1007/MIN(G1007,365))),((1+(-J1007))^(1/12)))-$U1007))</f>
        <v>26272.992259461374</v>
      </c>
      <c r="AA1007" s="2">
        <f ca="1">IF(MIN($AA$4:AA1006)=0,0,MAX(0,($AA1006+$K1007-$O1007-$P1007)*IF(AND(F1007="F",$D$3&lt;&gt;$G$3),((1+$AA$1)^(H1007/MIN(G1007,365))),((1+$AA$1)^(1/12)))-$U1007))</f>
        <v>1920000</v>
      </c>
      <c r="AB1007" s="2">
        <f ca="1">IF(MIN($AB$4:AB1006)=0,0,MAX(0,($AB1006+$K1007-$O1007-$P1007)*IF(AND(F1007="F",$D$3&lt;&gt;$G$3),((1+(J1007))^(H1007/MIN(G1007,365))),((1+(J1007))^(1/12)))-$U1007))</f>
        <v>113799210.97308923</v>
      </c>
      <c r="AC1007" s="5"/>
      <c r="AD1007" s="5"/>
      <c r="AE1007" s="5"/>
      <c r="AF1007" s="282">
        <f t="shared" ca="1" si="560"/>
        <v>26273</v>
      </c>
      <c r="AG1007" s="282">
        <f t="shared" ca="1" si="561"/>
        <v>1920000</v>
      </c>
      <c r="AH1007" s="282">
        <f t="shared" ca="1" si="562"/>
        <v>113799211</v>
      </c>
      <c r="AI1007" s="23" t="str">
        <f t="shared" ca="1" si="578"/>
        <v>84-9</v>
      </c>
      <c r="AJ1007" s="282">
        <f ca="1">IF(E1007&gt;111,,IF(AND(OP!$C$99=1,T1007="F"),Z1007,IF(AND(OP!$C$99=2,COUNTIF($T$4:T1007,"F")=1),OP!$C$97+IF(F1007="F",OP!$C$98,0),"")))</f>
        <v>0</v>
      </c>
      <c r="AK1007" s="282">
        <f ca="1">IF(E1007&gt;111,,IF(AND(OP!$D$99=1,T1007="F"),AA1007,IF(AND(OP!$D$99=2,COUNTIF($T$4:T1007,"F")=1),OP!$D$97+IF(F1007="F",OP!$D$98,0),"")))</f>
        <v>0</v>
      </c>
      <c r="AL1007" s="282">
        <f ca="1">IF(E1007&gt;111,,IF(AND(OP!$E$99=1,T1007="F"),AB1007,IF(AND(OP!$E$99=2,COUNTIF($T$4:T1007,"F")=1),OP!$E$97+IF(F1007="F",OP!$E$98,0),"")))</f>
        <v>0</v>
      </c>
      <c r="AM1007" s="1">
        <f t="shared" ca="1" si="582"/>
        <v>9</v>
      </c>
      <c r="AN1007" s="1" t="e">
        <f ca="1">IF(OR(VLOOKUP($A1007,MP,5,0)="月繳"),1,"")</f>
        <v>#N/A</v>
      </c>
      <c r="AO1007" s="1">
        <f t="shared" ca="1" si="563"/>
        <v>0</v>
      </c>
      <c r="AP1007" s="1" t="str">
        <f ca="1">IF(AND(A1007&lt;=OP!$C$120,COUNTIF(PAY,C1007)=1),1,"")</f>
        <v/>
      </c>
      <c r="AR1007" s="301">
        <f ca="1">IF(繳費報酬率資料!$A$1=1,$AY1007+$AZ1007,$BF1007+$BG1007)</f>
        <v>0</v>
      </c>
      <c r="AS1007" s="1">
        <f ca="1">IF(C1007&lt;&gt;IF($C$3=1,12,$C$3-1),0,IF(繳費報酬率資料!$A$1&lt;&gt;1,VLOOKUP($A1007,MP,8,0),IF(AND($A1007&gt;=OP!$C$79,$A1007&lt;=OP!$C$80),OP!$C$78,)))</f>
        <v>0</v>
      </c>
      <c r="AT1007" s="298">
        <f t="shared" ca="1" si="564"/>
        <v>0</v>
      </c>
      <c r="AU1007" s="298">
        <f ca="1">IF(AND(A1007&lt;=OP!$C$120,COUNTIF(PAY,C1007)=1),OP!$C$123,0)</f>
        <v>0</v>
      </c>
      <c r="AV1007" s="298">
        <f ca="1">IF(AND(A1007&gt;=OP!$C$132,A1007&lt;=OP!$C$133,$C$3=C1007),OP!$C$135,0)</f>
        <v>0</v>
      </c>
      <c r="AW1007" s="180">
        <f t="shared" ca="1" si="565"/>
        <v>0.05</v>
      </c>
      <c r="AX1007" s="180">
        <f t="shared" ca="1" si="566"/>
        <v>0.05</v>
      </c>
      <c r="AY1007" s="286">
        <f t="shared" ca="1" si="567"/>
        <v>0</v>
      </c>
      <c r="AZ1007" s="286">
        <f t="shared" ca="1" si="568"/>
        <v>0</v>
      </c>
      <c r="BA1007" s="286">
        <f t="shared" ca="1" si="569"/>
        <v>0</v>
      </c>
      <c r="BB1007" s="286">
        <f t="shared" ca="1" si="570"/>
        <v>0</v>
      </c>
      <c r="BC1007" s="286">
        <f t="shared" ca="1" si="571"/>
        <v>0</v>
      </c>
      <c r="BD1007" s="180">
        <f t="shared" ca="1" si="572"/>
        <v>0.05</v>
      </c>
      <c r="BE1007" s="180">
        <f t="shared" ca="1" si="573"/>
        <v>0.05</v>
      </c>
      <c r="BF1007" s="286">
        <f t="shared" ca="1" si="574"/>
        <v>0</v>
      </c>
      <c r="BG1007" s="286">
        <f t="shared" ca="1" si="575"/>
        <v>0</v>
      </c>
    </row>
    <row r="1008" spans="1:59">
      <c r="A1008" s="1">
        <f t="shared" ca="1" si="554"/>
        <v>84</v>
      </c>
      <c r="B1008" s="1">
        <f t="shared" ca="1" si="583"/>
        <v>190</v>
      </c>
      <c r="C1008" s="1">
        <f t="shared" ca="1" si="584"/>
        <v>2</v>
      </c>
      <c r="D1008" s="1">
        <f ca="1">MIN($D$3,VLOOKUP(C1008,OP!$S$30:$T$41,2))</f>
        <v>2</v>
      </c>
      <c r="E1008" s="1" t="str">
        <f t="shared" ca="1" si="580"/>
        <v/>
      </c>
      <c r="F1008" s="11" t="str">
        <f t="shared" ca="1" si="555"/>
        <v/>
      </c>
      <c r="G1008" s="8">
        <f t="shared" ca="1" si="586"/>
        <v>365</v>
      </c>
      <c r="H1008" s="8">
        <f t="shared" ca="1" si="557"/>
        <v>28</v>
      </c>
      <c r="I1008" s="8" t="str">
        <f t="shared" ca="1" si="553"/>
        <v>842</v>
      </c>
      <c r="J1008" s="13">
        <f>IF(繳費報酬率資料!$A$1=1,VALUE(OP!$C$121),VLOOKUP(A1008,MP,2,0))</f>
        <v>0.05</v>
      </c>
      <c r="K1008" s="14">
        <f ca="1">IF(SUM($K$4:K1007,IF(繳費報酬率資料!$A$1=1,$AU1008+$AV1008,$BB1008+$BC1008))&gt;OP!$L$58,0,IF(繳費報酬率資料!$A$1=1,$AU1008+$AV1008,$BB1008+$BC1008))</f>
        <v>0</v>
      </c>
      <c r="L1008" s="2"/>
      <c r="M1008" s="2"/>
      <c r="N1008" s="2"/>
      <c r="O1008" s="261">
        <f t="shared" ca="1" si="558"/>
        <v>0</v>
      </c>
      <c r="P1008" s="261">
        <f t="shared" ca="1" si="576"/>
        <v>0</v>
      </c>
      <c r="Q1008" s="3">
        <f ca="1">IF(A1008&gt;MAX(OP!$R$17:$R$26),0,VLOOKUP(A1008,fees,3,FALSE))</f>
        <v>0</v>
      </c>
      <c r="R1008" s="200" t="str">
        <f t="shared" ca="1" si="559"/>
        <v/>
      </c>
      <c r="S1008" s="9" t="str">
        <f ca="1">IF(COUNTIF(($T$4:T1007),"F")&gt;=1,"",IF(OR(C1009&lt;&gt;$C$3,E1008=""),"",A1008))</f>
        <v/>
      </c>
      <c r="T1008" s="20" t="str">
        <f t="shared" ca="1" si="581"/>
        <v/>
      </c>
      <c r="U1008" s="2">
        <f ca="1">IF(IF(OP!$C$83=1,$Z1007,IF(OP!$C$83=2,$AA1007,IF(OP!$C$83=3,$AB1007,)))+$K1008-$O1008-$P1008-$AS1008&lt;OP!$C$142,0,$AS1008)</f>
        <v>0</v>
      </c>
      <c r="V1008" s="9"/>
      <c r="W1008" s="19">
        <f ca="1">MAX(SUM($K$4:K1008),0)</f>
        <v>2000000</v>
      </c>
      <c r="X1008" s="19"/>
      <c r="Y1008" s="19">
        <f t="shared" ca="1" si="577"/>
        <v>1920000</v>
      </c>
      <c r="Z1008" s="2">
        <f ca="1">IF(MIN($Z$4:Z1007)=0,0,MAX(0,($Z1007+$K1008-$O1008-$P1008)*IF(AND(F1008="F",$D$3&lt;&gt;$G$3),((1+(-J1008))^(H1008/MIN(G1008,365))),((1+(-J1008))^(1/12)))-$U1008))</f>
        <v>26160.929572234389</v>
      </c>
      <c r="AA1008" s="2">
        <f ca="1">IF(MIN($AA$4:AA1007)=0,0,MAX(0,($AA1007+$K1008-$O1008-$P1008)*IF(AND(F1008="F",$D$3&lt;&gt;$G$3),((1+$AA$1)^(H1008/MIN(G1008,365))),((1+$AA$1)^(1/12)))-$U1008))</f>
        <v>1920000</v>
      </c>
      <c r="AB1008" s="2">
        <f ca="1">IF(MIN($AB$4:AB1007)=0,0,MAX(0,($AB1007+$K1008-$O1008-$P1008)*IF(AND(F1008="F",$D$3&lt;&gt;$G$3),((1+(J1008))^(H1008/MIN(G1008,365))),((1+(J1008))^(1/12)))-$U1008))</f>
        <v>114262843.04507512</v>
      </c>
      <c r="AC1008" s="5"/>
      <c r="AD1008" s="5"/>
      <c r="AE1008" s="5"/>
      <c r="AF1008" s="282">
        <f t="shared" ca="1" si="560"/>
        <v>26161</v>
      </c>
      <c r="AG1008" s="282">
        <f t="shared" ca="1" si="561"/>
        <v>1920000</v>
      </c>
      <c r="AH1008" s="282">
        <f t="shared" ca="1" si="562"/>
        <v>114262843</v>
      </c>
      <c r="AI1008" s="23" t="str">
        <f t="shared" ca="1" si="578"/>
        <v>84-10</v>
      </c>
      <c r="AJ1008" s="282">
        <f ca="1">IF(E1008&gt;111,,IF(AND(OP!$C$99=1,T1008="F"),Z1008,IF(AND(OP!$C$99=2,COUNTIF($T$4:T1008,"F")=1),OP!$C$97+IF(F1008="F",OP!$C$98,0),"")))</f>
        <v>0</v>
      </c>
      <c r="AK1008" s="282">
        <f ca="1">IF(E1008&gt;111,,IF(AND(OP!$D$99=1,T1008="F"),AA1008,IF(AND(OP!$D$99=2,COUNTIF($T$4:T1008,"F")=1),OP!$D$97+IF(F1008="F",OP!$D$98,0),"")))</f>
        <v>0</v>
      </c>
      <c r="AL1008" s="282">
        <f ca="1">IF(E1008&gt;111,,IF(AND(OP!$E$99=1,T1008="F"),AB1008,IF(AND(OP!$E$99=2,COUNTIF($T$4:T1008,"F")=1),OP!$E$97+IF(F1008="F",OP!$E$98,0),"")))</f>
        <v>0</v>
      </c>
      <c r="AM1008" s="1">
        <f t="shared" ca="1" si="582"/>
        <v>10</v>
      </c>
      <c r="AN1008" s="1" t="e">
        <f ca="1">IF(OR(VLOOKUP($A1008,MP,5,0)="月繳"),1,"")</f>
        <v>#N/A</v>
      </c>
      <c r="AO1008" s="1">
        <f t="shared" ca="1" si="563"/>
        <v>0</v>
      </c>
      <c r="AP1008" s="1" t="str">
        <f ca="1">IF(AND(A1008&lt;=OP!$C$120,COUNTIF(PAY,C1008)=1),1,"")</f>
        <v/>
      </c>
      <c r="AR1008" s="301">
        <f ca="1">IF(繳費報酬率資料!$A$1=1,$AY1008+$AZ1008,$BF1008+$BG1008)</f>
        <v>0</v>
      </c>
      <c r="AS1008" s="1">
        <f ca="1">IF(C1008&lt;&gt;IF($C$3=1,12,$C$3-1),0,IF(繳費報酬率資料!$A$1&lt;&gt;1,VLOOKUP($A1008,MP,8,0),IF(AND($A1008&gt;=OP!$C$79,$A1008&lt;=OP!$C$80),OP!$C$78,)))</f>
        <v>0</v>
      </c>
      <c r="AT1008" s="298">
        <f t="shared" ca="1" si="564"/>
        <v>0</v>
      </c>
      <c r="AU1008" s="298">
        <f ca="1">IF(AND(A1008&lt;=OP!$C$120,COUNTIF(PAY,C1008)=1),OP!$C$123,0)</f>
        <v>0</v>
      </c>
      <c r="AV1008" s="298">
        <f ca="1">IF(AND(A1008&gt;=OP!$C$132,A1008&lt;=OP!$C$133,$C$3=C1008),OP!$C$135,0)</f>
        <v>0</v>
      </c>
      <c r="AW1008" s="180">
        <f t="shared" ca="1" si="565"/>
        <v>0.05</v>
      </c>
      <c r="AX1008" s="180">
        <f t="shared" ca="1" si="566"/>
        <v>0.05</v>
      </c>
      <c r="AY1008" s="286">
        <f t="shared" ca="1" si="567"/>
        <v>0</v>
      </c>
      <c r="AZ1008" s="286">
        <f t="shared" ca="1" si="568"/>
        <v>0</v>
      </c>
      <c r="BA1008" s="286">
        <f t="shared" ca="1" si="569"/>
        <v>0</v>
      </c>
      <c r="BB1008" s="286">
        <f t="shared" ca="1" si="570"/>
        <v>0</v>
      </c>
      <c r="BC1008" s="286">
        <f t="shared" ca="1" si="571"/>
        <v>0</v>
      </c>
      <c r="BD1008" s="180">
        <f t="shared" ca="1" si="572"/>
        <v>0.05</v>
      </c>
      <c r="BE1008" s="180">
        <f t="shared" ca="1" si="573"/>
        <v>0.05</v>
      </c>
      <c r="BF1008" s="286">
        <f t="shared" ca="1" si="574"/>
        <v>0</v>
      </c>
      <c r="BG1008" s="286">
        <f t="shared" ca="1" si="575"/>
        <v>0</v>
      </c>
    </row>
    <row r="1009" spans="1:59">
      <c r="A1009" s="1">
        <f t="shared" ca="1" si="554"/>
        <v>84</v>
      </c>
      <c r="B1009" s="1">
        <f t="shared" ca="1" si="583"/>
        <v>190</v>
      </c>
      <c r="C1009" s="1">
        <f t="shared" ca="1" si="584"/>
        <v>3</v>
      </c>
      <c r="D1009" s="1">
        <f ca="1">MIN($D$3,VLOOKUP(C1009,OP!$S$30:$T$41,2))</f>
        <v>2</v>
      </c>
      <c r="E1009" s="1" t="str">
        <f t="shared" ca="1" si="580"/>
        <v/>
      </c>
      <c r="F1009" s="11" t="str">
        <f t="shared" ca="1" si="555"/>
        <v/>
      </c>
      <c r="G1009" s="8">
        <f t="shared" ca="1" si="586"/>
        <v>365</v>
      </c>
      <c r="H1009" s="8">
        <f t="shared" ca="1" si="557"/>
        <v>31</v>
      </c>
      <c r="I1009" s="8" t="str">
        <f t="shared" ca="1" si="553"/>
        <v>843</v>
      </c>
      <c r="J1009" s="13">
        <f>IF(繳費報酬率資料!$A$1=1,VALUE(OP!$C$121),VLOOKUP(A1009,MP,2,0))</f>
        <v>0.05</v>
      </c>
      <c r="K1009" s="14">
        <f ca="1">IF(SUM($K$4:K1008,IF(繳費報酬率資料!$A$1=1,$AU1009+$AV1009,$BB1009+$BC1009))&gt;OP!$L$58,0,IF(繳費報酬率資料!$A$1=1,$AU1009+$AV1009,$BB1009+$BC1009))</f>
        <v>0</v>
      </c>
      <c r="L1009" s="2"/>
      <c r="M1009" s="2"/>
      <c r="N1009" s="2"/>
      <c r="O1009" s="261">
        <f t="shared" ca="1" si="558"/>
        <v>0</v>
      </c>
      <c r="P1009" s="261">
        <f t="shared" ca="1" si="576"/>
        <v>0</v>
      </c>
      <c r="Q1009" s="3">
        <f ca="1">IF(A1009&gt;MAX(OP!$R$17:$R$26),0,VLOOKUP(A1009,fees,3,FALSE))</f>
        <v>0</v>
      </c>
      <c r="R1009" s="200" t="str">
        <f t="shared" ca="1" si="559"/>
        <v/>
      </c>
      <c r="S1009" s="9" t="str">
        <f ca="1">IF(COUNTIF(($T$4:T1008),"F")&gt;=1,"",IF(OR(C1010&lt;&gt;$C$3,E1009=""),"",A1009))</f>
        <v/>
      </c>
      <c r="T1009" s="20" t="str">
        <f t="shared" ca="1" si="581"/>
        <v/>
      </c>
      <c r="U1009" s="2">
        <f ca="1">IF(IF(OP!$C$83=1,$Z1008,IF(OP!$C$83=2,$AA1008,IF(OP!$C$83=3,$AB1008,)))+$K1009-$O1009-$P1009-$AS1009&lt;OP!$C$142,0,$AS1009)</f>
        <v>0</v>
      </c>
      <c r="V1009" s="9"/>
      <c r="W1009" s="19">
        <f ca="1">MAX(SUM($K$4:K1009),0)</f>
        <v>2000000</v>
      </c>
      <c r="X1009" s="19"/>
      <c r="Y1009" s="19">
        <f t="shared" ca="1" si="577"/>
        <v>1920000</v>
      </c>
      <c r="Z1009" s="2">
        <f ca="1">IF(MIN($Z$4:Z1008)=0,0,MAX(0,($Z1008+$K1009-$O1009-$P1009)*IF(AND(F1009="F",$D$3&lt;&gt;$G$3),((1+(-J1009))^(H1009/MIN(G1009,365))),((1+(-J1009))^(1/12)))-$U1009))</f>
        <v>26049.344868091495</v>
      </c>
      <c r="AA1009" s="2">
        <f ca="1">IF(MIN($AA$4:AA1008)=0,0,MAX(0,($AA1008+$K1009-$O1009-$P1009)*IF(AND(F1009="F",$D$3&lt;&gt;$G$3),((1+$AA$1)^(H1009/MIN(G1009,365))),((1+$AA$1)^(1/12)))-$U1009))</f>
        <v>1920000</v>
      </c>
      <c r="AB1009" s="2">
        <f ca="1">IF(MIN($AB$4:AB1008)=0,0,MAX(0,($AB1008+$K1009-$O1009-$P1009)*IF(AND(F1009="F",$D$3&lt;&gt;$G$3),((1+(J1009))^(H1009/MIN(G1009,365))),((1+(J1009))^(1/12)))-$U1009))</f>
        <v>114728364.01151234</v>
      </c>
      <c r="AC1009" s="5"/>
      <c r="AD1009" s="5"/>
      <c r="AE1009" s="5"/>
      <c r="AF1009" s="282">
        <f t="shared" ca="1" si="560"/>
        <v>26049</v>
      </c>
      <c r="AG1009" s="282">
        <f t="shared" ca="1" si="561"/>
        <v>1920000</v>
      </c>
      <c r="AH1009" s="282">
        <f t="shared" ca="1" si="562"/>
        <v>114728364</v>
      </c>
      <c r="AI1009" s="23" t="str">
        <f t="shared" ca="1" si="578"/>
        <v>84-11</v>
      </c>
      <c r="AJ1009" s="282">
        <f ca="1">IF(E1009&gt;111,,IF(AND(OP!$C$99=1,T1009="F"),Z1009,IF(AND(OP!$C$99=2,COUNTIF($T$4:T1009,"F")=1),OP!$C$97+IF(F1009="F",OP!$C$98,0),"")))</f>
        <v>0</v>
      </c>
      <c r="AK1009" s="282">
        <f ca="1">IF(E1009&gt;111,,IF(AND(OP!$D$99=1,T1009="F"),AA1009,IF(AND(OP!$D$99=2,COUNTIF($T$4:T1009,"F")=1),OP!$D$97+IF(F1009="F",OP!$D$98,0),"")))</f>
        <v>0</v>
      </c>
      <c r="AL1009" s="282">
        <f ca="1">IF(E1009&gt;111,,IF(AND(OP!$E$99=1,T1009="F"),AB1009,IF(AND(OP!$E$99=2,COUNTIF($T$4:T1009,"F")=1),OP!$E$97+IF(F1009="F",OP!$E$98,0),"")))</f>
        <v>0</v>
      </c>
      <c r="AM1009" s="1">
        <f t="shared" ca="1" si="582"/>
        <v>11</v>
      </c>
      <c r="AN1009" s="1" t="e">
        <f ca="1">IF(OR(VLOOKUP($A1009,MP,5,0)="季繳",VLOOKUP($A1009,MP,5,0)="月繳"),1,"")</f>
        <v>#N/A</v>
      </c>
      <c r="AO1009" s="1">
        <f t="shared" ca="1" si="563"/>
        <v>0</v>
      </c>
      <c r="AP1009" s="1" t="str">
        <f ca="1">IF(AND(A1009&lt;=OP!$C$120,COUNTIF(PAY,C1009)=1),1,"")</f>
        <v/>
      </c>
      <c r="AR1009" s="301">
        <f ca="1">IF(繳費報酬率資料!$A$1=1,$AY1009+$AZ1009,$BF1009+$BG1009)</f>
        <v>0</v>
      </c>
      <c r="AS1009" s="1">
        <f ca="1">IF(C1009&lt;&gt;IF($C$3=1,12,$C$3-1),0,IF(繳費報酬率資料!$A$1&lt;&gt;1,VLOOKUP($A1009,MP,8,0),IF(AND($A1009&gt;=OP!$C$79,$A1009&lt;=OP!$C$80),OP!$C$78,)))</f>
        <v>0</v>
      </c>
      <c r="AT1009" s="298">
        <f t="shared" ca="1" si="564"/>
        <v>0</v>
      </c>
      <c r="AU1009" s="298">
        <f ca="1">IF(AND(A1009&lt;=OP!$C$120,COUNTIF(PAY,C1009)=1),OP!$C$123,0)</f>
        <v>0</v>
      </c>
      <c r="AV1009" s="298">
        <f ca="1">IF(AND(A1009&gt;=OP!$C$132,A1009&lt;=OP!$C$133,$C$3=C1009),OP!$C$135,0)</f>
        <v>0</v>
      </c>
      <c r="AW1009" s="180">
        <f t="shared" ca="1" si="565"/>
        <v>0.05</v>
      </c>
      <c r="AX1009" s="180">
        <f t="shared" ca="1" si="566"/>
        <v>0.05</v>
      </c>
      <c r="AY1009" s="286">
        <f t="shared" ca="1" si="567"/>
        <v>0</v>
      </c>
      <c r="AZ1009" s="286">
        <f t="shared" ca="1" si="568"/>
        <v>0</v>
      </c>
      <c r="BA1009" s="286">
        <f t="shared" ca="1" si="569"/>
        <v>0</v>
      </c>
      <c r="BB1009" s="286">
        <f t="shared" ca="1" si="570"/>
        <v>0</v>
      </c>
      <c r="BC1009" s="286">
        <f t="shared" ca="1" si="571"/>
        <v>0</v>
      </c>
      <c r="BD1009" s="180">
        <f t="shared" ca="1" si="572"/>
        <v>0.05</v>
      </c>
      <c r="BE1009" s="180">
        <f t="shared" ca="1" si="573"/>
        <v>0.05</v>
      </c>
      <c r="BF1009" s="286">
        <f t="shared" ca="1" si="574"/>
        <v>0</v>
      </c>
      <c r="BG1009" s="286">
        <f t="shared" ca="1" si="575"/>
        <v>0</v>
      </c>
    </row>
    <row r="1010" spans="1:59">
      <c r="A1010" s="1">
        <f t="shared" ca="1" si="554"/>
        <v>84</v>
      </c>
      <c r="B1010" s="1">
        <f t="shared" ca="1" si="583"/>
        <v>190</v>
      </c>
      <c r="C1010" s="1">
        <f t="shared" ca="1" si="584"/>
        <v>4</v>
      </c>
      <c r="D1010" s="1">
        <f ca="1">MIN($D$3,VLOOKUP(C1010,OP!$S$30:$T$41,2))</f>
        <v>2</v>
      </c>
      <c r="E1010" s="1" t="str">
        <f t="shared" ca="1" si="580"/>
        <v/>
      </c>
      <c r="F1010" s="11" t="str">
        <f t="shared" ca="1" si="555"/>
        <v/>
      </c>
      <c r="G1010" s="8">
        <f t="shared" ca="1" si="586"/>
        <v>365</v>
      </c>
      <c r="H1010" s="8">
        <f t="shared" ca="1" si="557"/>
        <v>30</v>
      </c>
      <c r="I1010" s="8" t="str">
        <f t="shared" ca="1" si="553"/>
        <v>844</v>
      </c>
      <c r="J1010" s="13">
        <f>IF(繳費報酬率資料!$A$1=1,VALUE(OP!$C$121),VLOOKUP(A1010,MP,2,0))</f>
        <v>0.05</v>
      </c>
      <c r="K1010" s="14">
        <f ca="1">IF(SUM($K$4:K1009,IF(繳費報酬率資料!$A$1=1,$AU1010+$AV1010,$BB1010+$BC1010))&gt;OP!$L$58,0,IF(繳費報酬率資料!$A$1=1,$AU1010+$AV1010,$BB1010+$BC1010))</f>
        <v>0</v>
      </c>
      <c r="L1010" s="2"/>
      <c r="M1010" s="2"/>
      <c r="N1010" s="2"/>
      <c r="O1010" s="261">
        <f t="shared" ca="1" si="558"/>
        <v>0</v>
      </c>
      <c r="P1010" s="261">
        <f t="shared" ca="1" si="576"/>
        <v>0</v>
      </c>
      <c r="Q1010" s="3">
        <f ca="1">IF(A1010&gt;MAX(OP!$R$17:$R$26),0,VLOOKUP(A1010,fees,3,FALSE))</f>
        <v>0</v>
      </c>
      <c r="R1010" s="200" t="str">
        <f t="shared" ca="1" si="559"/>
        <v/>
      </c>
      <c r="S1010" s="9" t="str">
        <f ca="1">IF(COUNTIF(($T$4:T1009),"F")&gt;=1,"",IF(OR(C1011&lt;&gt;$C$3,E1010=""),"",A1010))</f>
        <v/>
      </c>
      <c r="T1010" s="20" t="str">
        <f t="shared" ca="1" si="581"/>
        <v/>
      </c>
      <c r="U1010" s="2">
        <f ca="1">IF(IF(OP!$C$83=1,$Z1009,IF(OP!$C$83=2,$AA1009,IF(OP!$C$83=3,$AB1009,)))+$K1010-$O1010-$P1010-$AS1010&lt;OP!$C$142,0,$AS1010)</f>
        <v>0</v>
      </c>
      <c r="V1010" s="9"/>
      <c r="W1010" s="19">
        <f ca="1">MAX(SUM($K$4:K1010),0)</f>
        <v>2000000</v>
      </c>
      <c r="X1010" s="19"/>
      <c r="Y1010" s="19">
        <f t="shared" ca="1" si="577"/>
        <v>1920000</v>
      </c>
      <c r="Z1010" s="2">
        <f ca="1">IF(MIN($Z$4:Z1009)=0,0,MAX(0,($Z1009+$K1010-$O1010-$P1010)*IF(AND(F1010="F",$D$3&lt;&gt;$G$3),((1+(-J1010))^(H1010/MIN(G1010,365))),((1+(-J1010))^(1/12)))-$U1010))</f>
        <v>25938.236108282472</v>
      </c>
      <c r="AA1010" s="2">
        <f ca="1">IF(MIN($AA$4:AA1009)=0,0,MAX(0,($AA1009+$K1010-$O1010-$P1010)*IF(AND(F1010="F",$D$3&lt;&gt;$G$3),((1+$AA$1)^(H1010/MIN(G1010,365))),((1+$AA$1)^(1/12)))-$U1010))</f>
        <v>1920000</v>
      </c>
      <c r="AB1010" s="2">
        <f ca="1">IF(MIN($AB$4:AB1009)=0,0,MAX(0,($AB1009+$K1010-$O1010-$P1010)*IF(AND(F1010="F",$D$3&lt;&gt;$G$3),((1+(J1010))^(H1010/MIN(G1010,365))),((1+(J1010))^(1/12)))-$U1010))</f>
        <v>115195781.56799071</v>
      </c>
      <c r="AC1010" s="5"/>
      <c r="AD1010" s="5"/>
      <c r="AE1010" s="5"/>
      <c r="AF1010" s="282">
        <f t="shared" ca="1" si="560"/>
        <v>25938</v>
      </c>
      <c r="AG1010" s="282">
        <f t="shared" ca="1" si="561"/>
        <v>1920000</v>
      </c>
      <c r="AH1010" s="282">
        <f t="shared" ca="1" si="562"/>
        <v>115195782</v>
      </c>
      <c r="AI1010" s="23" t="str">
        <f t="shared" ca="1" si="578"/>
        <v>84-12</v>
      </c>
      <c r="AJ1010" s="282">
        <f ca="1">IF(E1010&gt;111,,IF(AND(OP!$C$99=1,T1010="F"),Z1010,IF(AND(OP!$C$99=2,COUNTIF($T$4:T1010,"F")=1),OP!$C$97+IF(F1010="F",OP!$C$98,0),"")))</f>
        <v>0</v>
      </c>
      <c r="AK1010" s="282">
        <f ca="1">IF(E1010&gt;111,,IF(AND(OP!$D$99=1,T1010="F"),AA1010,IF(AND(OP!$D$99=2,COUNTIF($T$4:T1010,"F")=1),OP!$D$97+IF(F1010="F",OP!$D$98,0),"")))</f>
        <v>0</v>
      </c>
      <c r="AL1010" s="282">
        <f ca="1">IF(E1010&gt;111,,IF(AND(OP!$E$99=1,T1010="F"),AB1010,IF(AND(OP!$E$99=2,COUNTIF($T$4:T1010,"F")=1),OP!$E$97+IF(F1010="F",OP!$E$98,0),"")))</f>
        <v>0</v>
      </c>
      <c r="AM1010" s="1">
        <f t="shared" ca="1" si="582"/>
        <v>12</v>
      </c>
      <c r="AN1010" s="1" t="e">
        <f ca="1">IF(OR(VLOOKUP($A1010,MP,5,0)="月繳"),1,"")</f>
        <v>#N/A</v>
      </c>
      <c r="AO1010" s="1">
        <f t="shared" ca="1" si="563"/>
        <v>0</v>
      </c>
      <c r="AP1010" s="1" t="str">
        <f ca="1">IF(AND(A1010&lt;=OP!$C$120,COUNTIF(PAY,C1010)=1),1,"")</f>
        <v/>
      </c>
      <c r="AR1010" s="301">
        <f ca="1">IF(繳費報酬率資料!$A$1=1,$AY1010+$AZ1010,$BF1010+$BG1010)</f>
        <v>0</v>
      </c>
      <c r="AS1010" s="1">
        <f ca="1">IF(C1010&lt;&gt;IF($C$3=1,12,$C$3-1),0,IF(繳費報酬率資料!$A$1&lt;&gt;1,VLOOKUP($A1010,MP,8,0),IF(AND($A1010&gt;=OP!$C$79,$A1010&lt;=OP!$C$80),OP!$C$78,)))</f>
        <v>0</v>
      </c>
      <c r="AT1010" s="298">
        <f t="shared" ca="1" si="564"/>
        <v>0</v>
      </c>
      <c r="AU1010" s="298">
        <f ca="1">IF(AND(A1010&lt;=OP!$C$120,COUNTIF(PAY,C1010)=1),OP!$C$123,0)</f>
        <v>0</v>
      </c>
      <c r="AV1010" s="298">
        <f ca="1">IF(AND(A1010&gt;=OP!$C$132,A1010&lt;=OP!$C$133,$C$3=C1010),OP!$C$135,0)</f>
        <v>0</v>
      </c>
      <c r="AW1010" s="180">
        <f t="shared" ca="1" si="565"/>
        <v>0.05</v>
      </c>
      <c r="AX1010" s="180">
        <f t="shared" ca="1" si="566"/>
        <v>0.05</v>
      </c>
      <c r="AY1010" s="286">
        <f t="shared" ca="1" si="567"/>
        <v>0</v>
      </c>
      <c r="AZ1010" s="286">
        <f t="shared" ca="1" si="568"/>
        <v>0</v>
      </c>
      <c r="BA1010" s="286">
        <f t="shared" ca="1" si="569"/>
        <v>0</v>
      </c>
      <c r="BB1010" s="286">
        <f t="shared" ca="1" si="570"/>
        <v>0</v>
      </c>
      <c r="BC1010" s="286">
        <f t="shared" ca="1" si="571"/>
        <v>0</v>
      </c>
      <c r="BD1010" s="180">
        <f t="shared" ca="1" si="572"/>
        <v>0.05</v>
      </c>
      <c r="BE1010" s="180">
        <f t="shared" ca="1" si="573"/>
        <v>0.05</v>
      </c>
      <c r="BF1010" s="286">
        <f t="shared" ca="1" si="574"/>
        <v>0</v>
      </c>
      <c r="BG1010" s="286">
        <f t="shared" ca="1" si="575"/>
        <v>0</v>
      </c>
    </row>
    <row r="1011" spans="1:59">
      <c r="A1011" s="1">
        <f t="shared" ca="1" si="554"/>
        <v>84</v>
      </c>
      <c r="B1011" s="1">
        <f t="shared" ca="1" si="583"/>
        <v>190</v>
      </c>
      <c r="C1011" s="1">
        <f t="shared" ca="1" si="584"/>
        <v>5</v>
      </c>
      <c r="D1011" s="1">
        <f ca="1">MIN($D$3,VLOOKUP(C1011,OP!$S$30:$T$41,2))</f>
        <v>2</v>
      </c>
      <c r="E1011" s="1" t="str">
        <f t="shared" ca="1" si="580"/>
        <v/>
      </c>
      <c r="F1011" s="11" t="str">
        <f t="shared" ca="1" si="555"/>
        <v/>
      </c>
      <c r="G1011" s="8">
        <f t="shared" ca="1" si="586"/>
        <v>365</v>
      </c>
      <c r="H1011" s="8">
        <f t="shared" ca="1" si="557"/>
        <v>31</v>
      </c>
      <c r="I1011" s="8" t="str">
        <f t="shared" ca="1" si="553"/>
        <v>845</v>
      </c>
      <c r="J1011" s="13">
        <f>IF(繳費報酬率資料!$A$1=1,VALUE(OP!$C$121),VLOOKUP(A1011,MP,2,0))</f>
        <v>0.05</v>
      </c>
      <c r="K1011" s="14">
        <f ca="1">IF(SUM($K$4:K1010,IF(繳費報酬率資料!$A$1=1,$AU1011+$AV1011,$BB1011+$BC1011))&gt;OP!$L$58,0,IF(繳費報酬率資料!$A$1=1,$AU1011+$AV1011,$BB1011+$BC1011))</f>
        <v>0</v>
      </c>
      <c r="L1011" s="2">
        <f ca="1">ROUND(IF(OP!$C$78&lt;(IF(OR($T1011="F",$E1011&gt;=111),0,Z1010+$K1011-$O1011+IF($C$1=1,OP!$C$78,IF($C1012=$C$3,SUM(AC1000:AC1011,0)))))*5%,0,(OP!$C$78-((IF(OR($T1011="F",$E1011&gt;=111),0,Z1010+$K1011-$O1011+IF($C$1=1,AC1011,IF($C1012=$C$3,SUM(AC1000:AC1011,0)))))*5%))*$Q1011),0)</f>
        <v>0</v>
      </c>
      <c r="M1011" s="2">
        <f ca="1">ROUND(IF(OP!$C$78&lt;(IF(OR($T1011="F",$E1011&gt;=111),0,AA1010+$K1011-$O1011+IF($C$1=1,AD1011,IF($C1012=$C$3,SUM(AD1000:AD1011,0)))))*5%,0,(OP!$C$78-((IF(OR($T1011="F",$E1011&gt;=111),0,AA1010+$K1011-$O1011+IF($C$1=1,AD1011,IF($C1012=$C$3,SUM(AD1000:AD1011,0)))))*5%))*$Q1011),0)</f>
        <v>0</v>
      </c>
      <c r="N1011" s="2">
        <f ca="1">ROUND(IF(OP!$C$78&lt;(IF(OR($T1011="F",$E1011&gt;=111),0,AB1010+$K1011-$O1011+IF($C$1=1,AE1011,IF($C1012=$C$3,SUM(AE1000:AE1011,0)))))*5%,0,(OP!$C$78-((IF(OR($T1011="F",$E1011&gt;=111),0,AB1010+$K1011-$O1011+IF($C$1=1,AE1011,IF($C1012=$C$3,SUM(AE1000:AE1011,0)))))*5%))*$Q1011),0)</f>
        <v>0</v>
      </c>
      <c r="O1011" s="261">
        <f t="shared" ca="1" si="558"/>
        <v>0</v>
      </c>
      <c r="P1011" s="261">
        <f t="shared" ca="1" si="576"/>
        <v>0</v>
      </c>
      <c r="Q1011" s="3">
        <f ca="1">IF(A1011&gt;MAX(OP!$R$17:$R$26),0,VLOOKUP(A1011,fees,3,FALSE))</f>
        <v>0</v>
      </c>
      <c r="R1011" s="200" t="str">
        <f t="shared" ca="1" si="559"/>
        <v/>
      </c>
      <c r="S1011" s="9" t="str">
        <f ca="1">IF(COUNTIF(($T$4:T1010),"F")&gt;=1,"",IF(OR(C1012&lt;&gt;$C$3,E1011=""),"",A1011))</f>
        <v/>
      </c>
      <c r="T1011" s="20" t="str">
        <f t="shared" ca="1" si="581"/>
        <v/>
      </c>
      <c r="U1011" s="2">
        <f ca="1">IF(IF(OP!$C$83=1,$Z1010,IF(OP!$C$83=2,$AA1010,IF(OP!$C$83=3,$AB1010,)))+$K1011-$O1011-$P1011-$AS1011&lt;OP!$C$142,0,$AS1011)</f>
        <v>0</v>
      </c>
      <c r="V1011" s="19">
        <f ca="1">SUM(K1000:K1011)</f>
        <v>0</v>
      </c>
      <c r="W1011" s="19">
        <f ca="1">MAX(SUM($K$4:K1011),0)</f>
        <v>2000000</v>
      </c>
      <c r="X1011" s="19">
        <f ca="1">SUM(O1000:P1011)</f>
        <v>0</v>
      </c>
      <c r="Y1011" s="19">
        <f t="shared" ca="1" si="577"/>
        <v>1920000</v>
      </c>
      <c r="Z1011" s="2">
        <f ca="1">IF(MIN($Z$4:Z1010)=0,0,MAX(0,($Z1010+$K1011-$O1011-$P1011)*IF(AND(F1011="F",$D$3&lt;&gt;$G$3),((1+(-J1011))^(H1011/MIN(G1011,365))),((1+(-J1011))^(1/12)))-$U1011))</f>
        <v>25827.601262753014</v>
      </c>
      <c r="AA1011" s="2">
        <f ca="1">IF(MIN($AA$4:AA1010)=0,0,MAX(0,($AA1010+$K1011-$O1011-$P1011)*IF(AND(F1011="F",$D$3&lt;&gt;$G$3),((1+$AA$1)^(H1011/MIN(G1011,365))),((1+$AA$1)^(1/12)))-$U1011))</f>
        <v>1920000</v>
      </c>
      <c r="AB1011" s="2">
        <f ca="1">IF(MIN($AB$4:AB1010)=0,0,MAX(0,($AB1010+$K1011-$O1011-$P1011)*IF(AND(F1011="F",$D$3&lt;&gt;$G$3),((1+(J1011))^(H1011/MIN(G1011,365))),((1+(J1011))^(1/12)))-$U1011))</f>
        <v>115665103.44145282</v>
      </c>
      <c r="AC1011" s="5"/>
      <c r="AD1011" s="5"/>
      <c r="AE1011" s="5"/>
      <c r="AF1011" s="282">
        <f t="shared" ca="1" si="560"/>
        <v>25828</v>
      </c>
      <c r="AG1011" s="282">
        <f t="shared" ca="1" si="561"/>
        <v>1920000</v>
      </c>
      <c r="AH1011" s="282">
        <f t="shared" ca="1" si="562"/>
        <v>115665103</v>
      </c>
      <c r="AI1011" s="23" t="str">
        <f t="shared" ca="1" si="578"/>
        <v>85-1</v>
      </c>
      <c r="AJ1011" s="282">
        <f ca="1">IF(E1011&gt;111,,IF(AND(OP!$C$99=1,T1011="F"),Z1011,IF(AND(OP!$C$99=2,COUNTIF($T$4:T1011,"F")=1),OP!$C$97+IF(F1011="F",OP!$C$98,0),"")))</f>
        <v>0</v>
      </c>
      <c r="AK1011" s="282">
        <f ca="1">IF(E1011&gt;111,,IF(AND(OP!$D$99=1,T1011="F"),AA1011,IF(AND(OP!$D$99=2,COUNTIF($T$4:T1011,"F")=1),OP!$D$97+IF(F1011="F",OP!$D$98,0),"")))</f>
        <v>0</v>
      </c>
      <c r="AL1011" s="282">
        <f ca="1">IF(E1011&gt;111,,IF(AND(OP!$E$99=1,T1011="F"),AB1011,IF(AND(OP!$E$99=2,COUNTIF($T$4:T1011,"F")=1),OP!$E$97+IF(F1011="F",OP!$E$98,0),"")))</f>
        <v>0</v>
      </c>
      <c r="AM1011" s="1">
        <f t="shared" ca="1" si="582"/>
        <v>1</v>
      </c>
      <c r="AN1011" s="1" t="e">
        <f ca="1">IF(OR(VLOOKUP($A1011,MP,5,0)="月繳"),1,"")</f>
        <v>#N/A</v>
      </c>
      <c r="AO1011" s="1">
        <f t="shared" ca="1" si="563"/>
        <v>0</v>
      </c>
      <c r="AP1011" s="1" t="str">
        <f ca="1">IF(AND(A1011&lt;=OP!$C$120,COUNTIF(PAY,C1011)=1),1,"")</f>
        <v/>
      </c>
      <c r="AR1011" s="301">
        <f ca="1">IF(繳費報酬率資料!$A$1=1,$AY1011+$AZ1011,$BF1011+$BG1011)</f>
        <v>0</v>
      </c>
      <c r="AS1011" s="1">
        <f ca="1">IF(C1011&lt;&gt;IF($C$3=1,12,$C$3-1),0,IF(繳費報酬率資料!$A$1&lt;&gt;1,VLOOKUP($A1011,MP,8,0),IF(AND($A1011&gt;=OP!$C$79,$A1011&lt;=OP!$C$80),OP!$C$78,)))</f>
        <v>0</v>
      </c>
      <c r="AT1011" s="298">
        <f t="shared" ca="1" si="564"/>
        <v>0</v>
      </c>
      <c r="AU1011" s="298">
        <f ca="1">IF(AND(A1011&lt;=OP!$C$120,COUNTIF(PAY,C1011)=1),OP!$C$123,0)</f>
        <v>0</v>
      </c>
      <c r="AV1011" s="298">
        <f ca="1">IF(AND(A1011&gt;=OP!$C$132,A1011&lt;=OP!$C$133,$C$3=C1011),OP!$C$135,0)</f>
        <v>0</v>
      </c>
      <c r="AW1011" s="180">
        <f t="shared" ca="1" si="565"/>
        <v>0.05</v>
      </c>
      <c r="AX1011" s="180">
        <f t="shared" ca="1" si="566"/>
        <v>0.05</v>
      </c>
      <c r="AY1011" s="286">
        <f t="shared" ca="1" si="567"/>
        <v>0</v>
      </c>
      <c r="AZ1011" s="286">
        <f t="shared" ca="1" si="568"/>
        <v>0</v>
      </c>
      <c r="BA1011" s="286">
        <f t="shared" ca="1" si="569"/>
        <v>0</v>
      </c>
      <c r="BB1011" s="286">
        <f t="shared" ca="1" si="570"/>
        <v>0</v>
      </c>
      <c r="BC1011" s="286">
        <f t="shared" ca="1" si="571"/>
        <v>0</v>
      </c>
      <c r="BD1011" s="180">
        <f t="shared" ca="1" si="572"/>
        <v>0.05</v>
      </c>
      <c r="BE1011" s="180">
        <f t="shared" ca="1" si="573"/>
        <v>0.05</v>
      </c>
      <c r="BF1011" s="286">
        <f t="shared" ca="1" si="574"/>
        <v>0</v>
      </c>
      <c r="BG1011" s="286">
        <f t="shared" ca="1" si="575"/>
        <v>0</v>
      </c>
    </row>
    <row r="1012" spans="1:59">
      <c r="A1012" s="1">
        <f t="shared" ca="1" si="554"/>
        <v>85</v>
      </c>
      <c r="B1012" s="1">
        <f t="shared" ca="1" si="583"/>
        <v>190</v>
      </c>
      <c r="C1012" s="1">
        <f t="shared" ca="1" si="584"/>
        <v>6</v>
      </c>
      <c r="D1012" s="1">
        <f ca="1">MIN($D$3,VLOOKUP(C1012,OP!$S$30:$T$41,2))</f>
        <v>2</v>
      </c>
      <c r="E1012" s="1" t="str">
        <f t="shared" ca="1" si="580"/>
        <v/>
      </c>
      <c r="F1012" s="11" t="str">
        <f t="shared" ca="1" si="555"/>
        <v/>
      </c>
      <c r="G1012" s="6">
        <f ca="1">DATEDIF(DATE(B1012+1911,C1012,D1012),DATE(B1024+1911,C1024,D1024),"d")</f>
        <v>365</v>
      </c>
      <c r="H1012" s="8">
        <f t="shared" ca="1" si="557"/>
        <v>30</v>
      </c>
      <c r="I1012" s="8" t="str">
        <f t="shared" ca="1" si="553"/>
        <v>856</v>
      </c>
      <c r="J1012" s="13">
        <f>IF(繳費報酬率資料!$A$1=1,VALUE(OP!$C$121),VLOOKUP(A1012,MP,2,0))</f>
        <v>0.05</v>
      </c>
      <c r="K1012" s="14">
        <f ca="1">IF(SUM($K$4:K1011,IF(繳費報酬率資料!$A$1=1,$AU1012+$AV1012,$BB1012+$BC1012))&gt;OP!$L$58,0,IF(繳費報酬率資料!$A$1=1,$AU1012+$AV1012,$BB1012+$BC1012))</f>
        <v>0</v>
      </c>
      <c r="L1012" s="2"/>
      <c r="M1012" s="2"/>
      <c r="N1012" s="2"/>
      <c r="O1012" s="261">
        <f t="shared" ca="1" si="558"/>
        <v>0</v>
      </c>
      <c r="P1012" s="261">
        <f t="shared" ca="1" si="576"/>
        <v>0</v>
      </c>
      <c r="Q1012" s="3">
        <f ca="1">IF(A1012&gt;MAX(OP!$R$17:$R$26),0,VLOOKUP(A1012,fees,3,FALSE))</f>
        <v>0</v>
      </c>
      <c r="R1012" s="200" t="str">
        <f t="shared" ca="1" si="559"/>
        <v/>
      </c>
      <c r="S1012" s="9" t="str">
        <f ca="1">IF(COUNTIF(($T$4:T1011),"F")&gt;=1,"",IF(OR(C1013&lt;&gt;$C$3,E1012=""),"",A1012))</f>
        <v/>
      </c>
      <c r="T1012" s="20" t="str">
        <f t="shared" ca="1" si="581"/>
        <v/>
      </c>
      <c r="U1012" s="2">
        <f ca="1">IF(IF(OP!$C$83=1,$Z1011,IF(OP!$C$83=2,$AA1011,IF(OP!$C$83=3,$AB1011,)))+$K1012-$O1012-$P1012-$AS1012&lt;OP!$C$142,0,$AS1012)</f>
        <v>0</v>
      </c>
      <c r="V1012" s="9"/>
      <c r="W1012" s="19">
        <f ca="1">MAX(SUM($K$4:K1012),0)</f>
        <v>2000000</v>
      </c>
      <c r="X1012" s="19"/>
      <c r="Y1012" s="19">
        <f t="shared" ca="1" si="577"/>
        <v>1920000</v>
      </c>
      <c r="Z1012" s="2">
        <f ca="1">IF(MIN($Z$4:Z1011)=0,0,MAX(0,($Z1011+$K1012-$O1012-$P1012)*IF(AND(F1012="F",$D$3&lt;&gt;$G$3),((1+(-J1012))^(H1012/MIN(G1012,365))),((1+(-J1012))^(1/12)))-$U1012))</f>
        <v>25717.438310107646</v>
      </c>
      <c r="AA1012" s="2">
        <f ca="1">IF(MIN($AA$4:AA1011)=0,0,MAX(0,($AA1011+$K1012-$O1012-$P1012)*IF(AND(F1012="F",$D$3&lt;&gt;$G$3),((1+$AA$1)^(H1012/MIN(G1012,365))),((1+$AA$1)^(1/12)))-$U1012))</f>
        <v>1920000</v>
      </c>
      <c r="AB1012" s="2">
        <f ca="1">IF(MIN($AB$4:AB1011)=0,0,MAX(0,($AB1011+$K1012-$O1012-$P1012)*IF(AND(F1012="F",$D$3&lt;&gt;$G$3),((1+(J1012))^(H1012/MIN(G1012,365))),((1+(J1012))^(1/12)))-$U1012))</f>
        <v>116136337.39032179</v>
      </c>
      <c r="AC1012" s="21"/>
      <c r="AD1012" s="21"/>
      <c r="AE1012" s="21"/>
      <c r="AF1012" s="282">
        <f t="shared" ca="1" si="560"/>
        <v>25717</v>
      </c>
      <c r="AG1012" s="282">
        <f t="shared" ca="1" si="561"/>
        <v>1920000</v>
      </c>
      <c r="AH1012" s="282">
        <f t="shared" ca="1" si="562"/>
        <v>116136337</v>
      </c>
      <c r="AI1012" s="23" t="str">
        <f t="shared" ca="1" si="578"/>
        <v>85-2</v>
      </c>
      <c r="AJ1012" s="281">
        <f ca="1">IF(E1012&gt;111,,IF(AND(OP!$C$99=1,T1012="F"),Z1012,IF(AND(OP!$C$99=2,COUNTIF($T$4:T1012,"F")=1),OP!$C$97+IF(F1012="F",OP!$C$98,0),"")))</f>
        <v>0</v>
      </c>
      <c r="AK1012" s="281">
        <f ca="1">IF(E1012&gt;111,,IF(AND(OP!$D$99=1,T1012="F"),AA1012,IF(AND(OP!$D$99=2,COUNTIF($T$4:T1012,"F")=1),OP!$D$97+IF(F1012="F",OP!$D$98,0),"")))</f>
        <v>0</v>
      </c>
      <c r="AL1012" s="281">
        <f ca="1">IF(E1012&gt;111,,IF(AND(OP!$E$99=1,T1012="F"),AB1012,IF(AND(OP!$E$99=2,COUNTIF($T$4:T1012,"F")=1),OP!$E$97+IF(F1012="F",OP!$E$98,0),"")))</f>
        <v>0</v>
      </c>
      <c r="AM1012" s="1">
        <f t="shared" ca="1" si="582"/>
        <v>2</v>
      </c>
      <c r="AN1012" s="1" t="e">
        <f ca="1">IF(OR(VLOOKUP($A1012,MP,5,0)="年繳",VLOOKUP($A1012,MP,5,0)="半年繳",VLOOKUP($A1012,MP,5,0)="季繳",VLOOKUP($A1012,MP,5,0)="月繳"),1,"")</f>
        <v>#N/A</v>
      </c>
      <c r="AO1012" s="1">
        <f t="shared" ca="1" si="563"/>
        <v>0</v>
      </c>
      <c r="AP1012" s="1" t="str">
        <f ca="1">IF(AND(A1012&lt;=OP!$C$120,COUNTIF(PAY,C1012)=1),1,"")</f>
        <v/>
      </c>
      <c r="AR1012" s="301">
        <f ca="1">IF(繳費報酬率資料!$A$1=1,$AY1012+$AZ1012,$BF1012+$BG1012)</f>
        <v>0</v>
      </c>
      <c r="AS1012" s="1">
        <f ca="1">IF(C1012&lt;&gt;IF($C$3=1,12,$C$3-1),0,IF(繳費報酬率資料!$A$1&lt;&gt;1,VLOOKUP($A1012,MP,8,0),IF(AND($A1012&gt;=OP!$C$79,$A1012&lt;=OP!$C$80),OP!$C$78,)))</f>
        <v>0</v>
      </c>
      <c r="AT1012" s="298">
        <f t="shared" ca="1" si="564"/>
        <v>0</v>
      </c>
      <c r="AU1012" s="298">
        <f ca="1">IF(AND(A1012&lt;=OP!$C$120,COUNTIF(PAY,C1012)=1),OP!$C$123,0)</f>
        <v>0</v>
      </c>
      <c r="AV1012" s="298">
        <f ca="1">IF(AND(A1012&gt;=OP!$C$132,A1012&lt;=OP!$C$133,$C$3=C1012),OP!$C$135,0)</f>
        <v>0</v>
      </c>
      <c r="AW1012" s="180">
        <f t="shared" ca="1" si="565"/>
        <v>0.05</v>
      </c>
      <c r="AX1012" s="180">
        <f t="shared" ca="1" si="566"/>
        <v>0.05</v>
      </c>
      <c r="AY1012" s="286">
        <f t="shared" ca="1" si="567"/>
        <v>0</v>
      </c>
      <c r="AZ1012" s="286">
        <f t="shared" ca="1" si="568"/>
        <v>0</v>
      </c>
      <c r="BA1012" s="286">
        <f t="shared" ca="1" si="569"/>
        <v>0</v>
      </c>
      <c r="BB1012" s="286">
        <f t="shared" ca="1" si="570"/>
        <v>0</v>
      </c>
      <c r="BC1012" s="286">
        <f t="shared" ca="1" si="571"/>
        <v>0</v>
      </c>
      <c r="BD1012" s="180">
        <f t="shared" ca="1" si="572"/>
        <v>0.05</v>
      </c>
      <c r="BE1012" s="180">
        <f t="shared" ca="1" si="573"/>
        <v>0.05</v>
      </c>
      <c r="BF1012" s="286">
        <f t="shared" ca="1" si="574"/>
        <v>0</v>
      </c>
      <c r="BG1012" s="286">
        <f t="shared" ca="1" si="575"/>
        <v>0</v>
      </c>
    </row>
    <row r="1013" spans="1:59">
      <c r="A1013" s="1">
        <f t="shared" ca="1" si="554"/>
        <v>85</v>
      </c>
      <c r="B1013" s="1">
        <f t="shared" ca="1" si="583"/>
        <v>190</v>
      </c>
      <c r="C1013" s="1">
        <f t="shared" ca="1" si="584"/>
        <v>7</v>
      </c>
      <c r="D1013" s="1">
        <f ca="1">MIN($D$3,VLOOKUP(C1013,OP!$S$30:$T$41,2))</f>
        <v>2</v>
      </c>
      <c r="E1013" s="1" t="str">
        <f t="shared" ca="1" si="580"/>
        <v/>
      </c>
      <c r="F1013" s="11" t="str">
        <f t="shared" ca="1" si="555"/>
        <v/>
      </c>
      <c r="G1013" s="8">
        <f t="shared" ref="G1013:G1023" ca="1" si="587">G1012</f>
        <v>365</v>
      </c>
      <c r="H1013" s="8">
        <f t="shared" ca="1" si="557"/>
        <v>31</v>
      </c>
      <c r="I1013" s="8" t="str">
        <f t="shared" ca="1" si="553"/>
        <v>857</v>
      </c>
      <c r="J1013" s="13">
        <f>IF(繳費報酬率資料!$A$1=1,VALUE(OP!$C$121),VLOOKUP(A1013,MP,2,0))</f>
        <v>0.05</v>
      </c>
      <c r="K1013" s="14">
        <f ca="1">IF(SUM($K$4:K1012,IF(繳費報酬率資料!$A$1=1,$AU1013+$AV1013,$BB1013+$BC1013))&gt;OP!$L$58,0,IF(繳費報酬率資料!$A$1=1,$AU1013+$AV1013,$BB1013+$BC1013))</f>
        <v>0</v>
      </c>
      <c r="L1013" s="2"/>
      <c r="M1013" s="2"/>
      <c r="N1013" s="2"/>
      <c r="O1013" s="261">
        <f t="shared" ca="1" si="558"/>
        <v>0</v>
      </c>
      <c r="P1013" s="261">
        <f t="shared" ca="1" si="576"/>
        <v>0</v>
      </c>
      <c r="Q1013" s="3">
        <f ca="1">IF(A1013&gt;MAX(OP!$R$17:$R$26),0,VLOOKUP(A1013,fees,3,FALSE))</f>
        <v>0</v>
      </c>
      <c r="R1013" s="200" t="str">
        <f t="shared" ca="1" si="559"/>
        <v/>
      </c>
      <c r="S1013" s="9" t="str">
        <f ca="1">IF(COUNTIF(($T$4:T1012),"F")&gt;=1,"",IF(OR(C1014&lt;&gt;$C$3,E1013=""),"",A1013))</f>
        <v/>
      </c>
      <c r="T1013" s="20" t="str">
        <f t="shared" ca="1" si="581"/>
        <v/>
      </c>
      <c r="U1013" s="2">
        <f ca="1">IF(IF(OP!$C$83=1,$Z1012,IF(OP!$C$83=2,$AA1012,IF(OP!$C$83=3,$AB1012,)))+$K1013-$O1013-$P1013-$AS1013&lt;OP!$C$142,0,$AS1013)</f>
        <v>0</v>
      </c>
      <c r="V1013" s="9"/>
      <c r="W1013" s="19">
        <f ca="1">MAX(SUM($K$4:K1013),0)</f>
        <v>2000000</v>
      </c>
      <c r="X1013" s="19"/>
      <c r="Y1013" s="19">
        <f t="shared" ca="1" si="577"/>
        <v>1920000</v>
      </c>
      <c r="Z1013" s="2">
        <f ca="1">IF(MIN($Z$4:Z1012)=0,0,MAX(0,($Z1012+$K1013-$O1013-$P1013)*IF(AND(F1013="F",$D$3&lt;&gt;$G$3),((1+(-J1013))^(H1013/MIN(G1013,365))),((1+(-J1013))^(1/12)))-$U1013))</f>
        <v>25607.745237572784</v>
      </c>
      <c r="AA1013" s="2">
        <f ca="1">IF(MIN($AA$4:AA1012)=0,0,MAX(0,($AA1012+$K1013-$O1013-$P1013)*IF(AND(F1013="F",$D$3&lt;&gt;$G$3),((1+$AA$1)^(H1013/MIN(G1013,365))),((1+$AA$1)^(1/12)))-$U1013))</f>
        <v>1920000</v>
      </c>
      <c r="AB1013" s="2">
        <f ca="1">IF(MIN($AB$4:AB1012)=0,0,MAX(0,($AB1012+$K1013-$O1013-$P1013)*IF(AND(F1013="F",$D$3&lt;&gt;$G$3),((1+(J1013))^(H1013/MIN(G1013,365))),((1+(J1013))^(1/12)))-$U1013))</f>
        <v>116609491.20462951</v>
      </c>
      <c r="AC1013" s="5"/>
      <c r="AD1013" s="5"/>
      <c r="AE1013" s="5"/>
      <c r="AF1013" s="282">
        <f t="shared" ca="1" si="560"/>
        <v>25608</v>
      </c>
      <c r="AG1013" s="282">
        <f t="shared" ca="1" si="561"/>
        <v>1920000</v>
      </c>
      <c r="AH1013" s="282">
        <f t="shared" ca="1" si="562"/>
        <v>116609491</v>
      </c>
      <c r="AI1013" s="23" t="str">
        <f t="shared" ca="1" si="578"/>
        <v>85-3</v>
      </c>
      <c r="AJ1013" s="282">
        <f ca="1">IF(E1013&gt;111,,IF(AND(OP!$C$99=1,T1013="F"),Z1013,IF(AND(OP!$C$99=2,COUNTIF($T$4:T1013,"F")=1),OP!$C$97+IF(F1013="F",OP!$C$98,0),"")))</f>
        <v>0</v>
      </c>
      <c r="AK1013" s="282">
        <f ca="1">IF(E1013&gt;111,,IF(AND(OP!$D$99=1,T1013="F"),AA1013,IF(AND(OP!$D$99=2,COUNTIF($T$4:T1013,"F")=1),OP!$D$97+IF(F1013="F",OP!$D$98,0),"")))</f>
        <v>0</v>
      </c>
      <c r="AL1013" s="282">
        <f ca="1">IF(E1013&gt;111,,IF(AND(OP!$E$99=1,T1013="F"),AB1013,IF(AND(OP!$E$99=2,COUNTIF($T$4:T1013,"F")=1),OP!$E$97+IF(F1013="F",OP!$E$98,0),"")))</f>
        <v>0</v>
      </c>
      <c r="AM1013" s="1">
        <f t="shared" ca="1" si="582"/>
        <v>3</v>
      </c>
      <c r="AN1013" s="1" t="e">
        <f ca="1">IF(OR(VLOOKUP($A1013,MP,5,0)="月繳"),1,"")</f>
        <v>#N/A</v>
      </c>
      <c r="AO1013" s="1">
        <f t="shared" ca="1" si="563"/>
        <v>0</v>
      </c>
      <c r="AP1013" s="1" t="str">
        <f ca="1">IF(AND(A1013&lt;=OP!$C$120,COUNTIF(PAY,C1013)=1),1,"")</f>
        <v/>
      </c>
      <c r="AR1013" s="301">
        <f ca="1">IF(繳費報酬率資料!$A$1=1,$AY1013+$AZ1013,$BF1013+$BG1013)</f>
        <v>0</v>
      </c>
      <c r="AS1013" s="1">
        <f ca="1">IF(C1013&lt;&gt;IF($C$3=1,12,$C$3-1),0,IF(繳費報酬率資料!$A$1&lt;&gt;1,VLOOKUP($A1013,MP,8,0),IF(AND($A1013&gt;=OP!$C$79,$A1013&lt;=OP!$C$80),OP!$C$78,)))</f>
        <v>0</v>
      </c>
      <c r="AT1013" s="298">
        <f t="shared" ca="1" si="564"/>
        <v>0</v>
      </c>
      <c r="AU1013" s="298">
        <f ca="1">IF(AND(A1013&lt;=OP!$C$120,COUNTIF(PAY,C1013)=1),OP!$C$123,0)</f>
        <v>0</v>
      </c>
      <c r="AV1013" s="298">
        <f ca="1">IF(AND(A1013&gt;=OP!$C$132,A1013&lt;=OP!$C$133,$C$3=C1013),OP!$C$135,0)</f>
        <v>0</v>
      </c>
      <c r="AW1013" s="180">
        <f t="shared" ca="1" si="565"/>
        <v>0.05</v>
      </c>
      <c r="AX1013" s="180">
        <f t="shared" ca="1" si="566"/>
        <v>0.05</v>
      </c>
      <c r="AY1013" s="286">
        <f t="shared" ca="1" si="567"/>
        <v>0</v>
      </c>
      <c r="AZ1013" s="286">
        <f t="shared" ca="1" si="568"/>
        <v>0</v>
      </c>
      <c r="BA1013" s="286">
        <f t="shared" ca="1" si="569"/>
        <v>0</v>
      </c>
      <c r="BB1013" s="286">
        <f t="shared" ca="1" si="570"/>
        <v>0</v>
      </c>
      <c r="BC1013" s="286">
        <f t="shared" ca="1" si="571"/>
        <v>0</v>
      </c>
      <c r="BD1013" s="180">
        <f t="shared" ca="1" si="572"/>
        <v>0.05</v>
      </c>
      <c r="BE1013" s="180">
        <f t="shared" ca="1" si="573"/>
        <v>0.05</v>
      </c>
      <c r="BF1013" s="286">
        <f t="shared" ca="1" si="574"/>
        <v>0</v>
      </c>
      <c r="BG1013" s="286">
        <f t="shared" ca="1" si="575"/>
        <v>0</v>
      </c>
    </row>
    <row r="1014" spans="1:59">
      <c r="A1014" s="1">
        <f t="shared" ca="1" si="554"/>
        <v>85</v>
      </c>
      <c r="B1014" s="1">
        <f t="shared" ca="1" si="583"/>
        <v>190</v>
      </c>
      <c r="C1014" s="1">
        <f t="shared" ca="1" si="584"/>
        <v>8</v>
      </c>
      <c r="D1014" s="1">
        <f ca="1">MIN($D$3,VLOOKUP(C1014,OP!$S$30:$T$41,2))</f>
        <v>2</v>
      </c>
      <c r="E1014" s="1" t="str">
        <f t="shared" ca="1" si="580"/>
        <v/>
      </c>
      <c r="F1014" s="11" t="str">
        <f t="shared" ca="1" si="555"/>
        <v/>
      </c>
      <c r="G1014" s="8">
        <f t="shared" ca="1" si="587"/>
        <v>365</v>
      </c>
      <c r="H1014" s="8">
        <f t="shared" ca="1" si="557"/>
        <v>31</v>
      </c>
      <c r="I1014" s="8" t="str">
        <f t="shared" ca="1" si="553"/>
        <v>858</v>
      </c>
      <c r="J1014" s="13">
        <f>IF(繳費報酬率資料!$A$1=1,VALUE(OP!$C$121),VLOOKUP(A1014,MP,2,0))</f>
        <v>0.05</v>
      </c>
      <c r="K1014" s="14">
        <f ca="1">IF(SUM($K$4:K1013,IF(繳費報酬率資料!$A$1=1,$AU1014+$AV1014,$BB1014+$BC1014))&gt;OP!$L$58,0,IF(繳費報酬率資料!$A$1=1,$AU1014+$AV1014,$BB1014+$BC1014))</f>
        <v>0</v>
      </c>
      <c r="L1014" s="2"/>
      <c r="M1014" s="2"/>
      <c r="N1014" s="2"/>
      <c r="O1014" s="261">
        <f t="shared" ca="1" si="558"/>
        <v>0</v>
      </c>
      <c r="P1014" s="261">
        <f t="shared" ca="1" si="576"/>
        <v>0</v>
      </c>
      <c r="Q1014" s="3">
        <f ca="1">IF(A1014&gt;MAX(OP!$R$17:$R$26),0,VLOOKUP(A1014,fees,3,FALSE))</f>
        <v>0</v>
      </c>
      <c r="R1014" s="200" t="str">
        <f t="shared" ca="1" si="559"/>
        <v/>
      </c>
      <c r="S1014" s="9" t="str">
        <f ca="1">IF(COUNTIF(($T$4:T1013),"F")&gt;=1,"",IF(OR(C1015&lt;&gt;$C$3,E1014=""),"",A1014))</f>
        <v/>
      </c>
      <c r="T1014" s="20" t="str">
        <f t="shared" ca="1" si="581"/>
        <v/>
      </c>
      <c r="U1014" s="2">
        <f ca="1">IF(IF(OP!$C$83=1,$Z1013,IF(OP!$C$83=2,$AA1013,IF(OP!$C$83=3,$AB1013,)))+$K1014-$O1014-$P1014-$AS1014&lt;OP!$C$142,0,$AS1014)</f>
        <v>0</v>
      </c>
      <c r="V1014" s="9"/>
      <c r="W1014" s="19">
        <f ca="1">MAX(SUM($K$4:K1014),0)</f>
        <v>2000000</v>
      </c>
      <c r="X1014" s="19"/>
      <c r="Y1014" s="19">
        <f t="shared" ca="1" si="577"/>
        <v>1920000</v>
      </c>
      <c r="Z1014" s="2">
        <f ca="1">IF(MIN($Z$4:Z1013)=0,0,MAX(0,($Z1013+$K1014-$O1014-$P1014)*IF(AND(F1014="F",$D$3&lt;&gt;$G$3),((1+(-J1014))^(H1014/MIN(G1014,365))),((1+(-J1014))^(1/12)))-$U1014))</f>
        <v>25498.520040959975</v>
      </c>
      <c r="AA1014" s="2">
        <f ca="1">IF(MIN($AA$4:AA1013)=0,0,MAX(0,($AA1013+$K1014-$O1014-$P1014)*IF(AND(F1014="F",$D$3&lt;&gt;$G$3),((1+$AA$1)^(H1014/MIN(G1014,365))),((1+$AA$1)^(1/12)))-$U1014))</f>
        <v>1920000</v>
      </c>
      <c r="AB1014" s="2">
        <f ca="1">IF(MIN($AB$4:AB1013)=0,0,MAX(0,($AB1013+$K1014-$O1014-$P1014)*IF(AND(F1014="F",$D$3&lt;&gt;$G$3),((1+(J1014))^(H1014/MIN(G1014,365))),((1+(J1014))^(1/12)))-$U1014))</f>
        <v>117084572.70614542</v>
      </c>
      <c r="AC1014" s="5"/>
      <c r="AD1014" s="5"/>
      <c r="AE1014" s="5"/>
      <c r="AF1014" s="282">
        <f t="shared" ca="1" si="560"/>
        <v>25499</v>
      </c>
      <c r="AG1014" s="282">
        <f t="shared" ca="1" si="561"/>
        <v>1920000</v>
      </c>
      <c r="AH1014" s="282">
        <f t="shared" ca="1" si="562"/>
        <v>117084573</v>
      </c>
      <c r="AI1014" s="23" t="str">
        <f t="shared" ca="1" si="578"/>
        <v>85-4</v>
      </c>
      <c r="AJ1014" s="282">
        <f ca="1">IF(E1014&gt;111,,IF(AND(OP!$C$99=1,T1014="F"),Z1014,IF(AND(OP!$C$99=2,COUNTIF($T$4:T1014,"F")=1),OP!$C$97+IF(F1014="F",OP!$C$98,0),"")))</f>
        <v>0</v>
      </c>
      <c r="AK1014" s="282">
        <f ca="1">IF(E1014&gt;111,,IF(AND(OP!$D$99=1,T1014="F"),AA1014,IF(AND(OP!$D$99=2,COUNTIF($T$4:T1014,"F")=1),OP!$D$97+IF(F1014="F",OP!$D$98,0),"")))</f>
        <v>0</v>
      </c>
      <c r="AL1014" s="282">
        <f ca="1">IF(E1014&gt;111,,IF(AND(OP!$E$99=1,T1014="F"),AB1014,IF(AND(OP!$E$99=2,COUNTIF($T$4:T1014,"F")=1),OP!$E$97+IF(F1014="F",OP!$E$98,0),"")))</f>
        <v>0</v>
      </c>
      <c r="AM1014" s="1">
        <f t="shared" ca="1" si="582"/>
        <v>4</v>
      </c>
      <c r="AN1014" s="1" t="e">
        <f ca="1">IF(OR(VLOOKUP($A1014,MP,5,0)="月繳"),1,"")</f>
        <v>#N/A</v>
      </c>
      <c r="AO1014" s="1">
        <f t="shared" ca="1" si="563"/>
        <v>0</v>
      </c>
      <c r="AP1014" s="1" t="str">
        <f ca="1">IF(AND(A1014&lt;=OP!$C$120,COUNTIF(PAY,C1014)=1),1,"")</f>
        <v/>
      </c>
      <c r="AR1014" s="301">
        <f ca="1">IF(繳費報酬率資料!$A$1=1,$AY1014+$AZ1014,$BF1014+$BG1014)</f>
        <v>0</v>
      </c>
      <c r="AS1014" s="1">
        <f ca="1">IF(C1014&lt;&gt;IF($C$3=1,12,$C$3-1),0,IF(繳費報酬率資料!$A$1&lt;&gt;1,VLOOKUP($A1014,MP,8,0),IF(AND($A1014&gt;=OP!$C$79,$A1014&lt;=OP!$C$80),OP!$C$78,)))</f>
        <v>0</v>
      </c>
      <c r="AT1014" s="298">
        <f t="shared" ca="1" si="564"/>
        <v>0</v>
      </c>
      <c r="AU1014" s="298">
        <f ca="1">IF(AND(A1014&lt;=OP!$C$120,COUNTIF(PAY,C1014)=1),OP!$C$123,0)</f>
        <v>0</v>
      </c>
      <c r="AV1014" s="298">
        <f ca="1">IF(AND(A1014&gt;=OP!$C$132,A1014&lt;=OP!$C$133,$C$3=C1014),OP!$C$135,0)</f>
        <v>0</v>
      </c>
      <c r="AW1014" s="180">
        <f t="shared" ca="1" si="565"/>
        <v>0.05</v>
      </c>
      <c r="AX1014" s="180">
        <f t="shared" ca="1" si="566"/>
        <v>0.05</v>
      </c>
      <c r="AY1014" s="286">
        <f t="shared" ca="1" si="567"/>
        <v>0</v>
      </c>
      <c r="AZ1014" s="286">
        <f t="shared" ca="1" si="568"/>
        <v>0</v>
      </c>
      <c r="BA1014" s="286">
        <f t="shared" ca="1" si="569"/>
        <v>0</v>
      </c>
      <c r="BB1014" s="286">
        <f t="shared" ca="1" si="570"/>
        <v>0</v>
      </c>
      <c r="BC1014" s="286">
        <f t="shared" ca="1" si="571"/>
        <v>0</v>
      </c>
      <c r="BD1014" s="180">
        <f t="shared" ca="1" si="572"/>
        <v>0.05</v>
      </c>
      <c r="BE1014" s="180">
        <f t="shared" ca="1" si="573"/>
        <v>0.05</v>
      </c>
      <c r="BF1014" s="286">
        <f t="shared" ca="1" si="574"/>
        <v>0</v>
      </c>
      <c r="BG1014" s="286">
        <f t="shared" ca="1" si="575"/>
        <v>0</v>
      </c>
    </row>
    <row r="1015" spans="1:59">
      <c r="A1015" s="1">
        <f t="shared" ca="1" si="554"/>
        <v>85</v>
      </c>
      <c r="B1015" s="1">
        <f t="shared" ca="1" si="583"/>
        <v>190</v>
      </c>
      <c r="C1015" s="1">
        <f t="shared" ca="1" si="584"/>
        <v>9</v>
      </c>
      <c r="D1015" s="1">
        <f ca="1">MIN($D$3,VLOOKUP(C1015,OP!$S$30:$T$41,2))</f>
        <v>2</v>
      </c>
      <c r="E1015" s="1" t="str">
        <f t="shared" ca="1" si="580"/>
        <v/>
      </c>
      <c r="F1015" s="11" t="str">
        <f t="shared" ca="1" si="555"/>
        <v/>
      </c>
      <c r="G1015" s="8">
        <f t="shared" ca="1" si="587"/>
        <v>365</v>
      </c>
      <c r="H1015" s="8">
        <f t="shared" ca="1" si="557"/>
        <v>30</v>
      </c>
      <c r="I1015" s="8" t="str">
        <f t="shared" ca="1" si="553"/>
        <v>859</v>
      </c>
      <c r="J1015" s="13">
        <f>IF(繳費報酬率資料!$A$1=1,VALUE(OP!$C$121),VLOOKUP(A1015,MP,2,0))</f>
        <v>0.05</v>
      </c>
      <c r="K1015" s="14">
        <f ca="1">IF(SUM($K$4:K1014,IF(繳費報酬率資料!$A$1=1,$AU1015+$AV1015,$BB1015+$BC1015))&gt;OP!$L$58,0,IF(繳費報酬率資料!$A$1=1,$AU1015+$AV1015,$BB1015+$BC1015))</f>
        <v>0</v>
      </c>
      <c r="L1015" s="2"/>
      <c r="M1015" s="2"/>
      <c r="N1015" s="2"/>
      <c r="O1015" s="261">
        <f t="shared" ca="1" si="558"/>
        <v>0</v>
      </c>
      <c r="P1015" s="261">
        <f t="shared" ca="1" si="576"/>
        <v>0</v>
      </c>
      <c r="Q1015" s="3">
        <f ca="1">IF(A1015&gt;MAX(OP!$R$17:$R$26),0,VLOOKUP(A1015,fees,3,FALSE))</f>
        <v>0</v>
      </c>
      <c r="R1015" s="200" t="str">
        <f t="shared" ca="1" si="559"/>
        <v/>
      </c>
      <c r="S1015" s="9" t="str">
        <f ca="1">IF(COUNTIF(($T$4:T1014),"F")&gt;=1,"",IF(OR(C1016&lt;&gt;$C$3,E1015=""),"",A1015))</f>
        <v/>
      </c>
      <c r="T1015" s="20" t="str">
        <f t="shared" ca="1" si="581"/>
        <v/>
      </c>
      <c r="U1015" s="2">
        <f ca="1">IF(IF(OP!$C$83=1,$Z1014,IF(OP!$C$83=2,$AA1014,IF(OP!$C$83=3,$AB1014,)))+$K1015-$O1015-$P1015-$AS1015&lt;OP!$C$142,0,$AS1015)</f>
        <v>0</v>
      </c>
      <c r="V1015" s="9"/>
      <c r="W1015" s="19">
        <f ca="1">MAX(SUM($K$4:K1015),0)</f>
        <v>2000000</v>
      </c>
      <c r="X1015" s="19"/>
      <c r="Y1015" s="19">
        <f t="shared" ca="1" si="577"/>
        <v>1920000</v>
      </c>
      <c r="Z1015" s="2">
        <f ca="1">IF(MIN($Z$4:Z1014)=0,0,MAX(0,($Z1014+$K1015-$O1015-$P1015)*IF(AND(F1015="F",$D$3&lt;&gt;$G$3),((1+(-J1015))^(H1015/MIN(G1015,365))),((1+(-J1015))^(1/12)))-$U1015))</f>
        <v>25389.760724629261</v>
      </c>
      <c r="AA1015" s="2">
        <f ca="1">IF(MIN($AA$4:AA1014)=0,0,MAX(0,($AA1014+$K1015-$O1015-$P1015)*IF(AND(F1015="F",$D$3&lt;&gt;$G$3),((1+$AA$1)^(H1015/MIN(G1015,365))),((1+$AA$1)^(1/12)))-$U1015))</f>
        <v>1920000</v>
      </c>
      <c r="AB1015" s="2">
        <f ca="1">IF(MIN($AB$4:AB1014)=0,0,MAX(0,($AB1014+$K1015-$O1015-$P1015)*IF(AND(F1015="F",$D$3&lt;&gt;$G$3),((1+(J1015))^(H1015/MIN(G1015,365))),((1+(J1015))^(1/12)))-$U1015))</f>
        <v>117561589.74850583</v>
      </c>
      <c r="AC1015" s="5"/>
      <c r="AD1015" s="5"/>
      <c r="AE1015" s="5"/>
      <c r="AF1015" s="282">
        <f t="shared" ca="1" si="560"/>
        <v>25390</v>
      </c>
      <c r="AG1015" s="282">
        <f t="shared" ca="1" si="561"/>
        <v>1920000</v>
      </c>
      <c r="AH1015" s="282">
        <f t="shared" ca="1" si="562"/>
        <v>117561590</v>
      </c>
      <c r="AI1015" s="23" t="str">
        <f t="shared" ca="1" si="578"/>
        <v>85-5</v>
      </c>
      <c r="AJ1015" s="282">
        <f ca="1">IF(E1015&gt;111,,IF(AND(OP!$C$99=1,T1015="F"),Z1015,IF(AND(OP!$C$99=2,COUNTIF($T$4:T1015,"F")=1),OP!$C$97+IF(F1015="F",OP!$C$98,0),"")))</f>
        <v>0</v>
      </c>
      <c r="AK1015" s="282">
        <f ca="1">IF(E1015&gt;111,,IF(AND(OP!$D$99=1,T1015="F"),AA1015,IF(AND(OP!$D$99=2,COUNTIF($T$4:T1015,"F")=1),OP!$D$97+IF(F1015="F",OP!$D$98,0),"")))</f>
        <v>0</v>
      </c>
      <c r="AL1015" s="282">
        <f ca="1">IF(E1015&gt;111,,IF(AND(OP!$E$99=1,T1015="F"),AB1015,IF(AND(OP!$E$99=2,COUNTIF($T$4:T1015,"F")=1),OP!$E$97+IF(F1015="F",OP!$E$98,0),"")))</f>
        <v>0</v>
      </c>
      <c r="AM1015" s="1">
        <f t="shared" ca="1" si="582"/>
        <v>5</v>
      </c>
      <c r="AN1015" s="1" t="e">
        <f ca="1">IF(OR(VLOOKUP($A1015,MP,5,0)="季繳",VLOOKUP($A1015,MP,5,0)="月繳"),1,"")</f>
        <v>#N/A</v>
      </c>
      <c r="AO1015" s="1">
        <f t="shared" ca="1" si="563"/>
        <v>0</v>
      </c>
      <c r="AP1015" s="1" t="str">
        <f ca="1">IF(AND(A1015&lt;=OP!$C$120,COUNTIF(PAY,C1015)=1),1,"")</f>
        <v/>
      </c>
      <c r="AR1015" s="301">
        <f ca="1">IF(繳費報酬率資料!$A$1=1,$AY1015+$AZ1015,$BF1015+$BG1015)</f>
        <v>0</v>
      </c>
      <c r="AS1015" s="1">
        <f ca="1">IF(C1015&lt;&gt;IF($C$3=1,12,$C$3-1),0,IF(繳費報酬率資料!$A$1&lt;&gt;1,VLOOKUP($A1015,MP,8,0),IF(AND($A1015&gt;=OP!$C$79,$A1015&lt;=OP!$C$80),OP!$C$78,)))</f>
        <v>0</v>
      </c>
      <c r="AT1015" s="298">
        <f t="shared" ca="1" si="564"/>
        <v>0</v>
      </c>
      <c r="AU1015" s="298">
        <f ca="1">IF(AND(A1015&lt;=OP!$C$120,COUNTIF(PAY,C1015)=1),OP!$C$123,0)</f>
        <v>0</v>
      </c>
      <c r="AV1015" s="298">
        <f ca="1">IF(AND(A1015&gt;=OP!$C$132,A1015&lt;=OP!$C$133,$C$3=C1015),OP!$C$135,0)</f>
        <v>0</v>
      </c>
      <c r="AW1015" s="180">
        <f t="shared" ca="1" si="565"/>
        <v>0.05</v>
      </c>
      <c r="AX1015" s="180">
        <f t="shared" ca="1" si="566"/>
        <v>0.05</v>
      </c>
      <c r="AY1015" s="286">
        <f t="shared" ca="1" si="567"/>
        <v>0</v>
      </c>
      <c r="AZ1015" s="286">
        <f t="shared" ca="1" si="568"/>
        <v>0</v>
      </c>
      <c r="BA1015" s="286">
        <f t="shared" ca="1" si="569"/>
        <v>0</v>
      </c>
      <c r="BB1015" s="286">
        <f t="shared" ca="1" si="570"/>
        <v>0</v>
      </c>
      <c r="BC1015" s="286">
        <f t="shared" ca="1" si="571"/>
        <v>0</v>
      </c>
      <c r="BD1015" s="180">
        <f t="shared" ca="1" si="572"/>
        <v>0.05</v>
      </c>
      <c r="BE1015" s="180">
        <f t="shared" ca="1" si="573"/>
        <v>0.05</v>
      </c>
      <c r="BF1015" s="286">
        <f t="shared" ca="1" si="574"/>
        <v>0</v>
      </c>
      <c r="BG1015" s="286">
        <f t="shared" ca="1" si="575"/>
        <v>0</v>
      </c>
    </row>
    <row r="1016" spans="1:59">
      <c r="A1016" s="1">
        <f t="shared" ca="1" si="554"/>
        <v>85</v>
      </c>
      <c r="B1016" s="1">
        <f t="shared" ca="1" si="583"/>
        <v>190</v>
      </c>
      <c r="C1016" s="1">
        <f t="shared" ca="1" si="584"/>
        <v>10</v>
      </c>
      <c r="D1016" s="1">
        <f ca="1">MIN($D$3,VLOOKUP(C1016,OP!$S$30:$T$41,2))</f>
        <v>2</v>
      </c>
      <c r="E1016" s="1" t="str">
        <f t="shared" ca="1" si="580"/>
        <v/>
      </c>
      <c r="F1016" s="11" t="str">
        <f t="shared" ca="1" si="555"/>
        <v/>
      </c>
      <c r="G1016" s="8">
        <f t="shared" ca="1" si="587"/>
        <v>365</v>
      </c>
      <c r="H1016" s="8">
        <f t="shared" ca="1" si="557"/>
        <v>31</v>
      </c>
      <c r="I1016" s="8" t="str">
        <f t="shared" ca="1" si="553"/>
        <v>8510</v>
      </c>
      <c r="J1016" s="13">
        <f>IF(繳費報酬率資料!$A$1=1,VALUE(OP!$C$121),VLOOKUP(A1016,MP,2,0))</f>
        <v>0.05</v>
      </c>
      <c r="K1016" s="14">
        <f ca="1">IF(SUM($K$4:K1015,IF(繳費報酬率資料!$A$1=1,$AU1016+$AV1016,$BB1016+$BC1016))&gt;OP!$L$58,0,IF(繳費報酬率資料!$A$1=1,$AU1016+$AV1016,$BB1016+$BC1016))</f>
        <v>0</v>
      </c>
      <c r="L1016" s="2"/>
      <c r="M1016" s="2"/>
      <c r="N1016" s="2"/>
      <c r="O1016" s="261">
        <f t="shared" ca="1" si="558"/>
        <v>0</v>
      </c>
      <c r="P1016" s="261">
        <f t="shared" ca="1" si="576"/>
        <v>0</v>
      </c>
      <c r="Q1016" s="3">
        <f ca="1">IF(A1016&gt;MAX(OP!$R$17:$R$26),0,VLOOKUP(A1016,fees,3,FALSE))</f>
        <v>0</v>
      </c>
      <c r="R1016" s="200" t="str">
        <f t="shared" ca="1" si="559"/>
        <v/>
      </c>
      <c r="S1016" s="9" t="str">
        <f ca="1">IF(COUNTIF(($T$4:T1015),"F")&gt;=1,"",IF(OR(C1017&lt;&gt;$C$3,E1016=""),"",A1016))</f>
        <v/>
      </c>
      <c r="T1016" s="20" t="str">
        <f t="shared" ca="1" si="581"/>
        <v/>
      </c>
      <c r="U1016" s="2">
        <f ca="1">IF(IF(OP!$C$83=1,$Z1015,IF(OP!$C$83=2,$AA1015,IF(OP!$C$83=3,$AB1015,)))+$K1016-$O1016-$P1016-$AS1016&lt;OP!$C$142,0,$AS1016)</f>
        <v>0</v>
      </c>
      <c r="V1016" s="9"/>
      <c r="W1016" s="19">
        <f ca="1">MAX(SUM($K$4:K1016),0)</f>
        <v>2000000</v>
      </c>
      <c r="X1016" s="19"/>
      <c r="Y1016" s="19">
        <f t="shared" ca="1" si="577"/>
        <v>1920000</v>
      </c>
      <c r="Z1016" s="2">
        <f ca="1">IF(MIN($Z$4:Z1015)=0,0,MAX(0,($Z1015+$K1016-$O1016-$P1016)*IF(AND(F1016="F",$D$3&lt;&gt;$G$3),((1+(-J1016))^(H1016/MIN(G1016,365))),((1+(-J1016))^(1/12)))-$U1016))</f>
        <v>25281.465301452728</v>
      </c>
      <c r="AA1016" s="2">
        <f ca="1">IF(MIN($AA$4:AA1015)=0,0,MAX(0,($AA1015+$K1016-$O1016-$P1016)*IF(AND(F1016="F",$D$3&lt;&gt;$G$3),((1+$AA$1)^(H1016/MIN(G1016,365))),((1+$AA$1)^(1/12)))-$U1016))</f>
        <v>1920000</v>
      </c>
      <c r="AB1016" s="2">
        <f ca="1">IF(MIN($AB$4:AB1015)=0,0,MAX(0,($AB1015+$K1016-$O1016-$P1016)*IF(AND(F1016="F",$D$3&lt;&gt;$G$3),((1+(J1016))^(H1016/MIN(G1016,365))),((1+(J1016))^(1/12)))-$U1016))</f>
        <v>118040550.21734373</v>
      </c>
      <c r="AC1016" s="5"/>
      <c r="AD1016" s="5"/>
      <c r="AE1016" s="5"/>
      <c r="AF1016" s="282">
        <f t="shared" ca="1" si="560"/>
        <v>25281</v>
      </c>
      <c r="AG1016" s="282">
        <f t="shared" ca="1" si="561"/>
        <v>1920000</v>
      </c>
      <c r="AH1016" s="282">
        <f t="shared" ca="1" si="562"/>
        <v>118040550</v>
      </c>
      <c r="AI1016" s="23" t="str">
        <f t="shared" ca="1" si="578"/>
        <v>85-6</v>
      </c>
      <c r="AJ1016" s="282">
        <f ca="1">IF(E1016&gt;111,,IF(AND(OP!$C$99=1,T1016="F"),Z1016,IF(AND(OP!$C$99=2,COUNTIF($T$4:T1016,"F")=1),OP!$C$97+IF(F1016="F",OP!$C$98,0),"")))</f>
        <v>0</v>
      </c>
      <c r="AK1016" s="282">
        <f ca="1">IF(E1016&gt;111,,IF(AND(OP!$D$99=1,T1016="F"),AA1016,IF(AND(OP!$D$99=2,COUNTIF($T$4:T1016,"F")=1),OP!$D$97+IF(F1016="F",OP!$D$98,0),"")))</f>
        <v>0</v>
      </c>
      <c r="AL1016" s="282">
        <f ca="1">IF(E1016&gt;111,,IF(AND(OP!$E$99=1,T1016="F"),AB1016,IF(AND(OP!$E$99=2,COUNTIF($T$4:T1016,"F")=1),OP!$E$97+IF(F1016="F",OP!$E$98,0),"")))</f>
        <v>0</v>
      </c>
      <c r="AM1016" s="1">
        <f t="shared" ca="1" si="582"/>
        <v>6</v>
      </c>
      <c r="AN1016" s="1" t="e">
        <f ca="1">IF(OR(VLOOKUP($A1016,MP,5,0)="月繳"),1,"")</f>
        <v>#N/A</v>
      </c>
      <c r="AO1016" s="1">
        <f t="shared" ca="1" si="563"/>
        <v>0</v>
      </c>
      <c r="AP1016" s="1" t="str">
        <f ca="1">IF(AND(A1016&lt;=OP!$C$120,COUNTIF(PAY,C1016)=1),1,"")</f>
        <v/>
      </c>
      <c r="AR1016" s="301">
        <f ca="1">IF(繳費報酬率資料!$A$1=1,$AY1016+$AZ1016,$BF1016+$BG1016)</f>
        <v>0</v>
      </c>
      <c r="AS1016" s="1">
        <f ca="1">IF(C1016&lt;&gt;IF($C$3=1,12,$C$3-1),0,IF(繳費報酬率資料!$A$1&lt;&gt;1,VLOOKUP($A1016,MP,8,0),IF(AND($A1016&gt;=OP!$C$79,$A1016&lt;=OP!$C$80),OP!$C$78,)))</f>
        <v>0</v>
      </c>
      <c r="AT1016" s="298">
        <f t="shared" ca="1" si="564"/>
        <v>0</v>
      </c>
      <c r="AU1016" s="298">
        <f ca="1">IF(AND(A1016&lt;=OP!$C$120,COUNTIF(PAY,C1016)=1),OP!$C$123,0)</f>
        <v>0</v>
      </c>
      <c r="AV1016" s="298">
        <f ca="1">IF(AND(A1016&gt;=OP!$C$132,A1016&lt;=OP!$C$133,$C$3=C1016),OP!$C$135,0)</f>
        <v>0</v>
      </c>
      <c r="AW1016" s="180">
        <f t="shared" ca="1" si="565"/>
        <v>0.05</v>
      </c>
      <c r="AX1016" s="180">
        <f t="shared" ca="1" si="566"/>
        <v>0.05</v>
      </c>
      <c r="AY1016" s="286">
        <f t="shared" ca="1" si="567"/>
        <v>0</v>
      </c>
      <c r="AZ1016" s="286">
        <f t="shared" ca="1" si="568"/>
        <v>0</v>
      </c>
      <c r="BA1016" s="286">
        <f t="shared" ca="1" si="569"/>
        <v>0</v>
      </c>
      <c r="BB1016" s="286">
        <f t="shared" ca="1" si="570"/>
        <v>0</v>
      </c>
      <c r="BC1016" s="286">
        <f t="shared" ca="1" si="571"/>
        <v>0</v>
      </c>
      <c r="BD1016" s="180">
        <f t="shared" ca="1" si="572"/>
        <v>0.05</v>
      </c>
      <c r="BE1016" s="180">
        <f t="shared" ca="1" si="573"/>
        <v>0.05</v>
      </c>
      <c r="BF1016" s="286">
        <f t="shared" ca="1" si="574"/>
        <v>0</v>
      </c>
      <c r="BG1016" s="286">
        <f t="shared" ca="1" si="575"/>
        <v>0</v>
      </c>
    </row>
    <row r="1017" spans="1:59">
      <c r="A1017" s="1">
        <f t="shared" ca="1" si="554"/>
        <v>85</v>
      </c>
      <c r="B1017" s="1">
        <f t="shared" ca="1" si="583"/>
        <v>190</v>
      </c>
      <c r="C1017" s="1">
        <f t="shared" ca="1" si="584"/>
        <v>11</v>
      </c>
      <c r="D1017" s="1">
        <f ca="1">MIN($D$3,VLOOKUP(C1017,OP!$S$30:$T$41,2))</f>
        <v>2</v>
      </c>
      <c r="E1017" s="1" t="str">
        <f t="shared" ca="1" si="580"/>
        <v/>
      </c>
      <c r="F1017" s="11" t="str">
        <f t="shared" ca="1" si="555"/>
        <v/>
      </c>
      <c r="G1017" s="8">
        <f t="shared" ca="1" si="587"/>
        <v>365</v>
      </c>
      <c r="H1017" s="8">
        <f t="shared" ca="1" si="557"/>
        <v>30</v>
      </c>
      <c r="I1017" s="8" t="str">
        <f t="shared" ca="1" si="553"/>
        <v>8511</v>
      </c>
      <c r="J1017" s="13">
        <f>IF(繳費報酬率資料!$A$1=1,VALUE(OP!$C$121),VLOOKUP(A1017,MP,2,0))</f>
        <v>0.05</v>
      </c>
      <c r="K1017" s="14">
        <f ca="1">IF(SUM($K$4:K1016,IF(繳費報酬率資料!$A$1=1,$AU1017+$AV1017,$BB1017+$BC1017))&gt;OP!$L$58,0,IF(繳費報酬率資料!$A$1=1,$AU1017+$AV1017,$BB1017+$BC1017))</f>
        <v>0</v>
      </c>
      <c r="L1017" s="2"/>
      <c r="M1017" s="2"/>
      <c r="N1017" s="2"/>
      <c r="O1017" s="261">
        <f t="shared" ca="1" si="558"/>
        <v>0</v>
      </c>
      <c r="P1017" s="261">
        <f t="shared" ca="1" si="576"/>
        <v>0</v>
      </c>
      <c r="Q1017" s="3">
        <f ca="1">IF(A1017&gt;MAX(OP!$R$17:$R$26),0,VLOOKUP(A1017,fees,3,FALSE))</f>
        <v>0</v>
      </c>
      <c r="R1017" s="200" t="str">
        <f t="shared" ca="1" si="559"/>
        <v/>
      </c>
      <c r="S1017" s="9" t="str">
        <f ca="1">IF(COUNTIF(($T$4:T1016),"F")&gt;=1,"",IF(OR(C1018&lt;&gt;$C$3,E1017=""),"",A1017))</f>
        <v/>
      </c>
      <c r="T1017" s="20" t="str">
        <f t="shared" ca="1" si="581"/>
        <v/>
      </c>
      <c r="U1017" s="2">
        <f ca="1">IF(IF(OP!$C$83=1,$Z1016,IF(OP!$C$83=2,$AA1016,IF(OP!$C$83=3,$AB1016,)))+$K1017-$O1017-$P1017-$AS1017&lt;OP!$C$142,0,$AS1017)</f>
        <v>0</v>
      </c>
      <c r="V1017" s="9"/>
      <c r="W1017" s="19">
        <f ca="1">MAX(SUM($K$4:K1017),0)</f>
        <v>2000000</v>
      </c>
      <c r="X1017" s="19"/>
      <c r="Y1017" s="19">
        <f t="shared" ca="1" si="577"/>
        <v>1920000</v>
      </c>
      <c r="Z1017" s="2">
        <f ca="1">IF(MIN($Z$4:Z1016)=0,0,MAX(0,($Z1016+$K1017-$O1017-$P1017)*IF(AND(F1017="F",$D$3&lt;&gt;$G$3),((1+(-J1017))^(H1017/MIN(G1017,365))),((1+(-J1017))^(1/12)))-$U1017))</f>
        <v>25173.631792778193</v>
      </c>
      <c r="AA1017" s="2">
        <f ca="1">IF(MIN($AA$4:AA1016)=0,0,MAX(0,($AA1016+$K1017-$O1017-$P1017)*IF(AND(F1017="F",$D$3&lt;&gt;$G$3),((1+$AA$1)^(H1017/MIN(G1017,365))),((1+$AA$1)^(1/12)))-$U1017))</f>
        <v>1920000</v>
      </c>
      <c r="AB1017" s="2">
        <f ca="1">IF(MIN($AB$4:AB1016)=0,0,MAX(0,($AB1016+$K1017-$O1017-$P1017)*IF(AND(F1017="F",$D$3&lt;&gt;$G$3),((1+(J1017))^(H1017/MIN(G1017,365))),((1+(J1017))^(1/12)))-$U1017))</f>
        <v>118521462.03041916</v>
      </c>
      <c r="AC1017" s="5"/>
      <c r="AD1017" s="5"/>
      <c r="AE1017" s="5"/>
      <c r="AF1017" s="282">
        <f t="shared" ca="1" si="560"/>
        <v>25174</v>
      </c>
      <c r="AG1017" s="282">
        <f t="shared" ca="1" si="561"/>
        <v>1920000</v>
      </c>
      <c r="AH1017" s="282">
        <f t="shared" ca="1" si="562"/>
        <v>118521462</v>
      </c>
      <c r="AI1017" s="23" t="str">
        <f t="shared" ca="1" si="578"/>
        <v>85-7</v>
      </c>
      <c r="AJ1017" s="282">
        <f ca="1">IF(E1017&gt;111,,IF(AND(OP!$C$99=1,T1017="F"),Z1017,IF(AND(OP!$C$99=2,COUNTIF($T$4:T1017,"F")=1),OP!$C$97+IF(F1017="F",OP!$C$98,0),"")))</f>
        <v>0</v>
      </c>
      <c r="AK1017" s="282">
        <f ca="1">IF(E1017&gt;111,,IF(AND(OP!$D$99=1,T1017="F"),AA1017,IF(AND(OP!$D$99=2,COUNTIF($T$4:T1017,"F")=1),OP!$D$97+IF(F1017="F",OP!$D$98,0),"")))</f>
        <v>0</v>
      </c>
      <c r="AL1017" s="282">
        <f ca="1">IF(E1017&gt;111,,IF(AND(OP!$E$99=1,T1017="F"),AB1017,IF(AND(OP!$E$99=2,COUNTIF($T$4:T1017,"F")=1),OP!$E$97+IF(F1017="F",OP!$E$98,0),"")))</f>
        <v>0</v>
      </c>
      <c r="AM1017" s="1">
        <f t="shared" ca="1" si="582"/>
        <v>7</v>
      </c>
      <c r="AN1017" s="1" t="e">
        <f ca="1">IF(OR(VLOOKUP($A1017,MP,5,0)="月繳"),1,"")</f>
        <v>#N/A</v>
      </c>
      <c r="AO1017" s="1">
        <f t="shared" ca="1" si="563"/>
        <v>0</v>
      </c>
      <c r="AP1017" s="1" t="str">
        <f ca="1">IF(AND(A1017&lt;=OP!$C$120,COUNTIF(PAY,C1017)=1),1,"")</f>
        <v/>
      </c>
      <c r="AR1017" s="301">
        <f ca="1">IF(繳費報酬率資料!$A$1=1,$AY1017+$AZ1017,$BF1017+$BG1017)</f>
        <v>0</v>
      </c>
      <c r="AS1017" s="1">
        <f ca="1">IF(C1017&lt;&gt;IF($C$3=1,12,$C$3-1),0,IF(繳費報酬率資料!$A$1&lt;&gt;1,VLOOKUP($A1017,MP,8,0),IF(AND($A1017&gt;=OP!$C$79,$A1017&lt;=OP!$C$80),OP!$C$78,)))</f>
        <v>0</v>
      </c>
      <c r="AT1017" s="298">
        <f t="shared" ca="1" si="564"/>
        <v>0</v>
      </c>
      <c r="AU1017" s="298">
        <f ca="1">IF(AND(A1017&lt;=OP!$C$120,COUNTIF(PAY,C1017)=1),OP!$C$123,0)</f>
        <v>0</v>
      </c>
      <c r="AV1017" s="298">
        <f ca="1">IF(AND(A1017&gt;=OP!$C$132,A1017&lt;=OP!$C$133,$C$3=C1017),OP!$C$135,0)</f>
        <v>0</v>
      </c>
      <c r="AW1017" s="180">
        <f t="shared" ca="1" si="565"/>
        <v>0.05</v>
      </c>
      <c r="AX1017" s="180">
        <f t="shared" ca="1" si="566"/>
        <v>0.05</v>
      </c>
      <c r="AY1017" s="286">
        <f t="shared" ca="1" si="567"/>
        <v>0</v>
      </c>
      <c r="AZ1017" s="286">
        <f t="shared" ca="1" si="568"/>
        <v>0</v>
      </c>
      <c r="BA1017" s="286">
        <f t="shared" ca="1" si="569"/>
        <v>0</v>
      </c>
      <c r="BB1017" s="286">
        <f t="shared" ca="1" si="570"/>
        <v>0</v>
      </c>
      <c r="BC1017" s="286">
        <f t="shared" ca="1" si="571"/>
        <v>0</v>
      </c>
      <c r="BD1017" s="180">
        <f t="shared" ca="1" si="572"/>
        <v>0.05</v>
      </c>
      <c r="BE1017" s="180">
        <f t="shared" ca="1" si="573"/>
        <v>0.05</v>
      </c>
      <c r="BF1017" s="286">
        <f t="shared" ca="1" si="574"/>
        <v>0</v>
      </c>
      <c r="BG1017" s="286">
        <f t="shared" ca="1" si="575"/>
        <v>0</v>
      </c>
    </row>
    <row r="1018" spans="1:59">
      <c r="A1018" s="1">
        <f t="shared" ca="1" si="554"/>
        <v>85</v>
      </c>
      <c r="B1018" s="1">
        <f t="shared" ca="1" si="583"/>
        <v>190</v>
      </c>
      <c r="C1018" s="1">
        <f t="shared" ca="1" si="584"/>
        <v>12</v>
      </c>
      <c r="D1018" s="1">
        <f ca="1">MIN($D$3,VLOOKUP(C1018,OP!$S$30:$T$41,2))</f>
        <v>2</v>
      </c>
      <c r="E1018" s="1" t="str">
        <f t="shared" ca="1" si="580"/>
        <v/>
      </c>
      <c r="F1018" s="11" t="str">
        <f t="shared" ca="1" si="555"/>
        <v/>
      </c>
      <c r="G1018" s="8">
        <f t="shared" ca="1" si="587"/>
        <v>365</v>
      </c>
      <c r="H1018" s="8">
        <f t="shared" ca="1" si="557"/>
        <v>31</v>
      </c>
      <c r="I1018" s="8" t="str">
        <f t="shared" ca="1" si="553"/>
        <v>8512</v>
      </c>
      <c r="J1018" s="13">
        <f>IF(繳費報酬率資料!$A$1=1,VALUE(OP!$C$121),VLOOKUP(A1018,MP,2,0))</f>
        <v>0.05</v>
      </c>
      <c r="K1018" s="14">
        <f ca="1">IF(SUM($K$4:K1017,IF(繳費報酬率資料!$A$1=1,$AU1018+$AV1018,$BB1018+$BC1018))&gt;OP!$L$58,0,IF(繳費報酬率資料!$A$1=1,$AU1018+$AV1018,$BB1018+$BC1018))</f>
        <v>0</v>
      </c>
      <c r="L1018" s="2"/>
      <c r="M1018" s="2"/>
      <c r="N1018" s="2"/>
      <c r="O1018" s="261">
        <f t="shared" ca="1" si="558"/>
        <v>0</v>
      </c>
      <c r="P1018" s="261">
        <f t="shared" ca="1" si="576"/>
        <v>0</v>
      </c>
      <c r="Q1018" s="3">
        <f ca="1">IF(A1018&gt;MAX(OP!$R$17:$R$26),0,VLOOKUP(A1018,fees,3,FALSE))</f>
        <v>0</v>
      </c>
      <c r="R1018" s="200" t="str">
        <f t="shared" ca="1" si="559"/>
        <v/>
      </c>
      <c r="S1018" s="9" t="str">
        <f ca="1">IF(COUNTIF(($T$4:T1017),"F")&gt;=1,"",IF(OR(C1019&lt;&gt;$C$3,E1018=""),"",A1018))</f>
        <v/>
      </c>
      <c r="T1018" s="20" t="str">
        <f t="shared" ca="1" si="581"/>
        <v/>
      </c>
      <c r="U1018" s="2">
        <f ca="1">IF(IF(OP!$C$83=1,$Z1017,IF(OP!$C$83=2,$AA1017,IF(OP!$C$83=3,$AB1017,)))+$K1018-$O1018-$P1018-$AS1018&lt;OP!$C$142,0,$AS1018)</f>
        <v>0</v>
      </c>
      <c r="V1018" s="9"/>
      <c r="W1018" s="19">
        <f ca="1">MAX(SUM($K$4:K1018),0)</f>
        <v>2000000</v>
      </c>
      <c r="X1018" s="19"/>
      <c r="Y1018" s="19">
        <f t="shared" ca="1" si="577"/>
        <v>1920000</v>
      </c>
      <c r="Z1018" s="2">
        <f ca="1">IF(MIN($Z$4:Z1017)=0,0,MAX(0,($Z1017+$K1018-$O1018-$P1018)*IF(AND(F1018="F",$D$3&lt;&gt;$G$3),((1+(-J1018))^(H1018/MIN(G1018,365))),((1+(-J1018))^(1/12)))-$U1018))</f>
        <v>25066.258228393057</v>
      </c>
      <c r="AA1018" s="2">
        <f ca="1">IF(MIN($AA$4:AA1017)=0,0,MAX(0,($AA1017+$K1018-$O1018-$P1018)*IF(AND(F1018="F",$D$3&lt;&gt;$G$3),((1+$AA$1)^(H1018/MIN(G1018,365))),((1+$AA$1)^(1/12)))-$U1018))</f>
        <v>1920000</v>
      </c>
      <c r="AB1018" s="2">
        <f ca="1">IF(MIN($AB$4:AB1017)=0,0,MAX(0,($AB1017+$K1018-$O1018-$P1018)*IF(AND(F1018="F",$D$3&lt;&gt;$G$3),((1+(J1018))^(H1018/MIN(G1018,365))),((1+(J1018))^(1/12)))-$U1018))</f>
        <v>119004333.13775006</v>
      </c>
      <c r="AC1018" s="5"/>
      <c r="AD1018" s="5"/>
      <c r="AE1018" s="5"/>
      <c r="AF1018" s="282">
        <f t="shared" ca="1" si="560"/>
        <v>25066</v>
      </c>
      <c r="AG1018" s="282">
        <f t="shared" ca="1" si="561"/>
        <v>1920000</v>
      </c>
      <c r="AH1018" s="282">
        <f t="shared" ca="1" si="562"/>
        <v>119004333</v>
      </c>
      <c r="AI1018" s="23" t="str">
        <f t="shared" ca="1" si="578"/>
        <v>85-8</v>
      </c>
      <c r="AJ1018" s="282">
        <f ca="1">IF(E1018&gt;111,,IF(AND(OP!$C$99=1,T1018="F"),Z1018,IF(AND(OP!$C$99=2,COUNTIF($T$4:T1018,"F")=1),OP!$C$97+IF(F1018="F",OP!$C$98,0),"")))</f>
        <v>0</v>
      </c>
      <c r="AK1018" s="282">
        <f ca="1">IF(E1018&gt;111,,IF(AND(OP!$D$99=1,T1018="F"),AA1018,IF(AND(OP!$D$99=2,COUNTIF($T$4:T1018,"F")=1),OP!$D$97+IF(F1018="F",OP!$D$98,0),"")))</f>
        <v>0</v>
      </c>
      <c r="AL1018" s="282">
        <f ca="1">IF(E1018&gt;111,,IF(AND(OP!$E$99=1,T1018="F"),AB1018,IF(AND(OP!$E$99=2,COUNTIF($T$4:T1018,"F")=1),OP!$E$97+IF(F1018="F",OP!$E$98,0),"")))</f>
        <v>0</v>
      </c>
      <c r="AM1018" s="1">
        <f t="shared" ca="1" si="582"/>
        <v>8</v>
      </c>
      <c r="AN1018" s="1" t="e">
        <f ca="1">IF(OR(VLOOKUP($A1018,MP,5,0)="半年繳",VLOOKUP($A1018,MP,5,0)="季繳",VLOOKUP($A1018,MP,5,0)="月繳"),1,"")</f>
        <v>#N/A</v>
      </c>
      <c r="AO1018" s="1">
        <f t="shared" ca="1" si="563"/>
        <v>0</v>
      </c>
      <c r="AP1018" s="1" t="str">
        <f ca="1">IF(AND(A1018&lt;=OP!$C$120,COUNTIF(PAY,C1018)=1),1,"")</f>
        <v/>
      </c>
      <c r="AR1018" s="301">
        <f ca="1">IF(繳費報酬率資料!$A$1=1,$AY1018+$AZ1018,$BF1018+$BG1018)</f>
        <v>0</v>
      </c>
      <c r="AS1018" s="1">
        <f ca="1">IF(C1018&lt;&gt;IF($C$3=1,12,$C$3-1),0,IF(繳費報酬率資料!$A$1&lt;&gt;1,VLOOKUP($A1018,MP,8,0),IF(AND($A1018&gt;=OP!$C$79,$A1018&lt;=OP!$C$80),OP!$C$78,)))</f>
        <v>0</v>
      </c>
      <c r="AT1018" s="298">
        <f t="shared" ca="1" si="564"/>
        <v>0</v>
      </c>
      <c r="AU1018" s="298">
        <f ca="1">IF(AND(A1018&lt;=OP!$C$120,COUNTIF(PAY,C1018)=1),OP!$C$123,0)</f>
        <v>0</v>
      </c>
      <c r="AV1018" s="298">
        <f ca="1">IF(AND(A1018&gt;=OP!$C$132,A1018&lt;=OP!$C$133,$C$3=C1018),OP!$C$135,0)</f>
        <v>0</v>
      </c>
      <c r="AW1018" s="180">
        <f t="shared" ca="1" si="565"/>
        <v>0.05</v>
      </c>
      <c r="AX1018" s="180">
        <f t="shared" ca="1" si="566"/>
        <v>0.05</v>
      </c>
      <c r="AY1018" s="286">
        <f t="shared" ca="1" si="567"/>
        <v>0</v>
      </c>
      <c r="AZ1018" s="286">
        <f t="shared" ca="1" si="568"/>
        <v>0</v>
      </c>
      <c r="BA1018" s="286">
        <f t="shared" ca="1" si="569"/>
        <v>0</v>
      </c>
      <c r="BB1018" s="286">
        <f t="shared" ca="1" si="570"/>
        <v>0</v>
      </c>
      <c r="BC1018" s="286">
        <f t="shared" ca="1" si="571"/>
        <v>0</v>
      </c>
      <c r="BD1018" s="180">
        <f t="shared" ca="1" si="572"/>
        <v>0.05</v>
      </c>
      <c r="BE1018" s="180">
        <f t="shared" ca="1" si="573"/>
        <v>0.05</v>
      </c>
      <c r="BF1018" s="286">
        <f t="shared" ca="1" si="574"/>
        <v>0</v>
      </c>
      <c r="BG1018" s="286">
        <f t="shared" ca="1" si="575"/>
        <v>0</v>
      </c>
    </row>
    <row r="1019" spans="1:59">
      <c r="A1019" s="1">
        <f t="shared" ca="1" si="554"/>
        <v>85</v>
      </c>
      <c r="B1019" s="1">
        <f t="shared" ca="1" si="583"/>
        <v>191</v>
      </c>
      <c r="C1019" s="1">
        <f t="shared" ca="1" si="584"/>
        <v>1</v>
      </c>
      <c r="D1019" s="1">
        <f ca="1">MIN($D$3,VLOOKUP(C1019,OP!$S$30:$T$41,2))</f>
        <v>2</v>
      </c>
      <c r="E1019" s="1" t="str">
        <f t="shared" ca="1" si="580"/>
        <v/>
      </c>
      <c r="F1019" s="11" t="str">
        <f t="shared" ca="1" si="555"/>
        <v/>
      </c>
      <c r="G1019" s="8">
        <f t="shared" ca="1" si="587"/>
        <v>365</v>
      </c>
      <c r="H1019" s="8">
        <f t="shared" ca="1" si="557"/>
        <v>31</v>
      </c>
      <c r="I1019" s="8" t="str">
        <f t="shared" ca="1" si="553"/>
        <v>851</v>
      </c>
      <c r="J1019" s="13">
        <f>IF(繳費報酬率資料!$A$1=1,VALUE(OP!$C$121),VLOOKUP(A1019,MP,2,0))</f>
        <v>0.05</v>
      </c>
      <c r="K1019" s="14">
        <f ca="1">IF(SUM($K$4:K1018,IF(繳費報酬率資料!$A$1=1,$AU1019+$AV1019,$BB1019+$BC1019))&gt;OP!$L$58,0,IF(繳費報酬率資料!$A$1=1,$AU1019+$AV1019,$BB1019+$BC1019))</f>
        <v>0</v>
      </c>
      <c r="L1019" s="2"/>
      <c r="M1019" s="2"/>
      <c r="N1019" s="2"/>
      <c r="O1019" s="261">
        <f t="shared" ca="1" si="558"/>
        <v>0</v>
      </c>
      <c r="P1019" s="261">
        <f t="shared" ca="1" si="576"/>
        <v>0</v>
      </c>
      <c r="Q1019" s="3">
        <f ca="1">IF(A1019&gt;MAX(OP!$R$17:$R$26),0,VLOOKUP(A1019,fees,3,FALSE))</f>
        <v>0</v>
      </c>
      <c r="R1019" s="200" t="str">
        <f t="shared" ca="1" si="559"/>
        <v/>
      </c>
      <c r="S1019" s="9" t="str">
        <f ca="1">IF(COUNTIF(($T$4:T1018),"F")&gt;=1,"",IF(OR(C1020&lt;&gt;$C$3,E1019=""),"",A1019))</f>
        <v/>
      </c>
      <c r="T1019" s="20" t="str">
        <f t="shared" ca="1" si="581"/>
        <v/>
      </c>
      <c r="U1019" s="2">
        <f ca="1">IF(IF(OP!$C$83=1,$Z1018,IF(OP!$C$83=2,$AA1018,IF(OP!$C$83=3,$AB1018,)))+$K1019-$O1019-$P1019-$AS1019&lt;OP!$C$142,0,$AS1019)</f>
        <v>0</v>
      </c>
      <c r="V1019" s="9"/>
      <c r="W1019" s="19">
        <f ca="1">MAX(SUM($K$4:K1019),0)</f>
        <v>2000000</v>
      </c>
      <c r="X1019" s="19"/>
      <c r="Y1019" s="19">
        <f t="shared" ca="1" si="577"/>
        <v>1920000</v>
      </c>
      <c r="Z1019" s="2">
        <f ca="1">IF(MIN($Z$4:Z1018)=0,0,MAX(0,($Z1018+$K1019-$O1019-$P1019)*IF(AND(F1019="F",$D$3&lt;&gt;$G$3),((1+(-J1019))^(H1019/MIN(G1019,365))),((1+(-J1019))^(1/12)))-$U1019))</f>
        <v>24959.342646488309</v>
      </c>
      <c r="AA1019" s="2">
        <f ca="1">IF(MIN($AA$4:AA1018)=0,0,MAX(0,($AA1018+$K1019-$O1019-$P1019)*IF(AND(F1019="F",$D$3&lt;&gt;$G$3),((1+$AA$1)^(H1019/MIN(G1019,365))),((1+$AA$1)^(1/12)))-$U1019))</f>
        <v>1920000</v>
      </c>
      <c r="AB1019" s="2">
        <f ca="1">IF(MIN($AB$4:AB1018)=0,0,MAX(0,($AB1018+$K1019-$O1019-$P1019)*IF(AND(F1019="F",$D$3&lt;&gt;$G$3),((1+(J1019))^(H1019/MIN(G1019,365))),((1+(J1019))^(1/12)))-$U1019))</f>
        <v>119489171.52174377</v>
      </c>
      <c r="AC1019" s="5"/>
      <c r="AD1019" s="5"/>
      <c r="AE1019" s="5"/>
      <c r="AF1019" s="282">
        <f t="shared" ca="1" si="560"/>
        <v>24959</v>
      </c>
      <c r="AG1019" s="282">
        <f t="shared" ca="1" si="561"/>
        <v>1920000</v>
      </c>
      <c r="AH1019" s="282">
        <f t="shared" ca="1" si="562"/>
        <v>119489172</v>
      </c>
      <c r="AI1019" s="23" t="str">
        <f t="shared" ca="1" si="578"/>
        <v>85-9</v>
      </c>
      <c r="AJ1019" s="282">
        <f ca="1">IF(E1019&gt;111,,IF(AND(OP!$C$99=1,T1019="F"),Z1019,IF(AND(OP!$C$99=2,COUNTIF($T$4:T1019,"F")=1),OP!$C$97+IF(F1019="F",OP!$C$98,0),"")))</f>
        <v>0</v>
      </c>
      <c r="AK1019" s="282">
        <f ca="1">IF(E1019&gt;111,,IF(AND(OP!$D$99=1,T1019="F"),AA1019,IF(AND(OP!$D$99=2,COUNTIF($T$4:T1019,"F")=1),OP!$D$97+IF(F1019="F",OP!$D$98,0),"")))</f>
        <v>0</v>
      </c>
      <c r="AL1019" s="282">
        <f ca="1">IF(E1019&gt;111,,IF(AND(OP!$E$99=1,T1019="F"),AB1019,IF(AND(OP!$E$99=2,COUNTIF($T$4:T1019,"F")=1),OP!$E$97+IF(F1019="F",OP!$E$98,0),"")))</f>
        <v>0</v>
      </c>
      <c r="AM1019" s="1">
        <f t="shared" ca="1" si="582"/>
        <v>9</v>
      </c>
      <c r="AN1019" s="1" t="e">
        <f ca="1">IF(OR(VLOOKUP($A1019,MP,5,0)="月繳"),1,"")</f>
        <v>#N/A</v>
      </c>
      <c r="AO1019" s="1">
        <f t="shared" ca="1" si="563"/>
        <v>0</v>
      </c>
      <c r="AP1019" s="1" t="str">
        <f ca="1">IF(AND(A1019&lt;=OP!$C$120,COUNTIF(PAY,C1019)=1),1,"")</f>
        <v/>
      </c>
      <c r="AR1019" s="301">
        <f ca="1">IF(繳費報酬率資料!$A$1=1,$AY1019+$AZ1019,$BF1019+$BG1019)</f>
        <v>0</v>
      </c>
      <c r="AS1019" s="1">
        <f ca="1">IF(C1019&lt;&gt;IF($C$3=1,12,$C$3-1),0,IF(繳費報酬率資料!$A$1&lt;&gt;1,VLOOKUP($A1019,MP,8,0),IF(AND($A1019&gt;=OP!$C$79,$A1019&lt;=OP!$C$80),OP!$C$78,)))</f>
        <v>0</v>
      </c>
      <c r="AT1019" s="298">
        <f t="shared" ca="1" si="564"/>
        <v>0</v>
      </c>
      <c r="AU1019" s="298">
        <f ca="1">IF(AND(A1019&lt;=OP!$C$120,COUNTIF(PAY,C1019)=1),OP!$C$123,0)</f>
        <v>0</v>
      </c>
      <c r="AV1019" s="298">
        <f ca="1">IF(AND(A1019&gt;=OP!$C$132,A1019&lt;=OP!$C$133,$C$3=C1019),OP!$C$135,0)</f>
        <v>0</v>
      </c>
      <c r="AW1019" s="180">
        <f t="shared" ca="1" si="565"/>
        <v>0.05</v>
      </c>
      <c r="AX1019" s="180">
        <f t="shared" ca="1" si="566"/>
        <v>0.05</v>
      </c>
      <c r="AY1019" s="286">
        <f t="shared" ca="1" si="567"/>
        <v>0</v>
      </c>
      <c r="AZ1019" s="286">
        <f t="shared" ca="1" si="568"/>
        <v>0</v>
      </c>
      <c r="BA1019" s="286">
        <f t="shared" ca="1" si="569"/>
        <v>0</v>
      </c>
      <c r="BB1019" s="286">
        <f t="shared" ca="1" si="570"/>
        <v>0</v>
      </c>
      <c r="BC1019" s="286">
        <f t="shared" ca="1" si="571"/>
        <v>0</v>
      </c>
      <c r="BD1019" s="180">
        <f t="shared" ca="1" si="572"/>
        <v>0.05</v>
      </c>
      <c r="BE1019" s="180">
        <f t="shared" ca="1" si="573"/>
        <v>0.05</v>
      </c>
      <c r="BF1019" s="286">
        <f t="shared" ca="1" si="574"/>
        <v>0</v>
      </c>
      <c r="BG1019" s="286">
        <f t="shared" ca="1" si="575"/>
        <v>0</v>
      </c>
    </row>
    <row r="1020" spans="1:59">
      <c r="A1020" s="1">
        <f t="shared" ca="1" si="554"/>
        <v>85</v>
      </c>
      <c r="B1020" s="1">
        <f t="shared" ca="1" si="583"/>
        <v>191</v>
      </c>
      <c r="C1020" s="1">
        <f t="shared" ca="1" si="584"/>
        <v>2</v>
      </c>
      <c r="D1020" s="1">
        <f ca="1">MIN($D$3,VLOOKUP(C1020,OP!$S$30:$T$41,2))</f>
        <v>2</v>
      </c>
      <c r="E1020" s="1" t="str">
        <f t="shared" ca="1" si="580"/>
        <v/>
      </c>
      <c r="F1020" s="11" t="str">
        <f t="shared" ca="1" si="555"/>
        <v/>
      </c>
      <c r="G1020" s="8">
        <f t="shared" ca="1" si="587"/>
        <v>365</v>
      </c>
      <c r="H1020" s="8">
        <f t="shared" ca="1" si="557"/>
        <v>28</v>
      </c>
      <c r="I1020" s="8" t="str">
        <f t="shared" ca="1" si="553"/>
        <v>852</v>
      </c>
      <c r="J1020" s="13">
        <f>IF(繳費報酬率資料!$A$1=1,VALUE(OP!$C$121),VLOOKUP(A1020,MP,2,0))</f>
        <v>0.05</v>
      </c>
      <c r="K1020" s="14">
        <f ca="1">IF(SUM($K$4:K1019,IF(繳費報酬率資料!$A$1=1,$AU1020+$AV1020,$BB1020+$BC1020))&gt;OP!$L$58,0,IF(繳費報酬率資料!$A$1=1,$AU1020+$AV1020,$BB1020+$BC1020))</f>
        <v>0</v>
      </c>
      <c r="L1020" s="2"/>
      <c r="M1020" s="2"/>
      <c r="N1020" s="2"/>
      <c r="O1020" s="261">
        <f t="shared" ca="1" si="558"/>
        <v>0</v>
      </c>
      <c r="P1020" s="261">
        <f t="shared" ca="1" si="576"/>
        <v>0</v>
      </c>
      <c r="Q1020" s="3">
        <f ca="1">IF(A1020&gt;MAX(OP!$R$17:$R$26),0,VLOOKUP(A1020,fees,3,FALSE))</f>
        <v>0</v>
      </c>
      <c r="R1020" s="200" t="str">
        <f t="shared" ca="1" si="559"/>
        <v/>
      </c>
      <c r="S1020" s="9" t="str">
        <f ca="1">IF(COUNTIF(($T$4:T1019),"F")&gt;=1,"",IF(OR(C1021&lt;&gt;$C$3,E1020=""),"",A1020))</f>
        <v/>
      </c>
      <c r="T1020" s="20" t="str">
        <f t="shared" ca="1" si="581"/>
        <v/>
      </c>
      <c r="U1020" s="2">
        <f ca="1">IF(IF(OP!$C$83=1,$Z1019,IF(OP!$C$83=2,$AA1019,IF(OP!$C$83=3,$AB1019,)))+$K1020-$O1020-$P1020-$AS1020&lt;OP!$C$142,0,$AS1020)</f>
        <v>0</v>
      </c>
      <c r="V1020" s="9"/>
      <c r="W1020" s="19">
        <f ca="1">MAX(SUM($K$4:K1020),0)</f>
        <v>2000000</v>
      </c>
      <c r="X1020" s="19"/>
      <c r="Y1020" s="19">
        <f t="shared" ca="1" si="577"/>
        <v>1920000</v>
      </c>
      <c r="Z1020" s="2">
        <f ca="1">IF(MIN($Z$4:Z1019)=0,0,MAX(0,($Z1019+$K1020-$O1020-$P1020)*IF(AND(F1020="F",$D$3&lt;&gt;$G$3),((1+(-J1020))^(H1020/MIN(G1020,365))),((1+(-J1020))^(1/12)))-$U1020))</f>
        <v>24852.883093622673</v>
      </c>
      <c r="AA1020" s="2">
        <f ca="1">IF(MIN($AA$4:AA1019)=0,0,MAX(0,($AA1019+$K1020-$O1020-$P1020)*IF(AND(F1020="F",$D$3&lt;&gt;$G$3),((1+$AA$1)^(H1020/MIN(G1020,365))),((1+$AA$1)^(1/12)))-$U1020))</f>
        <v>1920000</v>
      </c>
      <c r="AB1020" s="2">
        <f ca="1">IF(MIN($AB$4:AB1019)=0,0,MAX(0,($AB1019+$K1020-$O1020-$P1020)*IF(AND(F1020="F",$D$3&lt;&gt;$G$3),((1+(J1020))^(H1020/MIN(G1020,365))),((1+(J1020))^(1/12)))-$U1020))</f>
        <v>119975985.19732895</v>
      </c>
      <c r="AC1020" s="5"/>
      <c r="AD1020" s="5"/>
      <c r="AE1020" s="5"/>
      <c r="AF1020" s="282">
        <f t="shared" ca="1" si="560"/>
        <v>24853</v>
      </c>
      <c r="AG1020" s="282">
        <f t="shared" ca="1" si="561"/>
        <v>1920000</v>
      </c>
      <c r="AH1020" s="282">
        <f t="shared" ca="1" si="562"/>
        <v>119975985</v>
      </c>
      <c r="AI1020" s="23" t="str">
        <f t="shared" ca="1" si="578"/>
        <v>85-10</v>
      </c>
      <c r="AJ1020" s="282">
        <f ca="1">IF(E1020&gt;111,,IF(AND(OP!$C$99=1,T1020="F"),Z1020,IF(AND(OP!$C$99=2,COUNTIF($T$4:T1020,"F")=1),OP!$C$97+IF(F1020="F",OP!$C$98,0),"")))</f>
        <v>0</v>
      </c>
      <c r="AK1020" s="282">
        <f ca="1">IF(E1020&gt;111,,IF(AND(OP!$D$99=1,T1020="F"),AA1020,IF(AND(OP!$D$99=2,COUNTIF($T$4:T1020,"F")=1),OP!$D$97+IF(F1020="F",OP!$D$98,0),"")))</f>
        <v>0</v>
      </c>
      <c r="AL1020" s="282">
        <f ca="1">IF(E1020&gt;111,,IF(AND(OP!$E$99=1,T1020="F"),AB1020,IF(AND(OP!$E$99=2,COUNTIF($T$4:T1020,"F")=1),OP!$E$97+IF(F1020="F",OP!$E$98,0),"")))</f>
        <v>0</v>
      </c>
      <c r="AM1020" s="1">
        <f t="shared" ca="1" si="582"/>
        <v>10</v>
      </c>
      <c r="AN1020" s="1" t="e">
        <f ca="1">IF(OR(VLOOKUP($A1020,MP,5,0)="月繳"),1,"")</f>
        <v>#N/A</v>
      </c>
      <c r="AO1020" s="1">
        <f t="shared" ca="1" si="563"/>
        <v>0</v>
      </c>
      <c r="AP1020" s="1" t="str">
        <f ca="1">IF(AND(A1020&lt;=OP!$C$120,COUNTIF(PAY,C1020)=1),1,"")</f>
        <v/>
      </c>
      <c r="AR1020" s="301">
        <f ca="1">IF(繳費報酬率資料!$A$1=1,$AY1020+$AZ1020,$BF1020+$BG1020)</f>
        <v>0</v>
      </c>
      <c r="AS1020" s="1">
        <f ca="1">IF(C1020&lt;&gt;IF($C$3=1,12,$C$3-1),0,IF(繳費報酬率資料!$A$1&lt;&gt;1,VLOOKUP($A1020,MP,8,0),IF(AND($A1020&gt;=OP!$C$79,$A1020&lt;=OP!$C$80),OP!$C$78,)))</f>
        <v>0</v>
      </c>
      <c r="AT1020" s="298">
        <f t="shared" ca="1" si="564"/>
        <v>0</v>
      </c>
      <c r="AU1020" s="298">
        <f ca="1">IF(AND(A1020&lt;=OP!$C$120,COUNTIF(PAY,C1020)=1),OP!$C$123,0)</f>
        <v>0</v>
      </c>
      <c r="AV1020" s="298">
        <f ca="1">IF(AND(A1020&gt;=OP!$C$132,A1020&lt;=OP!$C$133,$C$3=C1020),OP!$C$135,0)</f>
        <v>0</v>
      </c>
      <c r="AW1020" s="180">
        <f t="shared" ca="1" si="565"/>
        <v>0.05</v>
      </c>
      <c r="AX1020" s="180">
        <f t="shared" ca="1" si="566"/>
        <v>0.05</v>
      </c>
      <c r="AY1020" s="286">
        <f t="shared" ca="1" si="567"/>
        <v>0</v>
      </c>
      <c r="AZ1020" s="286">
        <f t="shared" ca="1" si="568"/>
        <v>0</v>
      </c>
      <c r="BA1020" s="286">
        <f t="shared" ca="1" si="569"/>
        <v>0</v>
      </c>
      <c r="BB1020" s="286">
        <f t="shared" ca="1" si="570"/>
        <v>0</v>
      </c>
      <c r="BC1020" s="286">
        <f t="shared" ca="1" si="571"/>
        <v>0</v>
      </c>
      <c r="BD1020" s="180">
        <f t="shared" ca="1" si="572"/>
        <v>0.05</v>
      </c>
      <c r="BE1020" s="180">
        <f t="shared" ca="1" si="573"/>
        <v>0.05</v>
      </c>
      <c r="BF1020" s="286">
        <f t="shared" ca="1" si="574"/>
        <v>0</v>
      </c>
      <c r="BG1020" s="286">
        <f t="shared" ca="1" si="575"/>
        <v>0</v>
      </c>
    </row>
    <row r="1021" spans="1:59">
      <c r="A1021" s="1">
        <f t="shared" ca="1" si="554"/>
        <v>85</v>
      </c>
      <c r="B1021" s="1">
        <f t="shared" ca="1" si="583"/>
        <v>191</v>
      </c>
      <c r="C1021" s="1">
        <f t="shared" ca="1" si="584"/>
        <v>3</v>
      </c>
      <c r="D1021" s="1">
        <f ca="1">MIN($D$3,VLOOKUP(C1021,OP!$S$30:$T$41,2))</f>
        <v>2</v>
      </c>
      <c r="E1021" s="1" t="str">
        <f t="shared" ca="1" si="580"/>
        <v/>
      </c>
      <c r="F1021" s="11" t="str">
        <f t="shared" ca="1" si="555"/>
        <v/>
      </c>
      <c r="G1021" s="8">
        <f t="shared" ca="1" si="587"/>
        <v>365</v>
      </c>
      <c r="H1021" s="8">
        <f t="shared" ca="1" si="557"/>
        <v>31</v>
      </c>
      <c r="I1021" s="8" t="str">
        <f t="shared" ca="1" si="553"/>
        <v>853</v>
      </c>
      <c r="J1021" s="13">
        <f>IF(繳費報酬率資料!$A$1=1,VALUE(OP!$C$121),VLOOKUP(A1021,MP,2,0))</f>
        <v>0.05</v>
      </c>
      <c r="K1021" s="14">
        <f ca="1">IF(SUM($K$4:K1020,IF(繳費報酬率資料!$A$1=1,$AU1021+$AV1021,$BB1021+$BC1021))&gt;OP!$L$58,0,IF(繳費報酬率資料!$A$1=1,$AU1021+$AV1021,$BB1021+$BC1021))</f>
        <v>0</v>
      </c>
      <c r="L1021" s="2"/>
      <c r="M1021" s="2"/>
      <c r="N1021" s="2"/>
      <c r="O1021" s="261">
        <f t="shared" ca="1" si="558"/>
        <v>0</v>
      </c>
      <c r="P1021" s="261">
        <f t="shared" ca="1" si="576"/>
        <v>0</v>
      </c>
      <c r="Q1021" s="3">
        <f ca="1">IF(A1021&gt;MAX(OP!$R$17:$R$26),0,VLOOKUP(A1021,fees,3,FALSE))</f>
        <v>0</v>
      </c>
      <c r="R1021" s="200" t="str">
        <f t="shared" ca="1" si="559"/>
        <v/>
      </c>
      <c r="S1021" s="9" t="str">
        <f ca="1">IF(COUNTIF(($T$4:T1020),"F")&gt;=1,"",IF(OR(C1022&lt;&gt;$C$3,E1021=""),"",A1021))</f>
        <v/>
      </c>
      <c r="T1021" s="20" t="str">
        <f t="shared" ca="1" si="581"/>
        <v/>
      </c>
      <c r="U1021" s="2">
        <f ca="1">IF(IF(OP!$C$83=1,$Z1020,IF(OP!$C$83=2,$AA1020,IF(OP!$C$83=3,$AB1020,)))+$K1021-$O1021-$P1021-$AS1021&lt;OP!$C$142,0,$AS1021)</f>
        <v>0</v>
      </c>
      <c r="V1021" s="9"/>
      <c r="W1021" s="19">
        <f ca="1">MAX(SUM($K$4:K1021),0)</f>
        <v>2000000</v>
      </c>
      <c r="X1021" s="19"/>
      <c r="Y1021" s="19">
        <f t="shared" ca="1" si="577"/>
        <v>1920000</v>
      </c>
      <c r="Z1021" s="2">
        <f ca="1">IF(MIN($Z$4:Z1020)=0,0,MAX(0,($Z1020+$K1021-$O1021-$P1021)*IF(AND(F1021="F",$D$3&lt;&gt;$G$3),((1+(-J1021))^(H1021/MIN(G1021,365))),((1+(-J1021))^(1/12)))-$U1021))</f>
        <v>24746.877624686924</v>
      </c>
      <c r="AA1021" s="2">
        <f ca="1">IF(MIN($AA$4:AA1020)=0,0,MAX(0,($AA1020+$K1021-$O1021-$P1021)*IF(AND(F1021="F",$D$3&lt;&gt;$G$3),((1+$AA$1)^(H1021/MIN(G1021,365))),((1+$AA$1)^(1/12)))-$U1021))</f>
        <v>1920000</v>
      </c>
      <c r="AB1021" s="2">
        <f ca="1">IF(MIN($AB$4:AB1020)=0,0,MAX(0,($AB1020+$K1021-$O1021-$P1021)*IF(AND(F1021="F",$D$3&lt;&gt;$G$3),((1+(J1021))^(H1021/MIN(G1021,365))),((1+(J1021))^(1/12)))-$U1021))</f>
        <v>120464782.21208803</v>
      </c>
      <c r="AC1021" s="5"/>
      <c r="AD1021" s="5"/>
      <c r="AE1021" s="5"/>
      <c r="AF1021" s="282">
        <f t="shared" ca="1" si="560"/>
        <v>24747</v>
      </c>
      <c r="AG1021" s="282">
        <f t="shared" ca="1" si="561"/>
        <v>1920000</v>
      </c>
      <c r="AH1021" s="282">
        <f t="shared" ca="1" si="562"/>
        <v>120464782</v>
      </c>
      <c r="AI1021" s="23" t="str">
        <f t="shared" ca="1" si="578"/>
        <v>85-11</v>
      </c>
      <c r="AJ1021" s="282">
        <f ca="1">IF(E1021&gt;111,,IF(AND(OP!$C$99=1,T1021="F"),Z1021,IF(AND(OP!$C$99=2,COUNTIF($T$4:T1021,"F")=1),OP!$C$97+IF(F1021="F",OP!$C$98,0),"")))</f>
        <v>0</v>
      </c>
      <c r="AK1021" s="282">
        <f ca="1">IF(E1021&gt;111,,IF(AND(OP!$D$99=1,T1021="F"),AA1021,IF(AND(OP!$D$99=2,COUNTIF($T$4:T1021,"F")=1),OP!$D$97+IF(F1021="F",OP!$D$98,0),"")))</f>
        <v>0</v>
      </c>
      <c r="AL1021" s="282">
        <f ca="1">IF(E1021&gt;111,,IF(AND(OP!$E$99=1,T1021="F"),AB1021,IF(AND(OP!$E$99=2,COUNTIF($T$4:T1021,"F")=1),OP!$E$97+IF(F1021="F",OP!$E$98,0),"")))</f>
        <v>0</v>
      </c>
      <c r="AM1021" s="1">
        <f t="shared" ca="1" si="582"/>
        <v>11</v>
      </c>
      <c r="AN1021" s="1" t="e">
        <f ca="1">IF(OR(VLOOKUP($A1021,MP,5,0)="季繳",VLOOKUP($A1021,MP,5,0)="月繳"),1,"")</f>
        <v>#N/A</v>
      </c>
      <c r="AO1021" s="1">
        <f t="shared" ca="1" si="563"/>
        <v>0</v>
      </c>
      <c r="AP1021" s="1" t="str">
        <f ca="1">IF(AND(A1021&lt;=OP!$C$120,COUNTIF(PAY,C1021)=1),1,"")</f>
        <v/>
      </c>
      <c r="AR1021" s="301">
        <f ca="1">IF(繳費報酬率資料!$A$1=1,$AY1021+$AZ1021,$BF1021+$BG1021)</f>
        <v>0</v>
      </c>
      <c r="AS1021" s="1">
        <f ca="1">IF(C1021&lt;&gt;IF($C$3=1,12,$C$3-1),0,IF(繳費報酬率資料!$A$1&lt;&gt;1,VLOOKUP($A1021,MP,8,0),IF(AND($A1021&gt;=OP!$C$79,$A1021&lt;=OP!$C$80),OP!$C$78,)))</f>
        <v>0</v>
      </c>
      <c r="AT1021" s="298">
        <f t="shared" ca="1" si="564"/>
        <v>0</v>
      </c>
      <c r="AU1021" s="298">
        <f ca="1">IF(AND(A1021&lt;=OP!$C$120,COUNTIF(PAY,C1021)=1),OP!$C$123,0)</f>
        <v>0</v>
      </c>
      <c r="AV1021" s="298">
        <f ca="1">IF(AND(A1021&gt;=OP!$C$132,A1021&lt;=OP!$C$133,$C$3=C1021),OP!$C$135,0)</f>
        <v>0</v>
      </c>
      <c r="AW1021" s="180">
        <f t="shared" ca="1" si="565"/>
        <v>0.05</v>
      </c>
      <c r="AX1021" s="180">
        <f t="shared" ca="1" si="566"/>
        <v>0.05</v>
      </c>
      <c r="AY1021" s="286">
        <f t="shared" ca="1" si="567"/>
        <v>0</v>
      </c>
      <c r="AZ1021" s="286">
        <f t="shared" ca="1" si="568"/>
        <v>0</v>
      </c>
      <c r="BA1021" s="286">
        <f t="shared" ca="1" si="569"/>
        <v>0</v>
      </c>
      <c r="BB1021" s="286">
        <f t="shared" ca="1" si="570"/>
        <v>0</v>
      </c>
      <c r="BC1021" s="286">
        <f t="shared" ca="1" si="571"/>
        <v>0</v>
      </c>
      <c r="BD1021" s="180">
        <f t="shared" ca="1" si="572"/>
        <v>0.05</v>
      </c>
      <c r="BE1021" s="180">
        <f t="shared" ca="1" si="573"/>
        <v>0.05</v>
      </c>
      <c r="BF1021" s="286">
        <f t="shared" ca="1" si="574"/>
        <v>0</v>
      </c>
      <c r="BG1021" s="286">
        <f t="shared" ca="1" si="575"/>
        <v>0</v>
      </c>
    </row>
    <row r="1022" spans="1:59">
      <c r="A1022" s="1">
        <f t="shared" ca="1" si="554"/>
        <v>85</v>
      </c>
      <c r="B1022" s="1">
        <f t="shared" ca="1" si="583"/>
        <v>191</v>
      </c>
      <c r="C1022" s="1">
        <f t="shared" ca="1" si="584"/>
        <v>4</v>
      </c>
      <c r="D1022" s="1">
        <f ca="1">MIN($D$3,VLOOKUP(C1022,OP!$S$30:$T$41,2))</f>
        <v>2</v>
      </c>
      <c r="E1022" s="1" t="str">
        <f t="shared" ca="1" si="580"/>
        <v/>
      </c>
      <c r="F1022" s="11" t="str">
        <f t="shared" ca="1" si="555"/>
        <v/>
      </c>
      <c r="G1022" s="8">
        <f t="shared" ca="1" si="587"/>
        <v>365</v>
      </c>
      <c r="H1022" s="8">
        <f t="shared" ca="1" si="557"/>
        <v>30</v>
      </c>
      <c r="I1022" s="8" t="str">
        <f t="shared" ca="1" si="553"/>
        <v>854</v>
      </c>
      <c r="J1022" s="13">
        <f>IF(繳費報酬率資料!$A$1=1,VALUE(OP!$C$121),VLOOKUP(A1022,MP,2,0))</f>
        <v>0.05</v>
      </c>
      <c r="K1022" s="14">
        <f ca="1">IF(SUM($K$4:K1021,IF(繳費報酬率資料!$A$1=1,$AU1022+$AV1022,$BB1022+$BC1022))&gt;OP!$L$58,0,IF(繳費報酬率資料!$A$1=1,$AU1022+$AV1022,$BB1022+$BC1022))</f>
        <v>0</v>
      </c>
      <c r="L1022" s="2"/>
      <c r="M1022" s="2"/>
      <c r="N1022" s="2"/>
      <c r="O1022" s="261">
        <f t="shared" ca="1" si="558"/>
        <v>0</v>
      </c>
      <c r="P1022" s="261">
        <f t="shared" ca="1" si="576"/>
        <v>0</v>
      </c>
      <c r="Q1022" s="3">
        <f ca="1">IF(A1022&gt;MAX(OP!$R$17:$R$26),0,VLOOKUP(A1022,fees,3,FALSE))</f>
        <v>0</v>
      </c>
      <c r="R1022" s="200" t="str">
        <f t="shared" ca="1" si="559"/>
        <v/>
      </c>
      <c r="S1022" s="9" t="str">
        <f ca="1">IF(COUNTIF(($T$4:T1021),"F")&gt;=1,"",IF(OR(C1023&lt;&gt;$C$3,E1022=""),"",A1022))</f>
        <v/>
      </c>
      <c r="T1022" s="20" t="str">
        <f t="shared" ca="1" si="581"/>
        <v/>
      </c>
      <c r="U1022" s="2">
        <f ca="1">IF(IF(OP!$C$83=1,$Z1021,IF(OP!$C$83=2,$AA1021,IF(OP!$C$83=3,$AB1021,)))+$K1022-$O1022-$P1022-$AS1022&lt;OP!$C$142,0,$AS1022)</f>
        <v>0</v>
      </c>
      <c r="V1022" s="9"/>
      <c r="W1022" s="19">
        <f ca="1">MAX(SUM($K$4:K1022),0)</f>
        <v>2000000</v>
      </c>
      <c r="X1022" s="19"/>
      <c r="Y1022" s="19">
        <f t="shared" ca="1" si="577"/>
        <v>1920000</v>
      </c>
      <c r="Z1022" s="2">
        <f ca="1">IF(MIN($Z$4:Z1021)=0,0,MAX(0,($Z1021+$K1022-$O1022-$P1022)*IF(AND(F1022="F",$D$3&lt;&gt;$G$3),((1+(-J1022))^(H1022/MIN(G1022,365))),((1+(-J1022))^(1/12)))-$U1022))</f>
        <v>24641.32430286835</v>
      </c>
      <c r="AA1022" s="2">
        <f ca="1">IF(MIN($AA$4:AA1021)=0,0,MAX(0,($AA1021+$K1022-$O1022-$P1022)*IF(AND(F1022="F",$D$3&lt;&gt;$G$3),((1+$AA$1)^(H1022/MIN(G1022,365))),((1+$AA$1)^(1/12)))-$U1022))</f>
        <v>1920000</v>
      </c>
      <c r="AB1022" s="2">
        <f ca="1">IF(MIN($AB$4:AB1021)=0,0,MAX(0,($AB1021+$K1022-$O1022-$P1022)*IF(AND(F1022="F",$D$3&lt;&gt;$G$3),((1+(J1022))^(H1022/MIN(G1022,365))),((1+(J1022))^(1/12)))-$U1022))</f>
        <v>120955570.64639032</v>
      </c>
      <c r="AC1022" s="5"/>
      <c r="AD1022" s="5"/>
      <c r="AE1022" s="5"/>
      <c r="AF1022" s="282">
        <f t="shared" ca="1" si="560"/>
        <v>24641</v>
      </c>
      <c r="AG1022" s="282">
        <f t="shared" ca="1" si="561"/>
        <v>1920000</v>
      </c>
      <c r="AH1022" s="282">
        <f t="shared" ca="1" si="562"/>
        <v>120955571</v>
      </c>
      <c r="AI1022" s="23" t="str">
        <f t="shared" ca="1" si="578"/>
        <v>85-12</v>
      </c>
      <c r="AJ1022" s="282">
        <f ca="1">IF(E1022&gt;111,,IF(AND(OP!$C$99=1,T1022="F"),Z1022,IF(AND(OP!$C$99=2,COUNTIF($T$4:T1022,"F")=1),OP!$C$97+IF(F1022="F",OP!$C$98,0),"")))</f>
        <v>0</v>
      </c>
      <c r="AK1022" s="282">
        <f ca="1">IF(E1022&gt;111,,IF(AND(OP!$D$99=1,T1022="F"),AA1022,IF(AND(OP!$D$99=2,COUNTIF($T$4:T1022,"F")=1),OP!$D$97+IF(F1022="F",OP!$D$98,0),"")))</f>
        <v>0</v>
      </c>
      <c r="AL1022" s="282">
        <f ca="1">IF(E1022&gt;111,,IF(AND(OP!$E$99=1,T1022="F"),AB1022,IF(AND(OP!$E$99=2,COUNTIF($T$4:T1022,"F")=1),OP!$E$97+IF(F1022="F",OP!$E$98,0),"")))</f>
        <v>0</v>
      </c>
      <c r="AM1022" s="1">
        <f t="shared" ca="1" si="582"/>
        <v>12</v>
      </c>
      <c r="AN1022" s="1" t="e">
        <f ca="1">IF(OR(VLOOKUP($A1022,MP,5,0)="月繳"),1,"")</f>
        <v>#N/A</v>
      </c>
      <c r="AO1022" s="1">
        <f t="shared" ca="1" si="563"/>
        <v>0</v>
      </c>
      <c r="AP1022" s="1" t="str">
        <f ca="1">IF(AND(A1022&lt;=OP!$C$120,COUNTIF(PAY,C1022)=1),1,"")</f>
        <v/>
      </c>
      <c r="AR1022" s="301">
        <f ca="1">IF(繳費報酬率資料!$A$1=1,$AY1022+$AZ1022,$BF1022+$BG1022)</f>
        <v>0</v>
      </c>
      <c r="AS1022" s="1">
        <f ca="1">IF(C1022&lt;&gt;IF($C$3=1,12,$C$3-1),0,IF(繳費報酬率資料!$A$1&lt;&gt;1,VLOOKUP($A1022,MP,8,0),IF(AND($A1022&gt;=OP!$C$79,$A1022&lt;=OP!$C$80),OP!$C$78,)))</f>
        <v>0</v>
      </c>
      <c r="AT1022" s="298">
        <f t="shared" ca="1" si="564"/>
        <v>0</v>
      </c>
      <c r="AU1022" s="298">
        <f ca="1">IF(AND(A1022&lt;=OP!$C$120,COUNTIF(PAY,C1022)=1),OP!$C$123,0)</f>
        <v>0</v>
      </c>
      <c r="AV1022" s="298">
        <f ca="1">IF(AND(A1022&gt;=OP!$C$132,A1022&lt;=OP!$C$133,$C$3=C1022),OP!$C$135,0)</f>
        <v>0</v>
      </c>
      <c r="AW1022" s="180">
        <f t="shared" ca="1" si="565"/>
        <v>0.05</v>
      </c>
      <c r="AX1022" s="180">
        <f t="shared" ca="1" si="566"/>
        <v>0.05</v>
      </c>
      <c r="AY1022" s="286">
        <f t="shared" ca="1" si="567"/>
        <v>0</v>
      </c>
      <c r="AZ1022" s="286">
        <f t="shared" ca="1" si="568"/>
        <v>0</v>
      </c>
      <c r="BA1022" s="286">
        <f t="shared" ca="1" si="569"/>
        <v>0</v>
      </c>
      <c r="BB1022" s="286">
        <f t="shared" ca="1" si="570"/>
        <v>0</v>
      </c>
      <c r="BC1022" s="286">
        <f t="shared" ca="1" si="571"/>
        <v>0</v>
      </c>
      <c r="BD1022" s="180">
        <f t="shared" ca="1" si="572"/>
        <v>0.05</v>
      </c>
      <c r="BE1022" s="180">
        <f t="shared" ca="1" si="573"/>
        <v>0.05</v>
      </c>
      <c r="BF1022" s="286">
        <f t="shared" ca="1" si="574"/>
        <v>0</v>
      </c>
      <c r="BG1022" s="286">
        <f t="shared" ca="1" si="575"/>
        <v>0</v>
      </c>
    </row>
    <row r="1023" spans="1:59">
      <c r="A1023" s="1">
        <f t="shared" ca="1" si="554"/>
        <v>85</v>
      </c>
      <c r="B1023" s="1">
        <f t="shared" ca="1" si="583"/>
        <v>191</v>
      </c>
      <c r="C1023" s="1">
        <f t="shared" ca="1" si="584"/>
        <v>5</v>
      </c>
      <c r="D1023" s="1">
        <f ca="1">MIN($D$3,VLOOKUP(C1023,OP!$S$30:$T$41,2))</f>
        <v>2</v>
      </c>
      <c r="E1023" s="1" t="str">
        <f t="shared" ca="1" si="580"/>
        <v/>
      </c>
      <c r="F1023" s="11" t="str">
        <f t="shared" ca="1" si="555"/>
        <v/>
      </c>
      <c r="G1023" s="8">
        <f t="shared" ca="1" si="587"/>
        <v>365</v>
      </c>
      <c r="H1023" s="8">
        <f t="shared" ca="1" si="557"/>
        <v>31</v>
      </c>
      <c r="I1023" s="8" t="str">
        <f t="shared" ca="1" si="553"/>
        <v>855</v>
      </c>
      <c r="J1023" s="13">
        <f>IF(繳費報酬率資料!$A$1=1,VALUE(OP!$C$121),VLOOKUP(A1023,MP,2,0))</f>
        <v>0.05</v>
      </c>
      <c r="K1023" s="14">
        <f ca="1">IF(SUM($K$4:K1022,IF(繳費報酬率資料!$A$1=1,$AU1023+$AV1023,$BB1023+$BC1023))&gt;OP!$L$58,0,IF(繳費報酬率資料!$A$1=1,$AU1023+$AV1023,$BB1023+$BC1023))</f>
        <v>0</v>
      </c>
      <c r="L1023" s="2">
        <f ca="1">ROUND(IF(OP!$C$78&lt;(IF(OR($T1023="F",$E1023&gt;=111),0,Z1022+$K1023-$O1023+IF($C$1=1,OP!$C$78,IF($C1024=$C$3,SUM(AC1012:AC1023,0)))))*5%,0,(OP!$C$78-((IF(OR($T1023="F",$E1023&gt;=111),0,Z1022+$K1023-$O1023+IF($C$1=1,AC1023,IF($C1024=$C$3,SUM(AC1012:AC1023,0)))))*5%))*$Q1023),0)</f>
        <v>0</v>
      </c>
      <c r="M1023" s="2">
        <f ca="1">ROUND(IF(OP!$C$78&lt;(IF(OR($T1023="F",$E1023&gt;=111),0,AA1022+$K1023-$O1023+IF($C$1=1,AD1023,IF($C1024=$C$3,SUM(AD1012:AD1023,0)))))*5%,0,(OP!$C$78-((IF(OR($T1023="F",$E1023&gt;=111),0,AA1022+$K1023-$O1023+IF($C$1=1,AD1023,IF($C1024=$C$3,SUM(AD1012:AD1023,0)))))*5%))*$Q1023),0)</f>
        <v>0</v>
      </c>
      <c r="N1023" s="2">
        <f ca="1">ROUND(IF(OP!$C$78&lt;(IF(OR($T1023="F",$E1023&gt;=111),0,AB1022+$K1023-$O1023+IF($C$1=1,AE1023,IF($C1024=$C$3,SUM(AE1012:AE1023,0)))))*5%,0,(OP!$C$78-((IF(OR($T1023="F",$E1023&gt;=111),0,AB1022+$K1023-$O1023+IF($C$1=1,AE1023,IF($C1024=$C$3,SUM(AE1012:AE1023,0)))))*5%))*$Q1023),0)</f>
        <v>0</v>
      </c>
      <c r="O1023" s="261">
        <f t="shared" ca="1" si="558"/>
        <v>0</v>
      </c>
      <c r="P1023" s="261">
        <f t="shared" ca="1" si="576"/>
        <v>0</v>
      </c>
      <c r="Q1023" s="3">
        <f ca="1">IF(A1023&gt;MAX(OP!$R$17:$R$26),0,VLOOKUP(A1023,fees,3,FALSE))</f>
        <v>0</v>
      </c>
      <c r="R1023" s="200" t="str">
        <f t="shared" ca="1" si="559"/>
        <v/>
      </c>
      <c r="S1023" s="9" t="str">
        <f ca="1">IF(COUNTIF(($T$4:T1022),"F")&gt;=1,"",IF(OR(C1024&lt;&gt;$C$3,E1023=""),"",A1023))</f>
        <v/>
      </c>
      <c r="T1023" s="20" t="str">
        <f t="shared" ca="1" si="581"/>
        <v/>
      </c>
      <c r="U1023" s="2">
        <f ca="1">IF(IF(OP!$C$83=1,$Z1022,IF(OP!$C$83=2,$AA1022,IF(OP!$C$83=3,$AB1022,)))+$K1023-$O1023-$P1023-$AS1023&lt;OP!$C$142,0,$AS1023)</f>
        <v>0</v>
      </c>
      <c r="V1023" s="19">
        <f ca="1">SUM(K1012:K1023)</f>
        <v>0</v>
      </c>
      <c r="W1023" s="19">
        <f ca="1">MAX(SUM($K$4:K1023),0)</f>
        <v>2000000</v>
      </c>
      <c r="X1023" s="19">
        <f ca="1">SUM(O1012:P1023)</f>
        <v>0</v>
      </c>
      <c r="Y1023" s="19">
        <f t="shared" ca="1" si="577"/>
        <v>1920000</v>
      </c>
      <c r="Z1023" s="2">
        <f ca="1">IF(MIN($Z$4:Z1022)=0,0,MAX(0,($Z1022+$K1023-$O1023-$P1023)*IF(AND(F1023="F",$D$3&lt;&gt;$G$3),((1+(-J1023))^(H1023/MIN(G1023,365))),((1+(-J1023))^(1/12)))-$U1023))</f>
        <v>24536.221199615364</v>
      </c>
      <c r="AA1023" s="2">
        <f ca="1">IF(MIN($AA$4:AA1022)=0,0,MAX(0,($AA1022+$K1023-$O1023-$P1023)*IF(AND(F1023="F",$D$3&lt;&gt;$G$3),((1+$AA$1)^(H1023/MIN(G1023,365))),((1+$AA$1)^(1/12)))-$U1023))</f>
        <v>1920000</v>
      </c>
      <c r="AB1023" s="2">
        <f ca="1">IF(MIN($AB$4:AB1022)=0,0,MAX(0,($AB1022+$K1023-$O1023-$P1023)*IF(AND(F1023="F",$D$3&lt;&gt;$G$3),((1+(J1023))^(H1023/MIN(G1023,365))),((1+(J1023))^(1/12)))-$U1023))</f>
        <v>121448358.61352554</v>
      </c>
      <c r="AC1023" s="5"/>
      <c r="AD1023" s="5"/>
      <c r="AE1023" s="5"/>
      <c r="AF1023" s="282">
        <f t="shared" ca="1" si="560"/>
        <v>24536</v>
      </c>
      <c r="AG1023" s="282">
        <f t="shared" ca="1" si="561"/>
        <v>1920000</v>
      </c>
      <c r="AH1023" s="282">
        <f t="shared" ca="1" si="562"/>
        <v>121448359</v>
      </c>
      <c r="AI1023" s="23" t="str">
        <f t="shared" ca="1" si="578"/>
        <v>86-1</v>
      </c>
      <c r="AJ1023" s="282">
        <f ca="1">IF(E1023&gt;111,,IF(AND(OP!$C$99=1,T1023="F"),Z1023,IF(AND(OP!$C$99=2,COUNTIF($T$4:T1023,"F")=1),OP!$C$97+IF(F1023="F",OP!$C$98,0),"")))</f>
        <v>0</v>
      </c>
      <c r="AK1023" s="282">
        <f ca="1">IF(E1023&gt;111,,IF(AND(OP!$D$99=1,T1023="F"),AA1023,IF(AND(OP!$D$99=2,COUNTIF($T$4:T1023,"F")=1),OP!$D$97+IF(F1023="F",OP!$D$98,0),"")))</f>
        <v>0</v>
      </c>
      <c r="AL1023" s="282">
        <f ca="1">IF(E1023&gt;111,,IF(AND(OP!$E$99=1,T1023="F"),AB1023,IF(AND(OP!$E$99=2,COUNTIF($T$4:T1023,"F")=1),OP!$E$97+IF(F1023="F",OP!$E$98,0),"")))</f>
        <v>0</v>
      </c>
      <c r="AM1023" s="1">
        <f t="shared" ca="1" si="582"/>
        <v>1</v>
      </c>
      <c r="AN1023" s="1" t="e">
        <f ca="1">IF(OR(VLOOKUP($A1023,MP,5,0)="月繳"),1,"")</f>
        <v>#N/A</v>
      </c>
      <c r="AO1023" s="1">
        <f t="shared" ca="1" si="563"/>
        <v>0</v>
      </c>
      <c r="AP1023" s="1" t="str">
        <f ca="1">IF(AND(A1023&lt;=OP!$C$120,COUNTIF(PAY,C1023)=1),1,"")</f>
        <v/>
      </c>
      <c r="AR1023" s="301">
        <f ca="1">IF(繳費報酬率資料!$A$1=1,$AY1023+$AZ1023,$BF1023+$BG1023)</f>
        <v>0</v>
      </c>
      <c r="AS1023" s="1">
        <f ca="1">IF(C1023&lt;&gt;IF($C$3=1,12,$C$3-1),0,IF(繳費報酬率資料!$A$1&lt;&gt;1,VLOOKUP($A1023,MP,8,0),IF(AND($A1023&gt;=OP!$C$79,$A1023&lt;=OP!$C$80),OP!$C$78,)))</f>
        <v>0</v>
      </c>
      <c r="AT1023" s="298">
        <f t="shared" ca="1" si="564"/>
        <v>0</v>
      </c>
      <c r="AU1023" s="298">
        <f ca="1">IF(AND(A1023&lt;=OP!$C$120,COUNTIF(PAY,C1023)=1),OP!$C$123,0)</f>
        <v>0</v>
      </c>
      <c r="AV1023" s="298">
        <f ca="1">IF(AND(A1023&gt;=OP!$C$132,A1023&lt;=OP!$C$133,$C$3=C1023),OP!$C$135,0)</f>
        <v>0</v>
      </c>
      <c r="AW1023" s="180">
        <f t="shared" ca="1" si="565"/>
        <v>0.05</v>
      </c>
      <c r="AX1023" s="180">
        <f t="shared" ca="1" si="566"/>
        <v>0.05</v>
      </c>
      <c r="AY1023" s="286">
        <f t="shared" ca="1" si="567"/>
        <v>0</v>
      </c>
      <c r="AZ1023" s="286">
        <f t="shared" ca="1" si="568"/>
        <v>0</v>
      </c>
      <c r="BA1023" s="286">
        <f t="shared" ca="1" si="569"/>
        <v>0</v>
      </c>
      <c r="BB1023" s="286">
        <f t="shared" ca="1" si="570"/>
        <v>0</v>
      </c>
      <c r="BC1023" s="286">
        <f t="shared" ca="1" si="571"/>
        <v>0</v>
      </c>
      <c r="BD1023" s="180">
        <f t="shared" ca="1" si="572"/>
        <v>0.05</v>
      </c>
      <c r="BE1023" s="180">
        <f t="shared" ca="1" si="573"/>
        <v>0.05</v>
      </c>
      <c r="BF1023" s="286">
        <f t="shared" ca="1" si="574"/>
        <v>0</v>
      </c>
      <c r="BG1023" s="286">
        <f t="shared" ca="1" si="575"/>
        <v>0</v>
      </c>
    </row>
    <row r="1024" spans="1:59">
      <c r="A1024" s="1">
        <f t="shared" ca="1" si="554"/>
        <v>86</v>
      </c>
      <c r="B1024" s="1">
        <f t="shared" ca="1" si="583"/>
        <v>191</v>
      </c>
      <c r="C1024" s="1">
        <f t="shared" ca="1" si="584"/>
        <v>6</v>
      </c>
      <c r="D1024" s="1">
        <f ca="1">MIN($D$3,VLOOKUP(C1024,OP!$S$30:$T$41,2))</f>
        <v>2</v>
      </c>
      <c r="E1024" s="1" t="str">
        <f t="shared" ca="1" si="580"/>
        <v/>
      </c>
      <c r="F1024" s="11" t="str">
        <f t="shared" ca="1" si="555"/>
        <v/>
      </c>
      <c r="G1024" s="6">
        <f ca="1">DATEDIF(DATE(B1024+1911,C1024,D1024),DATE(B1036+1911,C1036,D1036),"d")</f>
        <v>365</v>
      </c>
      <c r="H1024" s="8">
        <f t="shared" ca="1" si="557"/>
        <v>30</v>
      </c>
      <c r="I1024" s="8" t="str">
        <f t="shared" ca="1" si="553"/>
        <v>866</v>
      </c>
      <c r="J1024" s="13">
        <f>IF(繳費報酬率資料!$A$1=1,VALUE(OP!$C$121),VLOOKUP(A1024,MP,2,0))</f>
        <v>0.05</v>
      </c>
      <c r="K1024" s="14">
        <f ca="1">IF(SUM($K$4:K1023,IF(繳費報酬率資料!$A$1=1,$AU1024+$AV1024,$BB1024+$BC1024))&gt;OP!$L$58,0,IF(繳費報酬率資料!$A$1=1,$AU1024+$AV1024,$BB1024+$BC1024))</f>
        <v>0</v>
      </c>
      <c r="L1024" s="2"/>
      <c r="M1024" s="2"/>
      <c r="N1024" s="2"/>
      <c r="O1024" s="261">
        <f t="shared" ca="1" si="558"/>
        <v>0</v>
      </c>
      <c r="P1024" s="261">
        <f t="shared" ca="1" si="576"/>
        <v>0</v>
      </c>
      <c r="Q1024" s="3">
        <f ca="1">IF(A1024&gt;MAX(OP!$R$17:$R$26),0,VLOOKUP(A1024,fees,3,FALSE))</f>
        <v>0</v>
      </c>
      <c r="R1024" s="200" t="str">
        <f t="shared" ca="1" si="559"/>
        <v/>
      </c>
      <c r="S1024" s="9" t="str">
        <f ca="1">IF(COUNTIF(($T$4:T1023),"F")&gt;=1,"",IF(OR(C1025&lt;&gt;$C$3,E1024=""),"",A1024))</f>
        <v/>
      </c>
      <c r="T1024" s="20" t="str">
        <f t="shared" ca="1" si="581"/>
        <v/>
      </c>
      <c r="U1024" s="2">
        <f ca="1">IF(IF(OP!$C$83=1,$Z1023,IF(OP!$C$83=2,$AA1023,IF(OP!$C$83=3,$AB1023,)))+$K1024-$O1024-$P1024-$AS1024&lt;OP!$C$142,0,$AS1024)</f>
        <v>0</v>
      </c>
      <c r="V1024" s="9"/>
      <c r="W1024" s="19">
        <f ca="1">MAX(SUM($K$4:K1024),0)</f>
        <v>2000000</v>
      </c>
      <c r="X1024" s="19"/>
      <c r="Y1024" s="19">
        <f t="shared" ca="1" si="577"/>
        <v>1920000</v>
      </c>
      <c r="Z1024" s="2">
        <f ca="1">IF(MIN($Z$4:Z1023)=0,0,MAX(0,($Z1023+$K1024-$O1024-$P1024)*IF(AND(F1024="F",$D$3&lt;&gt;$G$3),((1+(-J1024))^(H1024/MIN(G1024,365))),((1+(-J1024))^(1/12)))-$U1024))</f>
        <v>24431.566394602261</v>
      </c>
      <c r="AA1024" s="2">
        <f ca="1">IF(MIN($AA$4:AA1023)=0,0,MAX(0,($AA1023+$K1024-$O1024-$P1024)*IF(AND(F1024="F",$D$3&lt;&gt;$G$3),((1+$AA$1)^(H1024/MIN(G1024,365))),((1+$AA$1)^(1/12)))-$U1024))</f>
        <v>1920000</v>
      </c>
      <c r="AB1024" s="2">
        <f ca="1">IF(MIN($AB$4:AB1023)=0,0,MAX(0,($AB1023+$K1024-$O1024-$P1024)*IF(AND(F1024="F",$D$3&lt;&gt;$G$3),((1+(J1024))^(H1024/MIN(G1024,365))),((1+(J1024))^(1/12)))-$U1024))</f>
        <v>121943154.25983796</v>
      </c>
      <c r="AC1024" s="21"/>
      <c r="AD1024" s="21"/>
      <c r="AE1024" s="21"/>
      <c r="AF1024" s="282">
        <f t="shared" ca="1" si="560"/>
        <v>24432</v>
      </c>
      <c r="AG1024" s="282">
        <f t="shared" ca="1" si="561"/>
        <v>1920000</v>
      </c>
      <c r="AH1024" s="282">
        <f t="shared" ca="1" si="562"/>
        <v>121943154</v>
      </c>
      <c r="AI1024" s="23" t="str">
        <f t="shared" ca="1" si="578"/>
        <v>86-2</v>
      </c>
      <c r="AJ1024" s="281">
        <f ca="1">IF(E1024&gt;111,,IF(AND(OP!$C$99=1,T1024="F"),Z1024,IF(AND(OP!$C$99=2,COUNTIF($T$4:T1024,"F")=1),OP!$C$97+IF(F1024="F",OP!$C$98,0),"")))</f>
        <v>0</v>
      </c>
      <c r="AK1024" s="281">
        <f ca="1">IF(E1024&gt;111,,IF(AND(OP!$D$99=1,T1024="F"),AA1024,IF(AND(OP!$D$99=2,COUNTIF($T$4:T1024,"F")=1),OP!$D$97+IF(F1024="F",OP!$D$98,0),"")))</f>
        <v>0</v>
      </c>
      <c r="AL1024" s="281">
        <f ca="1">IF(E1024&gt;111,,IF(AND(OP!$E$99=1,T1024="F"),AB1024,IF(AND(OP!$E$99=2,COUNTIF($T$4:T1024,"F")=1),OP!$E$97+IF(F1024="F",OP!$E$98,0),"")))</f>
        <v>0</v>
      </c>
      <c r="AM1024" s="1">
        <f t="shared" ca="1" si="582"/>
        <v>2</v>
      </c>
      <c r="AN1024" s="1" t="e">
        <f ca="1">IF(OR(VLOOKUP($A1024,MP,5,0)="年繳",VLOOKUP($A1024,MP,5,0)="半年繳",VLOOKUP($A1024,MP,5,0)="季繳",VLOOKUP($A1024,MP,5,0)="月繳"),1,"")</f>
        <v>#N/A</v>
      </c>
      <c r="AO1024" s="1">
        <f t="shared" ca="1" si="563"/>
        <v>0</v>
      </c>
      <c r="AP1024" s="1" t="str">
        <f ca="1">IF(AND(A1024&lt;=OP!$C$120,COUNTIF(PAY,C1024)=1),1,"")</f>
        <v/>
      </c>
      <c r="AR1024" s="301">
        <f ca="1">IF(繳費報酬率資料!$A$1=1,$AY1024+$AZ1024,$BF1024+$BG1024)</f>
        <v>0</v>
      </c>
      <c r="AS1024" s="1">
        <f ca="1">IF(C1024&lt;&gt;IF($C$3=1,12,$C$3-1),0,IF(繳費報酬率資料!$A$1&lt;&gt;1,VLOOKUP($A1024,MP,8,0),IF(AND($A1024&gt;=OP!$C$79,$A1024&lt;=OP!$C$80),OP!$C$78,)))</f>
        <v>0</v>
      </c>
      <c r="AT1024" s="298">
        <f t="shared" ca="1" si="564"/>
        <v>0</v>
      </c>
      <c r="AU1024" s="298">
        <f ca="1">IF(AND(A1024&lt;=OP!$C$120,COUNTIF(PAY,C1024)=1),OP!$C$123,0)</f>
        <v>0</v>
      </c>
      <c r="AV1024" s="298">
        <f ca="1">IF(AND(A1024&gt;=OP!$C$132,A1024&lt;=OP!$C$133,$C$3=C1024),OP!$C$135,0)</f>
        <v>0</v>
      </c>
      <c r="AW1024" s="180">
        <f t="shared" ca="1" si="565"/>
        <v>0.05</v>
      </c>
      <c r="AX1024" s="180">
        <f t="shared" ca="1" si="566"/>
        <v>0.05</v>
      </c>
      <c r="AY1024" s="286">
        <f t="shared" ca="1" si="567"/>
        <v>0</v>
      </c>
      <c r="AZ1024" s="286">
        <f t="shared" ca="1" si="568"/>
        <v>0</v>
      </c>
      <c r="BA1024" s="286">
        <f t="shared" ca="1" si="569"/>
        <v>0</v>
      </c>
      <c r="BB1024" s="286">
        <f t="shared" ca="1" si="570"/>
        <v>0</v>
      </c>
      <c r="BC1024" s="286">
        <f t="shared" ca="1" si="571"/>
        <v>0</v>
      </c>
      <c r="BD1024" s="180">
        <f t="shared" ca="1" si="572"/>
        <v>0.05</v>
      </c>
      <c r="BE1024" s="180">
        <f t="shared" ca="1" si="573"/>
        <v>0.05</v>
      </c>
      <c r="BF1024" s="286">
        <f t="shared" ca="1" si="574"/>
        <v>0</v>
      </c>
      <c r="BG1024" s="286">
        <f t="shared" ca="1" si="575"/>
        <v>0</v>
      </c>
    </row>
    <row r="1025" spans="1:59">
      <c r="A1025" s="1">
        <f t="shared" ca="1" si="554"/>
        <v>86</v>
      </c>
      <c r="B1025" s="1">
        <f t="shared" ca="1" si="583"/>
        <v>191</v>
      </c>
      <c r="C1025" s="1">
        <f t="shared" ca="1" si="584"/>
        <v>7</v>
      </c>
      <c r="D1025" s="1">
        <f ca="1">MIN($D$3,VLOOKUP(C1025,OP!$S$30:$T$41,2))</f>
        <v>2</v>
      </c>
      <c r="E1025" s="1" t="str">
        <f t="shared" ca="1" si="580"/>
        <v/>
      </c>
      <c r="F1025" s="11" t="str">
        <f t="shared" ca="1" si="555"/>
        <v/>
      </c>
      <c r="G1025" s="8">
        <f t="shared" ref="G1025:G1035" ca="1" si="588">G1024</f>
        <v>365</v>
      </c>
      <c r="H1025" s="8">
        <f t="shared" ca="1" si="557"/>
        <v>31</v>
      </c>
      <c r="I1025" s="8" t="str">
        <f t="shared" ca="1" si="553"/>
        <v>867</v>
      </c>
      <c r="J1025" s="13">
        <f>IF(繳費報酬率資料!$A$1=1,VALUE(OP!$C$121),VLOOKUP(A1025,MP,2,0))</f>
        <v>0.05</v>
      </c>
      <c r="K1025" s="14">
        <f ca="1">IF(SUM($K$4:K1024,IF(繳費報酬率資料!$A$1=1,$AU1025+$AV1025,$BB1025+$BC1025))&gt;OP!$L$58,0,IF(繳費報酬率資料!$A$1=1,$AU1025+$AV1025,$BB1025+$BC1025))</f>
        <v>0</v>
      </c>
      <c r="L1025" s="2"/>
      <c r="M1025" s="2"/>
      <c r="N1025" s="2"/>
      <c r="O1025" s="261">
        <f t="shared" ca="1" si="558"/>
        <v>0</v>
      </c>
      <c r="P1025" s="261">
        <f t="shared" ca="1" si="576"/>
        <v>0</v>
      </c>
      <c r="Q1025" s="3">
        <f ca="1">IF(A1025&gt;MAX(OP!$R$17:$R$26),0,VLOOKUP(A1025,fees,3,FALSE))</f>
        <v>0</v>
      </c>
      <c r="R1025" s="200" t="str">
        <f t="shared" ca="1" si="559"/>
        <v/>
      </c>
      <c r="S1025" s="9" t="str">
        <f ca="1">IF(COUNTIF(($T$4:T1024),"F")&gt;=1,"",IF(OR(C1026&lt;&gt;$C$3,E1025=""),"",A1025))</f>
        <v/>
      </c>
      <c r="T1025" s="20" t="str">
        <f t="shared" ca="1" si="581"/>
        <v/>
      </c>
      <c r="U1025" s="2">
        <f ca="1">IF(IF(OP!$C$83=1,$Z1024,IF(OP!$C$83=2,$AA1024,IF(OP!$C$83=3,$AB1024,)))+$K1025-$O1025-$P1025-$AS1025&lt;OP!$C$142,0,$AS1025)</f>
        <v>0</v>
      </c>
      <c r="V1025" s="9"/>
      <c r="W1025" s="19">
        <f ca="1">MAX(SUM($K$4:K1025),0)</f>
        <v>2000000</v>
      </c>
      <c r="X1025" s="19"/>
      <c r="Y1025" s="19">
        <f t="shared" ca="1" si="577"/>
        <v>1920000</v>
      </c>
      <c r="Z1025" s="2">
        <f ca="1">IF(MIN($Z$4:Z1024)=0,0,MAX(0,($Z1024+$K1025-$O1025-$P1025)*IF(AND(F1025="F",$D$3&lt;&gt;$G$3),((1+(-J1025))^(H1025/MIN(G1025,365))),((1+(-J1025))^(1/12)))-$U1025))</f>
        <v>24327.357975694144</v>
      </c>
      <c r="AA1025" s="2">
        <f ca="1">IF(MIN($AA$4:AA1024)=0,0,MAX(0,($AA1024+$K1025-$O1025-$P1025)*IF(AND(F1025="F",$D$3&lt;&gt;$G$3),((1+$AA$1)^(H1025/MIN(G1025,365))),((1+$AA$1)^(1/12)))-$U1025))</f>
        <v>1920000</v>
      </c>
      <c r="AB1025" s="2">
        <f ca="1">IF(MIN($AB$4:AB1024)=0,0,MAX(0,($AB1024+$K1025-$O1025-$P1025)*IF(AND(F1025="F",$D$3&lt;&gt;$G$3),((1+(J1025))^(H1025/MIN(G1025,365))),((1+(J1025))^(1/12)))-$U1025))</f>
        <v>122439965.76486106</v>
      </c>
      <c r="AC1025" s="5"/>
      <c r="AD1025" s="5"/>
      <c r="AE1025" s="5"/>
      <c r="AF1025" s="282">
        <f t="shared" ca="1" si="560"/>
        <v>24327</v>
      </c>
      <c r="AG1025" s="282">
        <f t="shared" ca="1" si="561"/>
        <v>1920000</v>
      </c>
      <c r="AH1025" s="282">
        <f t="shared" ca="1" si="562"/>
        <v>122439966</v>
      </c>
      <c r="AI1025" s="23" t="str">
        <f t="shared" ca="1" si="578"/>
        <v>86-3</v>
      </c>
      <c r="AJ1025" s="282">
        <f ca="1">IF(E1025&gt;111,,IF(AND(OP!$C$99=1,T1025="F"),Z1025,IF(AND(OP!$C$99=2,COUNTIF($T$4:T1025,"F")=1),OP!$C$97+IF(F1025="F",OP!$C$98,0),"")))</f>
        <v>0</v>
      </c>
      <c r="AK1025" s="282">
        <f ca="1">IF(E1025&gt;111,,IF(AND(OP!$D$99=1,T1025="F"),AA1025,IF(AND(OP!$D$99=2,COUNTIF($T$4:T1025,"F")=1),OP!$D$97+IF(F1025="F",OP!$D$98,0),"")))</f>
        <v>0</v>
      </c>
      <c r="AL1025" s="282">
        <f ca="1">IF(E1025&gt;111,,IF(AND(OP!$E$99=1,T1025="F"),AB1025,IF(AND(OP!$E$99=2,COUNTIF($T$4:T1025,"F")=1),OP!$E$97+IF(F1025="F",OP!$E$98,0),"")))</f>
        <v>0</v>
      </c>
      <c r="AM1025" s="1">
        <f t="shared" ca="1" si="582"/>
        <v>3</v>
      </c>
      <c r="AN1025" s="1" t="e">
        <f ca="1">IF(OR(VLOOKUP($A1025,MP,5,0)="月繳"),1,"")</f>
        <v>#N/A</v>
      </c>
      <c r="AO1025" s="1">
        <f t="shared" ca="1" si="563"/>
        <v>0</v>
      </c>
      <c r="AP1025" s="1" t="str">
        <f ca="1">IF(AND(A1025&lt;=OP!$C$120,COUNTIF(PAY,C1025)=1),1,"")</f>
        <v/>
      </c>
      <c r="AR1025" s="301">
        <f ca="1">IF(繳費報酬率資料!$A$1=1,$AY1025+$AZ1025,$BF1025+$BG1025)</f>
        <v>0</v>
      </c>
      <c r="AS1025" s="1">
        <f ca="1">IF(C1025&lt;&gt;IF($C$3=1,12,$C$3-1),0,IF(繳費報酬率資料!$A$1&lt;&gt;1,VLOOKUP($A1025,MP,8,0),IF(AND($A1025&gt;=OP!$C$79,$A1025&lt;=OP!$C$80),OP!$C$78,)))</f>
        <v>0</v>
      </c>
      <c r="AT1025" s="298">
        <f t="shared" ca="1" si="564"/>
        <v>0</v>
      </c>
      <c r="AU1025" s="298">
        <f ca="1">IF(AND(A1025&lt;=OP!$C$120,COUNTIF(PAY,C1025)=1),OP!$C$123,0)</f>
        <v>0</v>
      </c>
      <c r="AV1025" s="298">
        <f ca="1">IF(AND(A1025&gt;=OP!$C$132,A1025&lt;=OP!$C$133,$C$3=C1025),OP!$C$135,0)</f>
        <v>0</v>
      </c>
      <c r="AW1025" s="180">
        <f t="shared" ca="1" si="565"/>
        <v>0.05</v>
      </c>
      <c r="AX1025" s="180">
        <f t="shared" ca="1" si="566"/>
        <v>0.05</v>
      </c>
      <c r="AY1025" s="286">
        <f t="shared" ca="1" si="567"/>
        <v>0</v>
      </c>
      <c r="AZ1025" s="286">
        <f t="shared" ca="1" si="568"/>
        <v>0</v>
      </c>
      <c r="BA1025" s="286">
        <f t="shared" ca="1" si="569"/>
        <v>0</v>
      </c>
      <c r="BB1025" s="286">
        <f t="shared" ca="1" si="570"/>
        <v>0</v>
      </c>
      <c r="BC1025" s="286">
        <f t="shared" ca="1" si="571"/>
        <v>0</v>
      </c>
      <c r="BD1025" s="180">
        <f t="shared" ca="1" si="572"/>
        <v>0.05</v>
      </c>
      <c r="BE1025" s="180">
        <f t="shared" ca="1" si="573"/>
        <v>0.05</v>
      </c>
      <c r="BF1025" s="286">
        <f t="shared" ca="1" si="574"/>
        <v>0</v>
      </c>
      <c r="BG1025" s="286">
        <f t="shared" ca="1" si="575"/>
        <v>0</v>
      </c>
    </row>
    <row r="1026" spans="1:59">
      <c r="A1026" s="1">
        <f t="shared" ca="1" si="554"/>
        <v>86</v>
      </c>
      <c r="B1026" s="1">
        <f t="shared" ca="1" si="583"/>
        <v>191</v>
      </c>
      <c r="C1026" s="1">
        <f t="shared" ca="1" si="584"/>
        <v>8</v>
      </c>
      <c r="D1026" s="1">
        <f ca="1">MIN($D$3,VLOOKUP(C1026,OP!$S$30:$T$41,2))</f>
        <v>2</v>
      </c>
      <c r="E1026" s="1" t="str">
        <f t="shared" ca="1" si="580"/>
        <v/>
      </c>
      <c r="F1026" s="11" t="str">
        <f t="shared" ca="1" si="555"/>
        <v/>
      </c>
      <c r="G1026" s="8">
        <f t="shared" ca="1" si="588"/>
        <v>365</v>
      </c>
      <c r="H1026" s="8">
        <f t="shared" ca="1" si="557"/>
        <v>31</v>
      </c>
      <c r="I1026" s="8" t="str">
        <f t="shared" ca="1" si="553"/>
        <v>868</v>
      </c>
      <c r="J1026" s="13">
        <f>IF(繳費報酬率資料!$A$1=1,VALUE(OP!$C$121),VLOOKUP(A1026,MP,2,0))</f>
        <v>0.05</v>
      </c>
      <c r="K1026" s="14">
        <f ca="1">IF(SUM($K$4:K1025,IF(繳費報酬率資料!$A$1=1,$AU1026+$AV1026,$BB1026+$BC1026))&gt;OP!$L$58,0,IF(繳費報酬率資料!$A$1=1,$AU1026+$AV1026,$BB1026+$BC1026))</f>
        <v>0</v>
      </c>
      <c r="L1026" s="2"/>
      <c r="M1026" s="2"/>
      <c r="N1026" s="2"/>
      <c r="O1026" s="261">
        <f t="shared" ca="1" si="558"/>
        <v>0</v>
      </c>
      <c r="P1026" s="261">
        <f t="shared" ca="1" si="576"/>
        <v>0</v>
      </c>
      <c r="Q1026" s="3">
        <f ca="1">IF(A1026&gt;MAX(OP!$R$17:$R$26),0,VLOOKUP(A1026,fees,3,FALSE))</f>
        <v>0</v>
      </c>
      <c r="R1026" s="200" t="str">
        <f t="shared" ca="1" si="559"/>
        <v/>
      </c>
      <c r="S1026" s="9" t="str">
        <f ca="1">IF(COUNTIF(($T$4:T1025),"F")&gt;=1,"",IF(OR(C1027&lt;&gt;$C$3,E1026=""),"",A1026))</f>
        <v/>
      </c>
      <c r="T1026" s="20" t="str">
        <f t="shared" ca="1" si="581"/>
        <v/>
      </c>
      <c r="U1026" s="2">
        <f ca="1">IF(IF(OP!$C$83=1,$Z1025,IF(OP!$C$83=2,$AA1025,IF(OP!$C$83=3,$AB1025,)))+$K1026-$O1026-$P1026-$AS1026&lt;OP!$C$142,0,$AS1026)</f>
        <v>0</v>
      </c>
      <c r="V1026" s="9"/>
      <c r="W1026" s="19">
        <f ca="1">MAX(SUM($K$4:K1026),0)</f>
        <v>2000000</v>
      </c>
      <c r="X1026" s="19"/>
      <c r="Y1026" s="19">
        <f t="shared" ca="1" si="577"/>
        <v>1920000</v>
      </c>
      <c r="Z1026" s="2">
        <f ca="1">IF(MIN($Z$4:Z1025)=0,0,MAX(0,($Z1025+$K1026-$O1026-$P1026)*IF(AND(F1026="F",$D$3&lt;&gt;$G$3),((1+(-J1026))^(H1026/MIN(G1026,365))),((1+(-J1026))^(1/12)))-$U1026))</f>
        <v>24223.594038911975</v>
      </c>
      <c r="AA1026" s="2">
        <f ca="1">IF(MIN($AA$4:AA1025)=0,0,MAX(0,($AA1025+$K1026-$O1026-$P1026)*IF(AND(F1026="F",$D$3&lt;&gt;$G$3),((1+$AA$1)^(H1026/MIN(G1026,365))),((1+$AA$1)^(1/12)))-$U1026))</f>
        <v>1920000</v>
      </c>
      <c r="AB1026" s="2">
        <f ca="1">IF(MIN($AB$4:AB1025)=0,0,MAX(0,($AB1025+$K1026-$O1026-$P1026)*IF(AND(F1026="F",$D$3&lt;&gt;$G$3),((1+(J1026))^(H1026/MIN(G1026,365))),((1+(J1026))^(1/12)))-$U1026))</f>
        <v>122938801.34145278</v>
      </c>
      <c r="AC1026" s="5"/>
      <c r="AD1026" s="5"/>
      <c r="AE1026" s="5"/>
      <c r="AF1026" s="282">
        <f t="shared" ca="1" si="560"/>
        <v>24224</v>
      </c>
      <c r="AG1026" s="282">
        <f t="shared" ca="1" si="561"/>
        <v>1920000</v>
      </c>
      <c r="AH1026" s="282">
        <f t="shared" ca="1" si="562"/>
        <v>122938801</v>
      </c>
      <c r="AI1026" s="23" t="str">
        <f t="shared" ca="1" si="578"/>
        <v>86-4</v>
      </c>
      <c r="AJ1026" s="282">
        <f ca="1">IF(E1026&gt;111,,IF(AND(OP!$C$99=1,T1026="F"),Z1026,IF(AND(OP!$C$99=2,COUNTIF($T$4:T1026,"F")=1),OP!$C$97+IF(F1026="F",OP!$C$98,0),"")))</f>
        <v>0</v>
      </c>
      <c r="AK1026" s="282">
        <f ca="1">IF(E1026&gt;111,,IF(AND(OP!$D$99=1,T1026="F"),AA1026,IF(AND(OP!$D$99=2,COUNTIF($T$4:T1026,"F")=1),OP!$D$97+IF(F1026="F",OP!$D$98,0),"")))</f>
        <v>0</v>
      </c>
      <c r="AL1026" s="282">
        <f ca="1">IF(E1026&gt;111,,IF(AND(OP!$E$99=1,T1026="F"),AB1026,IF(AND(OP!$E$99=2,COUNTIF($T$4:T1026,"F")=1),OP!$E$97+IF(F1026="F",OP!$E$98,0),"")))</f>
        <v>0</v>
      </c>
      <c r="AM1026" s="1">
        <f t="shared" ca="1" si="582"/>
        <v>4</v>
      </c>
      <c r="AN1026" s="1" t="e">
        <f ca="1">IF(OR(VLOOKUP($A1026,MP,5,0)="月繳"),1,"")</f>
        <v>#N/A</v>
      </c>
      <c r="AO1026" s="1">
        <f t="shared" ca="1" si="563"/>
        <v>0</v>
      </c>
      <c r="AP1026" s="1" t="str">
        <f ca="1">IF(AND(A1026&lt;=OP!$C$120,COUNTIF(PAY,C1026)=1),1,"")</f>
        <v/>
      </c>
      <c r="AR1026" s="301">
        <f ca="1">IF(繳費報酬率資料!$A$1=1,$AY1026+$AZ1026,$BF1026+$BG1026)</f>
        <v>0</v>
      </c>
      <c r="AS1026" s="1">
        <f ca="1">IF(C1026&lt;&gt;IF($C$3=1,12,$C$3-1),0,IF(繳費報酬率資料!$A$1&lt;&gt;1,VLOOKUP($A1026,MP,8,0),IF(AND($A1026&gt;=OP!$C$79,$A1026&lt;=OP!$C$80),OP!$C$78,)))</f>
        <v>0</v>
      </c>
      <c r="AT1026" s="298">
        <f t="shared" ca="1" si="564"/>
        <v>0</v>
      </c>
      <c r="AU1026" s="298">
        <f ca="1">IF(AND(A1026&lt;=OP!$C$120,COUNTIF(PAY,C1026)=1),OP!$C$123,0)</f>
        <v>0</v>
      </c>
      <c r="AV1026" s="298">
        <f ca="1">IF(AND(A1026&gt;=OP!$C$132,A1026&lt;=OP!$C$133,$C$3=C1026),OP!$C$135,0)</f>
        <v>0</v>
      </c>
      <c r="AW1026" s="180">
        <f t="shared" ca="1" si="565"/>
        <v>0.05</v>
      </c>
      <c r="AX1026" s="180">
        <f t="shared" ca="1" si="566"/>
        <v>0.05</v>
      </c>
      <c r="AY1026" s="286">
        <f t="shared" ca="1" si="567"/>
        <v>0</v>
      </c>
      <c r="AZ1026" s="286">
        <f t="shared" ca="1" si="568"/>
        <v>0</v>
      </c>
      <c r="BA1026" s="286">
        <f t="shared" ca="1" si="569"/>
        <v>0</v>
      </c>
      <c r="BB1026" s="286">
        <f t="shared" ca="1" si="570"/>
        <v>0</v>
      </c>
      <c r="BC1026" s="286">
        <f t="shared" ca="1" si="571"/>
        <v>0</v>
      </c>
      <c r="BD1026" s="180">
        <f t="shared" ca="1" si="572"/>
        <v>0.05</v>
      </c>
      <c r="BE1026" s="180">
        <f t="shared" ca="1" si="573"/>
        <v>0.05</v>
      </c>
      <c r="BF1026" s="286">
        <f t="shared" ca="1" si="574"/>
        <v>0</v>
      </c>
      <c r="BG1026" s="286">
        <f t="shared" ca="1" si="575"/>
        <v>0</v>
      </c>
    </row>
    <row r="1027" spans="1:59">
      <c r="A1027" s="1">
        <f t="shared" ca="1" si="554"/>
        <v>86</v>
      </c>
      <c r="B1027" s="1">
        <f t="shared" ca="1" si="583"/>
        <v>191</v>
      </c>
      <c r="C1027" s="1">
        <f t="shared" ca="1" si="584"/>
        <v>9</v>
      </c>
      <c r="D1027" s="1">
        <f ca="1">MIN($D$3,VLOOKUP(C1027,OP!$S$30:$T$41,2))</f>
        <v>2</v>
      </c>
      <c r="E1027" s="1" t="str">
        <f t="shared" ca="1" si="580"/>
        <v/>
      </c>
      <c r="F1027" s="11" t="str">
        <f t="shared" ca="1" si="555"/>
        <v/>
      </c>
      <c r="G1027" s="8">
        <f t="shared" ca="1" si="588"/>
        <v>365</v>
      </c>
      <c r="H1027" s="8">
        <f t="shared" ca="1" si="557"/>
        <v>30</v>
      </c>
      <c r="I1027" s="8" t="str">
        <f t="shared" ca="1" si="553"/>
        <v>869</v>
      </c>
      <c r="J1027" s="13">
        <f>IF(繳費報酬率資料!$A$1=1,VALUE(OP!$C$121),VLOOKUP(A1027,MP,2,0))</f>
        <v>0.05</v>
      </c>
      <c r="K1027" s="14">
        <f ca="1">IF(SUM($K$4:K1026,IF(繳費報酬率資料!$A$1=1,$AU1027+$AV1027,$BB1027+$BC1027))&gt;OP!$L$58,0,IF(繳費報酬率資料!$A$1=1,$AU1027+$AV1027,$BB1027+$BC1027))</f>
        <v>0</v>
      </c>
      <c r="L1027" s="2"/>
      <c r="M1027" s="2"/>
      <c r="N1027" s="2"/>
      <c r="O1027" s="261">
        <f t="shared" ca="1" si="558"/>
        <v>0</v>
      </c>
      <c r="P1027" s="261">
        <f t="shared" ca="1" si="576"/>
        <v>0</v>
      </c>
      <c r="Q1027" s="3">
        <f ca="1">IF(A1027&gt;MAX(OP!$R$17:$R$26),0,VLOOKUP(A1027,fees,3,FALSE))</f>
        <v>0</v>
      </c>
      <c r="R1027" s="200" t="str">
        <f t="shared" ca="1" si="559"/>
        <v/>
      </c>
      <c r="S1027" s="9" t="str">
        <f ca="1">IF(COUNTIF(($T$4:T1026),"F")&gt;=1,"",IF(OR(C1028&lt;&gt;$C$3,E1027=""),"",A1027))</f>
        <v/>
      </c>
      <c r="T1027" s="20" t="str">
        <f t="shared" ca="1" si="581"/>
        <v/>
      </c>
      <c r="U1027" s="2">
        <f ca="1">IF(IF(OP!$C$83=1,$Z1026,IF(OP!$C$83=2,$AA1026,IF(OP!$C$83=3,$AB1026,)))+$K1027-$O1027-$P1027-$AS1027&lt;OP!$C$142,0,$AS1027)</f>
        <v>0</v>
      </c>
      <c r="V1027" s="9"/>
      <c r="W1027" s="19">
        <f ca="1">MAX(SUM($K$4:K1027),0)</f>
        <v>2000000</v>
      </c>
      <c r="X1027" s="19"/>
      <c r="Y1027" s="19">
        <f t="shared" ca="1" si="577"/>
        <v>1920000</v>
      </c>
      <c r="Z1027" s="2">
        <f ca="1">IF(MIN($Z$4:Z1026)=0,0,MAX(0,($Z1026+$K1027-$O1027-$P1027)*IF(AND(F1027="F",$D$3&lt;&gt;$G$3),((1+(-J1027))^(H1027/MIN(G1027,365))),((1+(-J1027))^(1/12)))-$U1027))</f>
        <v>24120.272688397799</v>
      </c>
      <c r="AA1027" s="2">
        <f ca="1">IF(MIN($AA$4:AA1026)=0,0,MAX(0,($AA1026+$K1027-$O1027-$P1027)*IF(AND(F1027="F",$D$3&lt;&gt;$G$3),((1+$AA$1)^(H1027/MIN(G1027,365))),((1+$AA$1)^(1/12)))-$U1027))</f>
        <v>1920000</v>
      </c>
      <c r="AB1027" s="2">
        <f ca="1">IF(MIN($AB$4:AB1026)=0,0,MAX(0,($AB1026+$K1027-$O1027-$P1027)*IF(AND(F1027="F",$D$3&lt;&gt;$G$3),((1+(J1027))^(H1027/MIN(G1027,365))),((1+(J1027))^(1/12)))-$U1027))</f>
        <v>123439669.23593122</v>
      </c>
      <c r="AC1027" s="5"/>
      <c r="AD1027" s="5"/>
      <c r="AE1027" s="5"/>
      <c r="AF1027" s="282">
        <f t="shared" ca="1" si="560"/>
        <v>24120</v>
      </c>
      <c r="AG1027" s="282">
        <f t="shared" ca="1" si="561"/>
        <v>1920000</v>
      </c>
      <c r="AH1027" s="282">
        <f t="shared" ca="1" si="562"/>
        <v>123439669</v>
      </c>
      <c r="AI1027" s="23" t="str">
        <f t="shared" ca="1" si="578"/>
        <v>86-5</v>
      </c>
      <c r="AJ1027" s="282">
        <f ca="1">IF(E1027&gt;111,,IF(AND(OP!$C$99=1,T1027="F"),Z1027,IF(AND(OP!$C$99=2,COUNTIF($T$4:T1027,"F")=1),OP!$C$97+IF(F1027="F",OP!$C$98,0),"")))</f>
        <v>0</v>
      </c>
      <c r="AK1027" s="282">
        <f ca="1">IF(E1027&gt;111,,IF(AND(OP!$D$99=1,T1027="F"),AA1027,IF(AND(OP!$D$99=2,COUNTIF($T$4:T1027,"F")=1),OP!$D$97+IF(F1027="F",OP!$D$98,0),"")))</f>
        <v>0</v>
      </c>
      <c r="AL1027" s="282">
        <f ca="1">IF(E1027&gt;111,,IF(AND(OP!$E$99=1,T1027="F"),AB1027,IF(AND(OP!$E$99=2,COUNTIF($T$4:T1027,"F")=1),OP!$E$97+IF(F1027="F",OP!$E$98,0),"")))</f>
        <v>0</v>
      </c>
      <c r="AM1027" s="1">
        <f t="shared" ca="1" si="582"/>
        <v>5</v>
      </c>
      <c r="AN1027" s="1" t="e">
        <f ca="1">IF(OR(VLOOKUP($A1027,MP,5,0)="季繳",VLOOKUP($A1027,MP,5,0)="月繳"),1,"")</f>
        <v>#N/A</v>
      </c>
      <c r="AO1027" s="1">
        <f t="shared" ca="1" si="563"/>
        <v>0</v>
      </c>
      <c r="AP1027" s="1" t="str">
        <f ca="1">IF(AND(A1027&lt;=OP!$C$120,COUNTIF(PAY,C1027)=1),1,"")</f>
        <v/>
      </c>
      <c r="AR1027" s="301">
        <f ca="1">IF(繳費報酬率資料!$A$1=1,$AY1027+$AZ1027,$BF1027+$BG1027)</f>
        <v>0</v>
      </c>
      <c r="AS1027" s="1">
        <f ca="1">IF(C1027&lt;&gt;IF($C$3=1,12,$C$3-1),0,IF(繳費報酬率資料!$A$1&lt;&gt;1,VLOOKUP($A1027,MP,8,0),IF(AND($A1027&gt;=OP!$C$79,$A1027&lt;=OP!$C$80),OP!$C$78,)))</f>
        <v>0</v>
      </c>
      <c r="AT1027" s="298">
        <f t="shared" ca="1" si="564"/>
        <v>0</v>
      </c>
      <c r="AU1027" s="298">
        <f ca="1">IF(AND(A1027&lt;=OP!$C$120,COUNTIF(PAY,C1027)=1),OP!$C$123,0)</f>
        <v>0</v>
      </c>
      <c r="AV1027" s="298">
        <f ca="1">IF(AND(A1027&gt;=OP!$C$132,A1027&lt;=OP!$C$133,$C$3=C1027),OP!$C$135,0)</f>
        <v>0</v>
      </c>
      <c r="AW1027" s="180">
        <f t="shared" ca="1" si="565"/>
        <v>0.05</v>
      </c>
      <c r="AX1027" s="180">
        <f t="shared" ca="1" si="566"/>
        <v>0.05</v>
      </c>
      <c r="AY1027" s="286">
        <f t="shared" ca="1" si="567"/>
        <v>0</v>
      </c>
      <c r="AZ1027" s="286">
        <f t="shared" ca="1" si="568"/>
        <v>0</v>
      </c>
      <c r="BA1027" s="286">
        <f t="shared" ca="1" si="569"/>
        <v>0</v>
      </c>
      <c r="BB1027" s="286">
        <f t="shared" ca="1" si="570"/>
        <v>0</v>
      </c>
      <c r="BC1027" s="286">
        <f t="shared" ca="1" si="571"/>
        <v>0</v>
      </c>
      <c r="BD1027" s="180">
        <f t="shared" ca="1" si="572"/>
        <v>0.05</v>
      </c>
      <c r="BE1027" s="180">
        <f t="shared" ca="1" si="573"/>
        <v>0.05</v>
      </c>
      <c r="BF1027" s="286">
        <f t="shared" ca="1" si="574"/>
        <v>0</v>
      </c>
      <c r="BG1027" s="286">
        <f t="shared" ca="1" si="575"/>
        <v>0</v>
      </c>
    </row>
    <row r="1028" spans="1:59">
      <c r="A1028" s="1">
        <f t="shared" ca="1" si="554"/>
        <v>86</v>
      </c>
      <c r="B1028" s="1">
        <f t="shared" ca="1" si="583"/>
        <v>191</v>
      </c>
      <c r="C1028" s="1">
        <f t="shared" ca="1" si="584"/>
        <v>10</v>
      </c>
      <c r="D1028" s="1">
        <f ca="1">MIN($D$3,VLOOKUP(C1028,OP!$S$30:$T$41,2))</f>
        <v>2</v>
      </c>
      <c r="E1028" s="1" t="str">
        <f t="shared" ca="1" si="580"/>
        <v/>
      </c>
      <c r="F1028" s="11" t="str">
        <f t="shared" ca="1" si="555"/>
        <v/>
      </c>
      <c r="G1028" s="8">
        <f t="shared" ca="1" si="588"/>
        <v>365</v>
      </c>
      <c r="H1028" s="8">
        <f t="shared" ca="1" si="557"/>
        <v>31</v>
      </c>
      <c r="I1028" s="8" t="str">
        <f t="shared" ref="I1028:I1091" ca="1" si="589">A1028&amp;C1028</f>
        <v>8610</v>
      </c>
      <c r="J1028" s="13">
        <f>IF(繳費報酬率資料!$A$1=1,VALUE(OP!$C$121),VLOOKUP(A1028,MP,2,0))</f>
        <v>0.05</v>
      </c>
      <c r="K1028" s="14">
        <f ca="1">IF(SUM($K$4:K1027,IF(繳費報酬率資料!$A$1=1,$AU1028+$AV1028,$BB1028+$BC1028))&gt;OP!$L$58,0,IF(繳費報酬率資料!$A$1=1,$AU1028+$AV1028,$BB1028+$BC1028))</f>
        <v>0</v>
      </c>
      <c r="L1028" s="2"/>
      <c r="M1028" s="2"/>
      <c r="N1028" s="2"/>
      <c r="O1028" s="261">
        <f t="shared" ca="1" si="558"/>
        <v>0</v>
      </c>
      <c r="P1028" s="261">
        <f t="shared" ca="1" si="576"/>
        <v>0</v>
      </c>
      <c r="Q1028" s="3">
        <f ca="1">IF(A1028&gt;MAX(OP!$R$17:$R$26),0,VLOOKUP(A1028,fees,3,FALSE))</f>
        <v>0</v>
      </c>
      <c r="R1028" s="200" t="str">
        <f t="shared" ca="1" si="559"/>
        <v/>
      </c>
      <c r="S1028" s="9" t="str">
        <f ca="1">IF(COUNTIF(($T$4:T1027),"F")&gt;=1,"",IF(OR(C1029&lt;&gt;$C$3,E1028=""),"",A1028))</f>
        <v/>
      </c>
      <c r="T1028" s="20" t="str">
        <f t="shared" ca="1" si="581"/>
        <v/>
      </c>
      <c r="U1028" s="2">
        <f ca="1">IF(IF(OP!$C$83=1,$Z1027,IF(OP!$C$83=2,$AA1027,IF(OP!$C$83=3,$AB1027,)))+$K1028-$O1028-$P1028-$AS1028&lt;OP!$C$142,0,$AS1028)</f>
        <v>0</v>
      </c>
      <c r="V1028" s="9"/>
      <c r="W1028" s="19">
        <f ca="1">MAX(SUM($K$4:K1028),0)</f>
        <v>2000000</v>
      </c>
      <c r="X1028" s="19"/>
      <c r="Y1028" s="19">
        <f t="shared" ca="1" si="577"/>
        <v>1920000</v>
      </c>
      <c r="Z1028" s="2">
        <f ca="1">IF(MIN($Z$4:Z1027)=0,0,MAX(0,($Z1027+$K1028-$O1028-$P1028)*IF(AND(F1028="F",$D$3&lt;&gt;$G$3),((1+(-J1028))^(H1028/MIN(G1028,365))),((1+(-J1028))^(1/12)))-$U1028))</f>
        <v>24017.392036380093</v>
      </c>
      <c r="AA1028" s="2">
        <f ca="1">IF(MIN($AA$4:AA1027)=0,0,MAX(0,($AA1027+$K1028-$O1028-$P1028)*IF(AND(F1028="F",$D$3&lt;&gt;$G$3),((1+$AA$1)^(H1028/MIN(G1028,365))),((1+$AA$1)^(1/12)))-$U1028))</f>
        <v>1920000</v>
      </c>
      <c r="AB1028" s="2">
        <f ca="1">IF(MIN($AB$4:AB1027)=0,0,MAX(0,($AB1027+$K1028-$O1028-$P1028)*IF(AND(F1028="F",$D$3&lt;&gt;$G$3),((1+(J1028))^(H1028/MIN(G1028,365))),((1+(J1028))^(1/12)))-$U1028))</f>
        <v>123942577.72821102</v>
      </c>
      <c r="AC1028" s="5"/>
      <c r="AD1028" s="5"/>
      <c r="AE1028" s="5"/>
      <c r="AF1028" s="282">
        <f t="shared" ca="1" si="560"/>
        <v>24017</v>
      </c>
      <c r="AG1028" s="282">
        <f t="shared" ca="1" si="561"/>
        <v>1920000</v>
      </c>
      <c r="AH1028" s="282">
        <f t="shared" ca="1" si="562"/>
        <v>123942578</v>
      </c>
      <c r="AI1028" s="23" t="str">
        <f t="shared" ca="1" si="578"/>
        <v>86-6</v>
      </c>
      <c r="AJ1028" s="282">
        <f ca="1">IF(E1028&gt;111,,IF(AND(OP!$C$99=1,T1028="F"),Z1028,IF(AND(OP!$C$99=2,COUNTIF($T$4:T1028,"F")=1),OP!$C$97+IF(F1028="F",OP!$C$98,0),"")))</f>
        <v>0</v>
      </c>
      <c r="AK1028" s="282">
        <f ca="1">IF(E1028&gt;111,,IF(AND(OP!$D$99=1,T1028="F"),AA1028,IF(AND(OP!$D$99=2,COUNTIF($T$4:T1028,"F")=1),OP!$D$97+IF(F1028="F",OP!$D$98,0),"")))</f>
        <v>0</v>
      </c>
      <c r="AL1028" s="282">
        <f ca="1">IF(E1028&gt;111,,IF(AND(OP!$E$99=1,T1028="F"),AB1028,IF(AND(OP!$E$99=2,COUNTIF($T$4:T1028,"F")=1),OP!$E$97+IF(F1028="F",OP!$E$98,0),"")))</f>
        <v>0</v>
      </c>
      <c r="AM1028" s="1">
        <f t="shared" ca="1" si="582"/>
        <v>6</v>
      </c>
      <c r="AN1028" s="1" t="e">
        <f ca="1">IF(OR(VLOOKUP($A1028,MP,5,0)="月繳"),1,"")</f>
        <v>#N/A</v>
      </c>
      <c r="AO1028" s="1">
        <f t="shared" ca="1" si="563"/>
        <v>0</v>
      </c>
      <c r="AP1028" s="1" t="str">
        <f ca="1">IF(AND(A1028&lt;=OP!$C$120,COUNTIF(PAY,C1028)=1),1,"")</f>
        <v/>
      </c>
      <c r="AR1028" s="301">
        <f ca="1">IF(繳費報酬率資料!$A$1=1,$AY1028+$AZ1028,$BF1028+$BG1028)</f>
        <v>0</v>
      </c>
      <c r="AS1028" s="1">
        <f ca="1">IF(C1028&lt;&gt;IF($C$3=1,12,$C$3-1),0,IF(繳費報酬率資料!$A$1&lt;&gt;1,VLOOKUP($A1028,MP,8,0),IF(AND($A1028&gt;=OP!$C$79,$A1028&lt;=OP!$C$80),OP!$C$78,)))</f>
        <v>0</v>
      </c>
      <c r="AT1028" s="298">
        <f t="shared" ca="1" si="564"/>
        <v>0</v>
      </c>
      <c r="AU1028" s="298">
        <f ca="1">IF(AND(A1028&lt;=OP!$C$120,COUNTIF(PAY,C1028)=1),OP!$C$123,0)</f>
        <v>0</v>
      </c>
      <c r="AV1028" s="298">
        <f ca="1">IF(AND(A1028&gt;=OP!$C$132,A1028&lt;=OP!$C$133,$C$3=C1028),OP!$C$135,0)</f>
        <v>0</v>
      </c>
      <c r="AW1028" s="180">
        <f t="shared" ca="1" si="565"/>
        <v>0.05</v>
      </c>
      <c r="AX1028" s="180">
        <f t="shared" ca="1" si="566"/>
        <v>0.05</v>
      </c>
      <c r="AY1028" s="286">
        <f t="shared" ca="1" si="567"/>
        <v>0</v>
      </c>
      <c r="AZ1028" s="286">
        <f t="shared" ca="1" si="568"/>
        <v>0</v>
      </c>
      <c r="BA1028" s="286">
        <f t="shared" ca="1" si="569"/>
        <v>0</v>
      </c>
      <c r="BB1028" s="286">
        <f t="shared" ca="1" si="570"/>
        <v>0</v>
      </c>
      <c r="BC1028" s="286">
        <f t="shared" ca="1" si="571"/>
        <v>0</v>
      </c>
      <c r="BD1028" s="180">
        <f t="shared" ca="1" si="572"/>
        <v>0.05</v>
      </c>
      <c r="BE1028" s="180">
        <f t="shared" ca="1" si="573"/>
        <v>0.05</v>
      </c>
      <c r="BF1028" s="286">
        <f t="shared" ca="1" si="574"/>
        <v>0</v>
      </c>
      <c r="BG1028" s="286">
        <f t="shared" ca="1" si="575"/>
        <v>0</v>
      </c>
    </row>
    <row r="1029" spans="1:59">
      <c r="A1029" s="1">
        <f t="shared" ref="A1029:A1092" ca="1" si="590">IF(C1029=$C$4,A1028+1,A1028)</f>
        <v>86</v>
      </c>
      <c r="B1029" s="1">
        <f t="shared" ca="1" si="583"/>
        <v>191</v>
      </c>
      <c r="C1029" s="1">
        <f t="shared" ca="1" si="584"/>
        <v>11</v>
      </c>
      <c r="D1029" s="1">
        <f ca="1">MIN($D$3,VLOOKUP(C1029,OP!$S$30:$T$41,2))</f>
        <v>2</v>
      </c>
      <c r="E1029" s="1" t="str">
        <f t="shared" ca="1" si="580"/>
        <v/>
      </c>
      <c r="F1029" s="11" t="str">
        <f t="shared" ref="F1029:F1092" ca="1" si="591">IF(AND(DATE($E$3+1911,$F$3,$G$3)&gt;DATE(B1029+1911,C1029,D1029),DATE($E$3+1911,$F$3,$G$3)&lt;=DATE(B1030+1911,C1030,D1030)),"F","")</f>
        <v/>
      </c>
      <c r="G1029" s="8">
        <f t="shared" ca="1" si="588"/>
        <v>365</v>
      </c>
      <c r="H1029" s="8">
        <f t="shared" ref="H1029:H1092" ca="1" si="592">DATEDIF(DATE(B1029+1911,C1029,D1029),IF(F1029="F",DATE($E$3+1911,$F$3,$G$3),DATE(B1030+1911,C1030,D1030)),"d")</f>
        <v>30</v>
      </c>
      <c r="I1029" s="8" t="str">
        <f t="shared" ca="1" si="589"/>
        <v>8611</v>
      </c>
      <c r="J1029" s="13">
        <f>IF(繳費報酬率資料!$A$1=1,VALUE(OP!$C$121),VLOOKUP(A1029,MP,2,0))</f>
        <v>0.05</v>
      </c>
      <c r="K1029" s="14">
        <f ca="1">IF(SUM($K$4:K1028,IF(繳費報酬率資料!$A$1=1,$AU1029+$AV1029,$BB1029+$BC1029))&gt;OP!$L$58,0,IF(繳費報酬率資料!$A$1=1,$AU1029+$AV1029,$BB1029+$BC1029))</f>
        <v>0</v>
      </c>
      <c r="L1029" s="2"/>
      <c r="M1029" s="2"/>
      <c r="N1029" s="2"/>
      <c r="O1029" s="261">
        <f t="shared" ref="O1029:O1092" ca="1" si="593">IF(K1029=0,0,$AR1029)</f>
        <v>0</v>
      </c>
      <c r="P1029" s="261">
        <f t="shared" ca="1" si="576"/>
        <v>0</v>
      </c>
      <c r="Q1029" s="3">
        <f ca="1">IF(A1029&gt;MAX(OP!$R$17:$R$26),0,VLOOKUP(A1029,fees,3,FALSE))</f>
        <v>0</v>
      </c>
      <c r="R1029" s="200" t="str">
        <f t="shared" ref="R1029:R1092" ca="1" si="594">IF(OR(C1030&lt;&gt;$C$3,E1029=""),"",A1029)</f>
        <v/>
      </c>
      <c r="S1029" s="9" t="str">
        <f ca="1">IF(COUNTIF(($T$4:T1028),"F")&gt;=1,"",IF(OR(C1030&lt;&gt;$C$3,E1029=""),"",A1029))</f>
        <v/>
      </c>
      <c r="T1029" s="20" t="str">
        <f t="shared" ca="1" si="581"/>
        <v/>
      </c>
      <c r="U1029" s="2">
        <f ca="1">IF(IF(OP!$C$83=1,$Z1028,IF(OP!$C$83=2,$AA1028,IF(OP!$C$83=3,$AB1028,)))+$K1029-$O1029-$P1029-$AS1029&lt;OP!$C$142,0,$AS1029)</f>
        <v>0</v>
      </c>
      <c r="V1029" s="9"/>
      <c r="W1029" s="19">
        <f ca="1">MAX(SUM($K$4:K1029),0)</f>
        <v>2000000</v>
      </c>
      <c r="X1029" s="19"/>
      <c r="Y1029" s="19">
        <f t="shared" ca="1" si="577"/>
        <v>1920000</v>
      </c>
      <c r="Z1029" s="2">
        <f ca="1">IF(MIN($Z$4:Z1028)=0,0,MAX(0,($Z1028+$K1029-$O1029-$P1029)*IF(AND(F1029="F",$D$3&lt;&gt;$G$3),((1+(-J1029))^(H1029/MIN(G1029,365))),((1+(-J1029))^(1/12)))-$U1029))</f>
        <v>23914.950203139288</v>
      </c>
      <c r="AA1029" s="2">
        <f ca="1">IF(MIN($AA$4:AA1028)=0,0,MAX(0,($AA1028+$K1029-$O1029-$P1029)*IF(AND(F1029="F",$D$3&lt;&gt;$G$3),((1+$AA$1)^(H1029/MIN(G1029,365))),((1+$AA$1)^(1/12)))-$U1029))</f>
        <v>1920000</v>
      </c>
      <c r="AB1029" s="2">
        <f ca="1">IF(MIN($AB$4:AB1028)=0,0,MAX(0,($AB1028+$K1029-$O1029-$P1029)*IF(AND(F1029="F",$D$3&lt;&gt;$G$3),((1+(J1029))^(H1029/MIN(G1029,365))),((1+(J1029))^(1/12)))-$U1029))</f>
        <v>124447535.1319402</v>
      </c>
      <c r="AC1029" s="5"/>
      <c r="AD1029" s="5"/>
      <c r="AE1029" s="5"/>
      <c r="AF1029" s="282">
        <f t="shared" ref="AF1029:AF1092" ca="1" si="595">ROUND(Z1029*(1-$Q1029),$AF$1)</f>
        <v>23915</v>
      </c>
      <c r="AG1029" s="282">
        <f t="shared" ref="AG1029:AG1092" ca="1" si="596">ROUND(AA1029*(1-$Q1029),$AF$1)</f>
        <v>1920000</v>
      </c>
      <c r="AH1029" s="282">
        <f t="shared" ref="AH1029:AH1092" ca="1" si="597">ROUND(AB1029*(1-$Q1029),$AF$1)</f>
        <v>124447535</v>
      </c>
      <c r="AI1029" s="23" t="str">
        <f t="shared" ca="1" si="578"/>
        <v>86-7</v>
      </c>
      <c r="AJ1029" s="282">
        <f ca="1">IF(E1029&gt;111,,IF(AND(OP!$C$99=1,T1029="F"),Z1029,IF(AND(OP!$C$99=2,COUNTIF($T$4:T1029,"F")=1),OP!$C$97+IF(F1029="F",OP!$C$98,0),"")))</f>
        <v>0</v>
      </c>
      <c r="AK1029" s="282">
        <f ca="1">IF(E1029&gt;111,,IF(AND(OP!$D$99=1,T1029="F"),AA1029,IF(AND(OP!$D$99=2,COUNTIF($T$4:T1029,"F")=1),OP!$D$97+IF(F1029="F",OP!$D$98,0),"")))</f>
        <v>0</v>
      </c>
      <c r="AL1029" s="282">
        <f ca="1">IF(E1029&gt;111,,IF(AND(OP!$E$99=1,T1029="F"),AB1029,IF(AND(OP!$E$99=2,COUNTIF($T$4:T1029,"F")=1),OP!$E$97+IF(F1029="F",OP!$E$98,0),"")))</f>
        <v>0</v>
      </c>
      <c r="AM1029" s="1">
        <f t="shared" ca="1" si="582"/>
        <v>7</v>
      </c>
      <c r="AN1029" s="1" t="e">
        <f ca="1">IF(OR(VLOOKUP($A1029,MP,5,0)="月繳"),1,"")</f>
        <v>#N/A</v>
      </c>
      <c r="AO1029" s="1">
        <f t="shared" ref="AO1029:AO1092" ca="1" si="598">IF(ISNA(VLOOKUP(A1029,MP,2,0)),,IF(C1029=$C$3,ROUND(VLOOKUP(A1029,MP,4,0),0),0)+IF(AN1029=1,ROUND(VLOOKUP(A1029,MP,6,0),0),0))</f>
        <v>0</v>
      </c>
      <c r="AP1029" s="1" t="str">
        <f ca="1">IF(AND(A1029&lt;=OP!$C$120,COUNTIF(PAY,C1029)=1),1,"")</f>
        <v/>
      </c>
      <c r="AR1029" s="301">
        <f ca="1">IF(繳費報酬率資料!$A$1=1,$AY1029+$AZ1029,$BF1029+$BG1029)</f>
        <v>0</v>
      </c>
      <c r="AS1029" s="1">
        <f ca="1">IF(C1029&lt;&gt;IF($C$3=1,12,$C$3-1),0,IF(繳費報酬率資料!$A$1&lt;&gt;1,VLOOKUP($A1029,MP,8,0),IF(AND($A1029&gt;=OP!$C$79,$A1029&lt;=OP!$C$80),OP!$C$78,)))</f>
        <v>0</v>
      </c>
      <c r="AT1029" s="298">
        <f t="shared" ref="AT1029:AT1092" ca="1" si="599">AU1029+AV1029</f>
        <v>0</v>
      </c>
      <c r="AU1029" s="298">
        <f ca="1">IF(AND(A1029&lt;=OP!$C$120,COUNTIF(PAY,C1029)=1),OP!$C$123,0)</f>
        <v>0</v>
      </c>
      <c r="AV1029" s="298">
        <f ca="1">IF(AND(A1029&gt;=OP!$C$132,A1029&lt;=OP!$C$133,$C$3=C1029),OP!$C$135,0)</f>
        <v>0</v>
      </c>
      <c r="AW1029" s="180">
        <f t="shared" ref="AW1029:AW1092" ca="1" si="600">HLOOKUP(IF($AU1029&lt;$AY$1,1,IF(AND($AU1029&gt;=$AY$1,$AU1029&lt;$AZ$1),2,IF(AND($AU1029&gt;=$AZ$1,$AU1029&lt;$BA$1),3,IF(AND($AU1029&gt;=$BA$1),4,1)))),PR,2,0)</f>
        <v>0.05</v>
      </c>
      <c r="AX1029" s="180">
        <f t="shared" ref="AX1029:AX1092" ca="1" si="601">HLOOKUP(IF($AV1029&lt;$AY$1,1,IF(AND($AV1029&gt;=$AY$1,$AV1029&lt;$AZ$1),2,IF(AND($AV1029&gt;=$AZ$1,$AV1029&lt;$BA$1),3,IF(AND($AV1029&gt;=$BA$1),4,1)))),PR,2,0)</f>
        <v>0.05</v>
      </c>
      <c r="AY1029" s="286">
        <f t="shared" ref="AY1029:AY1092" ca="1" si="602">ROUND(AU1029*AW1029,0)</f>
        <v>0</v>
      </c>
      <c r="AZ1029" s="286">
        <f t="shared" ref="AZ1029:AZ1092" ca="1" si="603">ROUND(AV1029*AX1029,0)</f>
        <v>0</v>
      </c>
      <c r="BA1029" s="286">
        <f t="shared" ref="BA1029:BA1092" ca="1" si="604">BB1029+BC1029</f>
        <v>0</v>
      </c>
      <c r="BB1029" s="286">
        <f t="shared" ref="BB1029:BB1092" ca="1" si="605">IF(ISNA(VLOOKUP(A1029,MP,2,0)),,IF(C1029=$C$3,ROUND(VLOOKUP(A1029,MP,6,0),0),0))</f>
        <v>0</v>
      </c>
      <c r="BC1029" s="286">
        <f t="shared" ref="BC1029:BC1092" ca="1" si="606">IF(ISNA(VLOOKUP(A1029,MP,4,0)),,IF(AND(C1029=$C$3,AN1029=1),ROUND(VLOOKUP(A1029,MP,4,0),0),0))</f>
        <v>0</v>
      </c>
      <c r="BD1029" s="180">
        <f t="shared" ref="BD1029:BD1092" ca="1" si="607">HLOOKUP(IF($BB1029&lt;$AY$1,1,IF(AND($BB1029&gt;=$AY$1,$BB1029&lt;$AZ$1),2,IF(AND($BB1029&gt;=$AZ$1,$BB1029&lt;$BA$1),3,IF(AND($BB1029&gt;=$BA$1),4,1)))),PR,2,0)</f>
        <v>0.05</v>
      </c>
      <c r="BE1029" s="180">
        <f t="shared" ref="BE1029:BE1092" ca="1" si="608">HLOOKUP(IF($BC1029&lt;$AY$1,1,IF(AND($BC1029&gt;=$AY$1,$BC1029&lt;$AZ$1),2,IF(AND($BC1029&gt;=$AZ$1,$BC1029&lt;$BA$1),3,IF(AND($BC1029&gt;=$BA$1),4,1)))),PR,2,0)</f>
        <v>0.05</v>
      </c>
      <c r="BF1029" s="286">
        <f t="shared" ref="BF1029:BF1092" ca="1" si="609">ROUND(BB1029*BD1029,0)</f>
        <v>0</v>
      </c>
      <c r="BG1029" s="286">
        <f t="shared" ref="BG1029:BG1092" ca="1" si="610">ROUND(BC1029*BE1029,0)</f>
        <v>0</v>
      </c>
    </row>
    <row r="1030" spans="1:59">
      <c r="A1030" s="1">
        <f t="shared" ca="1" si="590"/>
        <v>86</v>
      </c>
      <c r="B1030" s="1">
        <f t="shared" ca="1" si="583"/>
        <v>191</v>
      </c>
      <c r="C1030" s="1">
        <f t="shared" ca="1" si="584"/>
        <v>12</v>
      </c>
      <c r="D1030" s="1">
        <f ca="1">MIN($D$3,VLOOKUP(C1030,OP!$S$30:$T$41,2))</f>
        <v>2</v>
      </c>
      <c r="E1030" s="1" t="str">
        <f t="shared" ca="1" si="580"/>
        <v/>
      </c>
      <c r="F1030" s="11" t="str">
        <f t="shared" ca="1" si="591"/>
        <v/>
      </c>
      <c r="G1030" s="8">
        <f t="shared" ca="1" si="588"/>
        <v>365</v>
      </c>
      <c r="H1030" s="8">
        <f t="shared" ca="1" si="592"/>
        <v>31</v>
      </c>
      <c r="I1030" s="8" t="str">
        <f t="shared" ca="1" si="589"/>
        <v>8612</v>
      </c>
      <c r="J1030" s="13">
        <f>IF(繳費報酬率資料!$A$1=1,VALUE(OP!$C$121),VLOOKUP(A1030,MP,2,0))</f>
        <v>0.05</v>
      </c>
      <c r="K1030" s="14">
        <f ca="1">IF(SUM($K$4:K1029,IF(繳費報酬率資料!$A$1=1,$AU1030+$AV1030,$BB1030+$BC1030))&gt;OP!$L$58,0,IF(繳費報酬率資料!$A$1=1,$AU1030+$AV1030,$BB1030+$BC1030))</f>
        <v>0</v>
      </c>
      <c r="L1030" s="2"/>
      <c r="M1030" s="2"/>
      <c r="N1030" s="2"/>
      <c r="O1030" s="261">
        <f t="shared" ca="1" si="593"/>
        <v>0</v>
      </c>
      <c r="P1030" s="261">
        <f t="shared" ref="P1030:P1093" ca="1" si="611">IF(MAX(Z1029:AB1029)=0,0,P1029)</f>
        <v>0</v>
      </c>
      <c r="Q1030" s="3">
        <f ca="1">IF(A1030&gt;MAX(OP!$R$17:$R$26),0,VLOOKUP(A1030,fees,3,FALSE))</f>
        <v>0</v>
      </c>
      <c r="R1030" s="200" t="str">
        <f t="shared" ca="1" si="594"/>
        <v/>
      </c>
      <c r="S1030" s="9" t="str">
        <f ca="1">IF(COUNTIF(($T$4:T1029),"F")&gt;=1,"",IF(OR(C1031&lt;&gt;$C$3,E1030=""),"",A1030))</f>
        <v/>
      </c>
      <c r="T1030" s="20" t="str">
        <f t="shared" ca="1" si="581"/>
        <v/>
      </c>
      <c r="U1030" s="2">
        <f ca="1">IF(IF(OP!$C$83=1,$Z1029,IF(OP!$C$83=2,$AA1029,IF(OP!$C$83=3,$AB1029,)))+$K1030-$O1030-$P1030-$AS1030&lt;OP!$C$142,0,$AS1030)</f>
        <v>0</v>
      </c>
      <c r="V1030" s="9"/>
      <c r="W1030" s="19">
        <f ca="1">MAX(SUM($K$4:K1030),0)</f>
        <v>2000000</v>
      </c>
      <c r="X1030" s="19"/>
      <c r="Y1030" s="19">
        <f t="shared" ref="Y1030:Y1093" ca="1" si="612">Y1029+K1030-O1030</f>
        <v>1920000</v>
      </c>
      <c r="Z1030" s="2">
        <f ca="1">IF(MIN($Z$4:Z1029)=0,0,MAX(0,($Z1029+$K1030-$O1030-$P1030)*IF(AND(F1030="F",$D$3&lt;&gt;$G$3),((1+(-J1030))^(H1030/MIN(G1030,365))),((1+(-J1030))^(1/12)))-$U1030))</f>
        <v>23812.945316973412</v>
      </c>
      <c r="AA1030" s="2">
        <f ca="1">IF(MIN($AA$4:AA1029)=0,0,MAX(0,($AA1029+$K1030-$O1030-$P1030)*IF(AND(F1030="F",$D$3&lt;&gt;$G$3),((1+$AA$1)^(H1030/MIN(G1030,365))),((1+$AA$1)^(1/12)))-$U1030))</f>
        <v>1920000</v>
      </c>
      <c r="AB1030" s="2">
        <f ca="1">IF(MIN($AB$4:AB1029)=0,0,MAX(0,($AB1029+$K1030-$O1030-$P1030)*IF(AND(F1030="F",$D$3&lt;&gt;$G$3),((1+(J1030))^(H1030/MIN(G1030,365))),((1+(J1030))^(1/12)))-$U1030))</f>
        <v>124954549.79463765</v>
      </c>
      <c r="AC1030" s="5"/>
      <c r="AD1030" s="5"/>
      <c r="AE1030" s="5"/>
      <c r="AF1030" s="282">
        <f t="shared" ca="1" si="595"/>
        <v>23813</v>
      </c>
      <c r="AG1030" s="282">
        <f t="shared" ca="1" si="596"/>
        <v>1920000</v>
      </c>
      <c r="AH1030" s="282">
        <f t="shared" ca="1" si="597"/>
        <v>124954550</v>
      </c>
      <c r="AI1030" s="23" t="str">
        <f t="shared" ca="1" si="578"/>
        <v>86-8</v>
      </c>
      <c r="AJ1030" s="282">
        <f ca="1">IF(E1030&gt;111,,IF(AND(OP!$C$99=1,T1030="F"),Z1030,IF(AND(OP!$C$99=2,COUNTIF($T$4:T1030,"F")=1),OP!$C$97+IF(F1030="F",OP!$C$98,0),"")))</f>
        <v>0</v>
      </c>
      <c r="AK1030" s="282">
        <f ca="1">IF(E1030&gt;111,,IF(AND(OP!$D$99=1,T1030="F"),AA1030,IF(AND(OP!$D$99=2,COUNTIF($T$4:T1030,"F")=1),OP!$D$97+IF(F1030="F",OP!$D$98,0),"")))</f>
        <v>0</v>
      </c>
      <c r="AL1030" s="282">
        <f ca="1">IF(E1030&gt;111,,IF(AND(OP!$E$99=1,T1030="F"),AB1030,IF(AND(OP!$E$99=2,COUNTIF($T$4:T1030,"F")=1),OP!$E$97+IF(F1030="F",OP!$E$98,0),"")))</f>
        <v>0</v>
      </c>
      <c r="AM1030" s="1">
        <f t="shared" ca="1" si="582"/>
        <v>8</v>
      </c>
      <c r="AN1030" s="1" t="e">
        <f ca="1">IF(OR(VLOOKUP($A1030,MP,5,0)="半年繳",VLOOKUP($A1030,MP,5,0)="季繳",VLOOKUP($A1030,MP,5,0)="月繳"),1,"")</f>
        <v>#N/A</v>
      </c>
      <c r="AO1030" s="1">
        <f t="shared" ca="1" si="598"/>
        <v>0</v>
      </c>
      <c r="AP1030" s="1" t="str">
        <f ca="1">IF(AND(A1030&lt;=OP!$C$120,COUNTIF(PAY,C1030)=1),1,"")</f>
        <v/>
      </c>
      <c r="AR1030" s="301">
        <f ca="1">IF(繳費報酬率資料!$A$1=1,$AY1030+$AZ1030,$BF1030+$BG1030)</f>
        <v>0</v>
      </c>
      <c r="AS1030" s="1">
        <f ca="1">IF(C1030&lt;&gt;IF($C$3=1,12,$C$3-1),0,IF(繳費報酬率資料!$A$1&lt;&gt;1,VLOOKUP($A1030,MP,8,0),IF(AND($A1030&gt;=OP!$C$79,$A1030&lt;=OP!$C$80),OP!$C$78,)))</f>
        <v>0</v>
      </c>
      <c r="AT1030" s="298">
        <f t="shared" ca="1" si="599"/>
        <v>0</v>
      </c>
      <c r="AU1030" s="298">
        <f ca="1">IF(AND(A1030&lt;=OP!$C$120,COUNTIF(PAY,C1030)=1),OP!$C$123,0)</f>
        <v>0</v>
      </c>
      <c r="AV1030" s="298">
        <f ca="1">IF(AND(A1030&gt;=OP!$C$132,A1030&lt;=OP!$C$133,$C$3=C1030),OP!$C$135,0)</f>
        <v>0</v>
      </c>
      <c r="AW1030" s="180">
        <f t="shared" ca="1" si="600"/>
        <v>0.05</v>
      </c>
      <c r="AX1030" s="180">
        <f t="shared" ca="1" si="601"/>
        <v>0.05</v>
      </c>
      <c r="AY1030" s="286">
        <f t="shared" ca="1" si="602"/>
        <v>0</v>
      </c>
      <c r="AZ1030" s="286">
        <f t="shared" ca="1" si="603"/>
        <v>0</v>
      </c>
      <c r="BA1030" s="286">
        <f t="shared" ca="1" si="604"/>
        <v>0</v>
      </c>
      <c r="BB1030" s="286">
        <f t="shared" ca="1" si="605"/>
        <v>0</v>
      </c>
      <c r="BC1030" s="286">
        <f t="shared" ca="1" si="606"/>
        <v>0</v>
      </c>
      <c r="BD1030" s="180">
        <f t="shared" ca="1" si="607"/>
        <v>0.05</v>
      </c>
      <c r="BE1030" s="180">
        <f t="shared" ca="1" si="608"/>
        <v>0.05</v>
      </c>
      <c r="BF1030" s="286">
        <f t="shared" ca="1" si="609"/>
        <v>0</v>
      </c>
      <c r="BG1030" s="286">
        <f t="shared" ca="1" si="610"/>
        <v>0</v>
      </c>
    </row>
    <row r="1031" spans="1:59">
      <c r="A1031" s="1">
        <f t="shared" ca="1" si="590"/>
        <v>86</v>
      </c>
      <c r="B1031" s="1">
        <f t="shared" ca="1" si="583"/>
        <v>192</v>
      </c>
      <c r="C1031" s="1">
        <f t="shared" ca="1" si="584"/>
        <v>1</v>
      </c>
      <c r="D1031" s="1">
        <f ca="1">MIN($D$3,VLOOKUP(C1031,OP!$S$30:$T$41,2))</f>
        <v>2</v>
      </c>
      <c r="E1031" s="1" t="str">
        <f t="shared" ca="1" si="580"/>
        <v/>
      </c>
      <c r="F1031" s="11" t="str">
        <f t="shared" ca="1" si="591"/>
        <v/>
      </c>
      <c r="G1031" s="8">
        <f t="shared" ca="1" si="588"/>
        <v>365</v>
      </c>
      <c r="H1031" s="8">
        <f t="shared" ca="1" si="592"/>
        <v>31</v>
      </c>
      <c r="I1031" s="8" t="str">
        <f t="shared" ca="1" si="589"/>
        <v>861</v>
      </c>
      <c r="J1031" s="13">
        <f>IF(繳費報酬率資料!$A$1=1,VALUE(OP!$C$121),VLOOKUP(A1031,MP,2,0))</f>
        <v>0.05</v>
      </c>
      <c r="K1031" s="14">
        <f ca="1">IF(SUM($K$4:K1030,IF(繳費報酬率資料!$A$1=1,$AU1031+$AV1031,$BB1031+$BC1031))&gt;OP!$L$58,0,IF(繳費報酬率資料!$A$1=1,$AU1031+$AV1031,$BB1031+$BC1031))</f>
        <v>0</v>
      </c>
      <c r="L1031" s="2"/>
      <c r="M1031" s="2"/>
      <c r="N1031" s="2"/>
      <c r="O1031" s="261">
        <f t="shared" ca="1" si="593"/>
        <v>0</v>
      </c>
      <c r="P1031" s="261">
        <f t="shared" ca="1" si="611"/>
        <v>0</v>
      </c>
      <c r="Q1031" s="3">
        <f ca="1">IF(A1031&gt;MAX(OP!$R$17:$R$26),0,VLOOKUP(A1031,fees,3,FALSE))</f>
        <v>0</v>
      </c>
      <c r="R1031" s="200" t="str">
        <f t="shared" ca="1" si="594"/>
        <v/>
      </c>
      <c r="S1031" s="9" t="str">
        <f ca="1">IF(COUNTIF(($T$4:T1030),"F")&gt;=1,"",IF(OR(C1032&lt;&gt;$C$3,E1031=""),"",A1031))</f>
        <v/>
      </c>
      <c r="T1031" s="20" t="str">
        <f t="shared" ca="1" si="581"/>
        <v/>
      </c>
      <c r="U1031" s="2">
        <f ca="1">IF(IF(OP!$C$83=1,$Z1030,IF(OP!$C$83=2,$AA1030,IF(OP!$C$83=3,$AB1030,)))+$K1031-$O1031-$P1031-$AS1031&lt;OP!$C$142,0,$AS1031)</f>
        <v>0</v>
      </c>
      <c r="V1031" s="9"/>
      <c r="W1031" s="19">
        <f ca="1">MAX(SUM($K$4:K1031),0)</f>
        <v>2000000</v>
      </c>
      <c r="X1031" s="19"/>
      <c r="Y1031" s="19">
        <f t="shared" ca="1" si="612"/>
        <v>1920000</v>
      </c>
      <c r="Z1031" s="2">
        <f ca="1">IF(MIN($Z$4:Z1030)=0,0,MAX(0,($Z1030+$K1031-$O1031-$P1031)*IF(AND(F1031="F",$D$3&lt;&gt;$G$3),((1+(-J1031))^(H1031/MIN(G1031,365))),((1+(-J1031))^(1/12)))-$U1031))</f>
        <v>23711.375514163901</v>
      </c>
      <c r="AA1031" s="2">
        <f ca="1">IF(MIN($AA$4:AA1030)=0,0,MAX(0,($AA1030+$K1031-$O1031-$P1031)*IF(AND(F1031="F",$D$3&lt;&gt;$G$3),((1+$AA$1)^(H1031/MIN(G1031,365))),((1+$AA$1)^(1/12)))-$U1031))</f>
        <v>1920000</v>
      </c>
      <c r="AB1031" s="2">
        <f ca="1">IF(MIN($AB$4:AB1030)=0,0,MAX(0,($AB1030+$K1031-$O1031-$P1031)*IF(AND(F1031="F",$D$3&lt;&gt;$G$3),((1+(J1031))^(H1031/MIN(G1031,365))),((1+(J1031))^(1/12)))-$U1031))</f>
        <v>125463630.09783106</v>
      </c>
      <c r="AC1031" s="5"/>
      <c r="AD1031" s="5"/>
      <c r="AE1031" s="5"/>
      <c r="AF1031" s="282">
        <f t="shared" ca="1" si="595"/>
        <v>23711</v>
      </c>
      <c r="AG1031" s="282">
        <f t="shared" ca="1" si="596"/>
        <v>1920000</v>
      </c>
      <c r="AH1031" s="282">
        <f t="shared" ca="1" si="597"/>
        <v>125463630</v>
      </c>
      <c r="AI1031" s="23" t="str">
        <f t="shared" ca="1" si="578"/>
        <v>86-9</v>
      </c>
      <c r="AJ1031" s="282">
        <f ca="1">IF(E1031&gt;111,,IF(AND(OP!$C$99=1,T1031="F"),Z1031,IF(AND(OP!$C$99=2,COUNTIF($T$4:T1031,"F")=1),OP!$C$97+IF(F1031="F",OP!$C$98,0),"")))</f>
        <v>0</v>
      </c>
      <c r="AK1031" s="282">
        <f ca="1">IF(E1031&gt;111,,IF(AND(OP!$D$99=1,T1031="F"),AA1031,IF(AND(OP!$D$99=2,COUNTIF($T$4:T1031,"F")=1),OP!$D$97+IF(F1031="F",OP!$D$98,0),"")))</f>
        <v>0</v>
      </c>
      <c r="AL1031" s="282">
        <f ca="1">IF(E1031&gt;111,,IF(AND(OP!$E$99=1,T1031="F"),AB1031,IF(AND(OP!$E$99=2,COUNTIF($T$4:T1031,"F")=1),OP!$E$97+IF(F1031="F",OP!$E$98,0),"")))</f>
        <v>0</v>
      </c>
      <c r="AM1031" s="1">
        <f t="shared" ca="1" si="582"/>
        <v>9</v>
      </c>
      <c r="AN1031" s="1" t="e">
        <f ca="1">IF(OR(VLOOKUP($A1031,MP,5,0)="月繳"),1,"")</f>
        <v>#N/A</v>
      </c>
      <c r="AO1031" s="1">
        <f t="shared" ca="1" si="598"/>
        <v>0</v>
      </c>
      <c r="AP1031" s="1" t="str">
        <f ca="1">IF(AND(A1031&lt;=OP!$C$120,COUNTIF(PAY,C1031)=1),1,"")</f>
        <v/>
      </c>
      <c r="AR1031" s="301">
        <f ca="1">IF(繳費報酬率資料!$A$1=1,$AY1031+$AZ1031,$BF1031+$BG1031)</f>
        <v>0</v>
      </c>
      <c r="AS1031" s="1">
        <f ca="1">IF(C1031&lt;&gt;IF($C$3=1,12,$C$3-1),0,IF(繳費報酬率資料!$A$1&lt;&gt;1,VLOOKUP($A1031,MP,8,0),IF(AND($A1031&gt;=OP!$C$79,$A1031&lt;=OP!$C$80),OP!$C$78,)))</f>
        <v>0</v>
      </c>
      <c r="AT1031" s="298">
        <f t="shared" ca="1" si="599"/>
        <v>0</v>
      </c>
      <c r="AU1031" s="298">
        <f ca="1">IF(AND(A1031&lt;=OP!$C$120,COUNTIF(PAY,C1031)=1),OP!$C$123,0)</f>
        <v>0</v>
      </c>
      <c r="AV1031" s="298">
        <f ca="1">IF(AND(A1031&gt;=OP!$C$132,A1031&lt;=OP!$C$133,$C$3=C1031),OP!$C$135,0)</f>
        <v>0</v>
      </c>
      <c r="AW1031" s="180">
        <f t="shared" ca="1" si="600"/>
        <v>0.05</v>
      </c>
      <c r="AX1031" s="180">
        <f t="shared" ca="1" si="601"/>
        <v>0.05</v>
      </c>
      <c r="AY1031" s="286">
        <f t="shared" ca="1" si="602"/>
        <v>0</v>
      </c>
      <c r="AZ1031" s="286">
        <f t="shared" ca="1" si="603"/>
        <v>0</v>
      </c>
      <c r="BA1031" s="286">
        <f t="shared" ca="1" si="604"/>
        <v>0</v>
      </c>
      <c r="BB1031" s="286">
        <f t="shared" ca="1" si="605"/>
        <v>0</v>
      </c>
      <c r="BC1031" s="286">
        <f t="shared" ca="1" si="606"/>
        <v>0</v>
      </c>
      <c r="BD1031" s="180">
        <f t="shared" ca="1" si="607"/>
        <v>0.05</v>
      </c>
      <c r="BE1031" s="180">
        <f t="shared" ca="1" si="608"/>
        <v>0.05</v>
      </c>
      <c r="BF1031" s="286">
        <f t="shared" ca="1" si="609"/>
        <v>0</v>
      </c>
      <c r="BG1031" s="286">
        <f t="shared" ca="1" si="610"/>
        <v>0</v>
      </c>
    </row>
    <row r="1032" spans="1:59">
      <c r="A1032" s="1">
        <f t="shared" ca="1" si="590"/>
        <v>86</v>
      </c>
      <c r="B1032" s="1">
        <f t="shared" ca="1" si="583"/>
        <v>192</v>
      </c>
      <c r="C1032" s="1">
        <f t="shared" ca="1" si="584"/>
        <v>2</v>
      </c>
      <c r="D1032" s="1">
        <f ca="1">MIN($D$3,VLOOKUP(C1032,OP!$S$30:$T$41,2))</f>
        <v>2</v>
      </c>
      <c r="E1032" s="1" t="str">
        <f t="shared" ca="1" si="580"/>
        <v/>
      </c>
      <c r="F1032" s="11" t="str">
        <f t="shared" ca="1" si="591"/>
        <v/>
      </c>
      <c r="G1032" s="8">
        <f t="shared" ca="1" si="588"/>
        <v>365</v>
      </c>
      <c r="H1032" s="8">
        <f t="shared" ca="1" si="592"/>
        <v>28</v>
      </c>
      <c r="I1032" s="8" t="str">
        <f t="shared" ca="1" si="589"/>
        <v>862</v>
      </c>
      <c r="J1032" s="13">
        <f>IF(繳費報酬率資料!$A$1=1,VALUE(OP!$C$121),VLOOKUP(A1032,MP,2,0))</f>
        <v>0.05</v>
      </c>
      <c r="K1032" s="14">
        <f ca="1">IF(SUM($K$4:K1031,IF(繳費報酬率資料!$A$1=1,$AU1032+$AV1032,$BB1032+$BC1032))&gt;OP!$L$58,0,IF(繳費報酬率資料!$A$1=1,$AU1032+$AV1032,$BB1032+$BC1032))</f>
        <v>0</v>
      </c>
      <c r="L1032" s="2"/>
      <c r="M1032" s="2"/>
      <c r="N1032" s="2"/>
      <c r="O1032" s="261">
        <f t="shared" ca="1" si="593"/>
        <v>0</v>
      </c>
      <c r="P1032" s="261">
        <f t="shared" ca="1" si="611"/>
        <v>0</v>
      </c>
      <c r="Q1032" s="3">
        <f ca="1">IF(A1032&gt;MAX(OP!$R$17:$R$26),0,VLOOKUP(A1032,fees,3,FALSE))</f>
        <v>0</v>
      </c>
      <c r="R1032" s="200" t="str">
        <f t="shared" ca="1" si="594"/>
        <v/>
      </c>
      <c r="S1032" s="9" t="str">
        <f ca="1">IF(COUNTIF(($T$4:T1031),"F")&gt;=1,"",IF(OR(C1033&lt;&gt;$C$3,E1032=""),"",A1032))</f>
        <v/>
      </c>
      <c r="T1032" s="20" t="str">
        <f t="shared" ca="1" si="581"/>
        <v/>
      </c>
      <c r="U1032" s="2">
        <f ca="1">IF(IF(OP!$C$83=1,$Z1031,IF(OP!$C$83=2,$AA1031,IF(OP!$C$83=3,$AB1031,)))+$K1032-$O1032-$P1032-$AS1032&lt;OP!$C$142,0,$AS1032)</f>
        <v>0</v>
      </c>
      <c r="V1032" s="9"/>
      <c r="W1032" s="19">
        <f ca="1">MAX(SUM($K$4:K1032),0)</f>
        <v>2000000</v>
      </c>
      <c r="X1032" s="19"/>
      <c r="Y1032" s="19">
        <f t="shared" ca="1" si="612"/>
        <v>1920000</v>
      </c>
      <c r="Z1032" s="2">
        <f ca="1">IF(MIN($Z$4:Z1031)=0,0,MAX(0,($Z1031+$K1032-$O1032-$P1032)*IF(AND(F1032="F",$D$3&lt;&gt;$G$3),((1+(-J1032))^(H1032/MIN(G1032,365))),((1+(-J1032))^(1/12)))-$U1032))</f>
        <v>23610.238938941548</v>
      </c>
      <c r="AA1032" s="2">
        <f ca="1">IF(MIN($AA$4:AA1031)=0,0,MAX(0,($AA1031+$K1032-$O1032-$P1032)*IF(AND(F1032="F",$D$3&lt;&gt;$G$3),((1+$AA$1)^(H1032/MIN(G1032,365))),((1+$AA$1)^(1/12)))-$U1032))</f>
        <v>1920000</v>
      </c>
      <c r="AB1032" s="2">
        <f ca="1">IF(MIN($AB$4:AB1031)=0,0,MAX(0,($AB1031+$K1032-$O1032-$P1032)*IF(AND(F1032="F",$D$3&lt;&gt;$G$3),((1+(J1032))^(H1032/MIN(G1032,365))),((1+(J1032))^(1/12)))-$U1032))</f>
        <v>125974784.45719549</v>
      </c>
      <c r="AC1032" s="5"/>
      <c r="AD1032" s="5"/>
      <c r="AE1032" s="5"/>
      <c r="AF1032" s="282">
        <f t="shared" ca="1" si="595"/>
        <v>23610</v>
      </c>
      <c r="AG1032" s="282">
        <f t="shared" ca="1" si="596"/>
        <v>1920000</v>
      </c>
      <c r="AH1032" s="282">
        <f t="shared" ca="1" si="597"/>
        <v>125974784</v>
      </c>
      <c r="AI1032" s="23" t="str">
        <f t="shared" ca="1" si="578"/>
        <v>86-10</v>
      </c>
      <c r="AJ1032" s="282">
        <f ca="1">IF(E1032&gt;111,,IF(AND(OP!$C$99=1,T1032="F"),Z1032,IF(AND(OP!$C$99=2,COUNTIF($T$4:T1032,"F")=1),OP!$C$97+IF(F1032="F",OP!$C$98,0),"")))</f>
        <v>0</v>
      </c>
      <c r="AK1032" s="282">
        <f ca="1">IF(E1032&gt;111,,IF(AND(OP!$D$99=1,T1032="F"),AA1032,IF(AND(OP!$D$99=2,COUNTIF($T$4:T1032,"F")=1),OP!$D$97+IF(F1032="F",OP!$D$98,0),"")))</f>
        <v>0</v>
      </c>
      <c r="AL1032" s="282">
        <f ca="1">IF(E1032&gt;111,,IF(AND(OP!$E$99=1,T1032="F"),AB1032,IF(AND(OP!$E$99=2,COUNTIF($T$4:T1032,"F")=1),OP!$E$97+IF(F1032="F",OP!$E$98,0),"")))</f>
        <v>0</v>
      </c>
      <c r="AM1032" s="1">
        <f t="shared" ca="1" si="582"/>
        <v>10</v>
      </c>
      <c r="AN1032" s="1" t="e">
        <f ca="1">IF(OR(VLOOKUP($A1032,MP,5,0)="月繳"),1,"")</f>
        <v>#N/A</v>
      </c>
      <c r="AO1032" s="1">
        <f t="shared" ca="1" si="598"/>
        <v>0</v>
      </c>
      <c r="AP1032" s="1" t="str">
        <f ca="1">IF(AND(A1032&lt;=OP!$C$120,COUNTIF(PAY,C1032)=1),1,"")</f>
        <v/>
      </c>
      <c r="AR1032" s="301">
        <f ca="1">IF(繳費報酬率資料!$A$1=1,$AY1032+$AZ1032,$BF1032+$BG1032)</f>
        <v>0</v>
      </c>
      <c r="AS1032" s="1">
        <f ca="1">IF(C1032&lt;&gt;IF($C$3=1,12,$C$3-1),0,IF(繳費報酬率資料!$A$1&lt;&gt;1,VLOOKUP($A1032,MP,8,0),IF(AND($A1032&gt;=OP!$C$79,$A1032&lt;=OP!$C$80),OP!$C$78,)))</f>
        <v>0</v>
      </c>
      <c r="AT1032" s="298">
        <f t="shared" ca="1" si="599"/>
        <v>0</v>
      </c>
      <c r="AU1032" s="298">
        <f ca="1">IF(AND(A1032&lt;=OP!$C$120,COUNTIF(PAY,C1032)=1),OP!$C$123,0)</f>
        <v>0</v>
      </c>
      <c r="AV1032" s="298">
        <f ca="1">IF(AND(A1032&gt;=OP!$C$132,A1032&lt;=OP!$C$133,$C$3=C1032),OP!$C$135,0)</f>
        <v>0</v>
      </c>
      <c r="AW1032" s="180">
        <f t="shared" ca="1" si="600"/>
        <v>0.05</v>
      </c>
      <c r="AX1032" s="180">
        <f t="shared" ca="1" si="601"/>
        <v>0.05</v>
      </c>
      <c r="AY1032" s="286">
        <f t="shared" ca="1" si="602"/>
        <v>0</v>
      </c>
      <c r="AZ1032" s="286">
        <f t="shared" ca="1" si="603"/>
        <v>0</v>
      </c>
      <c r="BA1032" s="286">
        <f t="shared" ca="1" si="604"/>
        <v>0</v>
      </c>
      <c r="BB1032" s="286">
        <f t="shared" ca="1" si="605"/>
        <v>0</v>
      </c>
      <c r="BC1032" s="286">
        <f t="shared" ca="1" si="606"/>
        <v>0</v>
      </c>
      <c r="BD1032" s="180">
        <f t="shared" ca="1" si="607"/>
        <v>0.05</v>
      </c>
      <c r="BE1032" s="180">
        <f t="shared" ca="1" si="608"/>
        <v>0.05</v>
      </c>
      <c r="BF1032" s="286">
        <f t="shared" ca="1" si="609"/>
        <v>0</v>
      </c>
      <c r="BG1032" s="286">
        <f t="shared" ca="1" si="610"/>
        <v>0</v>
      </c>
    </row>
    <row r="1033" spans="1:59">
      <c r="A1033" s="1">
        <f t="shared" ca="1" si="590"/>
        <v>86</v>
      </c>
      <c r="B1033" s="1">
        <f t="shared" ca="1" si="583"/>
        <v>192</v>
      </c>
      <c r="C1033" s="1">
        <f t="shared" ca="1" si="584"/>
        <v>3</v>
      </c>
      <c r="D1033" s="1">
        <f ca="1">MIN($D$3,VLOOKUP(C1033,OP!$S$30:$T$41,2))</f>
        <v>2</v>
      </c>
      <c r="E1033" s="1" t="str">
        <f t="shared" ca="1" si="580"/>
        <v/>
      </c>
      <c r="F1033" s="11" t="str">
        <f t="shared" ca="1" si="591"/>
        <v/>
      </c>
      <c r="G1033" s="8">
        <f t="shared" ca="1" si="588"/>
        <v>365</v>
      </c>
      <c r="H1033" s="8">
        <f t="shared" ca="1" si="592"/>
        <v>31</v>
      </c>
      <c r="I1033" s="8" t="str">
        <f t="shared" ca="1" si="589"/>
        <v>863</v>
      </c>
      <c r="J1033" s="13">
        <f>IF(繳費報酬率資料!$A$1=1,VALUE(OP!$C$121),VLOOKUP(A1033,MP,2,0))</f>
        <v>0.05</v>
      </c>
      <c r="K1033" s="14">
        <f ca="1">IF(SUM($K$4:K1032,IF(繳費報酬率資料!$A$1=1,$AU1033+$AV1033,$BB1033+$BC1033))&gt;OP!$L$58,0,IF(繳費報酬率資料!$A$1=1,$AU1033+$AV1033,$BB1033+$BC1033))</f>
        <v>0</v>
      </c>
      <c r="L1033" s="2"/>
      <c r="M1033" s="2"/>
      <c r="N1033" s="2"/>
      <c r="O1033" s="261">
        <f t="shared" ca="1" si="593"/>
        <v>0</v>
      </c>
      <c r="P1033" s="261">
        <f t="shared" ca="1" si="611"/>
        <v>0</v>
      </c>
      <c r="Q1033" s="3">
        <f ca="1">IF(A1033&gt;MAX(OP!$R$17:$R$26),0,VLOOKUP(A1033,fees,3,FALSE))</f>
        <v>0</v>
      </c>
      <c r="R1033" s="200" t="str">
        <f t="shared" ca="1" si="594"/>
        <v/>
      </c>
      <c r="S1033" s="9" t="str">
        <f ca="1">IF(COUNTIF(($T$4:T1032),"F")&gt;=1,"",IF(OR(C1034&lt;&gt;$C$3,E1033=""),"",A1033))</f>
        <v/>
      </c>
      <c r="T1033" s="20" t="str">
        <f t="shared" ca="1" si="581"/>
        <v/>
      </c>
      <c r="U1033" s="2">
        <f ca="1">IF(IF(OP!$C$83=1,$Z1032,IF(OP!$C$83=2,$AA1032,IF(OP!$C$83=3,$AB1032,)))+$K1033-$O1033-$P1033-$AS1033&lt;OP!$C$142,0,$AS1033)</f>
        <v>0</v>
      </c>
      <c r="V1033" s="9"/>
      <c r="W1033" s="19">
        <f ca="1">MAX(SUM($K$4:K1033),0)</f>
        <v>2000000</v>
      </c>
      <c r="X1033" s="19"/>
      <c r="Y1033" s="19">
        <f t="shared" ca="1" si="612"/>
        <v>1920000</v>
      </c>
      <c r="Z1033" s="2">
        <f ca="1">IF(MIN($Z$4:Z1032)=0,0,MAX(0,($Z1032+$K1033-$O1033-$P1033)*IF(AND(F1033="F",$D$3&lt;&gt;$G$3),((1+(-J1033))^(H1033/MIN(G1033,365))),((1+(-J1033))^(1/12)))-$U1033))</f>
        <v>23509.533743452586</v>
      </c>
      <c r="AA1033" s="2">
        <f ca="1">IF(MIN($AA$4:AA1032)=0,0,MAX(0,($AA1032+$K1033-$O1033-$P1033)*IF(AND(F1033="F",$D$3&lt;&gt;$G$3),((1+$AA$1)^(H1033/MIN(G1033,365))),((1+$AA$1)^(1/12)))-$U1033))</f>
        <v>1920000</v>
      </c>
      <c r="AB1033" s="2">
        <f ca="1">IF(MIN($AB$4:AB1032)=0,0,MAX(0,($AB1032+$K1033-$O1033-$P1033)*IF(AND(F1033="F",$D$3&lt;&gt;$G$3),((1+(J1033))^(H1033/MIN(G1033,365))),((1+(J1033))^(1/12)))-$U1033))</f>
        <v>126488021.32269253</v>
      </c>
      <c r="AC1033" s="5"/>
      <c r="AD1033" s="5"/>
      <c r="AE1033" s="5"/>
      <c r="AF1033" s="282">
        <f t="shared" ca="1" si="595"/>
        <v>23510</v>
      </c>
      <c r="AG1033" s="282">
        <f t="shared" ca="1" si="596"/>
        <v>1920000</v>
      </c>
      <c r="AH1033" s="282">
        <f t="shared" ca="1" si="597"/>
        <v>126488021</v>
      </c>
      <c r="AI1033" s="23" t="str">
        <f t="shared" ca="1" si="578"/>
        <v>86-11</v>
      </c>
      <c r="AJ1033" s="282">
        <f ca="1">IF(E1033&gt;111,,IF(AND(OP!$C$99=1,T1033="F"),Z1033,IF(AND(OP!$C$99=2,COUNTIF($T$4:T1033,"F")=1),OP!$C$97+IF(F1033="F",OP!$C$98,0),"")))</f>
        <v>0</v>
      </c>
      <c r="AK1033" s="282">
        <f ca="1">IF(E1033&gt;111,,IF(AND(OP!$D$99=1,T1033="F"),AA1033,IF(AND(OP!$D$99=2,COUNTIF($T$4:T1033,"F")=1),OP!$D$97+IF(F1033="F",OP!$D$98,0),"")))</f>
        <v>0</v>
      </c>
      <c r="AL1033" s="282">
        <f ca="1">IF(E1033&gt;111,,IF(AND(OP!$E$99=1,T1033="F"),AB1033,IF(AND(OP!$E$99=2,COUNTIF($T$4:T1033,"F")=1),OP!$E$97+IF(F1033="F",OP!$E$98,0),"")))</f>
        <v>0</v>
      </c>
      <c r="AM1033" s="1">
        <f t="shared" ca="1" si="582"/>
        <v>11</v>
      </c>
      <c r="AN1033" s="1" t="e">
        <f ca="1">IF(OR(VLOOKUP($A1033,MP,5,0)="季繳",VLOOKUP($A1033,MP,5,0)="月繳"),1,"")</f>
        <v>#N/A</v>
      </c>
      <c r="AO1033" s="1">
        <f t="shared" ca="1" si="598"/>
        <v>0</v>
      </c>
      <c r="AP1033" s="1" t="str">
        <f ca="1">IF(AND(A1033&lt;=OP!$C$120,COUNTIF(PAY,C1033)=1),1,"")</f>
        <v/>
      </c>
      <c r="AR1033" s="301">
        <f ca="1">IF(繳費報酬率資料!$A$1=1,$AY1033+$AZ1033,$BF1033+$BG1033)</f>
        <v>0</v>
      </c>
      <c r="AS1033" s="1">
        <f ca="1">IF(C1033&lt;&gt;IF($C$3=1,12,$C$3-1),0,IF(繳費報酬率資料!$A$1&lt;&gt;1,VLOOKUP($A1033,MP,8,0),IF(AND($A1033&gt;=OP!$C$79,$A1033&lt;=OP!$C$80),OP!$C$78,)))</f>
        <v>0</v>
      </c>
      <c r="AT1033" s="298">
        <f t="shared" ca="1" si="599"/>
        <v>0</v>
      </c>
      <c r="AU1033" s="298">
        <f ca="1">IF(AND(A1033&lt;=OP!$C$120,COUNTIF(PAY,C1033)=1),OP!$C$123,0)</f>
        <v>0</v>
      </c>
      <c r="AV1033" s="298">
        <f ca="1">IF(AND(A1033&gt;=OP!$C$132,A1033&lt;=OP!$C$133,$C$3=C1033),OP!$C$135,0)</f>
        <v>0</v>
      </c>
      <c r="AW1033" s="180">
        <f t="shared" ca="1" si="600"/>
        <v>0.05</v>
      </c>
      <c r="AX1033" s="180">
        <f t="shared" ca="1" si="601"/>
        <v>0.05</v>
      </c>
      <c r="AY1033" s="286">
        <f t="shared" ca="1" si="602"/>
        <v>0</v>
      </c>
      <c r="AZ1033" s="286">
        <f t="shared" ca="1" si="603"/>
        <v>0</v>
      </c>
      <c r="BA1033" s="286">
        <f t="shared" ca="1" si="604"/>
        <v>0</v>
      </c>
      <c r="BB1033" s="286">
        <f t="shared" ca="1" si="605"/>
        <v>0</v>
      </c>
      <c r="BC1033" s="286">
        <f t="shared" ca="1" si="606"/>
        <v>0</v>
      </c>
      <c r="BD1033" s="180">
        <f t="shared" ca="1" si="607"/>
        <v>0.05</v>
      </c>
      <c r="BE1033" s="180">
        <f t="shared" ca="1" si="608"/>
        <v>0.05</v>
      </c>
      <c r="BF1033" s="286">
        <f t="shared" ca="1" si="609"/>
        <v>0</v>
      </c>
      <c r="BG1033" s="286">
        <f t="shared" ca="1" si="610"/>
        <v>0</v>
      </c>
    </row>
    <row r="1034" spans="1:59">
      <c r="A1034" s="1">
        <f t="shared" ca="1" si="590"/>
        <v>86</v>
      </c>
      <c r="B1034" s="1">
        <f t="shared" ca="1" si="583"/>
        <v>192</v>
      </c>
      <c r="C1034" s="1">
        <f t="shared" ca="1" si="584"/>
        <v>4</v>
      </c>
      <c r="D1034" s="1">
        <f ca="1">MIN($D$3,VLOOKUP(C1034,OP!$S$30:$T$41,2))</f>
        <v>2</v>
      </c>
      <c r="E1034" s="1" t="str">
        <f t="shared" ca="1" si="580"/>
        <v/>
      </c>
      <c r="F1034" s="11" t="str">
        <f t="shared" ca="1" si="591"/>
        <v/>
      </c>
      <c r="G1034" s="8">
        <f t="shared" ca="1" si="588"/>
        <v>365</v>
      </c>
      <c r="H1034" s="8">
        <f t="shared" ca="1" si="592"/>
        <v>30</v>
      </c>
      <c r="I1034" s="8" t="str">
        <f t="shared" ca="1" si="589"/>
        <v>864</v>
      </c>
      <c r="J1034" s="13">
        <f>IF(繳費報酬率資料!$A$1=1,VALUE(OP!$C$121),VLOOKUP(A1034,MP,2,0))</f>
        <v>0.05</v>
      </c>
      <c r="K1034" s="14">
        <f ca="1">IF(SUM($K$4:K1033,IF(繳費報酬率資料!$A$1=1,$AU1034+$AV1034,$BB1034+$BC1034))&gt;OP!$L$58,0,IF(繳費報酬率資料!$A$1=1,$AU1034+$AV1034,$BB1034+$BC1034))</f>
        <v>0</v>
      </c>
      <c r="L1034" s="2"/>
      <c r="M1034" s="2"/>
      <c r="N1034" s="2"/>
      <c r="O1034" s="261">
        <f t="shared" ca="1" si="593"/>
        <v>0</v>
      </c>
      <c r="P1034" s="261">
        <f t="shared" ca="1" si="611"/>
        <v>0</v>
      </c>
      <c r="Q1034" s="3">
        <f ca="1">IF(A1034&gt;MAX(OP!$R$17:$R$26),0,VLOOKUP(A1034,fees,3,FALSE))</f>
        <v>0</v>
      </c>
      <c r="R1034" s="200" t="str">
        <f t="shared" ca="1" si="594"/>
        <v/>
      </c>
      <c r="S1034" s="9" t="str">
        <f ca="1">IF(COUNTIF(($T$4:T1033),"F")&gt;=1,"",IF(OR(C1035&lt;&gt;$C$3,E1034=""),"",A1034))</f>
        <v/>
      </c>
      <c r="T1034" s="20" t="str">
        <f t="shared" ca="1" si="581"/>
        <v/>
      </c>
      <c r="U1034" s="2">
        <f ca="1">IF(IF(OP!$C$83=1,$Z1033,IF(OP!$C$83=2,$AA1033,IF(OP!$C$83=3,$AB1033,)))+$K1034-$O1034-$P1034-$AS1034&lt;OP!$C$142,0,$AS1034)</f>
        <v>0</v>
      </c>
      <c r="V1034" s="9"/>
      <c r="W1034" s="19">
        <f ca="1">MAX(SUM($K$4:K1034),0)</f>
        <v>2000000</v>
      </c>
      <c r="X1034" s="19"/>
      <c r="Y1034" s="19">
        <f t="shared" ca="1" si="612"/>
        <v>1920000</v>
      </c>
      <c r="Z1034" s="2">
        <f ca="1">IF(MIN($Z$4:Z1033)=0,0,MAX(0,($Z1033+$K1034-$O1034-$P1034)*IF(AND(F1034="F",$D$3&lt;&gt;$G$3),((1+(-J1034))^(H1034/MIN(G1034,365))),((1+(-J1034))^(1/12)))-$U1034))</f>
        <v>23409.258087724942</v>
      </c>
      <c r="AA1034" s="2">
        <f ca="1">IF(MIN($AA$4:AA1033)=0,0,MAX(0,($AA1033+$K1034-$O1034-$P1034)*IF(AND(F1034="F",$D$3&lt;&gt;$G$3),((1+$AA$1)^(H1034/MIN(G1034,365))),((1+$AA$1)^(1/12)))-$U1034))</f>
        <v>1920000</v>
      </c>
      <c r="AB1034" s="2">
        <f ca="1">IF(MIN($AB$4:AB1033)=0,0,MAX(0,($AB1033+$K1034-$O1034-$P1034)*IF(AND(F1034="F",$D$3&lt;&gt;$G$3),((1+(J1034))^(H1034/MIN(G1034,365))),((1+(J1034))^(1/12)))-$U1034))</f>
        <v>127003349.17870992</v>
      </c>
      <c r="AC1034" s="5"/>
      <c r="AD1034" s="5"/>
      <c r="AE1034" s="5"/>
      <c r="AF1034" s="282">
        <f t="shared" ca="1" si="595"/>
        <v>23409</v>
      </c>
      <c r="AG1034" s="282">
        <f t="shared" ca="1" si="596"/>
        <v>1920000</v>
      </c>
      <c r="AH1034" s="282">
        <f t="shared" ca="1" si="597"/>
        <v>127003349</v>
      </c>
      <c r="AI1034" s="23" t="str">
        <f t="shared" ca="1" si="578"/>
        <v>86-12</v>
      </c>
      <c r="AJ1034" s="282">
        <f ca="1">IF(E1034&gt;111,,IF(AND(OP!$C$99=1,T1034="F"),Z1034,IF(AND(OP!$C$99=2,COUNTIF($T$4:T1034,"F")=1),OP!$C$97+IF(F1034="F",OP!$C$98,0),"")))</f>
        <v>0</v>
      </c>
      <c r="AK1034" s="282">
        <f ca="1">IF(E1034&gt;111,,IF(AND(OP!$D$99=1,T1034="F"),AA1034,IF(AND(OP!$D$99=2,COUNTIF($T$4:T1034,"F")=1),OP!$D$97+IF(F1034="F",OP!$D$98,0),"")))</f>
        <v>0</v>
      </c>
      <c r="AL1034" s="282">
        <f ca="1">IF(E1034&gt;111,,IF(AND(OP!$E$99=1,T1034="F"),AB1034,IF(AND(OP!$E$99=2,COUNTIF($T$4:T1034,"F")=1),OP!$E$97+IF(F1034="F",OP!$E$98,0),"")))</f>
        <v>0</v>
      </c>
      <c r="AM1034" s="1">
        <f t="shared" ca="1" si="582"/>
        <v>12</v>
      </c>
      <c r="AN1034" s="1" t="e">
        <f ca="1">IF(OR(VLOOKUP($A1034,MP,5,0)="月繳"),1,"")</f>
        <v>#N/A</v>
      </c>
      <c r="AO1034" s="1">
        <f t="shared" ca="1" si="598"/>
        <v>0</v>
      </c>
      <c r="AP1034" s="1" t="str">
        <f ca="1">IF(AND(A1034&lt;=OP!$C$120,COUNTIF(PAY,C1034)=1),1,"")</f>
        <v/>
      </c>
      <c r="AR1034" s="301">
        <f ca="1">IF(繳費報酬率資料!$A$1=1,$AY1034+$AZ1034,$BF1034+$BG1034)</f>
        <v>0</v>
      </c>
      <c r="AS1034" s="1">
        <f ca="1">IF(C1034&lt;&gt;IF($C$3=1,12,$C$3-1),0,IF(繳費報酬率資料!$A$1&lt;&gt;1,VLOOKUP($A1034,MP,8,0),IF(AND($A1034&gt;=OP!$C$79,$A1034&lt;=OP!$C$80),OP!$C$78,)))</f>
        <v>0</v>
      </c>
      <c r="AT1034" s="298">
        <f t="shared" ca="1" si="599"/>
        <v>0</v>
      </c>
      <c r="AU1034" s="298">
        <f ca="1">IF(AND(A1034&lt;=OP!$C$120,COUNTIF(PAY,C1034)=1),OP!$C$123,0)</f>
        <v>0</v>
      </c>
      <c r="AV1034" s="298">
        <f ca="1">IF(AND(A1034&gt;=OP!$C$132,A1034&lt;=OP!$C$133,$C$3=C1034),OP!$C$135,0)</f>
        <v>0</v>
      </c>
      <c r="AW1034" s="180">
        <f t="shared" ca="1" si="600"/>
        <v>0.05</v>
      </c>
      <c r="AX1034" s="180">
        <f t="shared" ca="1" si="601"/>
        <v>0.05</v>
      </c>
      <c r="AY1034" s="286">
        <f t="shared" ca="1" si="602"/>
        <v>0</v>
      </c>
      <c r="AZ1034" s="286">
        <f t="shared" ca="1" si="603"/>
        <v>0</v>
      </c>
      <c r="BA1034" s="286">
        <f t="shared" ca="1" si="604"/>
        <v>0</v>
      </c>
      <c r="BB1034" s="286">
        <f t="shared" ca="1" si="605"/>
        <v>0</v>
      </c>
      <c r="BC1034" s="286">
        <f t="shared" ca="1" si="606"/>
        <v>0</v>
      </c>
      <c r="BD1034" s="180">
        <f t="shared" ca="1" si="607"/>
        <v>0.05</v>
      </c>
      <c r="BE1034" s="180">
        <f t="shared" ca="1" si="608"/>
        <v>0.05</v>
      </c>
      <c r="BF1034" s="286">
        <f t="shared" ca="1" si="609"/>
        <v>0</v>
      </c>
      <c r="BG1034" s="286">
        <f t="shared" ca="1" si="610"/>
        <v>0</v>
      </c>
    </row>
    <row r="1035" spans="1:59">
      <c r="A1035" s="1">
        <f t="shared" ca="1" si="590"/>
        <v>86</v>
      </c>
      <c r="B1035" s="1">
        <f t="shared" ca="1" si="583"/>
        <v>192</v>
      </c>
      <c r="C1035" s="1">
        <f t="shared" ca="1" si="584"/>
        <v>5</v>
      </c>
      <c r="D1035" s="1">
        <f ca="1">MIN($D$3,VLOOKUP(C1035,OP!$S$30:$T$41,2))</f>
        <v>2</v>
      </c>
      <c r="E1035" s="1" t="str">
        <f t="shared" ca="1" si="580"/>
        <v/>
      </c>
      <c r="F1035" s="11" t="str">
        <f t="shared" ca="1" si="591"/>
        <v/>
      </c>
      <c r="G1035" s="8">
        <f t="shared" ca="1" si="588"/>
        <v>365</v>
      </c>
      <c r="H1035" s="8">
        <f t="shared" ca="1" si="592"/>
        <v>31</v>
      </c>
      <c r="I1035" s="8" t="str">
        <f t="shared" ca="1" si="589"/>
        <v>865</v>
      </c>
      <c r="J1035" s="13">
        <f>IF(繳費報酬率資料!$A$1=1,VALUE(OP!$C$121),VLOOKUP(A1035,MP,2,0))</f>
        <v>0.05</v>
      </c>
      <c r="K1035" s="14">
        <f ca="1">IF(SUM($K$4:K1034,IF(繳費報酬率資料!$A$1=1,$AU1035+$AV1035,$BB1035+$BC1035))&gt;OP!$L$58,0,IF(繳費報酬率資料!$A$1=1,$AU1035+$AV1035,$BB1035+$BC1035))</f>
        <v>0</v>
      </c>
      <c r="L1035" s="2">
        <f ca="1">ROUND(IF(OP!$C$78&lt;(IF(OR($T1035="F",$E1035&gt;=111),0,Z1034+$K1035-$O1035+IF($C$1=1,OP!$C$78,IF($C1036=$C$3,SUM(AC1024:AC1035,0)))))*5%,0,(OP!$C$78-((IF(OR($T1035="F",$E1035&gt;=111),0,Z1034+$K1035-$O1035+IF($C$1=1,AC1035,IF($C1036=$C$3,SUM(AC1024:AC1035,0)))))*5%))*$Q1035),0)</f>
        <v>0</v>
      </c>
      <c r="M1035" s="2">
        <f ca="1">ROUND(IF(OP!$C$78&lt;(IF(OR($T1035="F",$E1035&gt;=111),0,AA1034+$K1035-$O1035+IF($C$1=1,AD1035,IF($C1036=$C$3,SUM(AD1024:AD1035,0)))))*5%,0,(OP!$C$78-((IF(OR($T1035="F",$E1035&gt;=111),0,AA1034+$K1035-$O1035+IF($C$1=1,AD1035,IF($C1036=$C$3,SUM(AD1024:AD1035,0)))))*5%))*$Q1035),0)</f>
        <v>0</v>
      </c>
      <c r="N1035" s="2">
        <f ca="1">ROUND(IF(OP!$C$78&lt;(IF(OR($T1035="F",$E1035&gt;=111),0,AB1034+$K1035-$O1035+IF($C$1=1,AE1035,IF($C1036=$C$3,SUM(AE1024:AE1035,0)))))*5%,0,(OP!$C$78-((IF(OR($T1035="F",$E1035&gt;=111),0,AB1034+$K1035-$O1035+IF($C$1=1,AE1035,IF($C1036=$C$3,SUM(AE1024:AE1035,0)))))*5%))*$Q1035),0)</f>
        <v>0</v>
      </c>
      <c r="O1035" s="261">
        <f t="shared" ca="1" si="593"/>
        <v>0</v>
      </c>
      <c r="P1035" s="261">
        <f t="shared" ca="1" si="611"/>
        <v>0</v>
      </c>
      <c r="Q1035" s="3">
        <f ca="1">IF(A1035&gt;MAX(OP!$R$17:$R$26),0,VLOOKUP(A1035,fees,3,FALSE))</f>
        <v>0</v>
      </c>
      <c r="R1035" s="200" t="str">
        <f t="shared" ca="1" si="594"/>
        <v/>
      </c>
      <c r="S1035" s="9" t="str">
        <f ca="1">IF(COUNTIF(($T$4:T1034),"F")&gt;=1,"",IF(OR(C1036&lt;&gt;$C$3,E1035=""),"",A1035))</f>
        <v/>
      </c>
      <c r="T1035" s="20" t="str">
        <f t="shared" ca="1" si="581"/>
        <v/>
      </c>
      <c r="U1035" s="2">
        <f ca="1">IF(IF(OP!$C$83=1,$Z1034,IF(OP!$C$83=2,$AA1034,IF(OP!$C$83=3,$AB1034,)))+$K1035-$O1035-$P1035-$AS1035&lt;OP!$C$142,0,$AS1035)</f>
        <v>0</v>
      </c>
      <c r="V1035" s="19">
        <f ca="1">SUM(K1024:K1035)</f>
        <v>0</v>
      </c>
      <c r="W1035" s="19">
        <f ca="1">MAX(SUM($K$4:K1035),0)</f>
        <v>2000000</v>
      </c>
      <c r="X1035" s="19">
        <f ca="1">SUM(O1024:P1035)</f>
        <v>0</v>
      </c>
      <c r="Y1035" s="19">
        <f t="shared" ca="1" si="612"/>
        <v>1920000</v>
      </c>
      <c r="Z1035" s="2">
        <f ca="1">IF(MIN($Z$4:Z1034)=0,0,MAX(0,($Z1034+$K1035-$O1035-$P1035)*IF(AND(F1035="F",$D$3&lt;&gt;$G$3),((1+(-J1035))^(H1035/MIN(G1035,365))),((1+(-J1035))^(1/12)))-$U1035))</f>
        <v>23309.410139634605</v>
      </c>
      <c r="AA1035" s="2">
        <f ca="1">IF(MIN($AA$4:AA1034)=0,0,MAX(0,($AA1034+$K1035-$O1035-$P1035)*IF(AND(F1035="F",$D$3&lt;&gt;$G$3),((1+$AA$1)^(H1035/MIN(G1035,365))),((1+$AA$1)^(1/12)))-$U1035))</f>
        <v>1920000</v>
      </c>
      <c r="AB1035" s="2">
        <f ca="1">IF(MIN($AB$4:AB1034)=0,0,MAX(0,($AB1034+$K1035-$O1035-$P1035)*IF(AND(F1035="F",$D$3&lt;&gt;$G$3),((1+(J1035))^(H1035/MIN(G1035,365))),((1+(J1035))^(1/12)))-$U1035))</f>
        <v>127520776.5442019</v>
      </c>
      <c r="AC1035" s="5"/>
      <c r="AD1035" s="5"/>
      <c r="AE1035" s="5"/>
      <c r="AF1035" s="282">
        <f t="shared" ca="1" si="595"/>
        <v>23309</v>
      </c>
      <c r="AG1035" s="282">
        <f t="shared" ca="1" si="596"/>
        <v>1920000</v>
      </c>
      <c r="AH1035" s="282">
        <f t="shared" ca="1" si="597"/>
        <v>127520777</v>
      </c>
      <c r="AI1035" s="23" t="str">
        <f t="shared" ca="1" si="578"/>
        <v>87-1</v>
      </c>
      <c r="AJ1035" s="282">
        <f ca="1">IF(E1035&gt;111,,IF(AND(OP!$C$99=1,T1035="F"),Z1035,IF(AND(OP!$C$99=2,COUNTIF($T$4:T1035,"F")=1),OP!$C$97+IF(F1035="F",OP!$C$98,0),"")))</f>
        <v>0</v>
      </c>
      <c r="AK1035" s="282">
        <f ca="1">IF(E1035&gt;111,,IF(AND(OP!$D$99=1,T1035="F"),AA1035,IF(AND(OP!$D$99=2,COUNTIF($T$4:T1035,"F")=1),OP!$D$97+IF(F1035="F",OP!$D$98,0),"")))</f>
        <v>0</v>
      </c>
      <c r="AL1035" s="282">
        <f ca="1">IF(E1035&gt;111,,IF(AND(OP!$E$99=1,T1035="F"),AB1035,IF(AND(OP!$E$99=2,COUNTIF($T$4:T1035,"F")=1),OP!$E$97+IF(F1035="F",OP!$E$98,0),"")))</f>
        <v>0</v>
      </c>
      <c r="AM1035" s="1">
        <f t="shared" ca="1" si="582"/>
        <v>1</v>
      </c>
      <c r="AN1035" s="1" t="e">
        <f ca="1">IF(OR(VLOOKUP($A1035,MP,5,0)="月繳"),1,"")</f>
        <v>#N/A</v>
      </c>
      <c r="AO1035" s="1">
        <f t="shared" ca="1" si="598"/>
        <v>0</v>
      </c>
      <c r="AP1035" s="1" t="str">
        <f ca="1">IF(AND(A1035&lt;=OP!$C$120,COUNTIF(PAY,C1035)=1),1,"")</f>
        <v/>
      </c>
      <c r="AR1035" s="301">
        <f ca="1">IF(繳費報酬率資料!$A$1=1,$AY1035+$AZ1035,$BF1035+$BG1035)</f>
        <v>0</v>
      </c>
      <c r="AS1035" s="1">
        <f ca="1">IF(C1035&lt;&gt;IF($C$3=1,12,$C$3-1),0,IF(繳費報酬率資料!$A$1&lt;&gt;1,VLOOKUP($A1035,MP,8,0),IF(AND($A1035&gt;=OP!$C$79,$A1035&lt;=OP!$C$80),OP!$C$78,)))</f>
        <v>0</v>
      </c>
      <c r="AT1035" s="298">
        <f t="shared" ca="1" si="599"/>
        <v>0</v>
      </c>
      <c r="AU1035" s="298">
        <f ca="1">IF(AND(A1035&lt;=OP!$C$120,COUNTIF(PAY,C1035)=1),OP!$C$123,0)</f>
        <v>0</v>
      </c>
      <c r="AV1035" s="298">
        <f ca="1">IF(AND(A1035&gt;=OP!$C$132,A1035&lt;=OP!$C$133,$C$3=C1035),OP!$C$135,0)</f>
        <v>0</v>
      </c>
      <c r="AW1035" s="180">
        <f t="shared" ca="1" si="600"/>
        <v>0.05</v>
      </c>
      <c r="AX1035" s="180">
        <f t="shared" ca="1" si="601"/>
        <v>0.05</v>
      </c>
      <c r="AY1035" s="286">
        <f t="shared" ca="1" si="602"/>
        <v>0</v>
      </c>
      <c r="AZ1035" s="286">
        <f t="shared" ca="1" si="603"/>
        <v>0</v>
      </c>
      <c r="BA1035" s="286">
        <f t="shared" ca="1" si="604"/>
        <v>0</v>
      </c>
      <c r="BB1035" s="286">
        <f t="shared" ca="1" si="605"/>
        <v>0</v>
      </c>
      <c r="BC1035" s="286">
        <f t="shared" ca="1" si="606"/>
        <v>0</v>
      </c>
      <c r="BD1035" s="180">
        <f t="shared" ca="1" si="607"/>
        <v>0.05</v>
      </c>
      <c r="BE1035" s="180">
        <f t="shared" ca="1" si="608"/>
        <v>0.05</v>
      </c>
      <c r="BF1035" s="286">
        <f t="shared" ca="1" si="609"/>
        <v>0</v>
      </c>
      <c r="BG1035" s="286">
        <f t="shared" ca="1" si="610"/>
        <v>0</v>
      </c>
    </row>
    <row r="1036" spans="1:59">
      <c r="A1036" s="1">
        <f t="shared" ca="1" si="590"/>
        <v>87</v>
      </c>
      <c r="B1036" s="1">
        <f t="shared" ca="1" si="583"/>
        <v>192</v>
      </c>
      <c r="C1036" s="1">
        <f t="shared" ca="1" si="584"/>
        <v>6</v>
      </c>
      <c r="D1036" s="1">
        <f ca="1">MIN($D$3,VLOOKUP(C1036,OP!$S$30:$T$41,2))</f>
        <v>2</v>
      </c>
      <c r="E1036" s="1" t="str">
        <f t="shared" ca="1" si="580"/>
        <v/>
      </c>
      <c r="F1036" s="11" t="str">
        <f t="shared" ca="1" si="591"/>
        <v/>
      </c>
      <c r="G1036" s="6">
        <f ca="1">DATEDIF(DATE(B1036+1911,C1036,D1036),DATE(B1048+1911,C1048,D1048),"d")</f>
        <v>366</v>
      </c>
      <c r="H1036" s="8">
        <f t="shared" ca="1" si="592"/>
        <v>30</v>
      </c>
      <c r="I1036" s="8" t="str">
        <f t="shared" ca="1" si="589"/>
        <v>876</v>
      </c>
      <c r="J1036" s="13">
        <f>IF(繳費報酬率資料!$A$1=1,VALUE(OP!$C$121),VLOOKUP(A1036,MP,2,0))</f>
        <v>0.05</v>
      </c>
      <c r="K1036" s="14">
        <f ca="1">IF(SUM($K$4:K1035,IF(繳費報酬率資料!$A$1=1,$AU1036+$AV1036,$BB1036+$BC1036))&gt;OP!$L$58,0,IF(繳費報酬率資料!$A$1=1,$AU1036+$AV1036,$BB1036+$BC1036))</f>
        <v>0</v>
      </c>
      <c r="L1036" s="2"/>
      <c r="M1036" s="2"/>
      <c r="N1036" s="2"/>
      <c r="O1036" s="261">
        <f t="shared" ca="1" si="593"/>
        <v>0</v>
      </c>
      <c r="P1036" s="261">
        <f t="shared" ca="1" si="611"/>
        <v>0</v>
      </c>
      <c r="Q1036" s="3">
        <f ca="1">IF(A1036&gt;MAX(OP!$R$17:$R$26),0,VLOOKUP(A1036,fees,3,FALSE))</f>
        <v>0</v>
      </c>
      <c r="R1036" s="200" t="str">
        <f t="shared" ca="1" si="594"/>
        <v/>
      </c>
      <c r="S1036" s="9" t="str">
        <f ca="1">IF(COUNTIF(($T$4:T1035),"F")&gt;=1,"",IF(OR(C1037&lt;&gt;$C$3,E1036=""),"",A1036))</f>
        <v/>
      </c>
      <c r="T1036" s="20" t="str">
        <f t="shared" ca="1" si="581"/>
        <v/>
      </c>
      <c r="U1036" s="2">
        <f ca="1">IF(IF(OP!$C$83=1,$Z1035,IF(OP!$C$83=2,$AA1035,IF(OP!$C$83=3,$AB1035,)))+$K1036-$O1036-$P1036-$AS1036&lt;OP!$C$142,0,$AS1036)</f>
        <v>0</v>
      </c>
      <c r="V1036" s="9"/>
      <c r="W1036" s="19">
        <f ca="1">MAX(SUM($K$4:K1036),0)</f>
        <v>2000000</v>
      </c>
      <c r="X1036" s="19"/>
      <c r="Y1036" s="19">
        <f t="shared" ca="1" si="612"/>
        <v>1920000</v>
      </c>
      <c r="Z1036" s="2">
        <f ca="1">IF(MIN($Z$4:Z1035)=0,0,MAX(0,($Z1035+$K1036-$O1036-$P1036)*IF(AND(F1036="F",$D$3&lt;&gt;$G$3),((1+(-J1036))^(H1036/MIN(G1036,365))),((1+(-J1036))^(1/12)))-$U1036))</f>
        <v>23209.988074872159</v>
      </c>
      <c r="AA1036" s="2">
        <f ca="1">IF(MIN($AA$4:AA1035)=0,0,MAX(0,($AA1035+$K1036-$O1036-$P1036)*IF(AND(F1036="F",$D$3&lt;&gt;$G$3),((1+$AA$1)^(H1036/MIN(G1036,365))),((1+$AA$1)^(1/12)))-$U1036))</f>
        <v>1920000</v>
      </c>
      <c r="AB1036" s="2">
        <f ca="1">IF(MIN($AB$4:AB1035)=0,0,MAX(0,($AB1035+$K1036-$O1036-$P1036)*IF(AND(F1036="F",$D$3&lt;&gt;$G$3),((1+(J1036))^(H1036/MIN(G1036,365))),((1+(J1036))^(1/12)))-$U1036))</f>
        <v>128040311.97282994</v>
      </c>
      <c r="AC1036" s="21"/>
      <c r="AD1036" s="21"/>
      <c r="AE1036" s="21"/>
      <c r="AF1036" s="282">
        <f t="shared" ca="1" si="595"/>
        <v>23210</v>
      </c>
      <c r="AG1036" s="282">
        <f t="shared" ca="1" si="596"/>
        <v>1920000</v>
      </c>
      <c r="AH1036" s="282">
        <f t="shared" ca="1" si="597"/>
        <v>128040312</v>
      </c>
      <c r="AI1036" s="23" t="str">
        <f t="shared" ref="AI1036:AI1099" ca="1" si="613">IF($G$3=D1037,A1037,A1036)&amp;"-"&amp;AM1036</f>
        <v>87-2</v>
      </c>
      <c r="AJ1036" s="281">
        <f ca="1">IF(E1036&gt;111,,IF(AND(OP!$C$99=1,T1036="F"),Z1036,IF(AND(OP!$C$99=2,COUNTIF($T$4:T1036,"F")=1),OP!$C$97+IF(F1036="F",OP!$C$98,0),"")))</f>
        <v>0</v>
      </c>
      <c r="AK1036" s="281">
        <f ca="1">IF(E1036&gt;111,,IF(AND(OP!$D$99=1,T1036="F"),AA1036,IF(AND(OP!$D$99=2,COUNTIF($T$4:T1036,"F")=1),OP!$D$97+IF(F1036="F",OP!$D$98,0),"")))</f>
        <v>0</v>
      </c>
      <c r="AL1036" s="281">
        <f ca="1">IF(E1036&gt;111,,IF(AND(OP!$E$99=1,T1036="F"),AB1036,IF(AND(OP!$E$99=2,COUNTIF($T$4:T1036,"F")=1),OP!$E$97+IF(F1036="F",OP!$E$98,0),"")))</f>
        <v>0</v>
      </c>
      <c r="AM1036" s="1">
        <f t="shared" ca="1" si="582"/>
        <v>2</v>
      </c>
      <c r="AN1036" s="1" t="e">
        <f ca="1">IF(OR(VLOOKUP($A1036,MP,5,0)="年繳",VLOOKUP($A1036,MP,5,0)="半年繳",VLOOKUP($A1036,MP,5,0)="季繳",VLOOKUP($A1036,MP,5,0)="月繳"),1,"")</f>
        <v>#N/A</v>
      </c>
      <c r="AO1036" s="1">
        <f t="shared" ca="1" si="598"/>
        <v>0</v>
      </c>
      <c r="AP1036" s="1" t="str">
        <f ca="1">IF(AND(A1036&lt;=OP!$C$120,COUNTIF(PAY,C1036)=1),1,"")</f>
        <v/>
      </c>
      <c r="AR1036" s="301">
        <f ca="1">IF(繳費報酬率資料!$A$1=1,$AY1036+$AZ1036,$BF1036+$BG1036)</f>
        <v>0</v>
      </c>
      <c r="AS1036" s="1">
        <f ca="1">IF(C1036&lt;&gt;IF($C$3=1,12,$C$3-1),0,IF(繳費報酬率資料!$A$1&lt;&gt;1,VLOOKUP($A1036,MP,8,0),IF(AND($A1036&gt;=OP!$C$79,$A1036&lt;=OP!$C$80),OP!$C$78,)))</f>
        <v>0</v>
      </c>
      <c r="AT1036" s="298">
        <f t="shared" ca="1" si="599"/>
        <v>0</v>
      </c>
      <c r="AU1036" s="298">
        <f ca="1">IF(AND(A1036&lt;=OP!$C$120,COUNTIF(PAY,C1036)=1),OP!$C$123,0)</f>
        <v>0</v>
      </c>
      <c r="AV1036" s="298">
        <f ca="1">IF(AND(A1036&gt;=OP!$C$132,A1036&lt;=OP!$C$133,$C$3=C1036),OP!$C$135,0)</f>
        <v>0</v>
      </c>
      <c r="AW1036" s="180">
        <f t="shared" ca="1" si="600"/>
        <v>0.05</v>
      </c>
      <c r="AX1036" s="180">
        <f t="shared" ca="1" si="601"/>
        <v>0.05</v>
      </c>
      <c r="AY1036" s="286">
        <f t="shared" ca="1" si="602"/>
        <v>0</v>
      </c>
      <c r="AZ1036" s="286">
        <f t="shared" ca="1" si="603"/>
        <v>0</v>
      </c>
      <c r="BA1036" s="286">
        <f t="shared" ca="1" si="604"/>
        <v>0</v>
      </c>
      <c r="BB1036" s="286">
        <f t="shared" ca="1" si="605"/>
        <v>0</v>
      </c>
      <c r="BC1036" s="286">
        <f t="shared" ca="1" si="606"/>
        <v>0</v>
      </c>
      <c r="BD1036" s="180">
        <f t="shared" ca="1" si="607"/>
        <v>0.05</v>
      </c>
      <c r="BE1036" s="180">
        <f t="shared" ca="1" si="608"/>
        <v>0.05</v>
      </c>
      <c r="BF1036" s="286">
        <f t="shared" ca="1" si="609"/>
        <v>0</v>
      </c>
      <c r="BG1036" s="286">
        <f t="shared" ca="1" si="610"/>
        <v>0</v>
      </c>
    </row>
    <row r="1037" spans="1:59">
      <c r="A1037" s="1">
        <f t="shared" ca="1" si="590"/>
        <v>87</v>
      </c>
      <c r="B1037" s="1">
        <f t="shared" ca="1" si="583"/>
        <v>192</v>
      </c>
      <c r="C1037" s="1">
        <f t="shared" ca="1" si="584"/>
        <v>7</v>
      </c>
      <c r="D1037" s="1">
        <f ca="1">MIN($D$3,VLOOKUP(C1037,OP!$S$30:$T$41,2))</f>
        <v>2</v>
      </c>
      <c r="E1037" s="1" t="str">
        <f t="shared" ca="1" si="580"/>
        <v/>
      </c>
      <c r="F1037" s="11" t="str">
        <f t="shared" ca="1" si="591"/>
        <v/>
      </c>
      <c r="G1037" s="8">
        <f t="shared" ref="G1037:G1047" ca="1" si="614">G1036</f>
        <v>366</v>
      </c>
      <c r="H1037" s="8">
        <f t="shared" ca="1" si="592"/>
        <v>31</v>
      </c>
      <c r="I1037" s="8" t="str">
        <f t="shared" ca="1" si="589"/>
        <v>877</v>
      </c>
      <c r="J1037" s="13">
        <f>IF(繳費報酬率資料!$A$1=1,VALUE(OP!$C$121),VLOOKUP(A1037,MP,2,0))</f>
        <v>0.05</v>
      </c>
      <c r="K1037" s="14">
        <f ca="1">IF(SUM($K$4:K1036,IF(繳費報酬率資料!$A$1=1,$AU1037+$AV1037,$BB1037+$BC1037))&gt;OP!$L$58,0,IF(繳費報酬率資料!$A$1=1,$AU1037+$AV1037,$BB1037+$BC1037))</f>
        <v>0</v>
      </c>
      <c r="L1037" s="2"/>
      <c r="M1037" s="2"/>
      <c r="N1037" s="2"/>
      <c r="O1037" s="261">
        <f t="shared" ca="1" si="593"/>
        <v>0</v>
      </c>
      <c r="P1037" s="261">
        <f t="shared" ca="1" si="611"/>
        <v>0</v>
      </c>
      <c r="Q1037" s="3">
        <f ca="1">IF(A1037&gt;MAX(OP!$R$17:$R$26),0,VLOOKUP(A1037,fees,3,FALSE))</f>
        <v>0</v>
      </c>
      <c r="R1037" s="200" t="str">
        <f t="shared" ca="1" si="594"/>
        <v/>
      </c>
      <c r="S1037" s="9" t="str">
        <f ca="1">IF(COUNTIF(($T$4:T1036),"F")&gt;=1,"",IF(OR(C1038&lt;&gt;$C$3,E1037=""),"",A1037))</f>
        <v/>
      </c>
      <c r="T1037" s="20" t="str">
        <f t="shared" ca="1" si="581"/>
        <v/>
      </c>
      <c r="U1037" s="2">
        <f ca="1">IF(IF(OP!$C$83=1,$Z1036,IF(OP!$C$83=2,$AA1036,IF(OP!$C$83=3,$AB1036,)))+$K1037-$O1037-$P1037-$AS1037&lt;OP!$C$142,0,$AS1037)</f>
        <v>0</v>
      </c>
      <c r="V1037" s="9"/>
      <c r="W1037" s="19">
        <f ca="1">MAX(SUM($K$4:K1037),0)</f>
        <v>2000000</v>
      </c>
      <c r="X1037" s="19"/>
      <c r="Y1037" s="19">
        <f t="shared" ca="1" si="612"/>
        <v>1920000</v>
      </c>
      <c r="Z1037" s="2">
        <f ca="1">IF(MIN($Z$4:Z1036)=0,0,MAX(0,($Z1036+$K1037-$O1037-$P1037)*IF(AND(F1037="F",$D$3&lt;&gt;$G$3),((1+(-J1037))^(H1037/MIN(G1037,365))),((1+(-J1037))^(1/12)))-$U1037))</f>
        <v>23110.990076909449</v>
      </c>
      <c r="AA1037" s="2">
        <f ca="1">IF(MIN($AA$4:AA1036)=0,0,MAX(0,($AA1036+$K1037-$O1037-$P1037)*IF(AND(F1037="F",$D$3&lt;&gt;$G$3),((1+$AA$1)^(H1037/MIN(G1037,365))),((1+$AA$1)^(1/12)))-$U1037))</f>
        <v>1920000</v>
      </c>
      <c r="AB1037" s="2">
        <f ca="1">IF(MIN($AB$4:AB1036)=0,0,MAX(0,($AB1036+$K1037-$O1037-$P1037)*IF(AND(F1037="F",$D$3&lt;&gt;$G$3),((1+(J1037))^(H1037/MIN(G1037,365))),((1+(J1037))^(1/12)))-$U1037))</f>
        <v>128561964.05310419</v>
      </c>
      <c r="AC1037" s="5"/>
      <c r="AD1037" s="5"/>
      <c r="AE1037" s="5"/>
      <c r="AF1037" s="282">
        <f t="shared" ca="1" si="595"/>
        <v>23111</v>
      </c>
      <c r="AG1037" s="282">
        <f t="shared" ca="1" si="596"/>
        <v>1920000</v>
      </c>
      <c r="AH1037" s="282">
        <f t="shared" ca="1" si="597"/>
        <v>128561964</v>
      </c>
      <c r="AI1037" s="23" t="str">
        <f t="shared" ca="1" si="613"/>
        <v>87-3</v>
      </c>
      <c r="AJ1037" s="282">
        <f ca="1">IF(E1037&gt;111,,IF(AND(OP!$C$99=1,T1037="F"),Z1037,IF(AND(OP!$C$99=2,COUNTIF($T$4:T1037,"F")=1),OP!$C$97+IF(F1037="F",OP!$C$98,0),"")))</f>
        <v>0</v>
      </c>
      <c r="AK1037" s="282">
        <f ca="1">IF(E1037&gt;111,,IF(AND(OP!$D$99=1,T1037="F"),AA1037,IF(AND(OP!$D$99=2,COUNTIF($T$4:T1037,"F")=1),OP!$D$97+IF(F1037="F",OP!$D$98,0),"")))</f>
        <v>0</v>
      </c>
      <c r="AL1037" s="282">
        <f ca="1">IF(E1037&gt;111,,IF(AND(OP!$E$99=1,T1037="F"),AB1037,IF(AND(OP!$E$99=2,COUNTIF($T$4:T1037,"F")=1),OP!$E$97+IF(F1037="F",OP!$E$98,0),"")))</f>
        <v>0</v>
      </c>
      <c r="AM1037" s="1">
        <f t="shared" ca="1" si="582"/>
        <v>3</v>
      </c>
      <c r="AN1037" s="1" t="e">
        <f ca="1">IF(OR(VLOOKUP($A1037,MP,5,0)="月繳"),1,"")</f>
        <v>#N/A</v>
      </c>
      <c r="AO1037" s="1">
        <f t="shared" ca="1" si="598"/>
        <v>0</v>
      </c>
      <c r="AP1037" s="1" t="str">
        <f ca="1">IF(AND(A1037&lt;=OP!$C$120,COUNTIF(PAY,C1037)=1),1,"")</f>
        <v/>
      </c>
      <c r="AR1037" s="301">
        <f ca="1">IF(繳費報酬率資料!$A$1=1,$AY1037+$AZ1037,$BF1037+$BG1037)</f>
        <v>0</v>
      </c>
      <c r="AS1037" s="1">
        <f ca="1">IF(C1037&lt;&gt;IF($C$3=1,12,$C$3-1),0,IF(繳費報酬率資料!$A$1&lt;&gt;1,VLOOKUP($A1037,MP,8,0),IF(AND($A1037&gt;=OP!$C$79,$A1037&lt;=OP!$C$80),OP!$C$78,)))</f>
        <v>0</v>
      </c>
      <c r="AT1037" s="298">
        <f t="shared" ca="1" si="599"/>
        <v>0</v>
      </c>
      <c r="AU1037" s="298">
        <f ca="1">IF(AND(A1037&lt;=OP!$C$120,COUNTIF(PAY,C1037)=1),OP!$C$123,0)</f>
        <v>0</v>
      </c>
      <c r="AV1037" s="298">
        <f ca="1">IF(AND(A1037&gt;=OP!$C$132,A1037&lt;=OP!$C$133,$C$3=C1037),OP!$C$135,0)</f>
        <v>0</v>
      </c>
      <c r="AW1037" s="180">
        <f t="shared" ca="1" si="600"/>
        <v>0.05</v>
      </c>
      <c r="AX1037" s="180">
        <f t="shared" ca="1" si="601"/>
        <v>0.05</v>
      </c>
      <c r="AY1037" s="286">
        <f t="shared" ca="1" si="602"/>
        <v>0</v>
      </c>
      <c r="AZ1037" s="286">
        <f t="shared" ca="1" si="603"/>
        <v>0</v>
      </c>
      <c r="BA1037" s="286">
        <f t="shared" ca="1" si="604"/>
        <v>0</v>
      </c>
      <c r="BB1037" s="286">
        <f t="shared" ca="1" si="605"/>
        <v>0</v>
      </c>
      <c r="BC1037" s="286">
        <f t="shared" ca="1" si="606"/>
        <v>0</v>
      </c>
      <c r="BD1037" s="180">
        <f t="shared" ca="1" si="607"/>
        <v>0.05</v>
      </c>
      <c r="BE1037" s="180">
        <f t="shared" ca="1" si="608"/>
        <v>0.05</v>
      </c>
      <c r="BF1037" s="286">
        <f t="shared" ca="1" si="609"/>
        <v>0</v>
      </c>
      <c r="BG1037" s="286">
        <f t="shared" ca="1" si="610"/>
        <v>0</v>
      </c>
    </row>
    <row r="1038" spans="1:59">
      <c r="A1038" s="1">
        <f t="shared" ca="1" si="590"/>
        <v>87</v>
      </c>
      <c r="B1038" s="1">
        <f t="shared" ca="1" si="583"/>
        <v>192</v>
      </c>
      <c r="C1038" s="1">
        <f t="shared" ca="1" si="584"/>
        <v>8</v>
      </c>
      <c r="D1038" s="1">
        <f ca="1">MIN($D$3,VLOOKUP(C1038,OP!$S$30:$T$41,2))</f>
        <v>2</v>
      </c>
      <c r="E1038" s="1" t="str">
        <f t="shared" ca="1" si="580"/>
        <v/>
      </c>
      <c r="F1038" s="11" t="str">
        <f t="shared" ca="1" si="591"/>
        <v/>
      </c>
      <c r="G1038" s="8">
        <f t="shared" ca="1" si="614"/>
        <v>366</v>
      </c>
      <c r="H1038" s="8">
        <f t="shared" ca="1" si="592"/>
        <v>31</v>
      </c>
      <c r="I1038" s="8" t="str">
        <f t="shared" ca="1" si="589"/>
        <v>878</v>
      </c>
      <c r="J1038" s="13">
        <f>IF(繳費報酬率資料!$A$1=1,VALUE(OP!$C$121),VLOOKUP(A1038,MP,2,0))</f>
        <v>0.05</v>
      </c>
      <c r="K1038" s="14">
        <f ca="1">IF(SUM($K$4:K1037,IF(繳費報酬率資料!$A$1=1,$AU1038+$AV1038,$BB1038+$BC1038))&gt;OP!$L$58,0,IF(繳費報酬率資料!$A$1=1,$AU1038+$AV1038,$BB1038+$BC1038))</f>
        <v>0</v>
      </c>
      <c r="L1038" s="2"/>
      <c r="M1038" s="2"/>
      <c r="N1038" s="2"/>
      <c r="O1038" s="261">
        <f t="shared" ca="1" si="593"/>
        <v>0</v>
      </c>
      <c r="P1038" s="261">
        <f t="shared" ca="1" si="611"/>
        <v>0</v>
      </c>
      <c r="Q1038" s="3">
        <f ca="1">IF(A1038&gt;MAX(OP!$R$17:$R$26),0,VLOOKUP(A1038,fees,3,FALSE))</f>
        <v>0</v>
      </c>
      <c r="R1038" s="200" t="str">
        <f t="shared" ca="1" si="594"/>
        <v/>
      </c>
      <c r="S1038" s="9" t="str">
        <f ca="1">IF(COUNTIF(($T$4:T1037),"F")&gt;=1,"",IF(OR(C1039&lt;&gt;$C$3,E1038=""),"",A1038))</f>
        <v/>
      </c>
      <c r="T1038" s="20" t="str">
        <f t="shared" ca="1" si="581"/>
        <v/>
      </c>
      <c r="U1038" s="2">
        <f ca="1">IF(IF(OP!$C$83=1,$Z1037,IF(OP!$C$83=2,$AA1037,IF(OP!$C$83=3,$AB1037,)))+$K1038-$O1038-$P1038-$AS1038&lt;OP!$C$142,0,$AS1038)</f>
        <v>0</v>
      </c>
      <c r="V1038" s="9"/>
      <c r="W1038" s="19">
        <f ca="1">MAX(SUM($K$4:K1038),0)</f>
        <v>2000000</v>
      </c>
      <c r="X1038" s="19"/>
      <c r="Y1038" s="19">
        <f t="shared" ca="1" si="612"/>
        <v>1920000</v>
      </c>
      <c r="Z1038" s="2">
        <f ca="1">IF(MIN($Z$4:Z1037)=0,0,MAX(0,($Z1037+$K1038-$O1038-$P1038)*IF(AND(F1038="F",$D$3&lt;&gt;$G$3),((1+(-J1038))^(H1038/MIN(G1038,365))),((1+(-J1038))^(1/12)))-$U1038))</f>
        <v>23012.414336966391</v>
      </c>
      <c r="AA1038" s="2">
        <f ca="1">IF(MIN($AA$4:AA1037)=0,0,MAX(0,($AA1037+$K1038-$O1038-$P1038)*IF(AND(F1038="F",$D$3&lt;&gt;$G$3),((1+$AA$1)^(H1038/MIN(G1038,365))),((1+$AA$1)^(1/12)))-$U1038))</f>
        <v>1920000</v>
      </c>
      <c r="AB1038" s="2">
        <f ca="1">IF(MIN($AB$4:AB1037)=0,0,MAX(0,($AB1037+$K1038-$O1038-$P1038)*IF(AND(F1038="F",$D$3&lt;&gt;$G$3),((1+(J1038))^(H1038/MIN(G1038,365))),((1+(J1038))^(1/12)))-$U1038))</f>
        <v>129085741.40852548</v>
      </c>
      <c r="AC1038" s="5"/>
      <c r="AD1038" s="5"/>
      <c r="AE1038" s="5"/>
      <c r="AF1038" s="282">
        <f t="shared" ca="1" si="595"/>
        <v>23012</v>
      </c>
      <c r="AG1038" s="282">
        <f t="shared" ca="1" si="596"/>
        <v>1920000</v>
      </c>
      <c r="AH1038" s="282">
        <f t="shared" ca="1" si="597"/>
        <v>129085741</v>
      </c>
      <c r="AI1038" s="23" t="str">
        <f t="shared" ca="1" si="613"/>
        <v>87-4</v>
      </c>
      <c r="AJ1038" s="282">
        <f ca="1">IF(E1038&gt;111,,IF(AND(OP!$C$99=1,T1038="F"),Z1038,IF(AND(OP!$C$99=2,COUNTIF($T$4:T1038,"F")=1),OP!$C$97+IF(F1038="F",OP!$C$98,0),"")))</f>
        <v>0</v>
      </c>
      <c r="AK1038" s="282">
        <f ca="1">IF(E1038&gt;111,,IF(AND(OP!$D$99=1,T1038="F"),AA1038,IF(AND(OP!$D$99=2,COUNTIF($T$4:T1038,"F")=1),OP!$D$97+IF(F1038="F",OP!$D$98,0),"")))</f>
        <v>0</v>
      </c>
      <c r="AL1038" s="282">
        <f ca="1">IF(E1038&gt;111,,IF(AND(OP!$E$99=1,T1038="F"),AB1038,IF(AND(OP!$E$99=2,COUNTIF($T$4:T1038,"F")=1),OP!$E$97+IF(F1038="F",OP!$E$98,0),"")))</f>
        <v>0</v>
      </c>
      <c r="AM1038" s="1">
        <f t="shared" ca="1" si="582"/>
        <v>4</v>
      </c>
      <c r="AN1038" s="1" t="e">
        <f ca="1">IF(OR(VLOOKUP($A1038,MP,5,0)="月繳"),1,"")</f>
        <v>#N/A</v>
      </c>
      <c r="AO1038" s="1">
        <f t="shared" ca="1" si="598"/>
        <v>0</v>
      </c>
      <c r="AP1038" s="1" t="str">
        <f ca="1">IF(AND(A1038&lt;=OP!$C$120,COUNTIF(PAY,C1038)=1),1,"")</f>
        <v/>
      </c>
      <c r="AR1038" s="301">
        <f ca="1">IF(繳費報酬率資料!$A$1=1,$AY1038+$AZ1038,$BF1038+$BG1038)</f>
        <v>0</v>
      </c>
      <c r="AS1038" s="1">
        <f ca="1">IF(C1038&lt;&gt;IF($C$3=1,12,$C$3-1),0,IF(繳費報酬率資料!$A$1&lt;&gt;1,VLOOKUP($A1038,MP,8,0),IF(AND($A1038&gt;=OP!$C$79,$A1038&lt;=OP!$C$80),OP!$C$78,)))</f>
        <v>0</v>
      </c>
      <c r="AT1038" s="298">
        <f t="shared" ca="1" si="599"/>
        <v>0</v>
      </c>
      <c r="AU1038" s="298">
        <f ca="1">IF(AND(A1038&lt;=OP!$C$120,COUNTIF(PAY,C1038)=1),OP!$C$123,0)</f>
        <v>0</v>
      </c>
      <c r="AV1038" s="298">
        <f ca="1">IF(AND(A1038&gt;=OP!$C$132,A1038&lt;=OP!$C$133,$C$3=C1038),OP!$C$135,0)</f>
        <v>0</v>
      </c>
      <c r="AW1038" s="180">
        <f t="shared" ca="1" si="600"/>
        <v>0.05</v>
      </c>
      <c r="AX1038" s="180">
        <f t="shared" ca="1" si="601"/>
        <v>0.05</v>
      </c>
      <c r="AY1038" s="286">
        <f t="shared" ca="1" si="602"/>
        <v>0</v>
      </c>
      <c r="AZ1038" s="286">
        <f t="shared" ca="1" si="603"/>
        <v>0</v>
      </c>
      <c r="BA1038" s="286">
        <f t="shared" ca="1" si="604"/>
        <v>0</v>
      </c>
      <c r="BB1038" s="286">
        <f t="shared" ca="1" si="605"/>
        <v>0</v>
      </c>
      <c r="BC1038" s="286">
        <f t="shared" ca="1" si="606"/>
        <v>0</v>
      </c>
      <c r="BD1038" s="180">
        <f t="shared" ca="1" si="607"/>
        <v>0.05</v>
      </c>
      <c r="BE1038" s="180">
        <f t="shared" ca="1" si="608"/>
        <v>0.05</v>
      </c>
      <c r="BF1038" s="286">
        <f t="shared" ca="1" si="609"/>
        <v>0</v>
      </c>
      <c r="BG1038" s="286">
        <f t="shared" ca="1" si="610"/>
        <v>0</v>
      </c>
    </row>
    <row r="1039" spans="1:59">
      <c r="A1039" s="1">
        <f t="shared" ca="1" si="590"/>
        <v>87</v>
      </c>
      <c r="B1039" s="1">
        <f t="shared" ca="1" si="583"/>
        <v>192</v>
      </c>
      <c r="C1039" s="1">
        <f t="shared" ca="1" si="584"/>
        <v>9</v>
      </c>
      <c r="D1039" s="1">
        <f ca="1">MIN($D$3,VLOOKUP(C1039,OP!$S$30:$T$41,2))</f>
        <v>2</v>
      </c>
      <c r="E1039" s="1" t="str">
        <f t="shared" ca="1" si="580"/>
        <v/>
      </c>
      <c r="F1039" s="11" t="str">
        <f t="shared" ca="1" si="591"/>
        <v/>
      </c>
      <c r="G1039" s="8">
        <f t="shared" ca="1" si="614"/>
        <v>366</v>
      </c>
      <c r="H1039" s="8">
        <f t="shared" ca="1" si="592"/>
        <v>30</v>
      </c>
      <c r="I1039" s="8" t="str">
        <f t="shared" ca="1" si="589"/>
        <v>879</v>
      </c>
      <c r="J1039" s="13">
        <f>IF(繳費報酬率資料!$A$1=1,VALUE(OP!$C$121),VLOOKUP(A1039,MP,2,0))</f>
        <v>0.05</v>
      </c>
      <c r="K1039" s="14">
        <f ca="1">IF(SUM($K$4:K1038,IF(繳費報酬率資料!$A$1=1,$AU1039+$AV1039,$BB1039+$BC1039))&gt;OP!$L$58,0,IF(繳費報酬率資料!$A$1=1,$AU1039+$AV1039,$BB1039+$BC1039))</f>
        <v>0</v>
      </c>
      <c r="L1039" s="2"/>
      <c r="M1039" s="2"/>
      <c r="N1039" s="2"/>
      <c r="O1039" s="261">
        <f t="shared" ca="1" si="593"/>
        <v>0</v>
      </c>
      <c r="P1039" s="261">
        <f t="shared" ca="1" si="611"/>
        <v>0</v>
      </c>
      <c r="Q1039" s="3">
        <f ca="1">IF(A1039&gt;MAX(OP!$R$17:$R$26),0,VLOOKUP(A1039,fees,3,FALSE))</f>
        <v>0</v>
      </c>
      <c r="R1039" s="200" t="str">
        <f t="shared" ca="1" si="594"/>
        <v/>
      </c>
      <c r="S1039" s="9" t="str">
        <f ca="1">IF(COUNTIF(($T$4:T1038),"F")&gt;=1,"",IF(OR(C1040&lt;&gt;$C$3,E1039=""),"",A1039))</f>
        <v/>
      </c>
      <c r="T1039" s="20" t="str">
        <f t="shared" ca="1" si="581"/>
        <v/>
      </c>
      <c r="U1039" s="2">
        <f ca="1">IF(IF(OP!$C$83=1,$Z1038,IF(OP!$C$83=2,$AA1038,IF(OP!$C$83=3,$AB1038,)))+$K1039-$O1039-$P1039-$AS1039&lt;OP!$C$142,0,$AS1039)</f>
        <v>0</v>
      </c>
      <c r="V1039" s="9"/>
      <c r="W1039" s="19">
        <f ca="1">MAX(SUM($K$4:K1039),0)</f>
        <v>2000000</v>
      </c>
      <c r="X1039" s="19"/>
      <c r="Y1039" s="19">
        <f t="shared" ca="1" si="612"/>
        <v>1920000</v>
      </c>
      <c r="Z1039" s="2">
        <f ca="1">IF(MIN($Z$4:Z1038)=0,0,MAX(0,($Z1038+$K1039-$O1039-$P1039)*IF(AND(F1039="F",$D$3&lt;&gt;$G$3),((1+(-J1039))^(H1039/MIN(G1039,365))),((1+(-J1039))^(1/12)))-$U1039))</f>
        <v>22914.259053977923</v>
      </c>
      <c r="AA1039" s="2">
        <f ca="1">IF(MIN($AA$4:AA1038)=0,0,MAX(0,($AA1038+$K1039-$O1039-$P1039)*IF(AND(F1039="F",$D$3&lt;&gt;$G$3),((1+$AA$1)^(H1039/MIN(G1039,365))),((1+$AA$1)^(1/12)))-$U1039))</f>
        <v>1920000</v>
      </c>
      <c r="AB1039" s="2">
        <f ca="1">IF(MIN($AB$4:AB1038)=0,0,MAX(0,($AB1038+$K1039-$O1039-$P1039)*IF(AND(F1039="F",$D$3&lt;&gt;$G$3),((1+(J1039))^(H1039/MIN(G1039,365))),((1+(J1039))^(1/12)))-$U1039))</f>
        <v>129611652.69772783</v>
      </c>
      <c r="AC1039" s="5"/>
      <c r="AD1039" s="5"/>
      <c r="AE1039" s="5"/>
      <c r="AF1039" s="282">
        <f t="shared" ca="1" si="595"/>
        <v>22914</v>
      </c>
      <c r="AG1039" s="282">
        <f t="shared" ca="1" si="596"/>
        <v>1920000</v>
      </c>
      <c r="AH1039" s="282">
        <f t="shared" ca="1" si="597"/>
        <v>129611653</v>
      </c>
      <c r="AI1039" s="23" t="str">
        <f t="shared" ca="1" si="613"/>
        <v>87-5</v>
      </c>
      <c r="AJ1039" s="282">
        <f ca="1">IF(E1039&gt;111,,IF(AND(OP!$C$99=1,T1039="F"),Z1039,IF(AND(OP!$C$99=2,COUNTIF($T$4:T1039,"F")=1),OP!$C$97+IF(F1039="F",OP!$C$98,0),"")))</f>
        <v>0</v>
      </c>
      <c r="AK1039" s="282">
        <f ca="1">IF(E1039&gt;111,,IF(AND(OP!$D$99=1,T1039="F"),AA1039,IF(AND(OP!$D$99=2,COUNTIF($T$4:T1039,"F")=1),OP!$D$97+IF(F1039="F",OP!$D$98,0),"")))</f>
        <v>0</v>
      </c>
      <c r="AL1039" s="282">
        <f ca="1">IF(E1039&gt;111,,IF(AND(OP!$E$99=1,T1039="F"),AB1039,IF(AND(OP!$E$99=2,COUNTIF($T$4:T1039,"F")=1),OP!$E$97+IF(F1039="F",OP!$E$98,0),"")))</f>
        <v>0</v>
      </c>
      <c r="AM1039" s="1">
        <f t="shared" ca="1" si="582"/>
        <v>5</v>
      </c>
      <c r="AN1039" s="1" t="e">
        <f ca="1">IF(OR(VLOOKUP($A1039,MP,5,0)="季繳",VLOOKUP($A1039,MP,5,0)="月繳"),1,"")</f>
        <v>#N/A</v>
      </c>
      <c r="AO1039" s="1">
        <f t="shared" ca="1" si="598"/>
        <v>0</v>
      </c>
      <c r="AP1039" s="1" t="str">
        <f ca="1">IF(AND(A1039&lt;=OP!$C$120,COUNTIF(PAY,C1039)=1),1,"")</f>
        <v/>
      </c>
      <c r="AR1039" s="301">
        <f ca="1">IF(繳費報酬率資料!$A$1=1,$AY1039+$AZ1039,$BF1039+$BG1039)</f>
        <v>0</v>
      </c>
      <c r="AS1039" s="1">
        <f ca="1">IF(C1039&lt;&gt;IF($C$3=1,12,$C$3-1),0,IF(繳費報酬率資料!$A$1&lt;&gt;1,VLOOKUP($A1039,MP,8,0),IF(AND($A1039&gt;=OP!$C$79,$A1039&lt;=OP!$C$80),OP!$C$78,)))</f>
        <v>0</v>
      </c>
      <c r="AT1039" s="298">
        <f t="shared" ca="1" si="599"/>
        <v>0</v>
      </c>
      <c r="AU1039" s="298">
        <f ca="1">IF(AND(A1039&lt;=OP!$C$120,COUNTIF(PAY,C1039)=1),OP!$C$123,0)</f>
        <v>0</v>
      </c>
      <c r="AV1039" s="298">
        <f ca="1">IF(AND(A1039&gt;=OP!$C$132,A1039&lt;=OP!$C$133,$C$3=C1039),OP!$C$135,0)</f>
        <v>0</v>
      </c>
      <c r="AW1039" s="180">
        <f t="shared" ca="1" si="600"/>
        <v>0.05</v>
      </c>
      <c r="AX1039" s="180">
        <f t="shared" ca="1" si="601"/>
        <v>0.05</v>
      </c>
      <c r="AY1039" s="286">
        <f t="shared" ca="1" si="602"/>
        <v>0</v>
      </c>
      <c r="AZ1039" s="286">
        <f t="shared" ca="1" si="603"/>
        <v>0</v>
      </c>
      <c r="BA1039" s="286">
        <f t="shared" ca="1" si="604"/>
        <v>0</v>
      </c>
      <c r="BB1039" s="286">
        <f t="shared" ca="1" si="605"/>
        <v>0</v>
      </c>
      <c r="BC1039" s="286">
        <f t="shared" ca="1" si="606"/>
        <v>0</v>
      </c>
      <c r="BD1039" s="180">
        <f t="shared" ca="1" si="607"/>
        <v>0.05</v>
      </c>
      <c r="BE1039" s="180">
        <f t="shared" ca="1" si="608"/>
        <v>0.05</v>
      </c>
      <c r="BF1039" s="286">
        <f t="shared" ca="1" si="609"/>
        <v>0</v>
      </c>
      <c r="BG1039" s="286">
        <f t="shared" ca="1" si="610"/>
        <v>0</v>
      </c>
    </row>
    <row r="1040" spans="1:59">
      <c r="A1040" s="1">
        <f t="shared" ca="1" si="590"/>
        <v>87</v>
      </c>
      <c r="B1040" s="1">
        <f t="shared" ca="1" si="583"/>
        <v>192</v>
      </c>
      <c r="C1040" s="1">
        <f t="shared" ca="1" si="584"/>
        <v>10</v>
      </c>
      <c r="D1040" s="1">
        <f ca="1">MIN($D$3,VLOOKUP(C1040,OP!$S$30:$T$41,2))</f>
        <v>2</v>
      </c>
      <c r="E1040" s="1" t="str">
        <f t="shared" ca="1" si="580"/>
        <v/>
      </c>
      <c r="F1040" s="11" t="str">
        <f t="shared" ca="1" si="591"/>
        <v/>
      </c>
      <c r="G1040" s="8">
        <f t="shared" ca="1" si="614"/>
        <v>366</v>
      </c>
      <c r="H1040" s="8">
        <f t="shared" ca="1" si="592"/>
        <v>31</v>
      </c>
      <c r="I1040" s="8" t="str">
        <f t="shared" ca="1" si="589"/>
        <v>8710</v>
      </c>
      <c r="J1040" s="13">
        <f>IF(繳費報酬率資料!$A$1=1,VALUE(OP!$C$121),VLOOKUP(A1040,MP,2,0))</f>
        <v>0.05</v>
      </c>
      <c r="K1040" s="14">
        <f ca="1">IF(SUM($K$4:K1039,IF(繳費報酬率資料!$A$1=1,$AU1040+$AV1040,$BB1040+$BC1040))&gt;OP!$L$58,0,IF(繳費報酬率資料!$A$1=1,$AU1040+$AV1040,$BB1040+$BC1040))</f>
        <v>0</v>
      </c>
      <c r="L1040" s="2"/>
      <c r="M1040" s="2"/>
      <c r="N1040" s="2"/>
      <c r="O1040" s="261">
        <f t="shared" ca="1" si="593"/>
        <v>0</v>
      </c>
      <c r="P1040" s="261">
        <f t="shared" ca="1" si="611"/>
        <v>0</v>
      </c>
      <c r="Q1040" s="3">
        <f ca="1">IF(A1040&gt;MAX(OP!$R$17:$R$26),0,VLOOKUP(A1040,fees,3,FALSE))</f>
        <v>0</v>
      </c>
      <c r="R1040" s="200" t="str">
        <f t="shared" ca="1" si="594"/>
        <v/>
      </c>
      <c r="S1040" s="9" t="str">
        <f ca="1">IF(COUNTIF(($T$4:T1039),"F")&gt;=1,"",IF(OR(C1041&lt;&gt;$C$3,E1040=""),"",A1040))</f>
        <v/>
      </c>
      <c r="T1040" s="20" t="str">
        <f t="shared" ca="1" si="581"/>
        <v/>
      </c>
      <c r="U1040" s="2">
        <f ca="1">IF(IF(OP!$C$83=1,$Z1039,IF(OP!$C$83=2,$AA1039,IF(OP!$C$83=3,$AB1039,)))+$K1040-$O1040-$P1040-$AS1040&lt;OP!$C$142,0,$AS1040)</f>
        <v>0</v>
      </c>
      <c r="V1040" s="9"/>
      <c r="W1040" s="19">
        <f ca="1">MAX(SUM($K$4:K1040),0)</f>
        <v>2000000</v>
      </c>
      <c r="X1040" s="19"/>
      <c r="Y1040" s="19">
        <f t="shared" ca="1" si="612"/>
        <v>1920000</v>
      </c>
      <c r="Z1040" s="2">
        <f ca="1">IF(MIN($Z$4:Z1039)=0,0,MAX(0,($Z1039+$K1040-$O1040-$P1040)*IF(AND(F1040="F",$D$3&lt;&gt;$G$3),((1+(-J1040))^(H1040/MIN(G1040,365))),((1+(-J1040))^(1/12)))-$U1040))</f>
        <v>22816.522434561102</v>
      </c>
      <c r="AA1040" s="2">
        <f ca="1">IF(MIN($AA$4:AA1039)=0,0,MAX(0,($AA1039+$K1040-$O1040-$P1040)*IF(AND(F1040="F",$D$3&lt;&gt;$G$3),((1+$AA$1)^(H1040/MIN(G1040,365))),((1+$AA$1)^(1/12)))-$U1040))</f>
        <v>1920000</v>
      </c>
      <c r="AB1040" s="2">
        <f ca="1">IF(MIN($AB$4:AB1039)=0,0,MAX(0,($AB1039+$K1040-$O1040-$P1040)*IF(AND(F1040="F",$D$3&lt;&gt;$G$3),((1+(J1040))^(H1040/MIN(G1040,365))),((1+(J1040))^(1/12)))-$U1040))</f>
        <v>130139706.61462161</v>
      </c>
      <c r="AC1040" s="5"/>
      <c r="AD1040" s="5"/>
      <c r="AE1040" s="5"/>
      <c r="AF1040" s="282">
        <f t="shared" ca="1" si="595"/>
        <v>22817</v>
      </c>
      <c r="AG1040" s="282">
        <f t="shared" ca="1" si="596"/>
        <v>1920000</v>
      </c>
      <c r="AH1040" s="282">
        <f t="shared" ca="1" si="597"/>
        <v>130139707</v>
      </c>
      <c r="AI1040" s="23" t="str">
        <f t="shared" ca="1" si="613"/>
        <v>87-6</v>
      </c>
      <c r="AJ1040" s="282">
        <f ca="1">IF(E1040&gt;111,,IF(AND(OP!$C$99=1,T1040="F"),Z1040,IF(AND(OP!$C$99=2,COUNTIF($T$4:T1040,"F")=1),OP!$C$97+IF(F1040="F",OP!$C$98,0),"")))</f>
        <v>0</v>
      </c>
      <c r="AK1040" s="282">
        <f ca="1">IF(E1040&gt;111,,IF(AND(OP!$D$99=1,T1040="F"),AA1040,IF(AND(OP!$D$99=2,COUNTIF($T$4:T1040,"F")=1),OP!$D$97+IF(F1040="F",OP!$D$98,0),"")))</f>
        <v>0</v>
      </c>
      <c r="AL1040" s="282">
        <f ca="1">IF(E1040&gt;111,,IF(AND(OP!$E$99=1,T1040="F"),AB1040,IF(AND(OP!$E$99=2,COUNTIF($T$4:T1040,"F")=1),OP!$E$97+IF(F1040="F",OP!$E$98,0),"")))</f>
        <v>0</v>
      </c>
      <c r="AM1040" s="1">
        <f t="shared" ca="1" si="582"/>
        <v>6</v>
      </c>
      <c r="AN1040" s="1" t="e">
        <f ca="1">IF(OR(VLOOKUP($A1040,MP,5,0)="月繳"),1,"")</f>
        <v>#N/A</v>
      </c>
      <c r="AO1040" s="1">
        <f t="shared" ca="1" si="598"/>
        <v>0</v>
      </c>
      <c r="AP1040" s="1" t="str">
        <f ca="1">IF(AND(A1040&lt;=OP!$C$120,COUNTIF(PAY,C1040)=1),1,"")</f>
        <v/>
      </c>
      <c r="AR1040" s="301">
        <f ca="1">IF(繳費報酬率資料!$A$1=1,$AY1040+$AZ1040,$BF1040+$BG1040)</f>
        <v>0</v>
      </c>
      <c r="AS1040" s="1">
        <f ca="1">IF(C1040&lt;&gt;IF($C$3=1,12,$C$3-1),0,IF(繳費報酬率資料!$A$1&lt;&gt;1,VLOOKUP($A1040,MP,8,0),IF(AND($A1040&gt;=OP!$C$79,$A1040&lt;=OP!$C$80),OP!$C$78,)))</f>
        <v>0</v>
      </c>
      <c r="AT1040" s="298">
        <f t="shared" ca="1" si="599"/>
        <v>0</v>
      </c>
      <c r="AU1040" s="298">
        <f ca="1">IF(AND(A1040&lt;=OP!$C$120,COUNTIF(PAY,C1040)=1),OP!$C$123,0)</f>
        <v>0</v>
      </c>
      <c r="AV1040" s="298">
        <f ca="1">IF(AND(A1040&gt;=OP!$C$132,A1040&lt;=OP!$C$133,$C$3=C1040),OP!$C$135,0)</f>
        <v>0</v>
      </c>
      <c r="AW1040" s="180">
        <f t="shared" ca="1" si="600"/>
        <v>0.05</v>
      </c>
      <c r="AX1040" s="180">
        <f t="shared" ca="1" si="601"/>
        <v>0.05</v>
      </c>
      <c r="AY1040" s="286">
        <f t="shared" ca="1" si="602"/>
        <v>0</v>
      </c>
      <c r="AZ1040" s="286">
        <f t="shared" ca="1" si="603"/>
        <v>0</v>
      </c>
      <c r="BA1040" s="286">
        <f t="shared" ca="1" si="604"/>
        <v>0</v>
      </c>
      <c r="BB1040" s="286">
        <f t="shared" ca="1" si="605"/>
        <v>0</v>
      </c>
      <c r="BC1040" s="286">
        <f t="shared" ca="1" si="606"/>
        <v>0</v>
      </c>
      <c r="BD1040" s="180">
        <f t="shared" ca="1" si="607"/>
        <v>0.05</v>
      </c>
      <c r="BE1040" s="180">
        <f t="shared" ca="1" si="608"/>
        <v>0.05</v>
      </c>
      <c r="BF1040" s="286">
        <f t="shared" ca="1" si="609"/>
        <v>0</v>
      </c>
      <c r="BG1040" s="286">
        <f t="shared" ca="1" si="610"/>
        <v>0</v>
      </c>
    </row>
    <row r="1041" spans="1:59">
      <c r="A1041" s="1">
        <f t="shared" ca="1" si="590"/>
        <v>87</v>
      </c>
      <c r="B1041" s="1">
        <f t="shared" ca="1" si="583"/>
        <v>192</v>
      </c>
      <c r="C1041" s="1">
        <f t="shared" ca="1" si="584"/>
        <v>11</v>
      </c>
      <c r="D1041" s="1">
        <f ca="1">MIN($D$3,VLOOKUP(C1041,OP!$S$30:$T$41,2))</f>
        <v>2</v>
      </c>
      <c r="E1041" s="1" t="str">
        <f t="shared" ca="1" si="580"/>
        <v/>
      </c>
      <c r="F1041" s="11" t="str">
        <f t="shared" ca="1" si="591"/>
        <v/>
      </c>
      <c r="G1041" s="8">
        <f t="shared" ca="1" si="614"/>
        <v>366</v>
      </c>
      <c r="H1041" s="8">
        <f t="shared" ca="1" si="592"/>
        <v>30</v>
      </c>
      <c r="I1041" s="8" t="str">
        <f t="shared" ca="1" si="589"/>
        <v>8711</v>
      </c>
      <c r="J1041" s="13">
        <f>IF(繳費報酬率資料!$A$1=1,VALUE(OP!$C$121),VLOOKUP(A1041,MP,2,0))</f>
        <v>0.05</v>
      </c>
      <c r="K1041" s="14">
        <f ca="1">IF(SUM($K$4:K1040,IF(繳費報酬率資料!$A$1=1,$AU1041+$AV1041,$BB1041+$BC1041))&gt;OP!$L$58,0,IF(繳費報酬率資料!$A$1=1,$AU1041+$AV1041,$BB1041+$BC1041))</f>
        <v>0</v>
      </c>
      <c r="L1041" s="2"/>
      <c r="M1041" s="2"/>
      <c r="N1041" s="2"/>
      <c r="O1041" s="261">
        <f t="shared" ca="1" si="593"/>
        <v>0</v>
      </c>
      <c r="P1041" s="261">
        <f t="shared" ca="1" si="611"/>
        <v>0</v>
      </c>
      <c r="Q1041" s="3">
        <f ca="1">IF(A1041&gt;MAX(OP!$R$17:$R$26),0,VLOOKUP(A1041,fees,3,FALSE))</f>
        <v>0</v>
      </c>
      <c r="R1041" s="200" t="str">
        <f t="shared" ca="1" si="594"/>
        <v/>
      </c>
      <c r="S1041" s="9" t="str">
        <f ca="1">IF(COUNTIF(($T$4:T1040),"F")&gt;=1,"",IF(OR(C1042&lt;&gt;$C$3,E1041=""),"",A1041))</f>
        <v/>
      </c>
      <c r="T1041" s="20" t="str">
        <f t="shared" ca="1" si="581"/>
        <v/>
      </c>
      <c r="U1041" s="2">
        <f ca="1">IF(IF(OP!$C$83=1,$Z1040,IF(OP!$C$83=2,$AA1040,IF(OP!$C$83=3,$AB1040,)))+$K1041-$O1041-$P1041-$AS1041&lt;OP!$C$142,0,$AS1041)</f>
        <v>0</v>
      </c>
      <c r="V1041" s="9"/>
      <c r="W1041" s="19">
        <f ca="1">MAX(SUM($K$4:K1041),0)</f>
        <v>2000000</v>
      </c>
      <c r="X1041" s="19"/>
      <c r="Y1041" s="19">
        <f t="shared" ca="1" si="612"/>
        <v>1920000</v>
      </c>
      <c r="Z1041" s="2">
        <f ca="1">IF(MIN($Z$4:Z1040)=0,0,MAX(0,($Z1040+$K1041-$O1041-$P1041)*IF(AND(F1041="F",$D$3&lt;&gt;$G$3),((1+(-J1041))^(H1041/MIN(G1041,365))),((1+(-J1041))^(1/12)))-$U1041))</f>
        <v>22719.202692982337</v>
      </c>
      <c r="AA1041" s="2">
        <f ca="1">IF(MIN($AA$4:AA1040)=0,0,MAX(0,($AA1040+$K1041-$O1041-$P1041)*IF(AND(F1041="F",$D$3&lt;&gt;$G$3),((1+$AA$1)^(H1041/MIN(G1041,365))),((1+$AA$1)^(1/12)))-$U1041))</f>
        <v>1920000</v>
      </c>
      <c r="AB1041" s="2">
        <f ca="1">IF(MIN($AB$4:AB1040)=0,0,MAX(0,($AB1040+$K1041-$O1041-$P1041)*IF(AND(F1041="F",$D$3&lt;&gt;$G$3),((1+(J1041))^(H1041/MIN(G1041,365))),((1+(J1041))^(1/12)))-$U1041))</f>
        <v>130669911.88853726</v>
      </c>
      <c r="AC1041" s="5"/>
      <c r="AD1041" s="5"/>
      <c r="AE1041" s="5"/>
      <c r="AF1041" s="282">
        <f t="shared" ca="1" si="595"/>
        <v>22719</v>
      </c>
      <c r="AG1041" s="282">
        <f t="shared" ca="1" si="596"/>
        <v>1920000</v>
      </c>
      <c r="AH1041" s="282">
        <f t="shared" ca="1" si="597"/>
        <v>130669912</v>
      </c>
      <c r="AI1041" s="23" t="str">
        <f t="shared" ca="1" si="613"/>
        <v>87-7</v>
      </c>
      <c r="AJ1041" s="282">
        <f ca="1">IF(E1041&gt;111,,IF(AND(OP!$C$99=1,T1041="F"),Z1041,IF(AND(OP!$C$99=2,COUNTIF($T$4:T1041,"F")=1),OP!$C$97+IF(F1041="F",OP!$C$98,0),"")))</f>
        <v>0</v>
      </c>
      <c r="AK1041" s="282">
        <f ca="1">IF(E1041&gt;111,,IF(AND(OP!$D$99=1,T1041="F"),AA1041,IF(AND(OP!$D$99=2,COUNTIF($T$4:T1041,"F")=1),OP!$D$97+IF(F1041="F",OP!$D$98,0),"")))</f>
        <v>0</v>
      </c>
      <c r="AL1041" s="282">
        <f ca="1">IF(E1041&gt;111,,IF(AND(OP!$E$99=1,T1041="F"),AB1041,IF(AND(OP!$E$99=2,COUNTIF($T$4:T1041,"F")=1),OP!$E$97+IF(F1041="F",OP!$E$98,0),"")))</f>
        <v>0</v>
      </c>
      <c r="AM1041" s="1">
        <f t="shared" ca="1" si="582"/>
        <v>7</v>
      </c>
      <c r="AN1041" s="1" t="e">
        <f ca="1">IF(OR(VLOOKUP($A1041,MP,5,0)="月繳"),1,"")</f>
        <v>#N/A</v>
      </c>
      <c r="AO1041" s="1">
        <f t="shared" ca="1" si="598"/>
        <v>0</v>
      </c>
      <c r="AP1041" s="1" t="str">
        <f ca="1">IF(AND(A1041&lt;=OP!$C$120,COUNTIF(PAY,C1041)=1),1,"")</f>
        <v/>
      </c>
      <c r="AR1041" s="301">
        <f ca="1">IF(繳費報酬率資料!$A$1=1,$AY1041+$AZ1041,$BF1041+$BG1041)</f>
        <v>0</v>
      </c>
      <c r="AS1041" s="1">
        <f ca="1">IF(C1041&lt;&gt;IF($C$3=1,12,$C$3-1),0,IF(繳費報酬率資料!$A$1&lt;&gt;1,VLOOKUP($A1041,MP,8,0),IF(AND($A1041&gt;=OP!$C$79,$A1041&lt;=OP!$C$80),OP!$C$78,)))</f>
        <v>0</v>
      </c>
      <c r="AT1041" s="298">
        <f t="shared" ca="1" si="599"/>
        <v>0</v>
      </c>
      <c r="AU1041" s="298">
        <f ca="1">IF(AND(A1041&lt;=OP!$C$120,COUNTIF(PAY,C1041)=1),OP!$C$123,0)</f>
        <v>0</v>
      </c>
      <c r="AV1041" s="298">
        <f ca="1">IF(AND(A1041&gt;=OP!$C$132,A1041&lt;=OP!$C$133,$C$3=C1041),OP!$C$135,0)</f>
        <v>0</v>
      </c>
      <c r="AW1041" s="180">
        <f t="shared" ca="1" si="600"/>
        <v>0.05</v>
      </c>
      <c r="AX1041" s="180">
        <f t="shared" ca="1" si="601"/>
        <v>0.05</v>
      </c>
      <c r="AY1041" s="286">
        <f t="shared" ca="1" si="602"/>
        <v>0</v>
      </c>
      <c r="AZ1041" s="286">
        <f t="shared" ca="1" si="603"/>
        <v>0</v>
      </c>
      <c r="BA1041" s="286">
        <f t="shared" ca="1" si="604"/>
        <v>0</v>
      </c>
      <c r="BB1041" s="286">
        <f t="shared" ca="1" si="605"/>
        <v>0</v>
      </c>
      <c r="BC1041" s="286">
        <f t="shared" ca="1" si="606"/>
        <v>0</v>
      </c>
      <c r="BD1041" s="180">
        <f t="shared" ca="1" si="607"/>
        <v>0.05</v>
      </c>
      <c r="BE1041" s="180">
        <f t="shared" ca="1" si="608"/>
        <v>0.05</v>
      </c>
      <c r="BF1041" s="286">
        <f t="shared" ca="1" si="609"/>
        <v>0</v>
      </c>
      <c r="BG1041" s="286">
        <f t="shared" ca="1" si="610"/>
        <v>0</v>
      </c>
    </row>
    <row r="1042" spans="1:59">
      <c r="A1042" s="1">
        <f t="shared" ca="1" si="590"/>
        <v>87</v>
      </c>
      <c r="B1042" s="1">
        <f t="shared" ca="1" si="583"/>
        <v>192</v>
      </c>
      <c r="C1042" s="1">
        <f t="shared" ca="1" si="584"/>
        <v>12</v>
      </c>
      <c r="D1042" s="1">
        <f ca="1">MIN($D$3,VLOOKUP(C1042,OP!$S$30:$T$41,2))</f>
        <v>2</v>
      </c>
      <c r="E1042" s="1" t="str">
        <f t="shared" ca="1" si="580"/>
        <v/>
      </c>
      <c r="F1042" s="11" t="str">
        <f t="shared" ca="1" si="591"/>
        <v/>
      </c>
      <c r="G1042" s="8">
        <f t="shared" ca="1" si="614"/>
        <v>366</v>
      </c>
      <c r="H1042" s="8">
        <f t="shared" ca="1" si="592"/>
        <v>31</v>
      </c>
      <c r="I1042" s="8" t="str">
        <f t="shared" ca="1" si="589"/>
        <v>8712</v>
      </c>
      <c r="J1042" s="13">
        <f>IF(繳費報酬率資料!$A$1=1,VALUE(OP!$C$121),VLOOKUP(A1042,MP,2,0))</f>
        <v>0.05</v>
      </c>
      <c r="K1042" s="14">
        <f ca="1">IF(SUM($K$4:K1041,IF(繳費報酬率資料!$A$1=1,$AU1042+$AV1042,$BB1042+$BC1042))&gt;OP!$L$58,0,IF(繳費報酬率資料!$A$1=1,$AU1042+$AV1042,$BB1042+$BC1042))</f>
        <v>0</v>
      </c>
      <c r="L1042" s="2"/>
      <c r="M1042" s="2"/>
      <c r="N1042" s="2"/>
      <c r="O1042" s="261">
        <f t="shared" ca="1" si="593"/>
        <v>0</v>
      </c>
      <c r="P1042" s="261">
        <f t="shared" ca="1" si="611"/>
        <v>0</v>
      </c>
      <c r="Q1042" s="3">
        <f ca="1">IF(A1042&gt;MAX(OP!$R$17:$R$26),0,VLOOKUP(A1042,fees,3,FALSE))</f>
        <v>0</v>
      </c>
      <c r="R1042" s="200" t="str">
        <f t="shared" ca="1" si="594"/>
        <v/>
      </c>
      <c r="S1042" s="9" t="str">
        <f ca="1">IF(COUNTIF(($T$4:T1041),"F")&gt;=1,"",IF(OR(C1043&lt;&gt;$C$3,E1042=""),"",A1042))</f>
        <v/>
      </c>
      <c r="T1042" s="20" t="str">
        <f t="shared" ca="1" si="581"/>
        <v/>
      </c>
      <c r="U1042" s="2">
        <f ca="1">IF(IF(OP!$C$83=1,$Z1041,IF(OP!$C$83=2,$AA1041,IF(OP!$C$83=3,$AB1041,)))+$K1042-$O1042-$P1042-$AS1042&lt;OP!$C$142,0,$AS1042)</f>
        <v>0</v>
      </c>
      <c r="V1042" s="9"/>
      <c r="W1042" s="19">
        <f ca="1">MAX(SUM($K$4:K1042),0)</f>
        <v>2000000</v>
      </c>
      <c r="X1042" s="19"/>
      <c r="Y1042" s="19">
        <f t="shared" ca="1" si="612"/>
        <v>1920000</v>
      </c>
      <c r="Z1042" s="2">
        <f ca="1">IF(MIN($Z$4:Z1041)=0,0,MAX(0,($Z1041+$K1042-$O1042-$P1042)*IF(AND(F1042="F",$D$3&lt;&gt;$G$3),((1+(-J1042))^(H1042/MIN(G1042,365))),((1+(-J1042))^(1/12)))-$U1042))</f>
        <v>22622.298051124752</v>
      </c>
      <c r="AA1042" s="2">
        <f ca="1">IF(MIN($AA$4:AA1041)=0,0,MAX(0,($AA1041+$K1042-$O1042-$P1042)*IF(AND(F1042="F",$D$3&lt;&gt;$G$3),((1+$AA$1)^(H1042/MIN(G1042,365))),((1+$AA$1)^(1/12)))-$U1042))</f>
        <v>1920000</v>
      </c>
      <c r="AB1042" s="2">
        <f ca="1">IF(MIN($AB$4:AB1041)=0,0,MAX(0,($AB1041+$K1042-$O1042-$P1042)*IF(AND(F1042="F",$D$3&lt;&gt;$G$3),((1+(J1042))^(H1042/MIN(G1042,365))),((1+(J1042))^(1/12)))-$U1042))</f>
        <v>131202277.28436959</v>
      </c>
      <c r="AC1042" s="5"/>
      <c r="AD1042" s="5"/>
      <c r="AE1042" s="5"/>
      <c r="AF1042" s="282">
        <f t="shared" ca="1" si="595"/>
        <v>22622</v>
      </c>
      <c r="AG1042" s="282">
        <f t="shared" ca="1" si="596"/>
        <v>1920000</v>
      </c>
      <c r="AH1042" s="282">
        <f t="shared" ca="1" si="597"/>
        <v>131202277</v>
      </c>
      <c r="AI1042" s="23" t="str">
        <f t="shared" ca="1" si="613"/>
        <v>87-8</v>
      </c>
      <c r="AJ1042" s="282">
        <f ca="1">IF(E1042&gt;111,,IF(AND(OP!$C$99=1,T1042="F"),Z1042,IF(AND(OP!$C$99=2,COUNTIF($T$4:T1042,"F")=1),OP!$C$97+IF(F1042="F",OP!$C$98,0),"")))</f>
        <v>0</v>
      </c>
      <c r="AK1042" s="282">
        <f ca="1">IF(E1042&gt;111,,IF(AND(OP!$D$99=1,T1042="F"),AA1042,IF(AND(OP!$D$99=2,COUNTIF($T$4:T1042,"F")=1),OP!$D$97+IF(F1042="F",OP!$D$98,0),"")))</f>
        <v>0</v>
      </c>
      <c r="AL1042" s="282">
        <f ca="1">IF(E1042&gt;111,,IF(AND(OP!$E$99=1,T1042="F"),AB1042,IF(AND(OP!$E$99=2,COUNTIF($T$4:T1042,"F")=1),OP!$E$97+IF(F1042="F",OP!$E$98,0),"")))</f>
        <v>0</v>
      </c>
      <c r="AM1042" s="1">
        <f t="shared" ca="1" si="582"/>
        <v>8</v>
      </c>
      <c r="AN1042" s="1" t="e">
        <f ca="1">IF(OR(VLOOKUP($A1042,MP,5,0)="半年繳",VLOOKUP($A1042,MP,5,0)="季繳",VLOOKUP($A1042,MP,5,0)="月繳"),1,"")</f>
        <v>#N/A</v>
      </c>
      <c r="AO1042" s="1">
        <f t="shared" ca="1" si="598"/>
        <v>0</v>
      </c>
      <c r="AP1042" s="1" t="str">
        <f ca="1">IF(AND(A1042&lt;=OP!$C$120,COUNTIF(PAY,C1042)=1),1,"")</f>
        <v/>
      </c>
      <c r="AR1042" s="301">
        <f ca="1">IF(繳費報酬率資料!$A$1=1,$AY1042+$AZ1042,$BF1042+$BG1042)</f>
        <v>0</v>
      </c>
      <c r="AS1042" s="1">
        <f ca="1">IF(C1042&lt;&gt;IF($C$3=1,12,$C$3-1),0,IF(繳費報酬率資料!$A$1&lt;&gt;1,VLOOKUP($A1042,MP,8,0),IF(AND($A1042&gt;=OP!$C$79,$A1042&lt;=OP!$C$80),OP!$C$78,)))</f>
        <v>0</v>
      </c>
      <c r="AT1042" s="298">
        <f t="shared" ca="1" si="599"/>
        <v>0</v>
      </c>
      <c r="AU1042" s="298">
        <f ca="1">IF(AND(A1042&lt;=OP!$C$120,COUNTIF(PAY,C1042)=1),OP!$C$123,0)</f>
        <v>0</v>
      </c>
      <c r="AV1042" s="298">
        <f ca="1">IF(AND(A1042&gt;=OP!$C$132,A1042&lt;=OP!$C$133,$C$3=C1042),OP!$C$135,0)</f>
        <v>0</v>
      </c>
      <c r="AW1042" s="180">
        <f t="shared" ca="1" si="600"/>
        <v>0.05</v>
      </c>
      <c r="AX1042" s="180">
        <f t="shared" ca="1" si="601"/>
        <v>0.05</v>
      </c>
      <c r="AY1042" s="286">
        <f t="shared" ca="1" si="602"/>
        <v>0</v>
      </c>
      <c r="AZ1042" s="286">
        <f t="shared" ca="1" si="603"/>
        <v>0</v>
      </c>
      <c r="BA1042" s="286">
        <f t="shared" ca="1" si="604"/>
        <v>0</v>
      </c>
      <c r="BB1042" s="286">
        <f t="shared" ca="1" si="605"/>
        <v>0</v>
      </c>
      <c r="BC1042" s="286">
        <f t="shared" ca="1" si="606"/>
        <v>0</v>
      </c>
      <c r="BD1042" s="180">
        <f t="shared" ca="1" si="607"/>
        <v>0.05</v>
      </c>
      <c r="BE1042" s="180">
        <f t="shared" ca="1" si="608"/>
        <v>0.05</v>
      </c>
      <c r="BF1042" s="286">
        <f t="shared" ca="1" si="609"/>
        <v>0</v>
      </c>
      <c r="BG1042" s="286">
        <f t="shared" ca="1" si="610"/>
        <v>0</v>
      </c>
    </row>
    <row r="1043" spans="1:59">
      <c r="A1043" s="1">
        <f t="shared" ca="1" si="590"/>
        <v>87</v>
      </c>
      <c r="B1043" s="1">
        <f t="shared" ca="1" si="583"/>
        <v>193</v>
      </c>
      <c r="C1043" s="1">
        <f t="shared" ca="1" si="584"/>
        <v>1</v>
      </c>
      <c r="D1043" s="1">
        <f ca="1">MIN($D$3,VLOOKUP(C1043,OP!$S$30:$T$41,2))</f>
        <v>2</v>
      </c>
      <c r="E1043" s="1" t="str">
        <f t="shared" ca="1" si="580"/>
        <v/>
      </c>
      <c r="F1043" s="11" t="str">
        <f t="shared" ca="1" si="591"/>
        <v/>
      </c>
      <c r="G1043" s="8">
        <f t="shared" ca="1" si="614"/>
        <v>366</v>
      </c>
      <c r="H1043" s="8">
        <f t="shared" ca="1" si="592"/>
        <v>31</v>
      </c>
      <c r="I1043" s="8" t="str">
        <f t="shared" ca="1" si="589"/>
        <v>871</v>
      </c>
      <c r="J1043" s="13">
        <f>IF(繳費報酬率資料!$A$1=1,VALUE(OP!$C$121),VLOOKUP(A1043,MP,2,0))</f>
        <v>0.05</v>
      </c>
      <c r="K1043" s="14">
        <f ca="1">IF(SUM($K$4:K1042,IF(繳費報酬率資料!$A$1=1,$AU1043+$AV1043,$BB1043+$BC1043))&gt;OP!$L$58,0,IF(繳費報酬率資料!$A$1=1,$AU1043+$AV1043,$BB1043+$BC1043))</f>
        <v>0</v>
      </c>
      <c r="L1043" s="2"/>
      <c r="M1043" s="2"/>
      <c r="N1043" s="2"/>
      <c r="O1043" s="261">
        <f t="shared" ca="1" si="593"/>
        <v>0</v>
      </c>
      <c r="P1043" s="261">
        <f t="shared" ca="1" si="611"/>
        <v>0</v>
      </c>
      <c r="Q1043" s="3">
        <f ca="1">IF(A1043&gt;MAX(OP!$R$17:$R$26),0,VLOOKUP(A1043,fees,3,FALSE))</f>
        <v>0</v>
      </c>
      <c r="R1043" s="200" t="str">
        <f t="shared" ca="1" si="594"/>
        <v/>
      </c>
      <c r="S1043" s="9" t="str">
        <f ca="1">IF(COUNTIF(($T$4:T1042),"F")&gt;=1,"",IF(OR(C1044&lt;&gt;$C$3,E1043=""),"",A1043))</f>
        <v/>
      </c>
      <c r="T1043" s="20" t="str">
        <f t="shared" ca="1" si="581"/>
        <v/>
      </c>
      <c r="U1043" s="2">
        <f ca="1">IF(IF(OP!$C$83=1,$Z1042,IF(OP!$C$83=2,$AA1042,IF(OP!$C$83=3,$AB1042,)))+$K1043-$O1043-$P1043-$AS1043&lt;OP!$C$142,0,$AS1043)</f>
        <v>0</v>
      </c>
      <c r="V1043" s="9"/>
      <c r="W1043" s="19">
        <f ca="1">MAX(SUM($K$4:K1043),0)</f>
        <v>2000000</v>
      </c>
      <c r="X1043" s="19"/>
      <c r="Y1043" s="19">
        <f t="shared" ca="1" si="612"/>
        <v>1920000</v>
      </c>
      <c r="Z1043" s="2">
        <f ca="1">IF(MIN($Z$4:Z1042)=0,0,MAX(0,($Z1042+$K1043-$O1043-$P1043)*IF(AND(F1043="F",$D$3&lt;&gt;$G$3),((1+(-J1043))^(H1043/MIN(G1043,365))),((1+(-J1043))^(1/12)))-$U1043))</f>
        <v>22525.806738455714</v>
      </c>
      <c r="AA1043" s="2">
        <f ca="1">IF(MIN($AA$4:AA1042)=0,0,MAX(0,($AA1042+$K1043-$O1043-$P1043)*IF(AND(F1043="F",$D$3&lt;&gt;$G$3),((1+$AA$1)^(H1043/MIN(G1043,365))),((1+$AA$1)^(1/12)))-$U1043))</f>
        <v>1920000</v>
      </c>
      <c r="AB1043" s="2">
        <f ca="1">IF(MIN($AB$4:AB1042)=0,0,MAX(0,($AB1042+$K1043-$O1043-$P1043)*IF(AND(F1043="F",$D$3&lt;&gt;$G$3),((1+(J1043))^(H1043/MIN(G1043,365))),((1+(J1043))^(1/12)))-$U1043))</f>
        <v>131736811.60272266</v>
      </c>
      <c r="AC1043" s="5"/>
      <c r="AD1043" s="5"/>
      <c r="AE1043" s="5"/>
      <c r="AF1043" s="282">
        <f t="shared" ca="1" si="595"/>
        <v>22526</v>
      </c>
      <c r="AG1043" s="282">
        <f t="shared" ca="1" si="596"/>
        <v>1920000</v>
      </c>
      <c r="AH1043" s="282">
        <f t="shared" ca="1" si="597"/>
        <v>131736812</v>
      </c>
      <c r="AI1043" s="23" t="str">
        <f t="shared" ca="1" si="613"/>
        <v>87-9</v>
      </c>
      <c r="AJ1043" s="282">
        <f ca="1">IF(E1043&gt;111,,IF(AND(OP!$C$99=1,T1043="F"),Z1043,IF(AND(OP!$C$99=2,COUNTIF($T$4:T1043,"F")=1),OP!$C$97+IF(F1043="F",OP!$C$98,0),"")))</f>
        <v>0</v>
      </c>
      <c r="AK1043" s="282">
        <f ca="1">IF(E1043&gt;111,,IF(AND(OP!$D$99=1,T1043="F"),AA1043,IF(AND(OP!$D$99=2,COUNTIF($T$4:T1043,"F")=1),OP!$D$97+IF(F1043="F",OP!$D$98,0),"")))</f>
        <v>0</v>
      </c>
      <c r="AL1043" s="282">
        <f ca="1">IF(E1043&gt;111,,IF(AND(OP!$E$99=1,T1043="F"),AB1043,IF(AND(OP!$E$99=2,COUNTIF($T$4:T1043,"F")=1),OP!$E$97+IF(F1043="F",OP!$E$98,0),"")))</f>
        <v>0</v>
      </c>
      <c r="AM1043" s="1">
        <f t="shared" ca="1" si="582"/>
        <v>9</v>
      </c>
      <c r="AN1043" s="1" t="e">
        <f ca="1">IF(OR(VLOOKUP($A1043,MP,5,0)="月繳"),1,"")</f>
        <v>#N/A</v>
      </c>
      <c r="AO1043" s="1">
        <f t="shared" ca="1" si="598"/>
        <v>0</v>
      </c>
      <c r="AP1043" s="1" t="str">
        <f ca="1">IF(AND(A1043&lt;=OP!$C$120,COUNTIF(PAY,C1043)=1),1,"")</f>
        <v/>
      </c>
      <c r="AR1043" s="301">
        <f ca="1">IF(繳費報酬率資料!$A$1=1,$AY1043+$AZ1043,$BF1043+$BG1043)</f>
        <v>0</v>
      </c>
      <c r="AS1043" s="1">
        <f ca="1">IF(C1043&lt;&gt;IF($C$3=1,12,$C$3-1),0,IF(繳費報酬率資料!$A$1&lt;&gt;1,VLOOKUP($A1043,MP,8,0),IF(AND($A1043&gt;=OP!$C$79,$A1043&lt;=OP!$C$80),OP!$C$78,)))</f>
        <v>0</v>
      </c>
      <c r="AT1043" s="298">
        <f t="shared" ca="1" si="599"/>
        <v>0</v>
      </c>
      <c r="AU1043" s="298">
        <f ca="1">IF(AND(A1043&lt;=OP!$C$120,COUNTIF(PAY,C1043)=1),OP!$C$123,0)</f>
        <v>0</v>
      </c>
      <c r="AV1043" s="298">
        <f ca="1">IF(AND(A1043&gt;=OP!$C$132,A1043&lt;=OP!$C$133,$C$3=C1043),OP!$C$135,0)</f>
        <v>0</v>
      </c>
      <c r="AW1043" s="180">
        <f t="shared" ca="1" si="600"/>
        <v>0.05</v>
      </c>
      <c r="AX1043" s="180">
        <f t="shared" ca="1" si="601"/>
        <v>0.05</v>
      </c>
      <c r="AY1043" s="286">
        <f t="shared" ca="1" si="602"/>
        <v>0</v>
      </c>
      <c r="AZ1043" s="286">
        <f t="shared" ca="1" si="603"/>
        <v>0</v>
      </c>
      <c r="BA1043" s="286">
        <f t="shared" ca="1" si="604"/>
        <v>0</v>
      </c>
      <c r="BB1043" s="286">
        <f t="shared" ca="1" si="605"/>
        <v>0</v>
      </c>
      <c r="BC1043" s="286">
        <f t="shared" ca="1" si="606"/>
        <v>0</v>
      </c>
      <c r="BD1043" s="180">
        <f t="shared" ca="1" si="607"/>
        <v>0.05</v>
      </c>
      <c r="BE1043" s="180">
        <f t="shared" ca="1" si="608"/>
        <v>0.05</v>
      </c>
      <c r="BF1043" s="286">
        <f t="shared" ca="1" si="609"/>
        <v>0</v>
      </c>
      <c r="BG1043" s="286">
        <f t="shared" ca="1" si="610"/>
        <v>0</v>
      </c>
    </row>
    <row r="1044" spans="1:59">
      <c r="A1044" s="1">
        <f t="shared" ca="1" si="590"/>
        <v>87</v>
      </c>
      <c r="B1044" s="1">
        <f t="shared" ca="1" si="583"/>
        <v>193</v>
      </c>
      <c r="C1044" s="1">
        <f t="shared" ca="1" si="584"/>
        <v>2</v>
      </c>
      <c r="D1044" s="1">
        <f ca="1">MIN($D$3,VLOOKUP(C1044,OP!$S$30:$T$41,2))</f>
        <v>2</v>
      </c>
      <c r="E1044" s="1" t="str">
        <f t="shared" ca="1" si="580"/>
        <v/>
      </c>
      <c r="F1044" s="11" t="str">
        <f t="shared" ca="1" si="591"/>
        <v/>
      </c>
      <c r="G1044" s="8">
        <f t="shared" ca="1" si="614"/>
        <v>366</v>
      </c>
      <c r="H1044" s="8">
        <f t="shared" ca="1" si="592"/>
        <v>29</v>
      </c>
      <c r="I1044" s="8" t="str">
        <f t="shared" ca="1" si="589"/>
        <v>872</v>
      </c>
      <c r="J1044" s="13">
        <f>IF(繳費報酬率資料!$A$1=1,VALUE(OP!$C$121),VLOOKUP(A1044,MP,2,0))</f>
        <v>0.05</v>
      </c>
      <c r="K1044" s="14">
        <f ca="1">IF(SUM($K$4:K1043,IF(繳費報酬率資料!$A$1=1,$AU1044+$AV1044,$BB1044+$BC1044))&gt;OP!$L$58,0,IF(繳費報酬率資料!$A$1=1,$AU1044+$AV1044,$BB1044+$BC1044))</f>
        <v>0</v>
      </c>
      <c r="L1044" s="2"/>
      <c r="M1044" s="2"/>
      <c r="N1044" s="2"/>
      <c r="O1044" s="261">
        <f t="shared" ca="1" si="593"/>
        <v>0</v>
      </c>
      <c r="P1044" s="261">
        <f t="shared" ca="1" si="611"/>
        <v>0</v>
      </c>
      <c r="Q1044" s="3">
        <f ca="1">IF(A1044&gt;MAX(OP!$R$17:$R$26),0,VLOOKUP(A1044,fees,3,FALSE))</f>
        <v>0</v>
      </c>
      <c r="R1044" s="200" t="str">
        <f t="shared" ca="1" si="594"/>
        <v/>
      </c>
      <c r="S1044" s="9" t="str">
        <f ca="1">IF(COUNTIF(($T$4:T1043),"F")&gt;=1,"",IF(OR(C1045&lt;&gt;$C$3,E1044=""),"",A1044))</f>
        <v/>
      </c>
      <c r="T1044" s="20" t="str">
        <f t="shared" ca="1" si="581"/>
        <v/>
      </c>
      <c r="U1044" s="2">
        <f ca="1">IF(IF(OP!$C$83=1,$Z1043,IF(OP!$C$83=2,$AA1043,IF(OP!$C$83=3,$AB1043,)))+$K1044-$O1044-$P1044-$AS1044&lt;OP!$C$142,0,$AS1044)</f>
        <v>0</v>
      </c>
      <c r="V1044" s="9"/>
      <c r="W1044" s="19">
        <f ca="1">MAX(SUM($K$4:K1044),0)</f>
        <v>2000000</v>
      </c>
      <c r="X1044" s="19"/>
      <c r="Y1044" s="19">
        <f t="shared" ca="1" si="612"/>
        <v>1920000</v>
      </c>
      <c r="Z1044" s="2">
        <f ca="1">IF(MIN($Z$4:Z1043)=0,0,MAX(0,($Z1043+$K1044-$O1044-$P1044)*IF(AND(F1044="F",$D$3&lt;&gt;$G$3),((1+(-J1044))^(H1044/MIN(G1044,365))),((1+(-J1044))^(1/12)))-$U1044))</f>
        <v>22429.726991994477</v>
      </c>
      <c r="AA1044" s="2">
        <f ca="1">IF(MIN($AA$4:AA1043)=0,0,MAX(0,($AA1043+$K1044-$O1044-$P1044)*IF(AND(F1044="F",$D$3&lt;&gt;$G$3),((1+$AA$1)^(H1044/MIN(G1044,365))),((1+$AA$1)^(1/12)))-$U1044))</f>
        <v>1920000</v>
      </c>
      <c r="AB1044" s="2">
        <f ca="1">IF(MIN($AB$4:AB1043)=0,0,MAX(0,($AB1043+$K1044-$O1044-$P1044)*IF(AND(F1044="F",$D$3&lt;&gt;$G$3),((1+(J1044))^(H1044/MIN(G1044,365))),((1+(J1044))^(1/12)))-$U1044))</f>
        <v>132273523.68005532</v>
      </c>
      <c r="AC1044" s="5"/>
      <c r="AD1044" s="5"/>
      <c r="AE1044" s="5"/>
      <c r="AF1044" s="282">
        <f t="shared" ca="1" si="595"/>
        <v>22430</v>
      </c>
      <c r="AG1044" s="282">
        <f t="shared" ca="1" si="596"/>
        <v>1920000</v>
      </c>
      <c r="AH1044" s="282">
        <f t="shared" ca="1" si="597"/>
        <v>132273524</v>
      </c>
      <c r="AI1044" s="23" t="str">
        <f t="shared" ca="1" si="613"/>
        <v>87-10</v>
      </c>
      <c r="AJ1044" s="282">
        <f ca="1">IF(E1044&gt;111,,IF(AND(OP!$C$99=1,T1044="F"),Z1044,IF(AND(OP!$C$99=2,COUNTIF($T$4:T1044,"F")=1),OP!$C$97+IF(F1044="F",OP!$C$98,0),"")))</f>
        <v>0</v>
      </c>
      <c r="AK1044" s="282">
        <f ca="1">IF(E1044&gt;111,,IF(AND(OP!$D$99=1,T1044="F"),AA1044,IF(AND(OP!$D$99=2,COUNTIF($T$4:T1044,"F")=1),OP!$D$97+IF(F1044="F",OP!$D$98,0),"")))</f>
        <v>0</v>
      </c>
      <c r="AL1044" s="282">
        <f ca="1">IF(E1044&gt;111,,IF(AND(OP!$E$99=1,T1044="F"),AB1044,IF(AND(OP!$E$99=2,COUNTIF($T$4:T1044,"F")=1),OP!$E$97+IF(F1044="F",OP!$E$98,0),"")))</f>
        <v>0</v>
      </c>
      <c r="AM1044" s="1">
        <f t="shared" ca="1" si="582"/>
        <v>10</v>
      </c>
      <c r="AN1044" s="1" t="e">
        <f ca="1">IF(OR(VLOOKUP($A1044,MP,5,0)="月繳"),1,"")</f>
        <v>#N/A</v>
      </c>
      <c r="AO1044" s="1">
        <f t="shared" ca="1" si="598"/>
        <v>0</v>
      </c>
      <c r="AP1044" s="1" t="str">
        <f ca="1">IF(AND(A1044&lt;=OP!$C$120,COUNTIF(PAY,C1044)=1),1,"")</f>
        <v/>
      </c>
      <c r="AR1044" s="301">
        <f ca="1">IF(繳費報酬率資料!$A$1=1,$AY1044+$AZ1044,$BF1044+$BG1044)</f>
        <v>0</v>
      </c>
      <c r="AS1044" s="1">
        <f ca="1">IF(C1044&lt;&gt;IF($C$3=1,12,$C$3-1),0,IF(繳費報酬率資料!$A$1&lt;&gt;1,VLOOKUP($A1044,MP,8,0),IF(AND($A1044&gt;=OP!$C$79,$A1044&lt;=OP!$C$80),OP!$C$78,)))</f>
        <v>0</v>
      </c>
      <c r="AT1044" s="298">
        <f t="shared" ca="1" si="599"/>
        <v>0</v>
      </c>
      <c r="AU1044" s="298">
        <f ca="1">IF(AND(A1044&lt;=OP!$C$120,COUNTIF(PAY,C1044)=1),OP!$C$123,0)</f>
        <v>0</v>
      </c>
      <c r="AV1044" s="298">
        <f ca="1">IF(AND(A1044&gt;=OP!$C$132,A1044&lt;=OP!$C$133,$C$3=C1044),OP!$C$135,0)</f>
        <v>0</v>
      </c>
      <c r="AW1044" s="180">
        <f t="shared" ca="1" si="600"/>
        <v>0.05</v>
      </c>
      <c r="AX1044" s="180">
        <f t="shared" ca="1" si="601"/>
        <v>0.05</v>
      </c>
      <c r="AY1044" s="286">
        <f t="shared" ca="1" si="602"/>
        <v>0</v>
      </c>
      <c r="AZ1044" s="286">
        <f t="shared" ca="1" si="603"/>
        <v>0</v>
      </c>
      <c r="BA1044" s="286">
        <f t="shared" ca="1" si="604"/>
        <v>0</v>
      </c>
      <c r="BB1044" s="286">
        <f t="shared" ca="1" si="605"/>
        <v>0</v>
      </c>
      <c r="BC1044" s="286">
        <f t="shared" ca="1" si="606"/>
        <v>0</v>
      </c>
      <c r="BD1044" s="180">
        <f t="shared" ca="1" si="607"/>
        <v>0.05</v>
      </c>
      <c r="BE1044" s="180">
        <f t="shared" ca="1" si="608"/>
        <v>0.05</v>
      </c>
      <c r="BF1044" s="286">
        <f t="shared" ca="1" si="609"/>
        <v>0</v>
      </c>
      <c r="BG1044" s="286">
        <f t="shared" ca="1" si="610"/>
        <v>0</v>
      </c>
    </row>
    <row r="1045" spans="1:59">
      <c r="A1045" s="1">
        <f t="shared" ca="1" si="590"/>
        <v>87</v>
      </c>
      <c r="B1045" s="1">
        <f t="shared" ca="1" si="583"/>
        <v>193</v>
      </c>
      <c r="C1045" s="1">
        <f t="shared" ca="1" si="584"/>
        <v>3</v>
      </c>
      <c r="D1045" s="1">
        <f ca="1">MIN($D$3,VLOOKUP(C1045,OP!$S$30:$T$41,2))</f>
        <v>2</v>
      </c>
      <c r="E1045" s="1" t="str">
        <f t="shared" ca="1" si="580"/>
        <v/>
      </c>
      <c r="F1045" s="11" t="str">
        <f t="shared" ca="1" si="591"/>
        <v/>
      </c>
      <c r="G1045" s="8">
        <f t="shared" ca="1" si="614"/>
        <v>366</v>
      </c>
      <c r="H1045" s="8">
        <f t="shared" ca="1" si="592"/>
        <v>31</v>
      </c>
      <c r="I1045" s="8" t="str">
        <f t="shared" ca="1" si="589"/>
        <v>873</v>
      </c>
      <c r="J1045" s="13">
        <f>IF(繳費報酬率資料!$A$1=1,VALUE(OP!$C$121),VLOOKUP(A1045,MP,2,0))</f>
        <v>0.05</v>
      </c>
      <c r="K1045" s="14">
        <f ca="1">IF(SUM($K$4:K1044,IF(繳費報酬率資料!$A$1=1,$AU1045+$AV1045,$BB1045+$BC1045))&gt;OP!$L$58,0,IF(繳費報酬率資料!$A$1=1,$AU1045+$AV1045,$BB1045+$BC1045))</f>
        <v>0</v>
      </c>
      <c r="L1045" s="2"/>
      <c r="M1045" s="2"/>
      <c r="N1045" s="2"/>
      <c r="O1045" s="261">
        <f t="shared" ca="1" si="593"/>
        <v>0</v>
      </c>
      <c r="P1045" s="261">
        <f t="shared" ca="1" si="611"/>
        <v>0</v>
      </c>
      <c r="Q1045" s="3">
        <f ca="1">IF(A1045&gt;MAX(OP!$R$17:$R$26),0,VLOOKUP(A1045,fees,3,FALSE))</f>
        <v>0</v>
      </c>
      <c r="R1045" s="200" t="str">
        <f t="shared" ca="1" si="594"/>
        <v/>
      </c>
      <c r="S1045" s="9" t="str">
        <f ca="1">IF(COUNTIF(($T$4:T1044),"F")&gt;=1,"",IF(OR(C1046&lt;&gt;$C$3,E1045=""),"",A1045))</f>
        <v/>
      </c>
      <c r="T1045" s="20" t="str">
        <f t="shared" ca="1" si="581"/>
        <v/>
      </c>
      <c r="U1045" s="2">
        <f ca="1">IF(IF(OP!$C$83=1,$Z1044,IF(OP!$C$83=2,$AA1044,IF(OP!$C$83=3,$AB1044,)))+$K1045-$O1045-$P1045-$AS1045&lt;OP!$C$142,0,$AS1045)</f>
        <v>0</v>
      </c>
      <c r="V1045" s="9"/>
      <c r="W1045" s="19">
        <f ca="1">MAX(SUM($K$4:K1045),0)</f>
        <v>2000000</v>
      </c>
      <c r="X1045" s="19"/>
      <c r="Y1045" s="19">
        <f t="shared" ca="1" si="612"/>
        <v>1920000</v>
      </c>
      <c r="Z1045" s="2">
        <f ca="1">IF(MIN($Z$4:Z1044)=0,0,MAX(0,($Z1044+$K1045-$O1045-$P1045)*IF(AND(F1045="F",$D$3&lt;&gt;$G$3),((1+(-J1045))^(H1045/MIN(G1045,365))),((1+(-J1045))^(1/12)))-$U1045))</f>
        <v>22334.057056279966</v>
      </c>
      <c r="AA1045" s="2">
        <f ca="1">IF(MIN($AA$4:AA1044)=0,0,MAX(0,($AA1044+$K1045-$O1045-$P1045)*IF(AND(F1045="F",$D$3&lt;&gt;$G$3),((1+$AA$1)^(H1045/MIN(G1045,365))),((1+$AA$1)^(1/12)))-$U1045))</f>
        <v>1920000</v>
      </c>
      <c r="AB1045" s="2">
        <f ca="1">IF(MIN($AB$4:AB1044)=0,0,MAX(0,($AB1044+$K1045-$O1045-$P1045)*IF(AND(F1045="F",$D$3&lt;&gt;$G$3),((1+(J1045))^(H1045/MIN(G1045,365))),((1+(J1045))^(1/12)))-$U1045))</f>
        <v>132812422.3888272</v>
      </c>
      <c r="AC1045" s="5"/>
      <c r="AD1045" s="5"/>
      <c r="AE1045" s="5"/>
      <c r="AF1045" s="282">
        <f t="shared" ca="1" si="595"/>
        <v>22334</v>
      </c>
      <c r="AG1045" s="282">
        <f t="shared" ca="1" si="596"/>
        <v>1920000</v>
      </c>
      <c r="AH1045" s="282">
        <f t="shared" ca="1" si="597"/>
        <v>132812422</v>
      </c>
      <c r="AI1045" s="23" t="str">
        <f t="shared" ca="1" si="613"/>
        <v>87-11</v>
      </c>
      <c r="AJ1045" s="282">
        <f ca="1">IF(E1045&gt;111,,IF(AND(OP!$C$99=1,T1045="F"),Z1045,IF(AND(OP!$C$99=2,COUNTIF($T$4:T1045,"F")=1),OP!$C$97+IF(F1045="F",OP!$C$98,0),"")))</f>
        <v>0</v>
      </c>
      <c r="AK1045" s="282">
        <f ca="1">IF(E1045&gt;111,,IF(AND(OP!$D$99=1,T1045="F"),AA1045,IF(AND(OP!$D$99=2,COUNTIF($T$4:T1045,"F")=1),OP!$D$97+IF(F1045="F",OP!$D$98,0),"")))</f>
        <v>0</v>
      </c>
      <c r="AL1045" s="282">
        <f ca="1">IF(E1045&gt;111,,IF(AND(OP!$E$99=1,T1045="F"),AB1045,IF(AND(OP!$E$99=2,COUNTIF($T$4:T1045,"F")=1),OP!$E$97+IF(F1045="F",OP!$E$98,0),"")))</f>
        <v>0</v>
      </c>
      <c r="AM1045" s="1">
        <f t="shared" ca="1" si="582"/>
        <v>11</v>
      </c>
      <c r="AN1045" s="1" t="e">
        <f ca="1">IF(OR(VLOOKUP($A1045,MP,5,0)="季繳",VLOOKUP($A1045,MP,5,0)="月繳"),1,"")</f>
        <v>#N/A</v>
      </c>
      <c r="AO1045" s="1">
        <f t="shared" ca="1" si="598"/>
        <v>0</v>
      </c>
      <c r="AP1045" s="1" t="str">
        <f ca="1">IF(AND(A1045&lt;=OP!$C$120,COUNTIF(PAY,C1045)=1),1,"")</f>
        <v/>
      </c>
      <c r="AR1045" s="301">
        <f ca="1">IF(繳費報酬率資料!$A$1=1,$AY1045+$AZ1045,$BF1045+$BG1045)</f>
        <v>0</v>
      </c>
      <c r="AS1045" s="1">
        <f ca="1">IF(C1045&lt;&gt;IF($C$3=1,12,$C$3-1),0,IF(繳費報酬率資料!$A$1&lt;&gt;1,VLOOKUP($A1045,MP,8,0),IF(AND($A1045&gt;=OP!$C$79,$A1045&lt;=OP!$C$80),OP!$C$78,)))</f>
        <v>0</v>
      </c>
      <c r="AT1045" s="298">
        <f t="shared" ca="1" si="599"/>
        <v>0</v>
      </c>
      <c r="AU1045" s="298">
        <f ca="1">IF(AND(A1045&lt;=OP!$C$120,COUNTIF(PAY,C1045)=1),OP!$C$123,0)</f>
        <v>0</v>
      </c>
      <c r="AV1045" s="298">
        <f ca="1">IF(AND(A1045&gt;=OP!$C$132,A1045&lt;=OP!$C$133,$C$3=C1045),OP!$C$135,0)</f>
        <v>0</v>
      </c>
      <c r="AW1045" s="180">
        <f t="shared" ca="1" si="600"/>
        <v>0.05</v>
      </c>
      <c r="AX1045" s="180">
        <f t="shared" ca="1" si="601"/>
        <v>0.05</v>
      </c>
      <c r="AY1045" s="286">
        <f t="shared" ca="1" si="602"/>
        <v>0</v>
      </c>
      <c r="AZ1045" s="286">
        <f t="shared" ca="1" si="603"/>
        <v>0</v>
      </c>
      <c r="BA1045" s="286">
        <f t="shared" ca="1" si="604"/>
        <v>0</v>
      </c>
      <c r="BB1045" s="286">
        <f t="shared" ca="1" si="605"/>
        <v>0</v>
      </c>
      <c r="BC1045" s="286">
        <f t="shared" ca="1" si="606"/>
        <v>0</v>
      </c>
      <c r="BD1045" s="180">
        <f t="shared" ca="1" si="607"/>
        <v>0.05</v>
      </c>
      <c r="BE1045" s="180">
        <f t="shared" ca="1" si="608"/>
        <v>0.05</v>
      </c>
      <c r="BF1045" s="286">
        <f t="shared" ca="1" si="609"/>
        <v>0</v>
      </c>
      <c r="BG1045" s="286">
        <f t="shared" ca="1" si="610"/>
        <v>0</v>
      </c>
    </row>
    <row r="1046" spans="1:59">
      <c r="A1046" s="1">
        <f t="shared" ca="1" si="590"/>
        <v>87</v>
      </c>
      <c r="B1046" s="1">
        <f t="shared" ca="1" si="583"/>
        <v>193</v>
      </c>
      <c r="C1046" s="1">
        <f t="shared" ca="1" si="584"/>
        <v>4</v>
      </c>
      <c r="D1046" s="1">
        <f ca="1">MIN($D$3,VLOOKUP(C1046,OP!$S$30:$T$41,2))</f>
        <v>2</v>
      </c>
      <c r="E1046" s="1" t="str">
        <f t="shared" ca="1" si="580"/>
        <v/>
      </c>
      <c r="F1046" s="11" t="str">
        <f t="shared" ca="1" si="591"/>
        <v/>
      </c>
      <c r="G1046" s="8">
        <f t="shared" ca="1" si="614"/>
        <v>366</v>
      </c>
      <c r="H1046" s="8">
        <f t="shared" ca="1" si="592"/>
        <v>30</v>
      </c>
      <c r="I1046" s="8" t="str">
        <f t="shared" ca="1" si="589"/>
        <v>874</v>
      </c>
      <c r="J1046" s="13">
        <f>IF(繳費報酬率資料!$A$1=1,VALUE(OP!$C$121),VLOOKUP(A1046,MP,2,0))</f>
        <v>0.05</v>
      </c>
      <c r="K1046" s="14">
        <f ca="1">IF(SUM($K$4:K1045,IF(繳費報酬率資料!$A$1=1,$AU1046+$AV1046,$BB1046+$BC1046))&gt;OP!$L$58,0,IF(繳費報酬率資料!$A$1=1,$AU1046+$AV1046,$BB1046+$BC1046))</f>
        <v>0</v>
      </c>
      <c r="L1046" s="2"/>
      <c r="M1046" s="2"/>
      <c r="N1046" s="2"/>
      <c r="O1046" s="261">
        <f t="shared" ca="1" si="593"/>
        <v>0</v>
      </c>
      <c r="P1046" s="261">
        <f t="shared" ca="1" si="611"/>
        <v>0</v>
      </c>
      <c r="Q1046" s="3">
        <f ca="1">IF(A1046&gt;MAX(OP!$R$17:$R$26),0,VLOOKUP(A1046,fees,3,FALSE))</f>
        <v>0</v>
      </c>
      <c r="R1046" s="200" t="str">
        <f t="shared" ca="1" si="594"/>
        <v/>
      </c>
      <c r="S1046" s="9" t="str">
        <f ca="1">IF(COUNTIF(($T$4:T1045),"F")&gt;=1,"",IF(OR(C1047&lt;&gt;$C$3,E1046=""),"",A1046))</f>
        <v/>
      </c>
      <c r="T1046" s="20" t="str">
        <f t="shared" ca="1" si="581"/>
        <v/>
      </c>
      <c r="U1046" s="2">
        <f ca="1">IF(IF(OP!$C$83=1,$Z1045,IF(OP!$C$83=2,$AA1045,IF(OP!$C$83=3,$AB1045,)))+$K1046-$O1046-$P1046-$AS1046&lt;OP!$C$142,0,$AS1046)</f>
        <v>0</v>
      </c>
      <c r="V1046" s="9"/>
      <c r="W1046" s="19">
        <f ca="1">MAX(SUM($K$4:K1046),0)</f>
        <v>2000000</v>
      </c>
      <c r="X1046" s="19"/>
      <c r="Y1046" s="19">
        <f t="shared" ca="1" si="612"/>
        <v>1920000</v>
      </c>
      <c r="Z1046" s="2">
        <f ca="1">IF(MIN($Z$4:Z1045)=0,0,MAX(0,($Z1045+$K1046-$O1046-$P1046)*IF(AND(F1046="F",$D$3&lt;&gt;$G$3),((1+(-J1046))^(H1046/MIN(G1046,365))),((1+(-J1046))^(1/12)))-$U1046))</f>
        <v>22238.795183338705</v>
      </c>
      <c r="AA1046" s="2">
        <f ca="1">IF(MIN($AA$4:AA1045)=0,0,MAX(0,($AA1045+$K1046-$O1046-$P1046)*IF(AND(F1046="F",$D$3&lt;&gt;$G$3),((1+$AA$1)^(H1046/MIN(G1046,365))),((1+$AA$1)^(1/12)))-$U1046))</f>
        <v>1920000</v>
      </c>
      <c r="AB1046" s="2">
        <f ca="1">IF(MIN($AB$4:AB1045)=0,0,MAX(0,($AB1045+$K1046-$O1046-$P1046)*IF(AND(F1046="F",$D$3&lt;&gt;$G$3),((1+(J1046))^(H1046/MIN(G1046,365))),((1+(J1046))^(1/12)))-$U1046))</f>
        <v>133353516.63764548</v>
      </c>
      <c r="AC1046" s="5"/>
      <c r="AD1046" s="5"/>
      <c r="AE1046" s="5"/>
      <c r="AF1046" s="282">
        <f t="shared" ca="1" si="595"/>
        <v>22239</v>
      </c>
      <c r="AG1046" s="282">
        <f t="shared" ca="1" si="596"/>
        <v>1920000</v>
      </c>
      <c r="AH1046" s="282">
        <f t="shared" ca="1" si="597"/>
        <v>133353517</v>
      </c>
      <c r="AI1046" s="23" t="str">
        <f t="shared" ca="1" si="613"/>
        <v>87-12</v>
      </c>
      <c r="AJ1046" s="282">
        <f ca="1">IF(E1046&gt;111,,IF(AND(OP!$C$99=1,T1046="F"),Z1046,IF(AND(OP!$C$99=2,COUNTIF($T$4:T1046,"F")=1),OP!$C$97+IF(F1046="F",OP!$C$98,0),"")))</f>
        <v>0</v>
      </c>
      <c r="AK1046" s="282">
        <f ca="1">IF(E1046&gt;111,,IF(AND(OP!$D$99=1,T1046="F"),AA1046,IF(AND(OP!$D$99=2,COUNTIF($T$4:T1046,"F")=1),OP!$D$97+IF(F1046="F",OP!$D$98,0),"")))</f>
        <v>0</v>
      </c>
      <c r="AL1046" s="282">
        <f ca="1">IF(E1046&gt;111,,IF(AND(OP!$E$99=1,T1046="F"),AB1046,IF(AND(OP!$E$99=2,COUNTIF($T$4:T1046,"F")=1),OP!$E$97+IF(F1046="F",OP!$E$98,0),"")))</f>
        <v>0</v>
      </c>
      <c r="AM1046" s="1">
        <f t="shared" ca="1" si="582"/>
        <v>12</v>
      </c>
      <c r="AN1046" s="1" t="e">
        <f ca="1">IF(OR(VLOOKUP($A1046,MP,5,0)="月繳"),1,"")</f>
        <v>#N/A</v>
      </c>
      <c r="AO1046" s="1">
        <f t="shared" ca="1" si="598"/>
        <v>0</v>
      </c>
      <c r="AP1046" s="1" t="str">
        <f ca="1">IF(AND(A1046&lt;=OP!$C$120,COUNTIF(PAY,C1046)=1),1,"")</f>
        <v/>
      </c>
      <c r="AR1046" s="301">
        <f ca="1">IF(繳費報酬率資料!$A$1=1,$AY1046+$AZ1046,$BF1046+$BG1046)</f>
        <v>0</v>
      </c>
      <c r="AS1046" s="1">
        <f ca="1">IF(C1046&lt;&gt;IF($C$3=1,12,$C$3-1),0,IF(繳費報酬率資料!$A$1&lt;&gt;1,VLOOKUP($A1046,MP,8,0),IF(AND($A1046&gt;=OP!$C$79,$A1046&lt;=OP!$C$80),OP!$C$78,)))</f>
        <v>0</v>
      </c>
      <c r="AT1046" s="298">
        <f t="shared" ca="1" si="599"/>
        <v>0</v>
      </c>
      <c r="AU1046" s="298">
        <f ca="1">IF(AND(A1046&lt;=OP!$C$120,COUNTIF(PAY,C1046)=1),OP!$C$123,0)</f>
        <v>0</v>
      </c>
      <c r="AV1046" s="298">
        <f ca="1">IF(AND(A1046&gt;=OP!$C$132,A1046&lt;=OP!$C$133,$C$3=C1046),OP!$C$135,0)</f>
        <v>0</v>
      </c>
      <c r="AW1046" s="180">
        <f t="shared" ca="1" si="600"/>
        <v>0.05</v>
      </c>
      <c r="AX1046" s="180">
        <f t="shared" ca="1" si="601"/>
        <v>0.05</v>
      </c>
      <c r="AY1046" s="286">
        <f t="shared" ca="1" si="602"/>
        <v>0</v>
      </c>
      <c r="AZ1046" s="286">
        <f t="shared" ca="1" si="603"/>
        <v>0</v>
      </c>
      <c r="BA1046" s="286">
        <f t="shared" ca="1" si="604"/>
        <v>0</v>
      </c>
      <c r="BB1046" s="286">
        <f t="shared" ca="1" si="605"/>
        <v>0</v>
      </c>
      <c r="BC1046" s="286">
        <f t="shared" ca="1" si="606"/>
        <v>0</v>
      </c>
      <c r="BD1046" s="180">
        <f t="shared" ca="1" si="607"/>
        <v>0.05</v>
      </c>
      <c r="BE1046" s="180">
        <f t="shared" ca="1" si="608"/>
        <v>0.05</v>
      </c>
      <c r="BF1046" s="286">
        <f t="shared" ca="1" si="609"/>
        <v>0</v>
      </c>
      <c r="BG1046" s="286">
        <f t="shared" ca="1" si="610"/>
        <v>0</v>
      </c>
    </row>
    <row r="1047" spans="1:59">
      <c r="A1047" s="1">
        <f t="shared" ca="1" si="590"/>
        <v>87</v>
      </c>
      <c r="B1047" s="1">
        <f t="shared" ca="1" si="583"/>
        <v>193</v>
      </c>
      <c r="C1047" s="1">
        <f t="shared" ca="1" si="584"/>
        <v>5</v>
      </c>
      <c r="D1047" s="1">
        <f ca="1">MIN($D$3,VLOOKUP(C1047,OP!$S$30:$T$41,2))</f>
        <v>2</v>
      </c>
      <c r="E1047" s="1" t="str">
        <f t="shared" ca="1" si="580"/>
        <v/>
      </c>
      <c r="F1047" s="11" t="str">
        <f t="shared" ca="1" si="591"/>
        <v/>
      </c>
      <c r="G1047" s="8">
        <f t="shared" ca="1" si="614"/>
        <v>366</v>
      </c>
      <c r="H1047" s="8">
        <f t="shared" ca="1" si="592"/>
        <v>31</v>
      </c>
      <c r="I1047" s="8" t="str">
        <f t="shared" ca="1" si="589"/>
        <v>875</v>
      </c>
      <c r="J1047" s="13">
        <f>IF(繳費報酬率資料!$A$1=1,VALUE(OP!$C$121),VLOOKUP(A1047,MP,2,0))</f>
        <v>0.05</v>
      </c>
      <c r="K1047" s="14">
        <f ca="1">IF(SUM($K$4:K1046,IF(繳費報酬率資料!$A$1=1,$AU1047+$AV1047,$BB1047+$BC1047))&gt;OP!$L$58,0,IF(繳費報酬率資料!$A$1=1,$AU1047+$AV1047,$BB1047+$BC1047))</f>
        <v>0</v>
      </c>
      <c r="L1047" s="2">
        <f ca="1">ROUND(IF(OP!$C$78&lt;(IF(OR($T1047="F",$E1047&gt;=111),0,Z1046+$K1047-$O1047+IF($C$1=1,OP!$C$78,IF($C1048=$C$3,SUM(AC1036:AC1047,0)))))*5%,0,(OP!$C$78-((IF(OR($T1047="F",$E1047&gt;=111),0,Z1046+$K1047-$O1047+IF($C$1=1,AC1047,IF($C1048=$C$3,SUM(AC1036:AC1047,0)))))*5%))*$Q1047),0)</f>
        <v>0</v>
      </c>
      <c r="M1047" s="2">
        <f ca="1">ROUND(IF(OP!$C$78&lt;(IF(OR($T1047="F",$E1047&gt;=111),0,AA1046+$K1047-$O1047+IF($C$1=1,AD1047,IF($C1048=$C$3,SUM(AD1036:AD1047,0)))))*5%,0,(OP!$C$78-((IF(OR($T1047="F",$E1047&gt;=111),0,AA1046+$K1047-$O1047+IF($C$1=1,AD1047,IF($C1048=$C$3,SUM(AD1036:AD1047,0)))))*5%))*$Q1047),0)</f>
        <v>0</v>
      </c>
      <c r="N1047" s="2">
        <f ca="1">ROUND(IF(OP!$C$78&lt;(IF(OR($T1047="F",$E1047&gt;=111),0,AB1046+$K1047-$O1047+IF($C$1=1,AE1047,IF($C1048=$C$3,SUM(AE1036:AE1047,0)))))*5%,0,(OP!$C$78-((IF(OR($T1047="F",$E1047&gt;=111),0,AB1046+$K1047-$O1047+IF($C$1=1,AE1047,IF($C1048=$C$3,SUM(AE1036:AE1047,0)))))*5%))*$Q1047),0)</f>
        <v>0</v>
      </c>
      <c r="O1047" s="261">
        <f t="shared" ca="1" si="593"/>
        <v>0</v>
      </c>
      <c r="P1047" s="261">
        <f t="shared" ca="1" si="611"/>
        <v>0</v>
      </c>
      <c r="Q1047" s="3">
        <f ca="1">IF(A1047&gt;MAX(OP!$R$17:$R$26),0,VLOOKUP(A1047,fees,3,FALSE))</f>
        <v>0</v>
      </c>
      <c r="R1047" s="200" t="str">
        <f t="shared" ca="1" si="594"/>
        <v/>
      </c>
      <c r="S1047" s="9" t="str">
        <f ca="1">IF(COUNTIF(($T$4:T1046),"F")&gt;=1,"",IF(OR(C1048&lt;&gt;$C$3,E1047=""),"",A1047))</f>
        <v/>
      </c>
      <c r="T1047" s="20" t="str">
        <f t="shared" ca="1" si="581"/>
        <v/>
      </c>
      <c r="U1047" s="2">
        <f ca="1">IF(IF(OP!$C$83=1,$Z1046,IF(OP!$C$83=2,$AA1046,IF(OP!$C$83=3,$AB1046,)))+$K1047-$O1047-$P1047-$AS1047&lt;OP!$C$142,0,$AS1047)</f>
        <v>0</v>
      </c>
      <c r="V1047" s="19">
        <f ca="1">SUM(K1036:K1047)</f>
        <v>0</v>
      </c>
      <c r="W1047" s="19">
        <f ca="1">MAX(SUM($K$4:K1047),0)</f>
        <v>2000000</v>
      </c>
      <c r="X1047" s="19">
        <f ca="1">SUM(O1036:P1047)</f>
        <v>0</v>
      </c>
      <c r="Y1047" s="19">
        <f t="shared" ca="1" si="612"/>
        <v>1920000</v>
      </c>
      <c r="Z1047" s="2">
        <f ca="1">IF(MIN($Z$4:Z1046)=0,0,MAX(0,($Z1046+$K1047-$O1047-$P1047)*IF(AND(F1047="F",$D$3&lt;&gt;$G$3),((1+(-J1047))^(H1047/MIN(G1047,365))),((1+(-J1047))^(1/12)))-$U1047))</f>
        <v>22143.939632652884</v>
      </c>
      <c r="AA1047" s="2">
        <f ca="1">IF(MIN($AA$4:AA1046)=0,0,MAX(0,($AA1046+$K1047-$O1047-$P1047)*IF(AND(F1047="F",$D$3&lt;&gt;$G$3),((1+$AA$1)^(H1047/MIN(G1047,365))),((1+$AA$1)^(1/12)))-$U1047))</f>
        <v>1920000</v>
      </c>
      <c r="AB1047" s="2">
        <f ca="1">IF(MIN($AB$4:AB1046)=0,0,MAX(0,($AB1046+$K1047-$O1047-$P1047)*IF(AND(F1047="F",$D$3&lt;&gt;$G$3),((1+(J1047))^(H1047/MIN(G1047,365))),((1+(J1047))^(1/12)))-$U1047))</f>
        <v>133896815.37141205</v>
      </c>
      <c r="AC1047" s="5"/>
      <c r="AD1047" s="5"/>
      <c r="AE1047" s="5"/>
      <c r="AF1047" s="282">
        <f t="shared" ca="1" si="595"/>
        <v>22144</v>
      </c>
      <c r="AG1047" s="282">
        <f t="shared" ca="1" si="596"/>
        <v>1920000</v>
      </c>
      <c r="AH1047" s="282">
        <f t="shared" ca="1" si="597"/>
        <v>133896815</v>
      </c>
      <c r="AI1047" s="23" t="str">
        <f t="shared" ca="1" si="613"/>
        <v>88-1</v>
      </c>
      <c r="AJ1047" s="282">
        <f ca="1">IF(E1047&gt;111,,IF(AND(OP!$C$99=1,T1047="F"),Z1047,IF(AND(OP!$C$99=2,COUNTIF($T$4:T1047,"F")=1),OP!$C$97+IF(F1047="F",OP!$C$98,0),"")))</f>
        <v>0</v>
      </c>
      <c r="AK1047" s="282">
        <f ca="1">IF(E1047&gt;111,,IF(AND(OP!$D$99=1,T1047="F"),AA1047,IF(AND(OP!$D$99=2,COUNTIF($T$4:T1047,"F")=1),OP!$D$97+IF(F1047="F",OP!$D$98,0),"")))</f>
        <v>0</v>
      </c>
      <c r="AL1047" s="282">
        <f ca="1">IF(E1047&gt;111,,IF(AND(OP!$E$99=1,T1047="F"),AB1047,IF(AND(OP!$E$99=2,COUNTIF($T$4:T1047,"F")=1),OP!$E$97+IF(F1047="F",OP!$E$98,0),"")))</f>
        <v>0</v>
      </c>
      <c r="AM1047" s="1">
        <f t="shared" ca="1" si="582"/>
        <v>1</v>
      </c>
      <c r="AN1047" s="1" t="e">
        <f ca="1">IF(OR(VLOOKUP($A1047,MP,5,0)="月繳"),1,"")</f>
        <v>#N/A</v>
      </c>
      <c r="AO1047" s="1">
        <f t="shared" ca="1" si="598"/>
        <v>0</v>
      </c>
      <c r="AP1047" s="1" t="str">
        <f ca="1">IF(AND(A1047&lt;=OP!$C$120,COUNTIF(PAY,C1047)=1),1,"")</f>
        <v/>
      </c>
      <c r="AR1047" s="301">
        <f ca="1">IF(繳費報酬率資料!$A$1=1,$AY1047+$AZ1047,$BF1047+$BG1047)</f>
        <v>0</v>
      </c>
      <c r="AS1047" s="1">
        <f ca="1">IF(C1047&lt;&gt;IF($C$3=1,12,$C$3-1),0,IF(繳費報酬率資料!$A$1&lt;&gt;1,VLOOKUP($A1047,MP,8,0),IF(AND($A1047&gt;=OP!$C$79,$A1047&lt;=OP!$C$80),OP!$C$78,)))</f>
        <v>0</v>
      </c>
      <c r="AT1047" s="298">
        <f t="shared" ca="1" si="599"/>
        <v>0</v>
      </c>
      <c r="AU1047" s="298">
        <f ca="1">IF(AND(A1047&lt;=OP!$C$120,COUNTIF(PAY,C1047)=1),OP!$C$123,0)</f>
        <v>0</v>
      </c>
      <c r="AV1047" s="298">
        <f ca="1">IF(AND(A1047&gt;=OP!$C$132,A1047&lt;=OP!$C$133,$C$3=C1047),OP!$C$135,0)</f>
        <v>0</v>
      </c>
      <c r="AW1047" s="180">
        <f t="shared" ca="1" si="600"/>
        <v>0.05</v>
      </c>
      <c r="AX1047" s="180">
        <f t="shared" ca="1" si="601"/>
        <v>0.05</v>
      </c>
      <c r="AY1047" s="286">
        <f t="shared" ca="1" si="602"/>
        <v>0</v>
      </c>
      <c r="AZ1047" s="286">
        <f t="shared" ca="1" si="603"/>
        <v>0</v>
      </c>
      <c r="BA1047" s="286">
        <f t="shared" ca="1" si="604"/>
        <v>0</v>
      </c>
      <c r="BB1047" s="286">
        <f t="shared" ca="1" si="605"/>
        <v>0</v>
      </c>
      <c r="BC1047" s="286">
        <f t="shared" ca="1" si="606"/>
        <v>0</v>
      </c>
      <c r="BD1047" s="180">
        <f t="shared" ca="1" si="607"/>
        <v>0.05</v>
      </c>
      <c r="BE1047" s="180">
        <f t="shared" ca="1" si="608"/>
        <v>0.05</v>
      </c>
      <c r="BF1047" s="286">
        <f t="shared" ca="1" si="609"/>
        <v>0</v>
      </c>
      <c r="BG1047" s="286">
        <f t="shared" ca="1" si="610"/>
        <v>0</v>
      </c>
    </row>
    <row r="1048" spans="1:59">
      <c r="A1048" s="1">
        <f t="shared" ca="1" si="590"/>
        <v>88</v>
      </c>
      <c r="B1048" s="1">
        <f t="shared" ca="1" si="583"/>
        <v>193</v>
      </c>
      <c r="C1048" s="1">
        <f t="shared" ca="1" si="584"/>
        <v>6</v>
      </c>
      <c r="D1048" s="1">
        <f ca="1">MIN($D$3,VLOOKUP(C1048,OP!$S$30:$T$41,2))</f>
        <v>2</v>
      </c>
      <c r="E1048" s="1" t="str">
        <f t="shared" ca="1" si="580"/>
        <v/>
      </c>
      <c r="F1048" s="11" t="str">
        <f t="shared" ca="1" si="591"/>
        <v/>
      </c>
      <c r="G1048" s="6">
        <f ca="1">DATEDIF(DATE(B1048+1911,C1048,D1048),DATE(B1060+1911,C1060,D1060),"d")</f>
        <v>365</v>
      </c>
      <c r="H1048" s="8">
        <f t="shared" ca="1" si="592"/>
        <v>30</v>
      </c>
      <c r="I1048" s="8" t="str">
        <f t="shared" ca="1" si="589"/>
        <v>886</v>
      </c>
      <c r="J1048" s="13">
        <f>IF(繳費報酬率資料!$A$1=1,VALUE(OP!$C$121),VLOOKUP(A1048,MP,2,0))</f>
        <v>0.05</v>
      </c>
      <c r="K1048" s="14">
        <f ca="1">IF(SUM($K$4:K1047,IF(繳費報酬率資料!$A$1=1,$AU1048+$AV1048,$BB1048+$BC1048))&gt;OP!$L$58,0,IF(繳費報酬率資料!$A$1=1,$AU1048+$AV1048,$BB1048+$BC1048))</f>
        <v>0</v>
      </c>
      <c r="L1048" s="2"/>
      <c r="M1048" s="2"/>
      <c r="N1048" s="2"/>
      <c r="O1048" s="261">
        <f t="shared" ca="1" si="593"/>
        <v>0</v>
      </c>
      <c r="P1048" s="261">
        <f t="shared" ca="1" si="611"/>
        <v>0</v>
      </c>
      <c r="Q1048" s="3">
        <f ca="1">IF(A1048&gt;MAX(OP!$R$17:$R$26),0,VLOOKUP(A1048,fees,3,FALSE))</f>
        <v>0</v>
      </c>
      <c r="R1048" s="200" t="str">
        <f t="shared" ca="1" si="594"/>
        <v/>
      </c>
      <c r="S1048" s="9" t="str">
        <f ca="1">IF(COUNTIF(($T$4:T1047),"F")&gt;=1,"",IF(OR(C1049&lt;&gt;$C$3,E1048=""),"",A1048))</f>
        <v/>
      </c>
      <c r="T1048" s="20" t="str">
        <f t="shared" ca="1" si="581"/>
        <v/>
      </c>
      <c r="U1048" s="2">
        <f ca="1">IF(IF(OP!$C$83=1,$Z1047,IF(OP!$C$83=2,$AA1047,IF(OP!$C$83=3,$AB1047,)))+$K1048-$O1048-$P1048-$AS1048&lt;OP!$C$142,0,$AS1048)</f>
        <v>0</v>
      </c>
      <c r="V1048" s="9"/>
      <c r="W1048" s="19">
        <f ca="1">MAX(SUM($K$4:K1048),0)</f>
        <v>2000000</v>
      </c>
      <c r="X1048" s="19"/>
      <c r="Y1048" s="19">
        <f t="shared" ca="1" si="612"/>
        <v>1920000</v>
      </c>
      <c r="Z1048" s="2">
        <f ca="1">IF(MIN($Z$4:Z1047)=0,0,MAX(0,($Z1047+$K1048-$O1048-$P1048)*IF(AND(F1048="F",$D$3&lt;&gt;$G$3),((1+(-J1048))^(H1048/MIN(G1048,365))),((1+(-J1048))^(1/12)))-$U1048))</f>
        <v>22049.488671128562</v>
      </c>
      <c r="AA1048" s="2">
        <f ca="1">IF(MIN($AA$4:AA1047)=0,0,MAX(0,($AA1047+$K1048-$O1048-$P1048)*IF(AND(F1048="F",$D$3&lt;&gt;$G$3),((1+$AA$1)^(H1048/MIN(G1048,365))),((1+$AA$1)^(1/12)))-$U1048))</f>
        <v>1920000</v>
      </c>
      <c r="AB1048" s="2">
        <f ca="1">IF(MIN($AB$4:AB1047)=0,0,MAX(0,($AB1047+$K1048-$O1048-$P1048)*IF(AND(F1048="F",$D$3&lt;&gt;$G$3),((1+(J1048))^(H1048/MIN(G1048,365))),((1+(J1048))^(1/12)))-$U1048))</f>
        <v>134442327.57147148</v>
      </c>
      <c r="AC1048" s="21"/>
      <c r="AD1048" s="21"/>
      <c r="AE1048" s="21"/>
      <c r="AF1048" s="282">
        <f t="shared" ca="1" si="595"/>
        <v>22049</v>
      </c>
      <c r="AG1048" s="282">
        <f t="shared" ca="1" si="596"/>
        <v>1920000</v>
      </c>
      <c r="AH1048" s="282">
        <f t="shared" ca="1" si="597"/>
        <v>134442328</v>
      </c>
      <c r="AI1048" s="23" t="str">
        <f t="shared" ca="1" si="613"/>
        <v>88-2</v>
      </c>
      <c r="AJ1048" s="281">
        <f ca="1">IF(E1048&gt;111,,IF(AND(OP!$C$99=1,T1048="F"),Z1048,IF(AND(OP!$C$99=2,COUNTIF($T$4:T1048,"F")=1),OP!$C$97+IF(F1048="F",OP!$C$98,0),"")))</f>
        <v>0</v>
      </c>
      <c r="AK1048" s="281">
        <f ca="1">IF(E1048&gt;111,,IF(AND(OP!$D$99=1,T1048="F"),AA1048,IF(AND(OP!$D$99=2,COUNTIF($T$4:T1048,"F")=1),OP!$D$97+IF(F1048="F",OP!$D$98,0),"")))</f>
        <v>0</v>
      </c>
      <c r="AL1048" s="281">
        <f ca="1">IF(E1048&gt;111,,IF(AND(OP!$E$99=1,T1048="F"),AB1048,IF(AND(OP!$E$99=2,COUNTIF($T$4:T1048,"F")=1),OP!$E$97+IF(F1048="F",OP!$E$98,0),"")))</f>
        <v>0</v>
      </c>
      <c r="AM1048" s="1">
        <f t="shared" ca="1" si="582"/>
        <v>2</v>
      </c>
      <c r="AN1048" s="1" t="e">
        <f ca="1">IF(OR(VLOOKUP($A1048,MP,5,0)="年繳",VLOOKUP($A1048,MP,5,0)="半年繳",VLOOKUP($A1048,MP,5,0)="季繳",VLOOKUP($A1048,MP,5,0)="月繳"),1,"")</f>
        <v>#N/A</v>
      </c>
      <c r="AO1048" s="1">
        <f t="shared" ca="1" si="598"/>
        <v>0</v>
      </c>
      <c r="AP1048" s="1" t="str">
        <f ca="1">IF(AND(A1048&lt;=OP!$C$120,COUNTIF(PAY,C1048)=1),1,"")</f>
        <v/>
      </c>
      <c r="AR1048" s="301">
        <f ca="1">IF(繳費報酬率資料!$A$1=1,$AY1048+$AZ1048,$BF1048+$BG1048)</f>
        <v>0</v>
      </c>
      <c r="AS1048" s="1">
        <f ca="1">IF(C1048&lt;&gt;IF($C$3=1,12,$C$3-1),0,IF(繳費報酬率資料!$A$1&lt;&gt;1,VLOOKUP($A1048,MP,8,0),IF(AND($A1048&gt;=OP!$C$79,$A1048&lt;=OP!$C$80),OP!$C$78,)))</f>
        <v>0</v>
      </c>
      <c r="AT1048" s="298">
        <f t="shared" ca="1" si="599"/>
        <v>0</v>
      </c>
      <c r="AU1048" s="298">
        <f ca="1">IF(AND(A1048&lt;=OP!$C$120,COUNTIF(PAY,C1048)=1),OP!$C$123,0)</f>
        <v>0</v>
      </c>
      <c r="AV1048" s="298">
        <f ca="1">IF(AND(A1048&gt;=OP!$C$132,A1048&lt;=OP!$C$133,$C$3=C1048),OP!$C$135,0)</f>
        <v>0</v>
      </c>
      <c r="AW1048" s="180">
        <f t="shared" ca="1" si="600"/>
        <v>0.05</v>
      </c>
      <c r="AX1048" s="180">
        <f t="shared" ca="1" si="601"/>
        <v>0.05</v>
      </c>
      <c r="AY1048" s="286">
        <f t="shared" ca="1" si="602"/>
        <v>0</v>
      </c>
      <c r="AZ1048" s="286">
        <f t="shared" ca="1" si="603"/>
        <v>0</v>
      </c>
      <c r="BA1048" s="286">
        <f t="shared" ca="1" si="604"/>
        <v>0</v>
      </c>
      <c r="BB1048" s="286">
        <f t="shared" ca="1" si="605"/>
        <v>0</v>
      </c>
      <c r="BC1048" s="286">
        <f t="shared" ca="1" si="606"/>
        <v>0</v>
      </c>
      <c r="BD1048" s="180">
        <f t="shared" ca="1" si="607"/>
        <v>0.05</v>
      </c>
      <c r="BE1048" s="180">
        <f t="shared" ca="1" si="608"/>
        <v>0.05</v>
      </c>
      <c r="BF1048" s="286">
        <f t="shared" ca="1" si="609"/>
        <v>0</v>
      </c>
      <c r="BG1048" s="286">
        <f t="shared" ca="1" si="610"/>
        <v>0</v>
      </c>
    </row>
    <row r="1049" spans="1:59">
      <c r="A1049" s="1">
        <f t="shared" ca="1" si="590"/>
        <v>88</v>
      </c>
      <c r="B1049" s="1">
        <f t="shared" ca="1" si="583"/>
        <v>193</v>
      </c>
      <c r="C1049" s="1">
        <f t="shared" ca="1" si="584"/>
        <v>7</v>
      </c>
      <c r="D1049" s="1">
        <f ca="1">MIN($D$3,VLOOKUP(C1049,OP!$S$30:$T$41,2))</f>
        <v>2</v>
      </c>
      <c r="E1049" s="1" t="str">
        <f t="shared" ca="1" si="580"/>
        <v/>
      </c>
      <c r="F1049" s="11" t="str">
        <f t="shared" ca="1" si="591"/>
        <v/>
      </c>
      <c r="G1049" s="8">
        <f t="shared" ref="G1049:G1059" ca="1" si="615">G1048</f>
        <v>365</v>
      </c>
      <c r="H1049" s="8">
        <f t="shared" ca="1" si="592"/>
        <v>31</v>
      </c>
      <c r="I1049" s="8" t="str">
        <f t="shared" ca="1" si="589"/>
        <v>887</v>
      </c>
      <c r="J1049" s="13">
        <f>IF(繳費報酬率資料!$A$1=1,VALUE(OP!$C$121),VLOOKUP(A1049,MP,2,0))</f>
        <v>0.05</v>
      </c>
      <c r="K1049" s="14">
        <f ca="1">IF(SUM($K$4:K1048,IF(繳費報酬率資料!$A$1=1,$AU1049+$AV1049,$BB1049+$BC1049))&gt;OP!$L$58,0,IF(繳費報酬率資料!$A$1=1,$AU1049+$AV1049,$BB1049+$BC1049))</f>
        <v>0</v>
      </c>
      <c r="L1049" s="2"/>
      <c r="M1049" s="2"/>
      <c r="N1049" s="2"/>
      <c r="O1049" s="261">
        <f t="shared" ca="1" si="593"/>
        <v>0</v>
      </c>
      <c r="P1049" s="261">
        <f t="shared" ca="1" si="611"/>
        <v>0</v>
      </c>
      <c r="Q1049" s="3">
        <f ca="1">IF(A1049&gt;MAX(OP!$R$17:$R$26),0,VLOOKUP(A1049,fees,3,FALSE))</f>
        <v>0</v>
      </c>
      <c r="R1049" s="200" t="str">
        <f t="shared" ca="1" si="594"/>
        <v/>
      </c>
      <c r="S1049" s="9" t="str">
        <f ca="1">IF(COUNTIF(($T$4:T1048),"F")&gt;=1,"",IF(OR(C1050&lt;&gt;$C$3,E1049=""),"",A1049))</f>
        <v/>
      </c>
      <c r="T1049" s="20" t="str">
        <f t="shared" ca="1" si="581"/>
        <v/>
      </c>
      <c r="U1049" s="2">
        <f ca="1">IF(IF(OP!$C$83=1,$Z1048,IF(OP!$C$83=2,$AA1048,IF(OP!$C$83=3,$AB1048,)))+$K1049-$O1049-$P1049-$AS1049&lt;OP!$C$142,0,$AS1049)</f>
        <v>0</v>
      </c>
      <c r="V1049" s="9"/>
      <c r="W1049" s="19">
        <f ca="1">MAX(SUM($K$4:K1049),0)</f>
        <v>2000000</v>
      </c>
      <c r="X1049" s="19"/>
      <c r="Y1049" s="19">
        <f t="shared" ca="1" si="612"/>
        <v>1920000</v>
      </c>
      <c r="Z1049" s="2">
        <f ca="1">IF(MIN($Z$4:Z1048)=0,0,MAX(0,($Z1048+$K1049-$O1049-$P1049)*IF(AND(F1049="F",$D$3&lt;&gt;$G$3),((1+(-J1049))^(H1049/MIN(G1049,365))),((1+(-J1049))^(1/12)))-$U1049))</f>
        <v>21955.440573063985</v>
      </c>
      <c r="AA1049" s="2">
        <f ca="1">IF(MIN($AA$4:AA1048)=0,0,MAX(0,($AA1048+$K1049-$O1049-$P1049)*IF(AND(F1049="F",$D$3&lt;&gt;$G$3),((1+$AA$1)^(H1049/MIN(G1049,365))),((1+$AA$1)^(1/12)))-$U1049))</f>
        <v>1920000</v>
      </c>
      <c r="AB1049" s="2">
        <f ca="1">IF(MIN($AB$4:AB1048)=0,0,MAX(0,($AB1048+$K1049-$O1049-$P1049)*IF(AND(F1049="F",$D$3&lt;&gt;$G$3),((1+(J1049))^(H1049/MIN(G1049,365))),((1+(J1049))^(1/12)))-$U1049))</f>
        <v>134990062.25575945</v>
      </c>
      <c r="AC1049" s="5"/>
      <c r="AD1049" s="5"/>
      <c r="AE1049" s="5"/>
      <c r="AF1049" s="282">
        <f t="shared" ca="1" si="595"/>
        <v>21955</v>
      </c>
      <c r="AG1049" s="282">
        <f t="shared" ca="1" si="596"/>
        <v>1920000</v>
      </c>
      <c r="AH1049" s="282">
        <f t="shared" ca="1" si="597"/>
        <v>134990062</v>
      </c>
      <c r="AI1049" s="23" t="str">
        <f t="shared" ca="1" si="613"/>
        <v>88-3</v>
      </c>
      <c r="AJ1049" s="282">
        <f ca="1">IF(E1049&gt;111,,IF(AND(OP!$C$99=1,T1049="F"),Z1049,IF(AND(OP!$C$99=2,COUNTIF($T$4:T1049,"F")=1),OP!$C$97+IF(F1049="F",OP!$C$98,0),"")))</f>
        <v>0</v>
      </c>
      <c r="AK1049" s="282">
        <f ca="1">IF(E1049&gt;111,,IF(AND(OP!$D$99=1,T1049="F"),AA1049,IF(AND(OP!$D$99=2,COUNTIF($T$4:T1049,"F")=1),OP!$D$97+IF(F1049="F",OP!$D$98,0),"")))</f>
        <v>0</v>
      </c>
      <c r="AL1049" s="282">
        <f ca="1">IF(E1049&gt;111,,IF(AND(OP!$E$99=1,T1049="F"),AB1049,IF(AND(OP!$E$99=2,COUNTIF($T$4:T1049,"F")=1),OP!$E$97+IF(F1049="F",OP!$E$98,0),"")))</f>
        <v>0</v>
      </c>
      <c r="AM1049" s="1">
        <f t="shared" ca="1" si="582"/>
        <v>3</v>
      </c>
      <c r="AN1049" s="1" t="e">
        <f ca="1">IF(OR(VLOOKUP($A1049,MP,5,0)="月繳"),1,"")</f>
        <v>#N/A</v>
      </c>
      <c r="AO1049" s="1">
        <f t="shared" ca="1" si="598"/>
        <v>0</v>
      </c>
      <c r="AP1049" s="1" t="str">
        <f ca="1">IF(AND(A1049&lt;=OP!$C$120,COUNTIF(PAY,C1049)=1),1,"")</f>
        <v/>
      </c>
      <c r="AR1049" s="301">
        <f ca="1">IF(繳費報酬率資料!$A$1=1,$AY1049+$AZ1049,$BF1049+$BG1049)</f>
        <v>0</v>
      </c>
      <c r="AS1049" s="1">
        <f ca="1">IF(C1049&lt;&gt;IF($C$3=1,12,$C$3-1),0,IF(繳費報酬率資料!$A$1&lt;&gt;1,VLOOKUP($A1049,MP,8,0),IF(AND($A1049&gt;=OP!$C$79,$A1049&lt;=OP!$C$80),OP!$C$78,)))</f>
        <v>0</v>
      </c>
      <c r="AT1049" s="298">
        <f t="shared" ca="1" si="599"/>
        <v>0</v>
      </c>
      <c r="AU1049" s="298">
        <f ca="1">IF(AND(A1049&lt;=OP!$C$120,COUNTIF(PAY,C1049)=1),OP!$C$123,0)</f>
        <v>0</v>
      </c>
      <c r="AV1049" s="298">
        <f ca="1">IF(AND(A1049&gt;=OP!$C$132,A1049&lt;=OP!$C$133,$C$3=C1049),OP!$C$135,0)</f>
        <v>0</v>
      </c>
      <c r="AW1049" s="180">
        <f t="shared" ca="1" si="600"/>
        <v>0.05</v>
      </c>
      <c r="AX1049" s="180">
        <f t="shared" ca="1" si="601"/>
        <v>0.05</v>
      </c>
      <c r="AY1049" s="286">
        <f t="shared" ca="1" si="602"/>
        <v>0</v>
      </c>
      <c r="AZ1049" s="286">
        <f t="shared" ca="1" si="603"/>
        <v>0</v>
      </c>
      <c r="BA1049" s="286">
        <f t="shared" ca="1" si="604"/>
        <v>0</v>
      </c>
      <c r="BB1049" s="286">
        <f t="shared" ca="1" si="605"/>
        <v>0</v>
      </c>
      <c r="BC1049" s="286">
        <f t="shared" ca="1" si="606"/>
        <v>0</v>
      </c>
      <c r="BD1049" s="180">
        <f t="shared" ca="1" si="607"/>
        <v>0.05</v>
      </c>
      <c r="BE1049" s="180">
        <f t="shared" ca="1" si="608"/>
        <v>0.05</v>
      </c>
      <c r="BF1049" s="286">
        <f t="shared" ca="1" si="609"/>
        <v>0</v>
      </c>
      <c r="BG1049" s="286">
        <f t="shared" ca="1" si="610"/>
        <v>0</v>
      </c>
    </row>
    <row r="1050" spans="1:59">
      <c r="A1050" s="1">
        <f t="shared" ca="1" si="590"/>
        <v>88</v>
      </c>
      <c r="B1050" s="1">
        <f t="shared" ca="1" si="583"/>
        <v>193</v>
      </c>
      <c r="C1050" s="1">
        <f t="shared" ca="1" si="584"/>
        <v>8</v>
      </c>
      <c r="D1050" s="1">
        <f ca="1">MIN($D$3,VLOOKUP(C1050,OP!$S$30:$T$41,2))</f>
        <v>2</v>
      </c>
      <c r="E1050" s="1" t="str">
        <f t="shared" ca="1" si="580"/>
        <v/>
      </c>
      <c r="F1050" s="11" t="str">
        <f t="shared" ca="1" si="591"/>
        <v/>
      </c>
      <c r="G1050" s="8">
        <f t="shared" ca="1" si="615"/>
        <v>365</v>
      </c>
      <c r="H1050" s="8">
        <f t="shared" ca="1" si="592"/>
        <v>31</v>
      </c>
      <c r="I1050" s="8" t="str">
        <f t="shared" ca="1" si="589"/>
        <v>888</v>
      </c>
      <c r="J1050" s="13">
        <f>IF(繳費報酬率資料!$A$1=1,VALUE(OP!$C$121),VLOOKUP(A1050,MP,2,0))</f>
        <v>0.05</v>
      </c>
      <c r="K1050" s="14">
        <f ca="1">IF(SUM($K$4:K1049,IF(繳費報酬率資料!$A$1=1,$AU1050+$AV1050,$BB1050+$BC1050))&gt;OP!$L$58,0,IF(繳費報酬率資料!$A$1=1,$AU1050+$AV1050,$BB1050+$BC1050))</f>
        <v>0</v>
      </c>
      <c r="L1050" s="2"/>
      <c r="M1050" s="2"/>
      <c r="N1050" s="2"/>
      <c r="O1050" s="261">
        <f t="shared" ca="1" si="593"/>
        <v>0</v>
      </c>
      <c r="P1050" s="261">
        <f t="shared" ca="1" si="611"/>
        <v>0</v>
      </c>
      <c r="Q1050" s="3">
        <f ca="1">IF(A1050&gt;MAX(OP!$R$17:$R$26),0,VLOOKUP(A1050,fees,3,FALSE))</f>
        <v>0</v>
      </c>
      <c r="R1050" s="200" t="str">
        <f t="shared" ca="1" si="594"/>
        <v/>
      </c>
      <c r="S1050" s="9" t="str">
        <f ca="1">IF(COUNTIF(($T$4:T1049),"F")&gt;=1,"",IF(OR(C1051&lt;&gt;$C$3,E1050=""),"",A1050))</f>
        <v/>
      </c>
      <c r="T1050" s="20" t="str">
        <f t="shared" ca="1" si="581"/>
        <v/>
      </c>
      <c r="U1050" s="2">
        <f ca="1">IF(IF(OP!$C$83=1,$Z1049,IF(OP!$C$83=2,$AA1049,IF(OP!$C$83=3,$AB1049,)))+$K1050-$O1050-$P1050-$AS1050&lt;OP!$C$142,0,$AS1050)</f>
        <v>0</v>
      </c>
      <c r="V1050" s="9"/>
      <c r="W1050" s="19">
        <f ca="1">MAX(SUM($K$4:K1050),0)</f>
        <v>2000000</v>
      </c>
      <c r="X1050" s="19"/>
      <c r="Y1050" s="19">
        <f t="shared" ca="1" si="612"/>
        <v>1920000</v>
      </c>
      <c r="Z1050" s="2">
        <f ca="1">IF(MIN($Z$4:Z1049)=0,0,MAX(0,($Z1049+$K1050-$O1050-$P1050)*IF(AND(F1050="F",$D$3&lt;&gt;$G$3),((1+(-J1050))^(H1050/MIN(G1050,365))),((1+(-J1050))^(1/12)))-$U1050))</f>
        <v>21861.793620118078</v>
      </c>
      <c r="AA1050" s="2">
        <f ca="1">IF(MIN($AA$4:AA1049)=0,0,MAX(0,($AA1049+$K1050-$O1050-$P1050)*IF(AND(F1050="F",$D$3&lt;&gt;$G$3),((1+$AA$1)^(H1050/MIN(G1050,365))),((1+$AA$1)^(1/12)))-$U1050))</f>
        <v>1920000</v>
      </c>
      <c r="AB1050" s="2">
        <f ca="1">IF(MIN($AB$4:AB1049)=0,0,MAX(0,($AB1049+$K1050-$O1050-$P1050)*IF(AND(F1050="F",$D$3&lt;&gt;$G$3),((1+(J1050))^(H1050/MIN(G1050,365))),((1+(J1050))^(1/12)))-$U1050))</f>
        <v>135540028.47895181</v>
      </c>
      <c r="AC1050" s="5"/>
      <c r="AD1050" s="5"/>
      <c r="AE1050" s="5"/>
      <c r="AF1050" s="282">
        <f t="shared" ca="1" si="595"/>
        <v>21862</v>
      </c>
      <c r="AG1050" s="282">
        <f t="shared" ca="1" si="596"/>
        <v>1920000</v>
      </c>
      <c r="AH1050" s="282">
        <f t="shared" ca="1" si="597"/>
        <v>135540028</v>
      </c>
      <c r="AI1050" s="23" t="str">
        <f t="shared" ca="1" si="613"/>
        <v>88-4</v>
      </c>
      <c r="AJ1050" s="282">
        <f ca="1">IF(E1050&gt;111,,IF(AND(OP!$C$99=1,T1050="F"),Z1050,IF(AND(OP!$C$99=2,COUNTIF($T$4:T1050,"F")=1),OP!$C$97+IF(F1050="F",OP!$C$98,0),"")))</f>
        <v>0</v>
      </c>
      <c r="AK1050" s="282">
        <f ca="1">IF(E1050&gt;111,,IF(AND(OP!$D$99=1,T1050="F"),AA1050,IF(AND(OP!$D$99=2,COUNTIF($T$4:T1050,"F")=1),OP!$D$97+IF(F1050="F",OP!$D$98,0),"")))</f>
        <v>0</v>
      </c>
      <c r="AL1050" s="282">
        <f ca="1">IF(E1050&gt;111,,IF(AND(OP!$E$99=1,T1050="F"),AB1050,IF(AND(OP!$E$99=2,COUNTIF($T$4:T1050,"F")=1),OP!$E$97+IF(F1050="F",OP!$E$98,0),"")))</f>
        <v>0</v>
      </c>
      <c r="AM1050" s="1">
        <f t="shared" ca="1" si="582"/>
        <v>4</v>
      </c>
      <c r="AN1050" s="1" t="e">
        <f ca="1">IF(OR(VLOOKUP($A1050,MP,5,0)="月繳"),1,"")</f>
        <v>#N/A</v>
      </c>
      <c r="AO1050" s="1">
        <f t="shared" ca="1" si="598"/>
        <v>0</v>
      </c>
      <c r="AP1050" s="1" t="str">
        <f ca="1">IF(AND(A1050&lt;=OP!$C$120,COUNTIF(PAY,C1050)=1),1,"")</f>
        <v/>
      </c>
      <c r="AR1050" s="301">
        <f ca="1">IF(繳費報酬率資料!$A$1=1,$AY1050+$AZ1050,$BF1050+$BG1050)</f>
        <v>0</v>
      </c>
      <c r="AS1050" s="1">
        <f ca="1">IF(C1050&lt;&gt;IF($C$3=1,12,$C$3-1),0,IF(繳費報酬率資料!$A$1&lt;&gt;1,VLOOKUP($A1050,MP,8,0),IF(AND($A1050&gt;=OP!$C$79,$A1050&lt;=OP!$C$80),OP!$C$78,)))</f>
        <v>0</v>
      </c>
      <c r="AT1050" s="298">
        <f t="shared" ca="1" si="599"/>
        <v>0</v>
      </c>
      <c r="AU1050" s="298">
        <f ca="1">IF(AND(A1050&lt;=OP!$C$120,COUNTIF(PAY,C1050)=1),OP!$C$123,0)</f>
        <v>0</v>
      </c>
      <c r="AV1050" s="298">
        <f ca="1">IF(AND(A1050&gt;=OP!$C$132,A1050&lt;=OP!$C$133,$C$3=C1050),OP!$C$135,0)</f>
        <v>0</v>
      </c>
      <c r="AW1050" s="180">
        <f t="shared" ca="1" si="600"/>
        <v>0.05</v>
      </c>
      <c r="AX1050" s="180">
        <f t="shared" ca="1" si="601"/>
        <v>0.05</v>
      </c>
      <c r="AY1050" s="286">
        <f t="shared" ca="1" si="602"/>
        <v>0</v>
      </c>
      <c r="AZ1050" s="286">
        <f t="shared" ca="1" si="603"/>
        <v>0</v>
      </c>
      <c r="BA1050" s="286">
        <f t="shared" ca="1" si="604"/>
        <v>0</v>
      </c>
      <c r="BB1050" s="286">
        <f t="shared" ca="1" si="605"/>
        <v>0</v>
      </c>
      <c r="BC1050" s="286">
        <f t="shared" ca="1" si="606"/>
        <v>0</v>
      </c>
      <c r="BD1050" s="180">
        <f t="shared" ca="1" si="607"/>
        <v>0.05</v>
      </c>
      <c r="BE1050" s="180">
        <f t="shared" ca="1" si="608"/>
        <v>0.05</v>
      </c>
      <c r="BF1050" s="286">
        <f t="shared" ca="1" si="609"/>
        <v>0</v>
      </c>
      <c r="BG1050" s="286">
        <f t="shared" ca="1" si="610"/>
        <v>0</v>
      </c>
    </row>
    <row r="1051" spans="1:59">
      <c r="A1051" s="1">
        <f t="shared" ca="1" si="590"/>
        <v>88</v>
      </c>
      <c r="B1051" s="1">
        <f t="shared" ca="1" si="583"/>
        <v>193</v>
      </c>
      <c r="C1051" s="1">
        <f t="shared" ca="1" si="584"/>
        <v>9</v>
      </c>
      <c r="D1051" s="1">
        <f ca="1">MIN($D$3,VLOOKUP(C1051,OP!$S$30:$T$41,2))</f>
        <v>2</v>
      </c>
      <c r="E1051" s="1" t="str">
        <f t="shared" ca="1" si="580"/>
        <v/>
      </c>
      <c r="F1051" s="11" t="str">
        <f t="shared" ca="1" si="591"/>
        <v/>
      </c>
      <c r="G1051" s="8">
        <f t="shared" ca="1" si="615"/>
        <v>365</v>
      </c>
      <c r="H1051" s="8">
        <f t="shared" ca="1" si="592"/>
        <v>30</v>
      </c>
      <c r="I1051" s="8" t="str">
        <f t="shared" ca="1" si="589"/>
        <v>889</v>
      </c>
      <c r="J1051" s="13">
        <f>IF(繳費報酬率資料!$A$1=1,VALUE(OP!$C$121),VLOOKUP(A1051,MP,2,0))</f>
        <v>0.05</v>
      </c>
      <c r="K1051" s="14">
        <f ca="1">IF(SUM($K$4:K1050,IF(繳費報酬率資料!$A$1=1,$AU1051+$AV1051,$BB1051+$BC1051))&gt;OP!$L$58,0,IF(繳費報酬率資料!$A$1=1,$AU1051+$AV1051,$BB1051+$BC1051))</f>
        <v>0</v>
      </c>
      <c r="L1051" s="2"/>
      <c r="M1051" s="2"/>
      <c r="N1051" s="2"/>
      <c r="O1051" s="261">
        <f t="shared" ca="1" si="593"/>
        <v>0</v>
      </c>
      <c r="P1051" s="261">
        <f t="shared" ca="1" si="611"/>
        <v>0</v>
      </c>
      <c r="Q1051" s="3">
        <f ca="1">IF(A1051&gt;MAX(OP!$R$17:$R$26),0,VLOOKUP(A1051,fees,3,FALSE))</f>
        <v>0</v>
      </c>
      <c r="R1051" s="200" t="str">
        <f t="shared" ca="1" si="594"/>
        <v/>
      </c>
      <c r="S1051" s="9" t="str">
        <f ca="1">IF(COUNTIF(($T$4:T1050),"F")&gt;=1,"",IF(OR(C1052&lt;&gt;$C$3,E1051=""),"",A1051))</f>
        <v/>
      </c>
      <c r="T1051" s="20" t="str">
        <f t="shared" ca="1" si="581"/>
        <v/>
      </c>
      <c r="U1051" s="2">
        <f ca="1">IF(IF(OP!$C$83=1,$Z1050,IF(OP!$C$83=2,$AA1050,IF(OP!$C$83=3,$AB1050,)))+$K1051-$O1051-$P1051-$AS1051&lt;OP!$C$142,0,$AS1051)</f>
        <v>0</v>
      </c>
      <c r="V1051" s="9"/>
      <c r="W1051" s="19">
        <f ca="1">MAX(SUM($K$4:K1051),0)</f>
        <v>2000000</v>
      </c>
      <c r="X1051" s="19"/>
      <c r="Y1051" s="19">
        <f t="shared" ca="1" si="612"/>
        <v>1920000</v>
      </c>
      <c r="Z1051" s="2">
        <f ca="1">IF(MIN($Z$4:Z1050)=0,0,MAX(0,($Z1050+$K1051-$O1051-$P1051)*IF(AND(F1051="F",$D$3&lt;&gt;$G$3),((1+(-J1051))^(H1051/MIN(G1051,365))),((1+(-J1051))^(1/12)))-$U1051))</f>
        <v>21768.546101279033</v>
      </c>
      <c r="AA1051" s="2">
        <f ca="1">IF(MIN($AA$4:AA1050)=0,0,MAX(0,($AA1050+$K1051-$O1051-$P1051)*IF(AND(F1051="F",$D$3&lt;&gt;$G$3),((1+$AA$1)^(H1051/MIN(G1051,365))),((1+$AA$1)^(1/12)))-$U1051))</f>
        <v>1920000</v>
      </c>
      <c r="AB1051" s="2">
        <f ca="1">IF(MIN($AB$4:AB1050)=0,0,MAX(0,($AB1050+$K1051-$O1051-$P1051)*IF(AND(F1051="F",$D$3&lt;&gt;$G$3),((1+(J1051))^(H1051/MIN(G1051,365))),((1+(J1051))^(1/12)))-$U1051))</f>
        <v>136092235.33261427</v>
      </c>
      <c r="AC1051" s="5"/>
      <c r="AD1051" s="5"/>
      <c r="AE1051" s="5"/>
      <c r="AF1051" s="282">
        <f t="shared" ca="1" si="595"/>
        <v>21769</v>
      </c>
      <c r="AG1051" s="282">
        <f t="shared" ca="1" si="596"/>
        <v>1920000</v>
      </c>
      <c r="AH1051" s="282">
        <f t="shared" ca="1" si="597"/>
        <v>136092235</v>
      </c>
      <c r="AI1051" s="23" t="str">
        <f t="shared" ca="1" si="613"/>
        <v>88-5</v>
      </c>
      <c r="AJ1051" s="282">
        <f ca="1">IF(E1051&gt;111,,IF(AND(OP!$C$99=1,T1051="F"),Z1051,IF(AND(OP!$C$99=2,COUNTIF($T$4:T1051,"F")=1),OP!$C$97+IF(F1051="F",OP!$C$98,0),"")))</f>
        <v>0</v>
      </c>
      <c r="AK1051" s="282">
        <f ca="1">IF(E1051&gt;111,,IF(AND(OP!$D$99=1,T1051="F"),AA1051,IF(AND(OP!$D$99=2,COUNTIF($T$4:T1051,"F")=1),OP!$D$97+IF(F1051="F",OP!$D$98,0),"")))</f>
        <v>0</v>
      </c>
      <c r="AL1051" s="282">
        <f ca="1">IF(E1051&gt;111,,IF(AND(OP!$E$99=1,T1051="F"),AB1051,IF(AND(OP!$E$99=2,COUNTIF($T$4:T1051,"F")=1),OP!$E$97+IF(F1051="F",OP!$E$98,0),"")))</f>
        <v>0</v>
      </c>
      <c r="AM1051" s="1">
        <f t="shared" ca="1" si="582"/>
        <v>5</v>
      </c>
      <c r="AN1051" s="1" t="e">
        <f ca="1">IF(OR(VLOOKUP($A1051,MP,5,0)="季繳",VLOOKUP($A1051,MP,5,0)="月繳"),1,"")</f>
        <v>#N/A</v>
      </c>
      <c r="AO1051" s="1">
        <f t="shared" ca="1" si="598"/>
        <v>0</v>
      </c>
      <c r="AP1051" s="1" t="str">
        <f ca="1">IF(AND(A1051&lt;=OP!$C$120,COUNTIF(PAY,C1051)=1),1,"")</f>
        <v/>
      </c>
      <c r="AR1051" s="301">
        <f ca="1">IF(繳費報酬率資料!$A$1=1,$AY1051+$AZ1051,$BF1051+$BG1051)</f>
        <v>0</v>
      </c>
      <c r="AS1051" s="1">
        <f ca="1">IF(C1051&lt;&gt;IF($C$3=1,12,$C$3-1),0,IF(繳費報酬率資料!$A$1&lt;&gt;1,VLOOKUP($A1051,MP,8,0),IF(AND($A1051&gt;=OP!$C$79,$A1051&lt;=OP!$C$80),OP!$C$78,)))</f>
        <v>0</v>
      </c>
      <c r="AT1051" s="298">
        <f t="shared" ca="1" si="599"/>
        <v>0</v>
      </c>
      <c r="AU1051" s="298">
        <f ca="1">IF(AND(A1051&lt;=OP!$C$120,COUNTIF(PAY,C1051)=1),OP!$C$123,0)</f>
        <v>0</v>
      </c>
      <c r="AV1051" s="298">
        <f ca="1">IF(AND(A1051&gt;=OP!$C$132,A1051&lt;=OP!$C$133,$C$3=C1051),OP!$C$135,0)</f>
        <v>0</v>
      </c>
      <c r="AW1051" s="180">
        <f t="shared" ca="1" si="600"/>
        <v>0.05</v>
      </c>
      <c r="AX1051" s="180">
        <f t="shared" ca="1" si="601"/>
        <v>0.05</v>
      </c>
      <c r="AY1051" s="286">
        <f t="shared" ca="1" si="602"/>
        <v>0</v>
      </c>
      <c r="AZ1051" s="286">
        <f t="shared" ca="1" si="603"/>
        <v>0</v>
      </c>
      <c r="BA1051" s="286">
        <f t="shared" ca="1" si="604"/>
        <v>0</v>
      </c>
      <c r="BB1051" s="286">
        <f t="shared" ca="1" si="605"/>
        <v>0</v>
      </c>
      <c r="BC1051" s="286">
        <f t="shared" ca="1" si="606"/>
        <v>0</v>
      </c>
      <c r="BD1051" s="180">
        <f t="shared" ca="1" si="607"/>
        <v>0.05</v>
      </c>
      <c r="BE1051" s="180">
        <f t="shared" ca="1" si="608"/>
        <v>0.05</v>
      </c>
      <c r="BF1051" s="286">
        <f t="shared" ca="1" si="609"/>
        <v>0</v>
      </c>
      <c r="BG1051" s="286">
        <f t="shared" ca="1" si="610"/>
        <v>0</v>
      </c>
    </row>
    <row r="1052" spans="1:59">
      <c r="A1052" s="1">
        <f t="shared" ca="1" si="590"/>
        <v>88</v>
      </c>
      <c r="B1052" s="1">
        <f t="shared" ca="1" si="583"/>
        <v>193</v>
      </c>
      <c r="C1052" s="1">
        <f t="shared" ca="1" si="584"/>
        <v>10</v>
      </c>
      <c r="D1052" s="1">
        <f ca="1">MIN($D$3,VLOOKUP(C1052,OP!$S$30:$T$41,2))</f>
        <v>2</v>
      </c>
      <c r="E1052" s="1" t="str">
        <f t="shared" ref="E1052:E1115" ca="1" si="616">IF($K$1+A1052-1&gt;$D$1,"",$K$1+A1052-1)</f>
        <v/>
      </c>
      <c r="F1052" s="11" t="str">
        <f t="shared" ca="1" si="591"/>
        <v/>
      </c>
      <c r="G1052" s="8">
        <f t="shared" ca="1" si="615"/>
        <v>365</v>
      </c>
      <c r="H1052" s="8">
        <f t="shared" ca="1" si="592"/>
        <v>31</v>
      </c>
      <c r="I1052" s="8" t="str">
        <f t="shared" ca="1" si="589"/>
        <v>8810</v>
      </c>
      <c r="J1052" s="13">
        <f>IF(繳費報酬率資料!$A$1=1,VALUE(OP!$C$121),VLOOKUP(A1052,MP,2,0))</f>
        <v>0.05</v>
      </c>
      <c r="K1052" s="14">
        <f ca="1">IF(SUM($K$4:K1051,IF(繳費報酬率資料!$A$1=1,$AU1052+$AV1052,$BB1052+$BC1052))&gt;OP!$L$58,0,IF(繳費報酬率資料!$A$1=1,$AU1052+$AV1052,$BB1052+$BC1052))</f>
        <v>0</v>
      </c>
      <c r="L1052" s="2"/>
      <c r="M1052" s="2"/>
      <c r="N1052" s="2"/>
      <c r="O1052" s="261">
        <f t="shared" ca="1" si="593"/>
        <v>0</v>
      </c>
      <c r="P1052" s="261">
        <f t="shared" ca="1" si="611"/>
        <v>0</v>
      </c>
      <c r="Q1052" s="3">
        <f ca="1">IF(A1052&gt;MAX(OP!$R$17:$R$26),0,VLOOKUP(A1052,fees,3,FALSE))</f>
        <v>0</v>
      </c>
      <c r="R1052" s="200" t="str">
        <f t="shared" ca="1" si="594"/>
        <v/>
      </c>
      <c r="S1052" s="9" t="str">
        <f ca="1">IF(COUNTIF(($T$4:T1051),"F")&gt;=1,"",IF(OR(C1053&lt;&gt;$C$3,E1052=""),"",A1052))</f>
        <v/>
      </c>
      <c r="T1052" s="20" t="str">
        <f t="shared" ref="T1052:T1115" ca="1" si="617">IF(F1052&lt;&gt;"","F","")</f>
        <v/>
      </c>
      <c r="U1052" s="2">
        <f ca="1">IF(IF(OP!$C$83=1,$Z1051,IF(OP!$C$83=2,$AA1051,IF(OP!$C$83=3,$AB1051,)))+$K1052-$O1052-$P1052-$AS1052&lt;OP!$C$142,0,$AS1052)</f>
        <v>0</v>
      </c>
      <c r="V1052" s="9"/>
      <c r="W1052" s="19">
        <f ca="1">MAX(SUM($K$4:K1052),0)</f>
        <v>2000000</v>
      </c>
      <c r="X1052" s="19"/>
      <c r="Y1052" s="19">
        <f t="shared" ca="1" si="612"/>
        <v>1920000</v>
      </c>
      <c r="Z1052" s="2">
        <f ca="1">IF(MIN($Z$4:Z1051)=0,0,MAX(0,($Z1051+$K1052-$O1052-$P1052)*IF(AND(F1052="F",$D$3&lt;&gt;$G$3),((1+(-J1052))^(H1052/MIN(G1052,365))),((1+(-J1052))^(1/12)))-$U1052))</f>
        <v>21675.696312833054</v>
      </c>
      <c r="AA1052" s="2">
        <f ca="1">IF(MIN($AA$4:AA1051)=0,0,MAX(0,($AA1051+$K1052-$O1052-$P1052)*IF(AND(F1052="F",$D$3&lt;&gt;$G$3),((1+$AA$1)^(H1052/MIN(G1052,365))),((1+$AA$1)^(1/12)))-$U1052))</f>
        <v>1920000</v>
      </c>
      <c r="AB1052" s="2">
        <f ca="1">IF(MIN($AB$4:AB1051)=0,0,MAX(0,($AB1051+$K1052-$O1052-$P1052)*IF(AND(F1052="F",$D$3&lt;&gt;$G$3),((1+(J1052))^(H1052/MIN(G1052,365))),((1+(J1052))^(1/12)))-$U1052))</f>
        <v>136646691.94535273</v>
      </c>
      <c r="AC1052" s="5"/>
      <c r="AD1052" s="5"/>
      <c r="AE1052" s="5"/>
      <c r="AF1052" s="282">
        <f t="shared" ca="1" si="595"/>
        <v>21676</v>
      </c>
      <c r="AG1052" s="282">
        <f t="shared" ca="1" si="596"/>
        <v>1920000</v>
      </c>
      <c r="AH1052" s="282">
        <f t="shared" ca="1" si="597"/>
        <v>136646692</v>
      </c>
      <c r="AI1052" s="23" t="str">
        <f t="shared" ca="1" si="613"/>
        <v>88-6</v>
      </c>
      <c r="AJ1052" s="282">
        <f ca="1">IF(E1052&gt;111,,IF(AND(OP!$C$99=1,T1052="F"),Z1052,IF(AND(OP!$C$99=2,COUNTIF($T$4:T1052,"F")=1),OP!$C$97+IF(F1052="F",OP!$C$98,0),"")))</f>
        <v>0</v>
      </c>
      <c r="AK1052" s="282">
        <f ca="1">IF(E1052&gt;111,,IF(AND(OP!$D$99=1,T1052="F"),AA1052,IF(AND(OP!$D$99=2,COUNTIF($T$4:T1052,"F")=1),OP!$D$97+IF(F1052="F",OP!$D$98,0),"")))</f>
        <v>0</v>
      </c>
      <c r="AL1052" s="282">
        <f ca="1">IF(E1052&gt;111,,IF(AND(OP!$E$99=1,T1052="F"),AB1052,IF(AND(OP!$E$99=2,COUNTIF($T$4:T1052,"F")=1),OP!$E$97+IF(F1052="F",OP!$E$98,0),"")))</f>
        <v>0</v>
      </c>
      <c r="AM1052" s="1">
        <f t="shared" ref="AM1052:AM1115" ca="1" si="618">IF(AND(AK1052&lt;&gt;"",AM1051=""),1,IF(AND(AK1052&lt;&gt;"",AM1051&gt;0),IF(AM1051=12,1,AM1051+1),""))</f>
        <v>6</v>
      </c>
      <c r="AN1052" s="1" t="e">
        <f ca="1">IF(OR(VLOOKUP($A1052,MP,5,0)="月繳"),1,"")</f>
        <v>#N/A</v>
      </c>
      <c r="AO1052" s="1">
        <f t="shared" ca="1" si="598"/>
        <v>0</v>
      </c>
      <c r="AP1052" s="1" t="str">
        <f ca="1">IF(AND(A1052&lt;=OP!$C$120,COUNTIF(PAY,C1052)=1),1,"")</f>
        <v/>
      </c>
      <c r="AR1052" s="301">
        <f ca="1">IF(繳費報酬率資料!$A$1=1,$AY1052+$AZ1052,$BF1052+$BG1052)</f>
        <v>0</v>
      </c>
      <c r="AS1052" s="1">
        <f ca="1">IF(C1052&lt;&gt;IF($C$3=1,12,$C$3-1),0,IF(繳費報酬率資料!$A$1&lt;&gt;1,VLOOKUP($A1052,MP,8,0),IF(AND($A1052&gt;=OP!$C$79,$A1052&lt;=OP!$C$80),OP!$C$78,)))</f>
        <v>0</v>
      </c>
      <c r="AT1052" s="298">
        <f t="shared" ca="1" si="599"/>
        <v>0</v>
      </c>
      <c r="AU1052" s="298">
        <f ca="1">IF(AND(A1052&lt;=OP!$C$120,COUNTIF(PAY,C1052)=1),OP!$C$123,0)</f>
        <v>0</v>
      </c>
      <c r="AV1052" s="298">
        <f ca="1">IF(AND(A1052&gt;=OP!$C$132,A1052&lt;=OP!$C$133,$C$3=C1052),OP!$C$135,0)</f>
        <v>0</v>
      </c>
      <c r="AW1052" s="180">
        <f t="shared" ca="1" si="600"/>
        <v>0.05</v>
      </c>
      <c r="AX1052" s="180">
        <f t="shared" ca="1" si="601"/>
        <v>0.05</v>
      </c>
      <c r="AY1052" s="286">
        <f t="shared" ca="1" si="602"/>
        <v>0</v>
      </c>
      <c r="AZ1052" s="286">
        <f t="shared" ca="1" si="603"/>
        <v>0</v>
      </c>
      <c r="BA1052" s="286">
        <f t="shared" ca="1" si="604"/>
        <v>0</v>
      </c>
      <c r="BB1052" s="286">
        <f t="shared" ca="1" si="605"/>
        <v>0</v>
      </c>
      <c r="BC1052" s="286">
        <f t="shared" ca="1" si="606"/>
        <v>0</v>
      </c>
      <c r="BD1052" s="180">
        <f t="shared" ca="1" si="607"/>
        <v>0.05</v>
      </c>
      <c r="BE1052" s="180">
        <f t="shared" ca="1" si="608"/>
        <v>0.05</v>
      </c>
      <c r="BF1052" s="286">
        <f t="shared" ca="1" si="609"/>
        <v>0</v>
      </c>
      <c r="BG1052" s="286">
        <f t="shared" ca="1" si="610"/>
        <v>0</v>
      </c>
    </row>
    <row r="1053" spans="1:59">
      <c r="A1053" s="1">
        <f t="shared" ca="1" si="590"/>
        <v>88</v>
      </c>
      <c r="B1053" s="1">
        <f t="shared" ref="B1053:B1116" ca="1" si="619">IF(C1053=1,B1052+1,B1052)</f>
        <v>193</v>
      </c>
      <c r="C1053" s="1">
        <f t="shared" ref="C1053:C1116" ca="1" si="620">IF(C1052=12,1,C1052+1)</f>
        <v>11</v>
      </c>
      <c r="D1053" s="1">
        <f ca="1">MIN($D$3,VLOOKUP(C1053,OP!$S$30:$T$41,2))</f>
        <v>2</v>
      </c>
      <c r="E1053" s="1" t="str">
        <f t="shared" ca="1" si="616"/>
        <v/>
      </c>
      <c r="F1053" s="11" t="str">
        <f t="shared" ca="1" si="591"/>
        <v/>
      </c>
      <c r="G1053" s="8">
        <f t="shared" ca="1" si="615"/>
        <v>365</v>
      </c>
      <c r="H1053" s="8">
        <f t="shared" ca="1" si="592"/>
        <v>30</v>
      </c>
      <c r="I1053" s="8" t="str">
        <f t="shared" ca="1" si="589"/>
        <v>8811</v>
      </c>
      <c r="J1053" s="13">
        <f>IF(繳費報酬率資料!$A$1=1,VALUE(OP!$C$121),VLOOKUP(A1053,MP,2,0))</f>
        <v>0.05</v>
      </c>
      <c r="K1053" s="14">
        <f ca="1">IF(SUM($K$4:K1052,IF(繳費報酬率資料!$A$1=1,$AU1053+$AV1053,$BB1053+$BC1053))&gt;OP!$L$58,0,IF(繳費報酬率資料!$A$1=1,$AU1053+$AV1053,$BB1053+$BC1053))</f>
        <v>0</v>
      </c>
      <c r="L1053" s="2"/>
      <c r="M1053" s="2"/>
      <c r="N1053" s="2"/>
      <c r="O1053" s="261">
        <f t="shared" ca="1" si="593"/>
        <v>0</v>
      </c>
      <c r="P1053" s="261">
        <f t="shared" ca="1" si="611"/>
        <v>0</v>
      </c>
      <c r="Q1053" s="3">
        <f ca="1">IF(A1053&gt;MAX(OP!$R$17:$R$26),0,VLOOKUP(A1053,fees,3,FALSE))</f>
        <v>0</v>
      </c>
      <c r="R1053" s="200" t="str">
        <f t="shared" ca="1" si="594"/>
        <v/>
      </c>
      <c r="S1053" s="9" t="str">
        <f ca="1">IF(COUNTIF(($T$4:T1052),"F")&gt;=1,"",IF(OR(C1054&lt;&gt;$C$3,E1053=""),"",A1053))</f>
        <v/>
      </c>
      <c r="T1053" s="20" t="str">
        <f t="shared" ca="1" si="617"/>
        <v/>
      </c>
      <c r="U1053" s="2">
        <f ca="1">IF(IF(OP!$C$83=1,$Z1052,IF(OP!$C$83=2,$AA1052,IF(OP!$C$83=3,$AB1052,)))+$K1053-$O1053-$P1053-$AS1053&lt;OP!$C$142,0,$AS1053)</f>
        <v>0</v>
      </c>
      <c r="V1053" s="9"/>
      <c r="W1053" s="19">
        <f ca="1">MAX(SUM($K$4:K1053),0)</f>
        <v>2000000</v>
      </c>
      <c r="X1053" s="19"/>
      <c r="Y1053" s="19">
        <f t="shared" ca="1" si="612"/>
        <v>1920000</v>
      </c>
      <c r="Z1053" s="2">
        <f ca="1">IF(MIN($Z$4:Z1052)=0,0,MAX(0,($Z1052+$K1053-$O1053-$P1053)*IF(AND(F1053="F",$D$3&lt;&gt;$G$3),((1+(-J1053))^(H1053/MIN(G1053,365))),((1+(-J1053))^(1/12)))-$U1053))</f>
        <v>21583.242558333226</v>
      </c>
      <c r="AA1053" s="2">
        <f ca="1">IF(MIN($AA$4:AA1052)=0,0,MAX(0,($AA1052+$K1053-$O1053-$P1053)*IF(AND(F1053="F",$D$3&lt;&gt;$G$3),((1+$AA$1)^(H1053/MIN(G1053,365))),((1+$AA$1)^(1/12)))-$U1053))</f>
        <v>1920000</v>
      </c>
      <c r="AB1053" s="2">
        <f ca="1">IF(MIN($AB$4:AB1052)=0,0,MAX(0,($AB1052+$K1053-$O1053-$P1053)*IF(AND(F1053="F",$D$3&lt;&gt;$G$3),((1+(J1053))^(H1053/MIN(G1053,365))),((1+(J1053))^(1/12)))-$U1053))</f>
        <v>137203407.48296416</v>
      </c>
      <c r="AC1053" s="5"/>
      <c r="AD1053" s="5"/>
      <c r="AE1053" s="5"/>
      <c r="AF1053" s="282">
        <f t="shared" ca="1" si="595"/>
        <v>21583</v>
      </c>
      <c r="AG1053" s="282">
        <f t="shared" ca="1" si="596"/>
        <v>1920000</v>
      </c>
      <c r="AH1053" s="282">
        <f t="shared" ca="1" si="597"/>
        <v>137203407</v>
      </c>
      <c r="AI1053" s="23" t="str">
        <f t="shared" ca="1" si="613"/>
        <v>88-7</v>
      </c>
      <c r="AJ1053" s="282">
        <f ca="1">IF(E1053&gt;111,,IF(AND(OP!$C$99=1,T1053="F"),Z1053,IF(AND(OP!$C$99=2,COUNTIF($T$4:T1053,"F")=1),OP!$C$97+IF(F1053="F",OP!$C$98,0),"")))</f>
        <v>0</v>
      </c>
      <c r="AK1053" s="282">
        <f ca="1">IF(E1053&gt;111,,IF(AND(OP!$D$99=1,T1053="F"),AA1053,IF(AND(OP!$D$99=2,COUNTIF($T$4:T1053,"F")=1),OP!$D$97+IF(F1053="F",OP!$D$98,0),"")))</f>
        <v>0</v>
      </c>
      <c r="AL1053" s="282">
        <f ca="1">IF(E1053&gt;111,,IF(AND(OP!$E$99=1,T1053="F"),AB1053,IF(AND(OP!$E$99=2,COUNTIF($T$4:T1053,"F")=1),OP!$E$97+IF(F1053="F",OP!$E$98,0),"")))</f>
        <v>0</v>
      </c>
      <c r="AM1053" s="1">
        <f t="shared" ca="1" si="618"/>
        <v>7</v>
      </c>
      <c r="AN1053" s="1" t="e">
        <f ca="1">IF(OR(VLOOKUP($A1053,MP,5,0)="月繳"),1,"")</f>
        <v>#N/A</v>
      </c>
      <c r="AO1053" s="1">
        <f t="shared" ca="1" si="598"/>
        <v>0</v>
      </c>
      <c r="AP1053" s="1" t="str">
        <f ca="1">IF(AND(A1053&lt;=OP!$C$120,COUNTIF(PAY,C1053)=1),1,"")</f>
        <v/>
      </c>
      <c r="AR1053" s="301">
        <f ca="1">IF(繳費報酬率資料!$A$1=1,$AY1053+$AZ1053,$BF1053+$BG1053)</f>
        <v>0</v>
      </c>
      <c r="AS1053" s="1">
        <f ca="1">IF(C1053&lt;&gt;IF($C$3=1,12,$C$3-1),0,IF(繳費報酬率資料!$A$1&lt;&gt;1,VLOOKUP($A1053,MP,8,0),IF(AND($A1053&gt;=OP!$C$79,$A1053&lt;=OP!$C$80),OP!$C$78,)))</f>
        <v>0</v>
      </c>
      <c r="AT1053" s="298">
        <f t="shared" ca="1" si="599"/>
        <v>0</v>
      </c>
      <c r="AU1053" s="298">
        <f ca="1">IF(AND(A1053&lt;=OP!$C$120,COUNTIF(PAY,C1053)=1),OP!$C$123,0)</f>
        <v>0</v>
      </c>
      <c r="AV1053" s="298">
        <f ca="1">IF(AND(A1053&gt;=OP!$C$132,A1053&lt;=OP!$C$133,$C$3=C1053),OP!$C$135,0)</f>
        <v>0</v>
      </c>
      <c r="AW1053" s="180">
        <f t="shared" ca="1" si="600"/>
        <v>0.05</v>
      </c>
      <c r="AX1053" s="180">
        <f t="shared" ca="1" si="601"/>
        <v>0.05</v>
      </c>
      <c r="AY1053" s="286">
        <f t="shared" ca="1" si="602"/>
        <v>0</v>
      </c>
      <c r="AZ1053" s="286">
        <f t="shared" ca="1" si="603"/>
        <v>0</v>
      </c>
      <c r="BA1053" s="286">
        <f t="shared" ca="1" si="604"/>
        <v>0</v>
      </c>
      <c r="BB1053" s="286">
        <f t="shared" ca="1" si="605"/>
        <v>0</v>
      </c>
      <c r="BC1053" s="286">
        <f t="shared" ca="1" si="606"/>
        <v>0</v>
      </c>
      <c r="BD1053" s="180">
        <f t="shared" ca="1" si="607"/>
        <v>0.05</v>
      </c>
      <c r="BE1053" s="180">
        <f t="shared" ca="1" si="608"/>
        <v>0.05</v>
      </c>
      <c r="BF1053" s="286">
        <f t="shared" ca="1" si="609"/>
        <v>0</v>
      </c>
      <c r="BG1053" s="286">
        <f t="shared" ca="1" si="610"/>
        <v>0</v>
      </c>
    </row>
    <row r="1054" spans="1:59">
      <c r="A1054" s="1">
        <f t="shared" ca="1" si="590"/>
        <v>88</v>
      </c>
      <c r="B1054" s="1">
        <f t="shared" ca="1" si="619"/>
        <v>193</v>
      </c>
      <c r="C1054" s="1">
        <f t="shared" ca="1" si="620"/>
        <v>12</v>
      </c>
      <c r="D1054" s="1">
        <f ca="1">MIN($D$3,VLOOKUP(C1054,OP!$S$30:$T$41,2))</f>
        <v>2</v>
      </c>
      <c r="E1054" s="1" t="str">
        <f t="shared" ca="1" si="616"/>
        <v/>
      </c>
      <c r="F1054" s="11" t="str">
        <f t="shared" ca="1" si="591"/>
        <v/>
      </c>
      <c r="G1054" s="8">
        <f t="shared" ca="1" si="615"/>
        <v>365</v>
      </c>
      <c r="H1054" s="8">
        <f t="shared" ca="1" si="592"/>
        <v>31</v>
      </c>
      <c r="I1054" s="8" t="str">
        <f t="shared" ca="1" si="589"/>
        <v>8812</v>
      </c>
      <c r="J1054" s="13">
        <f>IF(繳費報酬率資料!$A$1=1,VALUE(OP!$C$121),VLOOKUP(A1054,MP,2,0))</f>
        <v>0.05</v>
      </c>
      <c r="K1054" s="14">
        <f ca="1">IF(SUM($K$4:K1053,IF(繳費報酬率資料!$A$1=1,$AU1054+$AV1054,$BB1054+$BC1054))&gt;OP!$L$58,0,IF(繳費報酬率資料!$A$1=1,$AU1054+$AV1054,$BB1054+$BC1054))</f>
        <v>0</v>
      </c>
      <c r="L1054" s="2"/>
      <c r="M1054" s="2"/>
      <c r="N1054" s="2"/>
      <c r="O1054" s="261">
        <f t="shared" ca="1" si="593"/>
        <v>0</v>
      </c>
      <c r="P1054" s="261">
        <f t="shared" ca="1" si="611"/>
        <v>0</v>
      </c>
      <c r="Q1054" s="3">
        <f ca="1">IF(A1054&gt;MAX(OP!$R$17:$R$26),0,VLOOKUP(A1054,fees,3,FALSE))</f>
        <v>0</v>
      </c>
      <c r="R1054" s="200" t="str">
        <f t="shared" ca="1" si="594"/>
        <v/>
      </c>
      <c r="S1054" s="9" t="str">
        <f ca="1">IF(COUNTIF(($T$4:T1053),"F")&gt;=1,"",IF(OR(C1055&lt;&gt;$C$3,E1054=""),"",A1054))</f>
        <v/>
      </c>
      <c r="T1054" s="20" t="str">
        <f t="shared" ca="1" si="617"/>
        <v/>
      </c>
      <c r="U1054" s="2">
        <f ca="1">IF(IF(OP!$C$83=1,$Z1053,IF(OP!$C$83=2,$AA1053,IF(OP!$C$83=3,$AB1053,)))+$K1054-$O1054-$P1054-$AS1054&lt;OP!$C$142,0,$AS1054)</f>
        <v>0</v>
      </c>
      <c r="V1054" s="9"/>
      <c r="W1054" s="19">
        <f ca="1">MAX(SUM($K$4:K1054),0)</f>
        <v>2000000</v>
      </c>
      <c r="X1054" s="19"/>
      <c r="Y1054" s="19">
        <f t="shared" ca="1" si="612"/>
        <v>1920000</v>
      </c>
      <c r="Z1054" s="2">
        <f ca="1">IF(MIN($Z$4:Z1053)=0,0,MAX(0,($Z1053+$K1054-$O1054-$P1054)*IF(AND(F1054="F",$D$3&lt;&gt;$G$3),((1+(-J1054))^(H1054/MIN(G1054,365))),((1+(-J1054))^(1/12)))-$U1054))</f>
        <v>21491.183148568522</v>
      </c>
      <c r="AA1054" s="2">
        <f ca="1">IF(MIN($AA$4:AA1053)=0,0,MAX(0,($AA1053+$K1054-$O1054-$P1054)*IF(AND(F1054="F",$D$3&lt;&gt;$G$3),((1+$AA$1)^(H1054/MIN(G1054,365))),((1+$AA$1)^(1/12)))-$U1054))</f>
        <v>1920000</v>
      </c>
      <c r="AB1054" s="2">
        <f ca="1">IF(MIN($AB$4:AB1053)=0,0,MAX(0,($AB1053+$K1054-$O1054-$P1054)*IF(AND(F1054="F",$D$3&lt;&gt;$G$3),((1+(J1054))^(H1054/MIN(G1054,365))),((1+(J1054))^(1/12)))-$U1054))</f>
        <v>137762391.14858809</v>
      </c>
      <c r="AC1054" s="5"/>
      <c r="AD1054" s="5"/>
      <c r="AE1054" s="5"/>
      <c r="AF1054" s="282">
        <f t="shared" ca="1" si="595"/>
        <v>21491</v>
      </c>
      <c r="AG1054" s="282">
        <f t="shared" ca="1" si="596"/>
        <v>1920000</v>
      </c>
      <c r="AH1054" s="282">
        <f t="shared" ca="1" si="597"/>
        <v>137762391</v>
      </c>
      <c r="AI1054" s="23" t="str">
        <f t="shared" ca="1" si="613"/>
        <v>88-8</v>
      </c>
      <c r="AJ1054" s="282">
        <f ca="1">IF(E1054&gt;111,,IF(AND(OP!$C$99=1,T1054="F"),Z1054,IF(AND(OP!$C$99=2,COUNTIF($T$4:T1054,"F")=1),OP!$C$97+IF(F1054="F",OP!$C$98,0),"")))</f>
        <v>0</v>
      </c>
      <c r="AK1054" s="282">
        <f ca="1">IF(E1054&gt;111,,IF(AND(OP!$D$99=1,T1054="F"),AA1054,IF(AND(OP!$D$99=2,COUNTIF($T$4:T1054,"F")=1),OP!$D$97+IF(F1054="F",OP!$D$98,0),"")))</f>
        <v>0</v>
      </c>
      <c r="AL1054" s="282">
        <f ca="1">IF(E1054&gt;111,,IF(AND(OP!$E$99=1,T1054="F"),AB1054,IF(AND(OP!$E$99=2,COUNTIF($T$4:T1054,"F")=1),OP!$E$97+IF(F1054="F",OP!$E$98,0),"")))</f>
        <v>0</v>
      </c>
      <c r="AM1054" s="1">
        <f t="shared" ca="1" si="618"/>
        <v>8</v>
      </c>
      <c r="AN1054" s="1" t="e">
        <f ca="1">IF(OR(VLOOKUP($A1054,MP,5,0)="半年繳",VLOOKUP($A1054,MP,5,0)="季繳",VLOOKUP($A1054,MP,5,0)="月繳"),1,"")</f>
        <v>#N/A</v>
      </c>
      <c r="AO1054" s="1">
        <f t="shared" ca="1" si="598"/>
        <v>0</v>
      </c>
      <c r="AP1054" s="1" t="str">
        <f ca="1">IF(AND(A1054&lt;=OP!$C$120,COUNTIF(PAY,C1054)=1),1,"")</f>
        <v/>
      </c>
      <c r="AR1054" s="301">
        <f ca="1">IF(繳費報酬率資料!$A$1=1,$AY1054+$AZ1054,$BF1054+$BG1054)</f>
        <v>0</v>
      </c>
      <c r="AS1054" s="1">
        <f ca="1">IF(C1054&lt;&gt;IF($C$3=1,12,$C$3-1),0,IF(繳費報酬率資料!$A$1&lt;&gt;1,VLOOKUP($A1054,MP,8,0),IF(AND($A1054&gt;=OP!$C$79,$A1054&lt;=OP!$C$80),OP!$C$78,)))</f>
        <v>0</v>
      </c>
      <c r="AT1054" s="298">
        <f t="shared" ca="1" si="599"/>
        <v>0</v>
      </c>
      <c r="AU1054" s="298">
        <f ca="1">IF(AND(A1054&lt;=OP!$C$120,COUNTIF(PAY,C1054)=1),OP!$C$123,0)</f>
        <v>0</v>
      </c>
      <c r="AV1054" s="298">
        <f ca="1">IF(AND(A1054&gt;=OP!$C$132,A1054&lt;=OP!$C$133,$C$3=C1054),OP!$C$135,0)</f>
        <v>0</v>
      </c>
      <c r="AW1054" s="180">
        <f t="shared" ca="1" si="600"/>
        <v>0.05</v>
      </c>
      <c r="AX1054" s="180">
        <f t="shared" ca="1" si="601"/>
        <v>0.05</v>
      </c>
      <c r="AY1054" s="286">
        <f t="shared" ca="1" si="602"/>
        <v>0</v>
      </c>
      <c r="AZ1054" s="286">
        <f t="shared" ca="1" si="603"/>
        <v>0</v>
      </c>
      <c r="BA1054" s="286">
        <f t="shared" ca="1" si="604"/>
        <v>0</v>
      </c>
      <c r="BB1054" s="286">
        <f t="shared" ca="1" si="605"/>
        <v>0</v>
      </c>
      <c r="BC1054" s="286">
        <f t="shared" ca="1" si="606"/>
        <v>0</v>
      </c>
      <c r="BD1054" s="180">
        <f t="shared" ca="1" si="607"/>
        <v>0.05</v>
      </c>
      <c r="BE1054" s="180">
        <f t="shared" ca="1" si="608"/>
        <v>0.05</v>
      </c>
      <c r="BF1054" s="286">
        <f t="shared" ca="1" si="609"/>
        <v>0</v>
      </c>
      <c r="BG1054" s="286">
        <f t="shared" ca="1" si="610"/>
        <v>0</v>
      </c>
    </row>
    <row r="1055" spans="1:59">
      <c r="A1055" s="1">
        <f t="shared" ca="1" si="590"/>
        <v>88</v>
      </c>
      <c r="B1055" s="1">
        <f t="shared" ca="1" si="619"/>
        <v>194</v>
      </c>
      <c r="C1055" s="1">
        <f t="shared" ca="1" si="620"/>
        <v>1</v>
      </c>
      <c r="D1055" s="1">
        <f ca="1">MIN($D$3,VLOOKUP(C1055,OP!$S$30:$T$41,2))</f>
        <v>2</v>
      </c>
      <c r="E1055" s="1" t="str">
        <f t="shared" ca="1" si="616"/>
        <v/>
      </c>
      <c r="F1055" s="11" t="str">
        <f t="shared" ca="1" si="591"/>
        <v/>
      </c>
      <c r="G1055" s="8">
        <f t="shared" ca="1" si="615"/>
        <v>365</v>
      </c>
      <c r="H1055" s="8">
        <f t="shared" ca="1" si="592"/>
        <v>31</v>
      </c>
      <c r="I1055" s="8" t="str">
        <f t="shared" ca="1" si="589"/>
        <v>881</v>
      </c>
      <c r="J1055" s="13">
        <f>IF(繳費報酬率資料!$A$1=1,VALUE(OP!$C$121),VLOOKUP(A1055,MP,2,0))</f>
        <v>0.05</v>
      </c>
      <c r="K1055" s="14">
        <f ca="1">IF(SUM($K$4:K1054,IF(繳費報酬率資料!$A$1=1,$AU1055+$AV1055,$BB1055+$BC1055))&gt;OP!$L$58,0,IF(繳費報酬率資料!$A$1=1,$AU1055+$AV1055,$BB1055+$BC1055))</f>
        <v>0</v>
      </c>
      <c r="L1055" s="2"/>
      <c r="M1055" s="2"/>
      <c r="N1055" s="2"/>
      <c r="O1055" s="261">
        <f t="shared" ca="1" si="593"/>
        <v>0</v>
      </c>
      <c r="P1055" s="261">
        <f t="shared" ca="1" si="611"/>
        <v>0</v>
      </c>
      <c r="Q1055" s="3">
        <f ca="1">IF(A1055&gt;MAX(OP!$R$17:$R$26),0,VLOOKUP(A1055,fees,3,FALSE))</f>
        <v>0</v>
      </c>
      <c r="R1055" s="200" t="str">
        <f t="shared" ca="1" si="594"/>
        <v/>
      </c>
      <c r="S1055" s="9" t="str">
        <f ca="1">IF(COUNTIF(($T$4:T1054),"F")&gt;=1,"",IF(OR(C1056&lt;&gt;$C$3,E1055=""),"",A1055))</f>
        <v/>
      </c>
      <c r="T1055" s="20" t="str">
        <f t="shared" ca="1" si="617"/>
        <v/>
      </c>
      <c r="U1055" s="2">
        <f ca="1">IF(IF(OP!$C$83=1,$Z1054,IF(OP!$C$83=2,$AA1054,IF(OP!$C$83=3,$AB1054,)))+$K1055-$O1055-$P1055-$AS1055&lt;OP!$C$142,0,$AS1055)</f>
        <v>0</v>
      </c>
      <c r="V1055" s="9"/>
      <c r="W1055" s="19">
        <f ca="1">MAX(SUM($K$4:K1055),0)</f>
        <v>2000000</v>
      </c>
      <c r="X1055" s="19"/>
      <c r="Y1055" s="19">
        <f t="shared" ca="1" si="612"/>
        <v>1920000</v>
      </c>
      <c r="Z1055" s="2">
        <f ca="1">IF(MIN($Z$4:Z1054)=0,0,MAX(0,($Z1054+$K1055-$O1055-$P1055)*IF(AND(F1055="F",$D$3&lt;&gt;$G$3),((1+(-J1055))^(H1055/MIN(G1055,365))),((1+(-J1055))^(1/12)))-$U1055))</f>
        <v>21399.516401532936</v>
      </c>
      <c r="AA1055" s="2">
        <f ca="1">IF(MIN($AA$4:AA1054)=0,0,MAX(0,($AA1054+$K1055-$O1055-$P1055)*IF(AND(F1055="F",$D$3&lt;&gt;$G$3),((1+$AA$1)^(H1055/MIN(G1055,365))),((1+$AA$1)^(1/12)))-$U1055))</f>
        <v>1920000</v>
      </c>
      <c r="AB1055" s="2">
        <f ca="1">IF(MIN($AB$4:AB1054)=0,0,MAX(0,($AB1054+$K1055-$O1055-$P1055)*IF(AND(F1055="F",$D$3&lt;&gt;$G$3),((1+(J1055))^(H1055/MIN(G1055,365))),((1+(J1055))^(1/12)))-$U1055))</f>
        <v>138323652.18285882</v>
      </c>
      <c r="AC1055" s="5"/>
      <c r="AD1055" s="5"/>
      <c r="AE1055" s="5"/>
      <c r="AF1055" s="282">
        <f t="shared" ca="1" si="595"/>
        <v>21400</v>
      </c>
      <c r="AG1055" s="282">
        <f t="shared" ca="1" si="596"/>
        <v>1920000</v>
      </c>
      <c r="AH1055" s="282">
        <f t="shared" ca="1" si="597"/>
        <v>138323652</v>
      </c>
      <c r="AI1055" s="23" t="str">
        <f t="shared" ca="1" si="613"/>
        <v>88-9</v>
      </c>
      <c r="AJ1055" s="282">
        <f ca="1">IF(E1055&gt;111,,IF(AND(OP!$C$99=1,T1055="F"),Z1055,IF(AND(OP!$C$99=2,COUNTIF($T$4:T1055,"F")=1),OP!$C$97+IF(F1055="F",OP!$C$98,0),"")))</f>
        <v>0</v>
      </c>
      <c r="AK1055" s="282">
        <f ca="1">IF(E1055&gt;111,,IF(AND(OP!$D$99=1,T1055="F"),AA1055,IF(AND(OP!$D$99=2,COUNTIF($T$4:T1055,"F")=1),OP!$D$97+IF(F1055="F",OP!$D$98,0),"")))</f>
        <v>0</v>
      </c>
      <c r="AL1055" s="282">
        <f ca="1">IF(E1055&gt;111,,IF(AND(OP!$E$99=1,T1055="F"),AB1055,IF(AND(OP!$E$99=2,COUNTIF($T$4:T1055,"F")=1),OP!$E$97+IF(F1055="F",OP!$E$98,0),"")))</f>
        <v>0</v>
      </c>
      <c r="AM1055" s="1">
        <f t="shared" ca="1" si="618"/>
        <v>9</v>
      </c>
      <c r="AN1055" s="1" t="e">
        <f ca="1">IF(OR(VLOOKUP($A1055,MP,5,0)="月繳"),1,"")</f>
        <v>#N/A</v>
      </c>
      <c r="AO1055" s="1">
        <f t="shared" ca="1" si="598"/>
        <v>0</v>
      </c>
      <c r="AP1055" s="1" t="str">
        <f ca="1">IF(AND(A1055&lt;=OP!$C$120,COUNTIF(PAY,C1055)=1),1,"")</f>
        <v/>
      </c>
      <c r="AR1055" s="301">
        <f ca="1">IF(繳費報酬率資料!$A$1=1,$AY1055+$AZ1055,$BF1055+$BG1055)</f>
        <v>0</v>
      </c>
      <c r="AS1055" s="1">
        <f ca="1">IF(C1055&lt;&gt;IF($C$3=1,12,$C$3-1),0,IF(繳費報酬率資料!$A$1&lt;&gt;1,VLOOKUP($A1055,MP,8,0),IF(AND($A1055&gt;=OP!$C$79,$A1055&lt;=OP!$C$80),OP!$C$78,)))</f>
        <v>0</v>
      </c>
      <c r="AT1055" s="298">
        <f t="shared" ca="1" si="599"/>
        <v>0</v>
      </c>
      <c r="AU1055" s="298">
        <f ca="1">IF(AND(A1055&lt;=OP!$C$120,COUNTIF(PAY,C1055)=1),OP!$C$123,0)</f>
        <v>0</v>
      </c>
      <c r="AV1055" s="298">
        <f ca="1">IF(AND(A1055&gt;=OP!$C$132,A1055&lt;=OP!$C$133,$C$3=C1055),OP!$C$135,0)</f>
        <v>0</v>
      </c>
      <c r="AW1055" s="180">
        <f t="shared" ca="1" si="600"/>
        <v>0.05</v>
      </c>
      <c r="AX1055" s="180">
        <f t="shared" ca="1" si="601"/>
        <v>0.05</v>
      </c>
      <c r="AY1055" s="286">
        <f t="shared" ca="1" si="602"/>
        <v>0</v>
      </c>
      <c r="AZ1055" s="286">
        <f t="shared" ca="1" si="603"/>
        <v>0</v>
      </c>
      <c r="BA1055" s="286">
        <f t="shared" ca="1" si="604"/>
        <v>0</v>
      </c>
      <c r="BB1055" s="286">
        <f t="shared" ca="1" si="605"/>
        <v>0</v>
      </c>
      <c r="BC1055" s="286">
        <f t="shared" ca="1" si="606"/>
        <v>0</v>
      </c>
      <c r="BD1055" s="180">
        <f t="shared" ca="1" si="607"/>
        <v>0.05</v>
      </c>
      <c r="BE1055" s="180">
        <f t="shared" ca="1" si="608"/>
        <v>0.05</v>
      </c>
      <c r="BF1055" s="286">
        <f t="shared" ca="1" si="609"/>
        <v>0</v>
      </c>
      <c r="BG1055" s="286">
        <f t="shared" ca="1" si="610"/>
        <v>0</v>
      </c>
    </row>
    <row r="1056" spans="1:59">
      <c r="A1056" s="1">
        <f t="shared" ca="1" si="590"/>
        <v>88</v>
      </c>
      <c r="B1056" s="1">
        <f t="shared" ca="1" si="619"/>
        <v>194</v>
      </c>
      <c r="C1056" s="1">
        <f t="shared" ca="1" si="620"/>
        <v>2</v>
      </c>
      <c r="D1056" s="1">
        <f ca="1">MIN($D$3,VLOOKUP(C1056,OP!$S$30:$T$41,2))</f>
        <v>2</v>
      </c>
      <c r="E1056" s="1" t="str">
        <f t="shared" ca="1" si="616"/>
        <v/>
      </c>
      <c r="F1056" s="11" t="str">
        <f t="shared" ca="1" si="591"/>
        <v/>
      </c>
      <c r="G1056" s="8">
        <f t="shared" ca="1" si="615"/>
        <v>365</v>
      </c>
      <c r="H1056" s="8">
        <f t="shared" ca="1" si="592"/>
        <v>28</v>
      </c>
      <c r="I1056" s="8" t="str">
        <f t="shared" ca="1" si="589"/>
        <v>882</v>
      </c>
      <c r="J1056" s="13">
        <f>IF(繳費報酬率資料!$A$1=1,VALUE(OP!$C$121),VLOOKUP(A1056,MP,2,0))</f>
        <v>0.05</v>
      </c>
      <c r="K1056" s="14">
        <f ca="1">IF(SUM($K$4:K1055,IF(繳費報酬率資料!$A$1=1,$AU1056+$AV1056,$BB1056+$BC1056))&gt;OP!$L$58,0,IF(繳費報酬率資料!$A$1=1,$AU1056+$AV1056,$BB1056+$BC1056))</f>
        <v>0</v>
      </c>
      <c r="L1056" s="2"/>
      <c r="M1056" s="2"/>
      <c r="N1056" s="2"/>
      <c r="O1056" s="261">
        <f t="shared" ca="1" si="593"/>
        <v>0</v>
      </c>
      <c r="P1056" s="261">
        <f t="shared" ca="1" si="611"/>
        <v>0</v>
      </c>
      <c r="Q1056" s="3">
        <f ca="1">IF(A1056&gt;MAX(OP!$R$17:$R$26),0,VLOOKUP(A1056,fees,3,FALSE))</f>
        <v>0</v>
      </c>
      <c r="R1056" s="200" t="str">
        <f t="shared" ca="1" si="594"/>
        <v/>
      </c>
      <c r="S1056" s="9" t="str">
        <f ca="1">IF(COUNTIF(($T$4:T1055),"F")&gt;=1,"",IF(OR(C1057&lt;&gt;$C$3,E1056=""),"",A1056))</f>
        <v/>
      </c>
      <c r="T1056" s="20" t="str">
        <f t="shared" ca="1" si="617"/>
        <v/>
      </c>
      <c r="U1056" s="2">
        <f ca="1">IF(IF(OP!$C$83=1,$Z1055,IF(OP!$C$83=2,$AA1055,IF(OP!$C$83=3,$AB1055,)))+$K1056-$O1056-$P1056-$AS1056&lt;OP!$C$142,0,$AS1056)</f>
        <v>0</v>
      </c>
      <c r="V1056" s="9"/>
      <c r="W1056" s="19">
        <f ca="1">MAX(SUM($K$4:K1056),0)</f>
        <v>2000000</v>
      </c>
      <c r="X1056" s="19"/>
      <c r="Y1056" s="19">
        <f t="shared" ca="1" si="612"/>
        <v>1920000</v>
      </c>
      <c r="Z1056" s="2">
        <f ca="1">IF(MIN($Z$4:Z1055)=0,0,MAX(0,($Z1055+$K1056-$O1056-$P1056)*IF(AND(F1056="F",$D$3&lt;&gt;$G$3),((1+(-J1056))^(H1056/MIN(G1056,365))),((1+(-J1056))^(1/12)))-$U1056))</f>
        <v>21308.240642394761</v>
      </c>
      <c r="AA1056" s="2">
        <f ca="1">IF(MIN($AA$4:AA1055)=0,0,MAX(0,($AA1055+$K1056-$O1056-$P1056)*IF(AND(F1056="F",$D$3&lt;&gt;$G$3),((1+$AA$1)^(H1056/MIN(G1056,365))),((1+$AA$1)^(1/12)))-$U1056))</f>
        <v>1920000</v>
      </c>
      <c r="AB1056" s="2">
        <f ca="1">IF(MIN($AB$4:AB1055)=0,0,MAX(0,($AB1055+$K1056-$O1056-$P1056)*IF(AND(F1056="F",$D$3&lt;&gt;$G$3),((1+(J1056))^(H1056/MIN(G1056,365))),((1+(J1056))^(1/12)))-$U1056))</f>
        <v>138887199.86405811</v>
      </c>
      <c r="AC1056" s="5"/>
      <c r="AD1056" s="5"/>
      <c r="AE1056" s="5"/>
      <c r="AF1056" s="282">
        <f t="shared" ca="1" si="595"/>
        <v>21308</v>
      </c>
      <c r="AG1056" s="282">
        <f t="shared" ca="1" si="596"/>
        <v>1920000</v>
      </c>
      <c r="AH1056" s="282">
        <f t="shared" ca="1" si="597"/>
        <v>138887200</v>
      </c>
      <c r="AI1056" s="23" t="str">
        <f t="shared" ca="1" si="613"/>
        <v>88-10</v>
      </c>
      <c r="AJ1056" s="282">
        <f ca="1">IF(E1056&gt;111,,IF(AND(OP!$C$99=1,T1056="F"),Z1056,IF(AND(OP!$C$99=2,COUNTIF($T$4:T1056,"F")=1),OP!$C$97+IF(F1056="F",OP!$C$98,0),"")))</f>
        <v>0</v>
      </c>
      <c r="AK1056" s="282">
        <f ca="1">IF(E1056&gt;111,,IF(AND(OP!$D$99=1,T1056="F"),AA1056,IF(AND(OP!$D$99=2,COUNTIF($T$4:T1056,"F")=1),OP!$D$97+IF(F1056="F",OP!$D$98,0),"")))</f>
        <v>0</v>
      </c>
      <c r="AL1056" s="282">
        <f ca="1">IF(E1056&gt;111,,IF(AND(OP!$E$99=1,T1056="F"),AB1056,IF(AND(OP!$E$99=2,COUNTIF($T$4:T1056,"F")=1),OP!$E$97+IF(F1056="F",OP!$E$98,0),"")))</f>
        <v>0</v>
      </c>
      <c r="AM1056" s="1">
        <f t="shared" ca="1" si="618"/>
        <v>10</v>
      </c>
      <c r="AN1056" s="1" t="e">
        <f ca="1">IF(OR(VLOOKUP($A1056,MP,5,0)="月繳"),1,"")</f>
        <v>#N/A</v>
      </c>
      <c r="AO1056" s="1">
        <f t="shared" ca="1" si="598"/>
        <v>0</v>
      </c>
      <c r="AP1056" s="1" t="str">
        <f ca="1">IF(AND(A1056&lt;=OP!$C$120,COUNTIF(PAY,C1056)=1),1,"")</f>
        <v/>
      </c>
      <c r="AR1056" s="301">
        <f ca="1">IF(繳費報酬率資料!$A$1=1,$AY1056+$AZ1056,$BF1056+$BG1056)</f>
        <v>0</v>
      </c>
      <c r="AS1056" s="1">
        <f ca="1">IF(C1056&lt;&gt;IF($C$3=1,12,$C$3-1),0,IF(繳費報酬率資料!$A$1&lt;&gt;1,VLOOKUP($A1056,MP,8,0),IF(AND($A1056&gt;=OP!$C$79,$A1056&lt;=OP!$C$80),OP!$C$78,)))</f>
        <v>0</v>
      </c>
      <c r="AT1056" s="298">
        <f t="shared" ca="1" si="599"/>
        <v>0</v>
      </c>
      <c r="AU1056" s="298">
        <f ca="1">IF(AND(A1056&lt;=OP!$C$120,COUNTIF(PAY,C1056)=1),OP!$C$123,0)</f>
        <v>0</v>
      </c>
      <c r="AV1056" s="298">
        <f ca="1">IF(AND(A1056&gt;=OP!$C$132,A1056&lt;=OP!$C$133,$C$3=C1056),OP!$C$135,0)</f>
        <v>0</v>
      </c>
      <c r="AW1056" s="180">
        <f t="shared" ca="1" si="600"/>
        <v>0.05</v>
      </c>
      <c r="AX1056" s="180">
        <f t="shared" ca="1" si="601"/>
        <v>0.05</v>
      </c>
      <c r="AY1056" s="286">
        <f t="shared" ca="1" si="602"/>
        <v>0</v>
      </c>
      <c r="AZ1056" s="286">
        <f t="shared" ca="1" si="603"/>
        <v>0</v>
      </c>
      <c r="BA1056" s="286">
        <f t="shared" ca="1" si="604"/>
        <v>0</v>
      </c>
      <c r="BB1056" s="286">
        <f t="shared" ca="1" si="605"/>
        <v>0</v>
      </c>
      <c r="BC1056" s="286">
        <f t="shared" ca="1" si="606"/>
        <v>0</v>
      </c>
      <c r="BD1056" s="180">
        <f t="shared" ca="1" si="607"/>
        <v>0.05</v>
      </c>
      <c r="BE1056" s="180">
        <f t="shared" ca="1" si="608"/>
        <v>0.05</v>
      </c>
      <c r="BF1056" s="286">
        <f t="shared" ca="1" si="609"/>
        <v>0</v>
      </c>
      <c r="BG1056" s="286">
        <f t="shared" ca="1" si="610"/>
        <v>0</v>
      </c>
    </row>
    <row r="1057" spans="1:59">
      <c r="A1057" s="1">
        <f t="shared" ca="1" si="590"/>
        <v>88</v>
      </c>
      <c r="B1057" s="1">
        <f t="shared" ca="1" si="619"/>
        <v>194</v>
      </c>
      <c r="C1057" s="1">
        <f t="shared" ca="1" si="620"/>
        <v>3</v>
      </c>
      <c r="D1057" s="1">
        <f ca="1">MIN($D$3,VLOOKUP(C1057,OP!$S$30:$T$41,2))</f>
        <v>2</v>
      </c>
      <c r="E1057" s="1" t="str">
        <f t="shared" ca="1" si="616"/>
        <v/>
      </c>
      <c r="F1057" s="11" t="str">
        <f t="shared" ca="1" si="591"/>
        <v/>
      </c>
      <c r="G1057" s="8">
        <f t="shared" ca="1" si="615"/>
        <v>365</v>
      </c>
      <c r="H1057" s="8">
        <f t="shared" ca="1" si="592"/>
        <v>31</v>
      </c>
      <c r="I1057" s="8" t="str">
        <f t="shared" ca="1" si="589"/>
        <v>883</v>
      </c>
      <c r="J1057" s="13">
        <f>IF(繳費報酬率資料!$A$1=1,VALUE(OP!$C$121),VLOOKUP(A1057,MP,2,0))</f>
        <v>0.05</v>
      </c>
      <c r="K1057" s="14">
        <f ca="1">IF(SUM($K$4:K1056,IF(繳費報酬率資料!$A$1=1,$AU1057+$AV1057,$BB1057+$BC1057))&gt;OP!$L$58,0,IF(繳費報酬率資料!$A$1=1,$AU1057+$AV1057,$BB1057+$BC1057))</f>
        <v>0</v>
      </c>
      <c r="L1057" s="2"/>
      <c r="M1057" s="2"/>
      <c r="N1057" s="2"/>
      <c r="O1057" s="261">
        <f t="shared" ca="1" si="593"/>
        <v>0</v>
      </c>
      <c r="P1057" s="261">
        <f t="shared" ca="1" si="611"/>
        <v>0</v>
      </c>
      <c r="Q1057" s="3">
        <f ca="1">IF(A1057&gt;MAX(OP!$R$17:$R$26),0,VLOOKUP(A1057,fees,3,FALSE))</f>
        <v>0</v>
      </c>
      <c r="R1057" s="200" t="str">
        <f t="shared" ca="1" si="594"/>
        <v/>
      </c>
      <c r="S1057" s="9" t="str">
        <f ca="1">IF(COUNTIF(($T$4:T1056),"F")&gt;=1,"",IF(OR(C1058&lt;&gt;$C$3,E1057=""),"",A1057))</f>
        <v/>
      </c>
      <c r="T1057" s="20" t="str">
        <f t="shared" ca="1" si="617"/>
        <v/>
      </c>
      <c r="U1057" s="2">
        <f ca="1">IF(IF(OP!$C$83=1,$Z1056,IF(OP!$C$83=2,$AA1056,IF(OP!$C$83=3,$AB1056,)))+$K1057-$O1057-$P1057-$AS1057&lt;OP!$C$142,0,$AS1057)</f>
        <v>0</v>
      </c>
      <c r="V1057" s="9"/>
      <c r="W1057" s="19">
        <f ca="1">MAX(SUM($K$4:K1057),0)</f>
        <v>2000000</v>
      </c>
      <c r="X1057" s="19"/>
      <c r="Y1057" s="19">
        <f t="shared" ca="1" si="612"/>
        <v>1920000</v>
      </c>
      <c r="Z1057" s="2">
        <f ca="1">IF(MIN($Z$4:Z1056)=0,0,MAX(0,($Z1056+$K1057-$O1057-$P1057)*IF(AND(F1057="F",$D$3&lt;&gt;$G$3),((1+(-J1057))^(H1057/MIN(G1057,365))),((1+(-J1057))^(1/12)))-$U1057))</f>
        <v>21217.354203465973</v>
      </c>
      <c r="AA1057" s="2">
        <f ca="1">IF(MIN($AA$4:AA1056)=0,0,MAX(0,($AA1056+$K1057-$O1057-$P1057)*IF(AND(F1057="F",$D$3&lt;&gt;$G$3),((1+$AA$1)^(H1057/MIN(G1057,365))),((1+$AA$1)^(1/12)))-$U1057))</f>
        <v>1920000</v>
      </c>
      <c r="AB1057" s="2">
        <f ca="1">IF(MIN($AB$4:AB1056)=0,0,MAX(0,($AB1056+$K1057-$O1057-$P1057)*IF(AND(F1057="F",$D$3&lt;&gt;$G$3),((1+(J1057))^(H1057/MIN(G1057,365))),((1+(J1057))^(1/12)))-$U1057))</f>
        <v>139453043.50826859</v>
      </c>
      <c r="AC1057" s="5"/>
      <c r="AD1057" s="5"/>
      <c r="AE1057" s="5"/>
      <c r="AF1057" s="282">
        <f t="shared" ca="1" si="595"/>
        <v>21217</v>
      </c>
      <c r="AG1057" s="282">
        <f t="shared" ca="1" si="596"/>
        <v>1920000</v>
      </c>
      <c r="AH1057" s="282">
        <f t="shared" ca="1" si="597"/>
        <v>139453044</v>
      </c>
      <c r="AI1057" s="23" t="str">
        <f t="shared" ca="1" si="613"/>
        <v>88-11</v>
      </c>
      <c r="AJ1057" s="282">
        <f ca="1">IF(E1057&gt;111,,IF(AND(OP!$C$99=1,T1057="F"),Z1057,IF(AND(OP!$C$99=2,COUNTIF($T$4:T1057,"F")=1),OP!$C$97+IF(F1057="F",OP!$C$98,0),"")))</f>
        <v>0</v>
      </c>
      <c r="AK1057" s="282">
        <f ca="1">IF(E1057&gt;111,,IF(AND(OP!$D$99=1,T1057="F"),AA1057,IF(AND(OP!$D$99=2,COUNTIF($T$4:T1057,"F")=1),OP!$D$97+IF(F1057="F",OP!$D$98,0),"")))</f>
        <v>0</v>
      </c>
      <c r="AL1057" s="282">
        <f ca="1">IF(E1057&gt;111,,IF(AND(OP!$E$99=1,T1057="F"),AB1057,IF(AND(OP!$E$99=2,COUNTIF($T$4:T1057,"F")=1),OP!$E$97+IF(F1057="F",OP!$E$98,0),"")))</f>
        <v>0</v>
      </c>
      <c r="AM1057" s="1">
        <f t="shared" ca="1" si="618"/>
        <v>11</v>
      </c>
      <c r="AN1057" s="1" t="e">
        <f ca="1">IF(OR(VLOOKUP($A1057,MP,5,0)="季繳",VLOOKUP($A1057,MP,5,0)="月繳"),1,"")</f>
        <v>#N/A</v>
      </c>
      <c r="AO1057" s="1">
        <f t="shared" ca="1" si="598"/>
        <v>0</v>
      </c>
      <c r="AP1057" s="1" t="str">
        <f ca="1">IF(AND(A1057&lt;=OP!$C$120,COUNTIF(PAY,C1057)=1),1,"")</f>
        <v/>
      </c>
      <c r="AR1057" s="301">
        <f ca="1">IF(繳費報酬率資料!$A$1=1,$AY1057+$AZ1057,$BF1057+$BG1057)</f>
        <v>0</v>
      </c>
      <c r="AS1057" s="1">
        <f ca="1">IF(C1057&lt;&gt;IF($C$3=1,12,$C$3-1),0,IF(繳費報酬率資料!$A$1&lt;&gt;1,VLOOKUP($A1057,MP,8,0),IF(AND($A1057&gt;=OP!$C$79,$A1057&lt;=OP!$C$80),OP!$C$78,)))</f>
        <v>0</v>
      </c>
      <c r="AT1057" s="298">
        <f t="shared" ca="1" si="599"/>
        <v>0</v>
      </c>
      <c r="AU1057" s="298">
        <f ca="1">IF(AND(A1057&lt;=OP!$C$120,COUNTIF(PAY,C1057)=1),OP!$C$123,0)</f>
        <v>0</v>
      </c>
      <c r="AV1057" s="298">
        <f ca="1">IF(AND(A1057&gt;=OP!$C$132,A1057&lt;=OP!$C$133,$C$3=C1057),OP!$C$135,0)</f>
        <v>0</v>
      </c>
      <c r="AW1057" s="180">
        <f t="shared" ca="1" si="600"/>
        <v>0.05</v>
      </c>
      <c r="AX1057" s="180">
        <f t="shared" ca="1" si="601"/>
        <v>0.05</v>
      </c>
      <c r="AY1057" s="286">
        <f t="shared" ca="1" si="602"/>
        <v>0</v>
      </c>
      <c r="AZ1057" s="286">
        <f t="shared" ca="1" si="603"/>
        <v>0</v>
      </c>
      <c r="BA1057" s="286">
        <f t="shared" ca="1" si="604"/>
        <v>0</v>
      </c>
      <c r="BB1057" s="286">
        <f t="shared" ca="1" si="605"/>
        <v>0</v>
      </c>
      <c r="BC1057" s="286">
        <f t="shared" ca="1" si="606"/>
        <v>0</v>
      </c>
      <c r="BD1057" s="180">
        <f t="shared" ca="1" si="607"/>
        <v>0.05</v>
      </c>
      <c r="BE1057" s="180">
        <f t="shared" ca="1" si="608"/>
        <v>0.05</v>
      </c>
      <c r="BF1057" s="286">
        <f t="shared" ca="1" si="609"/>
        <v>0</v>
      </c>
      <c r="BG1057" s="286">
        <f t="shared" ca="1" si="610"/>
        <v>0</v>
      </c>
    </row>
    <row r="1058" spans="1:59">
      <c r="A1058" s="1">
        <f t="shared" ca="1" si="590"/>
        <v>88</v>
      </c>
      <c r="B1058" s="1">
        <f t="shared" ca="1" si="619"/>
        <v>194</v>
      </c>
      <c r="C1058" s="1">
        <f t="shared" ca="1" si="620"/>
        <v>4</v>
      </c>
      <c r="D1058" s="1">
        <f ca="1">MIN($D$3,VLOOKUP(C1058,OP!$S$30:$T$41,2))</f>
        <v>2</v>
      </c>
      <c r="E1058" s="1" t="str">
        <f t="shared" ca="1" si="616"/>
        <v/>
      </c>
      <c r="F1058" s="11" t="str">
        <f t="shared" ca="1" si="591"/>
        <v/>
      </c>
      <c r="G1058" s="8">
        <f t="shared" ca="1" si="615"/>
        <v>365</v>
      </c>
      <c r="H1058" s="8">
        <f t="shared" ca="1" si="592"/>
        <v>30</v>
      </c>
      <c r="I1058" s="8" t="str">
        <f t="shared" ca="1" si="589"/>
        <v>884</v>
      </c>
      <c r="J1058" s="13">
        <f>IF(繳費報酬率資料!$A$1=1,VALUE(OP!$C$121),VLOOKUP(A1058,MP,2,0))</f>
        <v>0.05</v>
      </c>
      <c r="K1058" s="14">
        <f ca="1">IF(SUM($K$4:K1057,IF(繳費報酬率資料!$A$1=1,$AU1058+$AV1058,$BB1058+$BC1058))&gt;OP!$L$58,0,IF(繳費報酬率資料!$A$1=1,$AU1058+$AV1058,$BB1058+$BC1058))</f>
        <v>0</v>
      </c>
      <c r="L1058" s="2"/>
      <c r="M1058" s="2"/>
      <c r="N1058" s="2"/>
      <c r="O1058" s="261">
        <f t="shared" ca="1" si="593"/>
        <v>0</v>
      </c>
      <c r="P1058" s="261">
        <f t="shared" ca="1" si="611"/>
        <v>0</v>
      </c>
      <c r="Q1058" s="3">
        <f ca="1">IF(A1058&gt;MAX(OP!$R$17:$R$26),0,VLOOKUP(A1058,fees,3,FALSE))</f>
        <v>0</v>
      </c>
      <c r="R1058" s="200" t="str">
        <f t="shared" ca="1" si="594"/>
        <v/>
      </c>
      <c r="S1058" s="9" t="str">
        <f ca="1">IF(COUNTIF(($T$4:T1057),"F")&gt;=1,"",IF(OR(C1059&lt;&gt;$C$3,E1058=""),"",A1058))</f>
        <v/>
      </c>
      <c r="T1058" s="20" t="str">
        <f t="shared" ca="1" si="617"/>
        <v/>
      </c>
      <c r="U1058" s="2">
        <f ca="1">IF(IF(OP!$C$83=1,$Z1057,IF(OP!$C$83=2,$AA1057,IF(OP!$C$83=3,$AB1057,)))+$K1058-$O1058-$P1058-$AS1058&lt;OP!$C$142,0,$AS1058)</f>
        <v>0</v>
      </c>
      <c r="V1058" s="9"/>
      <c r="W1058" s="19">
        <f ca="1">MAX(SUM($K$4:K1058),0)</f>
        <v>2000000</v>
      </c>
      <c r="X1058" s="19"/>
      <c r="Y1058" s="19">
        <f t="shared" ca="1" si="612"/>
        <v>1920000</v>
      </c>
      <c r="Z1058" s="2">
        <f ca="1">IF(MIN($Z$4:Z1057)=0,0,MAX(0,($Z1057+$K1058-$O1058-$P1058)*IF(AND(F1058="F",$D$3&lt;&gt;$G$3),((1+(-J1058))^(H1058/MIN(G1058,365))),((1+(-J1058))^(1/12)))-$U1058))</f>
        <v>21126.855424171776</v>
      </c>
      <c r="AA1058" s="2">
        <f ca="1">IF(MIN($AA$4:AA1057)=0,0,MAX(0,($AA1057+$K1058-$O1058-$P1058)*IF(AND(F1058="F",$D$3&lt;&gt;$G$3),((1+$AA$1)^(H1058/MIN(G1058,365))),((1+$AA$1)^(1/12)))-$U1058))</f>
        <v>1920000</v>
      </c>
      <c r="AB1058" s="2">
        <f ca="1">IF(MIN($AB$4:AB1057)=0,0,MAX(0,($AB1057+$K1058-$O1058-$P1058)*IF(AND(F1058="F",$D$3&lt;&gt;$G$3),((1+(J1058))^(H1058/MIN(G1058,365))),((1+(J1058))^(1/12)))-$U1058))</f>
        <v>140021192.46952778</v>
      </c>
      <c r="AC1058" s="5"/>
      <c r="AD1058" s="5"/>
      <c r="AE1058" s="5"/>
      <c r="AF1058" s="282">
        <f t="shared" ca="1" si="595"/>
        <v>21127</v>
      </c>
      <c r="AG1058" s="282">
        <f t="shared" ca="1" si="596"/>
        <v>1920000</v>
      </c>
      <c r="AH1058" s="282">
        <f t="shared" ca="1" si="597"/>
        <v>140021192</v>
      </c>
      <c r="AI1058" s="23" t="str">
        <f t="shared" ca="1" si="613"/>
        <v>88-12</v>
      </c>
      <c r="AJ1058" s="282">
        <f ca="1">IF(E1058&gt;111,,IF(AND(OP!$C$99=1,T1058="F"),Z1058,IF(AND(OP!$C$99=2,COUNTIF($T$4:T1058,"F")=1),OP!$C$97+IF(F1058="F",OP!$C$98,0),"")))</f>
        <v>0</v>
      </c>
      <c r="AK1058" s="282">
        <f ca="1">IF(E1058&gt;111,,IF(AND(OP!$D$99=1,T1058="F"),AA1058,IF(AND(OP!$D$99=2,COUNTIF($T$4:T1058,"F")=1),OP!$D$97+IF(F1058="F",OP!$D$98,0),"")))</f>
        <v>0</v>
      </c>
      <c r="AL1058" s="282">
        <f ca="1">IF(E1058&gt;111,,IF(AND(OP!$E$99=1,T1058="F"),AB1058,IF(AND(OP!$E$99=2,COUNTIF($T$4:T1058,"F")=1),OP!$E$97+IF(F1058="F",OP!$E$98,0),"")))</f>
        <v>0</v>
      </c>
      <c r="AM1058" s="1">
        <f t="shared" ca="1" si="618"/>
        <v>12</v>
      </c>
      <c r="AN1058" s="1" t="e">
        <f ca="1">IF(OR(VLOOKUP($A1058,MP,5,0)="月繳"),1,"")</f>
        <v>#N/A</v>
      </c>
      <c r="AO1058" s="1">
        <f t="shared" ca="1" si="598"/>
        <v>0</v>
      </c>
      <c r="AP1058" s="1" t="str">
        <f ca="1">IF(AND(A1058&lt;=OP!$C$120,COUNTIF(PAY,C1058)=1),1,"")</f>
        <v/>
      </c>
      <c r="AR1058" s="301">
        <f ca="1">IF(繳費報酬率資料!$A$1=1,$AY1058+$AZ1058,$BF1058+$BG1058)</f>
        <v>0</v>
      </c>
      <c r="AS1058" s="1">
        <f ca="1">IF(C1058&lt;&gt;IF($C$3=1,12,$C$3-1),0,IF(繳費報酬率資料!$A$1&lt;&gt;1,VLOOKUP($A1058,MP,8,0),IF(AND($A1058&gt;=OP!$C$79,$A1058&lt;=OP!$C$80),OP!$C$78,)))</f>
        <v>0</v>
      </c>
      <c r="AT1058" s="298">
        <f t="shared" ca="1" si="599"/>
        <v>0</v>
      </c>
      <c r="AU1058" s="298">
        <f ca="1">IF(AND(A1058&lt;=OP!$C$120,COUNTIF(PAY,C1058)=1),OP!$C$123,0)</f>
        <v>0</v>
      </c>
      <c r="AV1058" s="298">
        <f ca="1">IF(AND(A1058&gt;=OP!$C$132,A1058&lt;=OP!$C$133,$C$3=C1058),OP!$C$135,0)</f>
        <v>0</v>
      </c>
      <c r="AW1058" s="180">
        <f t="shared" ca="1" si="600"/>
        <v>0.05</v>
      </c>
      <c r="AX1058" s="180">
        <f t="shared" ca="1" si="601"/>
        <v>0.05</v>
      </c>
      <c r="AY1058" s="286">
        <f t="shared" ca="1" si="602"/>
        <v>0</v>
      </c>
      <c r="AZ1058" s="286">
        <f t="shared" ca="1" si="603"/>
        <v>0</v>
      </c>
      <c r="BA1058" s="286">
        <f t="shared" ca="1" si="604"/>
        <v>0</v>
      </c>
      <c r="BB1058" s="286">
        <f t="shared" ca="1" si="605"/>
        <v>0</v>
      </c>
      <c r="BC1058" s="286">
        <f t="shared" ca="1" si="606"/>
        <v>0</v>
      </c>
      <c r="BD1058" s="180">
        <f t="shared" ca="1" si="607"/>
        <v>0.05</v>
      </c>
      <c r="BE1058" s="180">
        <f t="shared" ca="1" si="608"/>
        <v>0.05</v>
      </c>
      <c r="BF1058" s="286">
        <f t="shared" ca="1" si="609"/>
        <v>0</v>
      </c>
      <c r="BG1058" s="286">
        <f t="shared" ca="1" si="610"/>
        <v>0</v>
      </c>
    </row>
    <row r="1059" spans="1:59">
      <c r="A1059" s="1">
        <f t="shared" ca="1" si="590"/>
        <v>88</v>
      </c>
      <c r="B1059" s="1">
        <f t="shared" ca="1" si="619"/>
        <v>194</v>
      </c>
      <c r="C1059" s="1">
        <f t="shared" ca="1" si="620"/>
        <v>5</v>
      </c>
      <c r="D1059" s="1">
        <f ca="1">MIN($D$3,VLOOKUP(C1059,OP!$S$30:$T$41,2))</f>
        <v>2</v>
      </c>
      <c r="E1059" s="1" t="str">
        <f t="shared" ca="1" si="616"/>
        <v/>
      </c>
      <c r="F1059" s="11" t="str">
        <f t="shared" ca="1" si="591"/>
        <v/>
      </c>
      <c r="G1059" s="8">
        <f t="shared" ca="1" si="615"/>
        <v>365</v>
      </c>
      <c r="H1059" s="8">
        <f t="shared" ca="1" si="592"/>
        <v>31</v>
      </c>
      <c r="I1059" s="8" t="str">
        <f t="shared" ca="1" si="589"/>
        <v>885</v>
      </c>
      <c r="J1059" s="13">
        <f>IF(繳費報酬率資料!$A$1=1,VALUE(OP!$C$121),VLOOKUP(A1059,MP,2,0))</f>
        <v>0.05</v>
      </c>
      <c r="K1059" s="14">
        <f ca="1">IF(SUM($K$4:K1058,IF(繳費報酬率資料!$A$1=1,$AU1059+$AV1059,$BB1059+$BC1059))&gt;OP!$L$58,0,IF(繳費報酬率資料!$A$1=1,$AU1059+$AV1059,$BB1059+$BC1059))</f>
        <v>0</v>
      </c>
      <c r="L1059" s="2">
        <f ca="1">ROUND(IF(OP!$C$78&lt;(IF(OR($T1059="F",$E1059&gt;=111),0,Z1058+$K1059-$O1059+IF($C$1=1,OP!$C$78,IF($C1060=$C$3,SUM(AC1048:AC1059,0)))))*5%,0,(OP!$C$78-((IF(OR($T1059="F",$E1059&gt;=111),0,Z1058+$K1059-$O1059+IF($C$1=1,AC1059,IF($C1060=$C$3,SUM(AC1048:AC1059,0)))))*5%))*$Q1059),0)</f>
        <v>0</v>
      </c>
      <c r="M1059" s="2">
        <f ca="1">ROUND(IF(OP!$C$78&lt;(IF(OR($T1059="F",$E1059&gt;=111),0,AA1058+$K1059-$O1059+IF($C$1=1,AD1059,IF($C1060=$C$3,SUM(AD1048:AD1059,0)))))*5%,0,(OP!$C$78-((IF(OR($T1059="F",$E1059&gt;=111),0,AA1058+$K1059-$O1059+IF($C$1=1,AD1059,IF($C1060=$C$3,SUM(AD1048:AD1059,0)))))*5%))*$Q1059),0)</f>
        <v>0</v>
      </c>
      <c r="N1059" s="2">
        <f ca="1">ROUND(IF(OP!$C$78&lt;(IF(OR($T1059="F",$E1059&gt;=111),0,AB1058+$K1059-$O1059+IF($C$1=1,AE1059,IF($C1060=$C$3,SUM(AE1048:AE1059,0)))))*5%,0,(OP!$C$78-((IF(OR($T1059="F",$E1059&gt;=111),0,AB1058+$K1059-$O1059+IF($C$1=1,AE1059,IF($C1060=$C$3,SUM(AE1048:AE1059,0)))))*5%))*$Q1059),0)</f>
        <v>0</v>
      </c>
      <c r="O1059" s="261">
        <f t="shared" ca="1" si="593"/>
        <v>0</v>
      </c>
      <c r="P1059" s="261">
        <f t="shared" ca="1" si="611"/>
        <v>0</v>
      </c>
      <c r="Q1059" s="3">
        <f ca="1">IF(A1059&gt;MAX(OP!$R$17:$R$26),0,VLOOKUP(A1059,fees,3,FALSE))</f>
        <v>0</v>
      </c>
      <c r="R1059" s="200" t="str">
        <f t="shared" ca="1" si="594"/>
        <v/>
      </c>
      <c r="S1059" s="9" t="str">
        <f ca="1">IF(COUNTIF(($T$4:T1058),"F")&gt;=1,"",IF(OR(C1060&lt;&gt;$C$3,E1059=""),"",A1059))</f>
        <v/>
      </c>
      <c r="T1059" s="20" t="str">
        <f t="shared" ca="1" si="617"/>
        <v/>
      </c>
      <c r="U1059" s="2">
        <f ca="1">IF(IF(OP!$C$83=1,$Z1058,IF(OP!$C$83=2,$AA1058,IF(OP!$C$83=3,$AB1058,)))+$K1059-$O1059-$P1059-$AS1059&lt;OP!$C$142,0,$AS1059)</f>
        <v>0</v>
      </c>
      <c r="V1059" s="19">
        <f ca="1">SUM(K1048:K1059)</f>
        <v>0</v>
      </c>
      <c r="W1059" s="19">
        <f ca="1">MAX(SUM($K$4:K1059),0)</f>
        <v>2000000</v>
      </c>
      <c r="X1059" s="19">
        <f ca="1">SUM(O1048:P1059)</f>
        <v>0</v>
      </c>
      <c r="Y1059" s="19">
        <f t="shared" ca="1" si="612"/>
        <v>1920000</v>
      </c>
      <c r="Z1059" s="2">
        <f ca="1">IF(MIN($Z$4:Z1058)=0,0,MAX(0,($Z1058+$K1059-$O1059-$P1059)*IF(AND(F1059="F",$D$3&lt;&gt;$G$3),((1+(-J1059))^(H1059/MIN(G1059,365))),((1+(-J1059))^(1/12)))-$U1059))</f>
        <v>21036.742651020246</v>
      </c>
      <c r="AA1059" s="2">
        <f ca="1">IF(MIN($AA$4:AA1058)=0,0,MAX(0,($AA1058+$K1059-$O1059-$P1059)*IF(AND(F1059="F",$D$3&lt;&gt;$G$3),((1+$AA$1)^(H1059/MIN(G1059,365))),((1+$AA$1)^(1/12)))-$U1059))</f>
        <v>1920000</v>
      </c>
      <c r="AB1059" s="2">
        <f ca="1">IF(MIN($AB$4:AB1058)=0,0,MAX(0,($AB1058+$K1059-$O1059-$P1059)*IF(AND(F1059="F",$D$3&lt;&gt;$G$3),((1+(J1059))^(H1059/MIN(G1059,365))),((1+(J1059))^(1/12)))-$U1059))</f>
        <v>140591656.1399827</v>
      </c>
      <c r="AC1059" s="5"/>
      <c r="AD1059" s="5"/>
      <c r="AE1059" s="5"/>
      <c r="AF1059" s="282">
        <f t="shared" ca="1" si="595"/>
        <v>21037</v>
      </c>
      <c r="AG1059" s="282">
        <f t="shared" ca="1" si="596"/>
        <v>1920000</v>
      </c>
      <c r="AH1059" s="282">
        <f t="shared" ca="1" si="597"/>
        <v>140591656</v>
      </c>
      <c r="AI1059" s="23" t="str">
        <f t="shared" ca="1" si="613"/>
        <v>89-1</v>
      </c>
      <c r="AJ1059" s="282">
        <f ca="1">IF(E1059&gt;111,,IF(AND(OP!$C$99=1,T1059="F"),Z1059,IF(AND(OP!$C$99=2,COUNTIF($T$4:T1059,"F")=1),OP!$C$97+IF(F1059="F",OP!$C$98,0),"")))</f>
        <v>0</v>
      </c>
      <c r="AK1059" s="282">
        <f ca="1">IF(E1059&gt;111,,IF(AND(OP!$D$99=1,T1059="F"),AA1059,IF(AND(OP!$D$99=2,COUNTIF($T$4:T1059,"F")=1),OP!$D$97+IF(F1059="F",OP!$D$98,0),"")))</f>
        <v>0</v>
      </c>
      <c r="AL1059" s="282">
        <f ca="1">IF(E1059&gt;111,,IF(AND(OP!$E$99=1,T1059="F"),AB1059,IF(AND(OP!$E$99=2,COUNTIF($T$4:T1059,"F")=1),OP!$E$97+IF(F1059="F",OP!$E$98,0),"")))</f>
        <v>0</v>
      </c>
      <c r="AM1059" s="1">
        <f t="shared" ca="1" si="618"/>
        <v>1</v>
      </c>
      <c r="AN1059" s="1" t="e">
        <f ca="1">IF(OR(VLOOKUP($A1059,MP,5,0)="月繳"),1,"")</f>
        <v>#N/A</v>
      </c>
      <c r="AO1059" s="1">
        <f t="shared" ca="1" si="598"/>
        <v>0</v>
      </c>
      <c r="AP1059" s="1" t="str">
        <f ca="1">IF(AND(A1059&lt;=OP!$C$120,COUNTIF(PAY,C1059)=1),1,"")</f>
        <v/>
      </c>
      <c r="AR1059" s="301">
        <f ca="1">IF(繳費報酬率資料!$A$1=1,$AY1059+$AZ1059,$BF1059+$BG1059)</f>
        <v>0</v>
      </c>
      <c r="AS1059" s="1">
        <f ca="1">IF(C1059&lt;&gt;IF($C$3=1,12,$C$3-1),0,IF(繳費報酬率資料!$A$1&lt;&gt;1,VLOOKUP($A1059,MP,8,0),IF(AND($A1059&gt;=OP!$C$79,$A1059&lt;=OP!$C$80),OP!$C$78,)))</f>
        <v>0</v>
      </c>
      <c r="AT1059" s="298">
        <f t="shared" ca="1" si="599"/>
        <v>0</v>
      </c>
      <c r="AU1059" s="298">
        <f ca="1">IF(AND(A1059&lt;=OP!$C$120,COUNTIF(PAY,C1059)=1),OP!$C$123,0)</f>
        <v>0</v>
      </c>
      <c r="AV1059" s="298">
        <f ca="1">IF(AND(A1059&gt;=OP!$C$132,A1059&lt;=OP!$C$133,$C$3=C1059),OP!$C$135,0)</f>
        <v>0</v>
      </c>
      <c r="AW1059" s="180">
        <f t="shared" ca="1" si="600"/>
        <v>0.05</v>
      </c>
      <c r="AX1059" s="180">
        <f t="shared" ca="1" si="601"/>
        <v>0.05</v>
      </c>
      <c r="AY1059" s="286">
        <f t="shared" ca="1" si="602"/>
        <v>0</v>
      </c>
      <c r="AZ1059" s="286">
        <f t="shared" ca="1" si="603"/>
        <v>0</v>
      </c>
      <c r="BA1059" s="286">
        <f t="shared" ca="1" si="604"/>
        <v>0</v>
      </c>
      <c r="BB1059" s="286">
        <f t="shared" ca="1" si="605"/>
        <v>0</v>
      </c>
      <c r="BC1059" s="286">
        <f t="shared" ca="1" si="606"/>
        <v>0</v>
      </c>
      <c r="BD1059" s="180">
        <f t="shared" ca="1" si="607"/>
        <v>0.05</v>
      </c>
      <c r="BE1059" s="180">
        <f t="shared" ca="1" si="608"/>
        <v>0.05</v>
      </c>
      <c r="BF1059" s="286">
        <f t="shared" ca="1" si="609"/>
        <v>0</v>
      </c>
      <c r="BG1059" s="286">
        <f t="shared" ca="1" si="610"/>
        <v>0</v>
      </c>
    </row>
    <row r="1060" spans="1:59">
      <c r="A1060" s="1">
        <f t="shared" ca="1" si="590"/>
        <v>89</v>
      </c>
      <c r="B1060" s="1">
        <f t="shared" ca="1" si="619"/>
        <v>194</v>
      </c>
      <c r="C1060" s="1">
        <f t="shared" ca="1" si="620"/>
        <v>6</v>
      </c>
      <c r="D1060" s="1">
        <f ca="1">MIN($D$3,VLOOKUP(C1060,OP!$S$30:$T$41,2))</f>
        <v>2</v>
      </c>
      <c r="E1060" s="1" t="str">
        <f t="shared" ca="1" si="616"/>
        <v/>
      </c>
      <c r="F1060" s="11" t="str">
        <f t="shared" ca="1" si="591"/>
        <v/>
      </c>
      <c r="G1060" s="6">
        <f ca="1">DATEDIF(DATE(B1060+1911,C1060,D1060),DATE(B1072+1911,C1072,D1072),"d")</f>
        <v>365</v>
      </c>
      <c r="H1060" s="8">
        <f t="shared" ca="1" si="592"/>
        <v>30</v>
      </c>
      <c r="I1060" s="8" t="str">
        <f t="shared" ca="1" si="589"/>
        <v>896</v>
      </c>
      <c r="J1060" s="13">
        <f>IF(繳費報酬率資料!$A$1=1,VALUE(OP!$C$121),VLOOKUP(A1060,MP,2,0))</f>
        <v>0.05</v>
      </c>
      <c r="K1060" s="14">
        <f ca="1">IF(SUM($K$4:K1059,IF(繳費報酬率資料!$A$1=1,$AU1060+$AV1060,$BB1060+$BC1060))&gt;OP!$L$58,0,IF(繳費報酬率資料!$A$1=1,$AU1060+$AV1060,$BB1060+$BC1060))</f>
        <v>0</v>
      </c>
      <c r="L1060" s="2"/>
      <c r="M1060" s="2"/>
      <c r="N1060" s="2"/>
      <c r="O1060" s="261">
        <f t="shared" ca="1" si="593"/>
        <v>0</v>
      </c>
      <c r="P1060" s="261">
        <f t="shared" ca="1" si="611"/>
        <v>0</v>
      </c>
      <c r="Q1060" s="3">
        <f ca="1">IF(A1060&gt;MAX(OP!$R$17:$R$26),0,VLOOKUP(A1060,fees,3,FALSE))</f>
        <v>0</v>
      </c>
      <c r="R1060" s="200" t="str">
        <f t="shared" ca="1" si="594"/>
        <v/>
      </c>
      <c r="S1060" s="9" t="str">
        <f ca="1">IF(COUNTIF(($T$4:T1059),"F")&gt;=1,"",IF(OR(C1061&lt;&gt;$C$3,E1060=""),"",A1060))</f>
        <v/>
      </c>
      <c r="T1060" s="20" t="str">
        <f t="shared" ca="1" si="617"/>
        <v/>
      </c>
      <c r="U1060" s="2">
        <f ca="1">IF(IF(OP!$C$83=1,$Z1059,IF(OP!$C$83=2,$AA1059,IF(OP!$C$83=3,$AB1059,)))+$K1060-$O1060-$P1060-$AS1060&lt;OP!$C$142,0,$AS1060)</f>
        <v>0</v>
      </c>
      <c r="V1060" s="9"/>
      <c r="W1060" s="19">
        <f ca="1">MAX(SUM($K$4:K1060),0)</f>
        <v>2000000</v>
      </c>
      <c r="X1060" s="19"/>
      <c r="Y1060" s="19">
        <f t="shared" ca="1" si="612"/>
        <v>1920000</v>
      </c>
      <c r="Z1060" s="2">
        <f ca="1">IF(MIN($Z$4:Z1059)=0,0,MAX(0,($Z1059+$K1060-$O1060-$P1060)*IF(AND(F1060="F",$D$3&lt;&gt;$G$3),((1+(-J1060))^(H1060/MIN(G1060,365))),((1+(-J1060))^(1/12)))-$U1060))</f>
        <v>20947.014237572137</v>
      </c>
      <c r="AA1060" s="2">
        <f ca="1">IF(MIN($AA$4:AA1059)=0,0,MAX(0,($AA1059+$K1060-$O1060-$P1060)*IF(AND(F1060="F",$D$3&lt;&gt;$G$3),((1+$AA$1)^(H1060/MIN(G1060,365))),((1+$AA$1)^(1/12)))-$U1060))</f>
        <v>1920000</v>
      </c>
      <c r="AB1060" s="2">
        <f ca="1">IF(MIN($AB$4:AB1059)=0,0,MAX(0,($AB1059+$K1060-$O1060-$P1060)*IF(AND(F1060="F",$D$3&lt;&gt;$G$3),((1+(J1060))^(H1060/MIN(G1060,365))),((1+(J1060))^(1/12)))-$U1060))</f>
        <v>141164443.95004511</v>
      </c>
      <c r="AC1060" s="21"/>
      <c r="AD1060" s="21"/>
      <c r="AE1060" s="21"/>
      <c r="AF1060" s="282">
        <f t="shared" ca="1" si="595"/>
        <v>20947</v>
      </c>
      <c r="AG1060" s="282">
        <f t="shared" ca="1" si="596"/>
        <v>1920000</v>
      </c>
      <c r="AH1060" s="282">
        <f t="shared" ca="1" si="597"/>
        <v>141164444</v>
      </c>
      <c r="AI1060" s="23" t="str">
        <f t="shared" ca="1" si="613"/>
        <v>89-2</v>
      </c>
      <c r="AJ1060" s="281">
        <f ca="1">IF(E1060&gt;111,,IF(AND(OP!$C$99=1,T1060="F"),Z1060,IF(AND(OP!$C$99=2,COUNTIF($T$4:T1060,"F")=1),OP!$C$97+IF(F1060="F",OP!$C$98,0),"")))</f>
        <v>0</v>
      </c>
      <c r="AK1060" s="281">
        <f ca="1">IF(E1060&gt;111,,IF(AND(OP!$D$99=1,T1060="F"),AA1060,IF(AND(OP!$D$99=2,COUNTIF($T$4:T1060,"F")=1),OP!$D$97+IF(F1060="F",OP!$D$98,0),"")))</f>
        <v>0</v>
      </c>
      <c r="AL1060" s="281">
        <f ca="1">IF(E1060&gt;111,,IF(AND(OP!$E$99=1,T1060="F"),AB1060,IF(AND(OP!$E$99=2,COUNTIF($T$4:T1060,"F")=1),OP!$E$97+IF(F1060="F",OP!$E$98,0),"")))</f>
        <v>0</v>
      </c>
      <c r="AM1060" s="1">
        <f t="shared" ca="1" si="618"/>
        <v>2</v>
      </c>
      <c r="AN1060" s="1" t="e">
        <f ca="1">IF(OR(VLOOKUP($A1060,MP,5,0)="年繳",VLOOKUP($A1060,MP,5,0)="半年繳",VLOOKUP($A1060,MP,5,0)="季繳",VLOOKUP($A1060,MP,5,0)="月繳"),1,"")</f>
        <v>#N/A</v>
      </c>
      <c r="AO1060" s="1">
        <f t="shared" ca="1" si="598"/>
        <v>0</v>
      </c>
      <c r="AP1060" s="1" t="str">
        <f ca="1">IF(AND(A1060&lt;=OP!$C$120,COUNTIF(PAY,C1060)=1),1,"")</f>
        <v/>
      </c>
      <c r="AR1060" s="301">
        <f ca="1">IF(繳費報酬率資料!$A$1=1,$AY1060+$AZ1060,$BF1060+$BG1060)</f>
        <v>0</v>
      </c>
      <c r="AS1060" s="1">
        <f ca="1">IF(C1060&lt;&gt;IF($C$3=1,12,$C$3-1),0,IF(繳費報酬率資料!$A$1&lt;&gt;1,VLOOKUP($A1060,MP,8,0),IF(AND($A1060&gt;=OP!$C$79,$A1060&lt;=OP!$C$80),OP!$C$78,)))</f>
        <v>0</v>
      </c>
      <c r="AT1060" s="298">
        <f t="shared" ca="1" si="599"/>
        <v>0</v>
      </c>
      <c r="AU1060" s="298">
        <f ca="1">IF(AND(A1060&lt;=OP!$C$120,COUNTIF(PAY,C1060)=1),OP!$C$123,0)</f>
        <v>0</v>
      </c>
      <c r="AV1060" s="298">
        <f ca="1">IF(AND(A1060&gt;=OP!$C$132,A1060&lt;=OP!$C$133,$C$3=C1060),OP!$C$135,0)</f>
        <v>0</v>
      </c>
      <c r="AW1060" s="180">
        <f t="shared" ca="1" si="600"/>
        <v>0.05</v>
      </c>
      <c r="AX1060" s="180">
        <f t="shared" ca="1" si="601"/>
        <v>0.05</v>
      </c>
      <c r="AY1060" s="286">
        <f t="shared" ca="1" si="602"/>
        <v>0</v>
      </c>
      <c r="AZ1060" s="286">
        <f t="shared" ca="1" si="603"/>
        <v>0</v>
      </c>
      <c r="BA1060" s="286">
        <f t="shared" ca="1" si="604"/>
        <v>0</v>
      </c>
      <c r="BB1060" s="286">
        <f t="shared" ca="1" si="605"/>
        <v>0</v>
      </c>
      <c r="BC1060" s="286">
        <f t="shared" ca="1" si="606"/>
        <v>0</v>
      </c>
      <c r="BD1060" s="180">
        <f t="shared" ca="1" si="607"/>
        <v>0.05</v>
      </c>
      <c r="BE1060" s="180">
        <f t="shared" ca="1" si="608"/>
        <v>0.05</v>
      </c>
      <c r="BF1060" s="286">
        <f t="shared" ca="1" si="609"/>
        <v>0</v>
      </c>
      <c r="BG1060" s="286">
        <f t="shared" ca="1" si="610"/>
        <v>0</v>
      </c>
    </row>
    <row r="1061" spans="1:59">
      <c r="A1061" s="1">
        <f t="shared" ca="1" si="590"/>
        <v>89</v>
      </c>
      <c r="B1061" s="1">
        <f t="shared" ca="1" si="619"/>
        <v>194</v>
      </c>
      <c r="C1061" s="1">
        <f t="shared" ca="1" si="620"/>
        <v>7</v>
      </c>
      <c r="D1061" s="1">
        <f ca="1">MIN($D$3,VLOOKUP(C1061,OP!$S$30:$T$41,2))</f>
        <v>2</v>
      </c>
      <c r="E1061" s="1" t="str">
        <f t="shared" ca="1" si="616"/>
        <v/>
      </c>
      <c r="F1061" s="11" t="str">
        <f t="shared" ca="1" si="591"/>
        <v/>
      </c>
      <c r="G1061" s="8">
        <f t="shared" ref="G1061:G1071" ca="1" si="621">G1060</f>
        <v>365</v>
      </c>
      <c r="H1061" s="8">
        <f t="shared" ca="1" si="592"/>
        <v>31</v>
      </c>
      <c r="I1061" s="8" t="str">
        <f t="shared" ca="1" si="589"/>
        <v>897</v>
      </c>
      <c r="J1061" s="13">
        <f>IF(繳費報酬率資料!$A$1=1,VALUE(OP!$C$121),VLOOKUP(A1061,MP,2,0))</f>
        <v>0.05</v>
      </c>
      <c r="K1061" s="14">
        <f ca="1">IF(SUM($K$4:K1060,IF(繳費報酬率資料!$A$1=1,$AU1061+$AV1061,$BB1061+$BC1061))&gt;OP!$L$58,0,IF(繳費報酬率資料!$A$1=1,$AU1061+$AV1061,$BB1061+$BC1061))</f>
        <v>0</v>
      </c>
      <c r="L1061" s="2"/>
      <c r="M1061" s="2"/>
      <c r="N1061" s="2"/>
      <c r="O1061" s="261">
        <f t="shared" ca="1" si="593"/>
        <v>0</v>
      </c>
      <c r="P1061" s="261">
        <f t="shared" ca="1" si="611"/>
        <v>0</v>
      </c>
      <c r="Q1061" s="3">
        <f ca="1">IF(A1061&gt;MAX(OP!$R$17:$R$26),0,VLOOKUP(A1061,fees,3,FALSE))</f>
        <v>0</v>
      </c>
      <c r="R1061" s="200" t="str">
        <f t="shared" ca="1" si="594"/>
        <v/>
      </c>
      <c r="S1061" s="9" t="str">
        <f ca="1">IF(COUNTIF(($T$4:T1060),"F")&gt;=1,"",IF(OR(C1062&lt;&gt;$C$3,E1061=""),"",A1061))</f>
        <v/>
      </c>
      <c r="T1061" s="20" t="str">
        <f t="shared" ca="1" si="617"/>
        <v/>
      </c>
      <c r="U1061" s="2">
        <f ca="1">IF(IF(OP!$C$83=1,$Z1060,IF(OP!$C$83=2,$AA1060,IF(OP!$C$83=3,$AB1060,)))+$K1061-$O1061-$P1061-$AS1061&lt;OP!$C$142,0,$AS1061)</f>
        <v>0</v>
      </c>
      <c r="V1061" s="9"/>
      <c r="W1061" s="19">
        <f ca="1">MAX(SUM($K$4:K1061),0)</f>
        <v>2000000</v>
      </c>
      <c r="X1061" s="19"/>
      <c r="Y1061" s="19">
        <f t="shared" ca="1" si="612"/>
        <v>1920000</v>
      </c>
      <c r="Z1061" s="2">
        <f ca="1">IF(MIN($Z$4:Z1060)=0,0,MAX(0,($Z1060+$K1061-$O1061-$P1061)*IF(AND(F1061="F",$D$3&lt;&gt;$G$3),((1+(-J1061))^(H1061/MIN(G1061,365))),((1+(-J1061))^(1/12)))-$U1061))</f>
        <v>20857.66854441079</v>
      </c>
      <c r="AA1061" s="2">
        <f ca="1">IF(MIN($AA$4:AA1060)=0,0,MAX(0,($AA1060+$K1061-$O1061-$P1061)*IF(AND(F1061="F",$D$3&lt;&gt;$G$3),((1+$AA$1)^(H1061/MIN(G1061,365))),((1+$AA$1)^(1/12)))-$U1061))</f>
        <v>1920000</v>
      </c>
      <c r="AB1061" s="2">
        <f ca="1">IF(MIN($AB$4:AB1060)=0,0,MAX(0,($AB1060+$K1061-$O1061-$P1061)*IF(AND(F1061="F",$D$3&lt;&gt;$G$3),((1+(J1061))^(H1061/MIN(G1061,365))),((1+(J1061))^(1/12)))-$U1061))</f>
        <v>141739565.36854747</v>
      </c>
      <c r="AC1061" s="5"/>
      <c r="AD1061" s="5"/>
      <c r="AE1061" s="5"/>
      <c r="AF1061" s="282">
        <f t="shared" ca="1" si="595"/>
        <v>20858</v>
      </c>
      <c r="AG1061" s="282">
        <f t="shared" ca="1" si="596"/>
        <v>1920000</v>
      </c>
      <c r="AH1061" s="282">
        <f t="shared" ca="1" si="597"/>
        <v>141739565</v>
      </c>
      <c r="AI1061" s="23" t="str">
        <f t="shared" ca="1" si="613"/>
        <v>89-3</v>
      </c>
      <c r="AJ1061" s="282">
        <f ca="1">IF(E1061&gt;111,,IF(AND(OP!$C$99=1,T1061="F"),Z1061,IF(AND(OP!$C$99=2,COUNTIF($T$4:T1061,"F")=1),OP!$C$97+IF(F1061="F",OP!$C$98,0),"")))</f>
        <v>0</v>
      </c>
      <c r="AK1061" s="282">
        <f ca="1">IF(E1061&gt;111,,IF(AND(OP!$D$99=1,T1061="F"),AA1061,IF(AND(OP!$D$99=2,COUNTIF($T$4:T1061,"F")=1),OP!$D$97+IF(F1061="F",OP!$D$98,0),"")))</f>
        <v>0</v>
      </c>
      <c r="AL1061" s="282">
        <f ca="1">IF(E1061&gt;111,,IF(AND(OP!$E$99=1,T1061="F"),AB1061,IF(AND(OP!$E$99=2,COUNTIF($T$4:T1061,"F")=1),OP!$E$97+IF(F1061="F",OP!$E$98,0),"")))</f>
        <v>0</v>
      </c>
      <c r="AM1061" s="1">
        <f t="shared" ca="1" si="618"/>
        <v>3</v>
      </c>
      <c r="AN1061" s="1" t="e">
        <f ca="1">IF(OR(VLOOKUP($A1061,MP,5,0)="月繳"),1,"")</f>
        <v>#N/A</v>
      </c>
      <c r="AO1061" s="1">
        <f t="shared" ca="1" si="598"/>
        <v>0</v>
      </c>
      <c r="AP1061" s="1" t="str">
        <f ca="1">IF(AND(A1061&lt;=OP!$C$120,COUNTIF(PAY,C1061)=1),1,"")</f>
        <v/>
      </c>
      <c r="AR1061" s="301">
        <f ca="1">IF(繳費報酬率資料!$A$1=1,$AY1061+$AZ1061,$BF1061+$BG1061)</f>
        <v>0</v>
      </c>
      <c r="AS1061" s="1">
        <f ca="1">IF(C1061&lt;&gt;IF($C$3=1,12,$C$3-1),0,IF(繳費報酬率資料!$A$1&lt;&gt;1,VLOOKUP($A1061,MP,8,0),IF(AND($A1061&gt;=OP!$C$79,$A1061&lt;=OP!$C$80),OP!$C$78,)))</f>
        <v>0</v>
      </c>
      <c r="AT1061" s="298">
        <f t="shared" ca="1" si="599"/>
        <v>0</v>
      </c>
      <c r="AU1061" s="298">
        <f ca="1">IF(AND(A1061&lt;=OP!$C$120,COUNTIF(PAY,C1061)=1),OP!$C$123,0)</f>
        <v>0</v>
      </c>
      <c r="AV1061" s="298">
        <f ca="1">IF(AND(A1061&gt;=OP!$C$132,A1061&lt;=OP!$C$133,$C$3=C1061),OP!$C$135,0)</f>
        <v>0</v>
      </c>
      <c r="AW1061" s="180">
        <f t="shared" ca="1" si="600"/>
        <v>0.05</v>
      </c>
      <c r="AX1061" s="180">
        <f t="shared" ca="1" si="601"/>
        <v>0.05</v>
      </c>
      <c r="AY1061" s="286">
        <f t="shared" ca="1" si="602"/>
        <v>0</v>
      </c>
      <c r="AZ1061" s="286">
        <f t="shared" ca="1" si="603"/>
        <v>0</v>
      </c>
      <c r="BA1061" s="286">
        <f t="shared" ca="1" si="604"/>
        <v>0</v>
      </c>
      <c r="BB1061" s="286">
        <f t="shared" ca="1" si="605"/>
        <v>0</v>
      </c>
      <c r="BC1061" s="286">
        <f t="shared" ca="1" si="606"/>
        <v>0</v>
      </c>
      <c r="BD1061" s="180">
        <f t="shared" ca="1" si="607"/>
        <v>0.05</v>
      </c>
      <c r="BE1061" s="180">
        <f t="shared" ca="1" si="608"/>
        <v>0.05</v>
      </c>
      <c r="BF1061" s="286">
        <f t="shared" ca="1" si="609"/>
        <v>0</v>
      </c>
      <c r="BG1061" s="286">
        <f t="shared" ca="1" si="610"/>
        <v>0</v>
      </c>
    </row>
    <row r="1062" spans="1:59">
      <c r="A1062" s="1">
        <f t="shared" ca="1" si="590"/>
        <v>89</v>
      </c>
      <c r="B1062" s="1">
        <f t="shared" ca="1" si="619"/>
        <v>194</v>
      </c>
      <c r="C1062" s="1">
        <f t="shared" ca="1" si="620"/>
        <v>8</v>
      </c>
      <c r="D1062" s="1">
        <f ca="1">MIN($D$3,VLOOKUP(C1062,OP!$S$30:$T$41,2))</f>
        <v>2</v>
      </c>
      <c r="E1062" s="1" t="str">
        <f t="shared" ca="1" si="616"/>
        <v/>
      </c>
      <c r="F1062" s="11" t="str">
        <f t="shared" ca="1" si="591"/>
        <v/>
      </c>
      <c r="G1062" s="8">
        <f t="shared" ca="1" si="621"/>
        <v>365</v>
      </c>
      <c r="H1062" s="8">
        <f t="shared" ca="1" si="592"/>
        <v>31</v>
      </c>
      <c r="I1062" s="8" t="str">
        <f t="shared" ca="1" si="589"/>
        <v>898</v>
      </c>
      <c r="J1062" s="13">
        <f>IF(繳費報酬率資料!$A$1=1,VALUE(OP!$C$121),VLOOKUP(A1062,MP,2,0))</f>
        <v>0.05</v>
      </c>
      <c r="K1062" s="14">
        <f ca="1">IF(SUM($K$4:K1061,IF(繳費報酬率資料!$A$1=1,$AU1062+$AV1062,$BB1062+$BC1062))&gt;OP!$L$58,0,IF(繳費報酬率資料!$A$1=1,$AU1062+$AV1062,$BB1062+$BC1062))</f>
        <v>0</v>
      </c>
      <c r="L1062" s="2"/>
      <c r="M1062" s="2"/>
      <c r="N1062" s="2"/>
      <c r="O1062" s="261">
        <f t="shared" ca="1" si="593"/>
        <v>0</v>
      </c>
      <c r="P1062" s="261">
        <f t="shared" ca="1" si="611"/>
        <v>0</v>
      </c>
      <c r="Q1062" s="3">
        <f ca="1">IF(A1062&gt;MAX(OP!$R$17:$R$26),0,VLOOKUP(A1062,fees,3,FALSE))</f>
        <v>0</v>
      </c>
      <c r="R1062" s="200" t="str">
        <f t="shared" ca="1" si="594"/>
        <v/>
      </c>
      <c r="S1062" s="9" t="str">
        <f ca="1">IF(COUNTIF(($T$4:T1061),"F")&gt;=1,"",IF(OR(C1063&lt;&gt;$C$3,E1062=""),"",A1062))</f>
        <v/>
      </c>
      <c r="T1062" s="20" t="str">
        <f t="shared" ca="1" si="617"/>
        <v/>
      </c>
      <c r="U1062" s="2">
        <f ca="1">IF(IF(OP!$C$83=1,$Z1061,IF(OP!$C$83=2,$AA1061,IF(OP!$C$83=3,$AB1061,)))+$K1062-$O1062-$P1062-$AS1062&lt;OP!$C$142,0,$AS1062)</f>
        <v>0</v>
      </c>
      <c r="V1062" s="9"/>
      <c r="W1062" s="19">
        <f ca="1">MAX(SUM($K$4:K1062),0)</f>
        <v>2000000</v>
      </c>
      <c r="X1062" s="19"/>
      <c r="Y1062" s="19">
        <f t="shared" ca="1" si="612"/>
        <v>1920000</v>
      </c>
      <c r="Z1062" s="2">
        <f ca="1">IF(MIN($Z$4:Z1061)=0,0,MAX(0,($Z1061+$K1062-$O1062-$P1062)*IF(AND(F1062="F",$D$3&lt;&gt;$G$3),((1+(-J1062))^(H1062/MIN(G1062,365))),((1+(-J1062))^(1/12)))-$U1062))</f>
        <v>20768.70393911218</v>
      </c>
      <c r="AA1062" s="2">
        <f ca="1">IF(MIN($AA$4:AA1061)=0,0,MAX(0,($AA1061+$K1062-$O1062-$P1062)*IF(AND(F1062="F",$D$3&lt;&gt;$G$3),((1+$AA$1)^(H1062/MIN(G1062,365))),((1+$AA$1)^(1/12)))-$U1062))</f>
        <v>1920000</v>
      </c>
      <c r="AB1062" s="2">
        <f ca="1">IF(MIN($AB$4:AB1061)=0,0,MAX(0,($AB1061+$K1062-$O1062-$P1062)*IF(AND(F1062="F",$D$3&lt;&gt;$G$3),((1+(J1062))^(H1062/MIN(G1062,365))),((1+(J1062))^(1/12)))-$U1062))</f>
        <v>142317029.90289944</v>
      </c>
      <c r="AC1062" s="5"/>
      <c r="AD1062" s="5"/>
      <c r="AE1062" s="5"/>
      <c r="AF1062" s="282">
        <f t="shared" ca="1" si="595"/>
        <v>20769</v>
      </c>
      <c r="AG1062" s="282">
        <f t="shared" ca="1" si="596"/>
        <v>1920000</v>
      </c>
      <c r="AH1062" s="282">
        <f t="shared" ca="1" si="597"/>
        <v>142317030</v>
      </c>
      <c r="AI1062" s="23" t="str">
        <f t="shared" ca="1" si="613"/>
        <v>89-4</v>
      </c>
      <c r="AJ1062" s="282">
        <f ca="1">IF(E1062&gt;111,,IF(AND(OP!$C$99=1,T1062="F"),Z1062,IF(AND(OP!$C$99=2,COUNTIF($T$4:T1062,"F")=1),OP!$C$97+IF(F1062="F",OP!$C$98,0),"")))</f>
        <v>0</v>
      </c>
      <c r="AK1062" s="282">
        <f ca="1">IF(E1062&gt;111,,IF(AND(OP!$D$99=1,T1062="F"),AA1062,IF(AND(OP!$D$99=2,COUNTIF($T$4:T1062,"F")=1),OP!$D$97+IF(F1062="F",OP!$D$98,0),"")))</f>
        <v>0</v>
      </c>
      <c r="AL1062" s="282">
        <f ca="1">IF(E1062&gt;111,,IF(AND(OP!$E$99=1,T1062="F"),AB1062,IF(AND(OP!$E$99=2,COUNTIF($T$4:T1062,"F")=1),OP!$E$97+IF(F1062="F",OP!$E$98,0),"")))</f>
        <v>0</v>
      </c>
      <c r="AM1062" s="1">
        <f t="shared" ca="1" si="618"/>
        <v>4</v>
      </c>
      <c r="AN1062" s="1" t="e">
        <f ca="1">IF(OR(VLOOKUP($A1062,MP,5,0)="月繳"),1,"")</f>
        <v>#N/A</v>
      </c>
      <c r="AO1062" s="1">
        <f t="shared" ca="1" si="598"/>
        <v>0</v>
      </c>
      <c r="AP1062" s="1" t="str">
        <f ca="1">IF(AND(A1062&lt;=OP!$C$120,COUNTIF(PAY,C1062)=1),1,"")</f>
        <v/>
      </c>
      <c r="AR1062" s="301">
        <f ca="1">IF(繳費報酬率資料!$A$1=1,$AY1062+$AZ1062,$BF1062+$BG1062)</f>
        <v>0</v>
      </c>
      <c r="AS1062" s="1">
        <f ca="1">IF(C1062&lt;&gt;IF($C$3=1,12,$C$3-1),0,IF(繳費報酬率資料!$A$1&lt;&gt;1,VLOOKUP($A1062,MP,8,0),IF(AND($A1062&gt;=OP!$C$79,$A1062&lt;=OP!$C$80),OP!$C$78,)))</f>
        <v>0</v>
      </c>
      <c r="AT1062" s="298">
        <f t="shared" ca="1" si="599"/>
        <v>0</v>
      </c>
      <c r="AU1062" s="298">
        <f ca="1">IF(AND(A1062&lt;=OP!$C$120,COUNTIF(PAY,C1062)=1),OP!$C$123,0)</f>
        <v>0</v>
      </c>
      <c r="AV1062" s="298">
        <f ca="1">IF(AND(A1062&gt;=OP!$C$132,A1062&lt;=OP!$C$133,$C$3=C1062),OP!$C$135,0)</f>
        <v>0</v>
      </c>
      <c r="AW1062" s="180">
        <f t="shared" ca="1" si="600"/>
        <v>0.05</v>
      </c>
      <c r="AX1062" s="180">
        <f t="shared" ca="1" si="601"/>
        <v>0.05</v>
      </c>
      <c r="AY1062" s="286">
        <f t="shared" ca="1" si="602"/>
        <v>0</v>
      </c>
      <c r="AZ1062" s="286">
        <f t="shared" ca="1" si="603"/>
        <v>0</v>
      </c>
      <c r="BA1062" s="286">
        <f t="shared" ca="1" si="604"/>
        <v>0</v>
      </c>
      <c r="BB1062" s="286">
        <f t="shared" ca="1" si="605"/>
        <v>0</v>
      </c>
      <c r="BC1062" s="286">
        <f t="shared" ca="1" si="606"/>
        <v>0</v>
      </c>
      <c r="BD1062" s="180">
        <f t="shared" ca="1" si="607"/>
        <v>0.05</v>
      </c>
      <c r="BE1062" s="180">
        <f t="shared" ca="1" si="608"/>
        <v>0.05</v>
      </c>
      <c r="BF1062" s="286">
        <f t="shared" ca="1" si="609"/>
        <v>0</v>
      </c>
      <c r="BG1062" s="286">
        <f t="shared" ca="1" si="610"/>
        <v>0</v>
      </c>
    </row>
    <row r="1063" spans="1:59">
      <c r="A1063" s="1">
        <f t="shared" ca="1" si="590"/>
        <v>89</v>
      </c>
      <c r="B1063" s="1">
        <f t="shared" ca="1" si="619"/>
        <v>194</v>
      </c>
      <c r="C1063" s="1">
        <f t="shared" ca="1" si="620"/>
        <v>9</v>
      </c>
      <c r="D1063" s="1">
        <f ca="1">MIN($D$3,VLOOKUP(C1063,OP!$S$30:$T$41,2))</f>
        <v>2</v>
      </c>
      <c r="E1063" s="1" t="str">
        <f t="shared" ca="1" si="616"/>
        <v/>
      </c>
      <c r="F1063" s="11" t="str">
        <f t="shared" ca="1" si="591"/>
        <v/>
      </c>
      <c r="G1063" s="8">
        <f t="shared" ca="1" si="621"/>
        <v>365</v>
      </c>
      <c r="H1063" s="8">
        <f t="shared" ca="1" si="592"/>
        <v>30</v>
      </c>
      <c r="I1063" s="8" t="str">
        <f t="shared" ca="1" si="589"/>
        <v>899</v>
      </c>
      <c r="J1063" s="13">
        <f>IF(繳費報酬率資料!$A$1=1,VALUE(OP!$C$121),VLOOKUP(A1063,MP,2,0))</f>
        <v>0.05</v>
      </c>
      <c r="K1063" s="14">
        <f ca="1">IF(SUM($K$4:K1062,IF(繳費報酬率資料!$A$1=1,$AU1063+$AV1063,$BB1063+$BC1063))&gt;OP!$L$58,0,IF(繳費報酬率資料!$A$1=1,$AU1063+$AV1063,$BB1063+$BC1063))</f>
        <v>0</v>
      </c>
      <c r="L1063" s="2"/>
      <c r="M1063" s="2"/>
      <c r="N1063" s="2"/>
      <c r="O1063" s="261">
        <f t="shared" ca="1" si="593"/>
        <v>0</v>
      </c>
      <c r="P1063" s="261">
        <f t="shared" ca="1" si="611"/>
        <v>0</v>
      </c>
      <c r="Q1063" s="3">
        <f ca="1">IF(A1063&gt;MAX(OP!$R$17:$R$26),0,VLOOKUP(A1063,fees,3,FALSE))</f>
        <v>0</v>
      </c>
      <c r="R1063" s="200" t="str">
        <f t="shared" ca="1" si="594"/>
        <v/>
      </c>
      <c r="S1063" s="9" t="str">
        <f ca="1">IF(COUNTIF(($T$4:T1062),"F")&gt;=1,"",IF(OR(C1064&lt;&gt;$C$3,E1063=""),"",A1063))</f>
        <v/>
      </c>
      <c r="T1063" s="20" t="str">
        <f t="shared" ca="1" si="617"/>
        <v/>
      </c>
      <c r="U1063" s="2">
        <f ca="1">IF(IF(OP!$C$83=1,$Z1062,IF(OP!$C$83=2,$AA1062,IF(OP!$C$83=3,$AB1062,)))+$K1063-$O1063-$P1063-$AS1063&lt;OP!$C$142,0,$AS1063)</f>
        <v>0</v>
      </c>
      <c r="V1063" s="9"/>
      <c r="W1063" s="19">
        <f ca="1">MAX(SUM($K$4:K1063),0)</f>
        <v>2000000</v>
      </c>
      <c r="X1063" s="19"/>
      <c r="Y1063" s="19">
        <f t="shared" ca="1" si="612"/>
        <v>1920000</v>
      </c>
      <c r="Z1063" s="2">
        <f ca="1">IF(MIN($Z$4:Z1062)=0,0,MAX(0,($Z1062+$K1063-$O1063-$P1063)*IF(AND(F1063="F",$D$3&lt;&gt;$G$3),((1+(-J1063))^(H1063/MIN(G1063,365))),((1+(-J1063))^(1/12)))-$U1063))</f>
        <v>20680.118796215087</v>
      </c>
      <c r="AA1063" s="2">
        <f ca="1">IF(MIN($AA$4:AA1062)=0,0,MAX(0,($AA1062+$K1063-$O1063-$P1063)*IF(AND(F1063="F",$D$3&lt;&gt;$G$3),((1+$AA$1)^(H1063/MIN(G1063,365))),((1+$AA$1)^(1/12)))-$U1063))</f>
        <v>1920000</v>
      </c>
      <c r="AB1063" s="2">
        <f ca="1">IF(MIN($AB$4:AB1062)=0,0,MAX(0,($AB1062+$K1063-$O1063-$P1063)*IF(AND(F1063="F",$D$3&lt;&gt;$G$3),((1+(J1063))^(H1063/MIN(G1063,365))),((1+(J1063))^(1/12)))-$U1063))</f>
        <v>142896847.09924504</v>
      </c>
      <c r="AC1063" s="5"/>
      <c r="AD1063" s="5"/>
      <c r="AE1063" s="5"/>
      <c r="AF1063" s="282">
        <f t="shared" ca="1" si="595"/>
        <v>20680</v>
      </c>
      <c r="AG1063" s="282">
        <f t="shared" ca="1" si="596"/>
        <v>1920000</v>
      </c>
      <c r="AH1063" s="282">
        <f t="shared" ca="1" si="597"/>
        <v>142896847</v>
      </c>
      <c r="AI1063" s="23" t="str">
        <f t="shared" ca="1" si="613"/>
        <v>89-5</v>
      </c>
      <c r="AJ1063" s="282">
        <f ca="1">IF(E1063&gt;111,,IF(AND(OP!$C$99=1,T1063="F"),Z1063,IF(AND(OP!$C$99=2,COUNTIF($T$4:T1063,"F")=1),OP!$C$97+IF(F1063="F",OP!$C$98,0),"")))</f>
        <v>0</v>
      </c>
      <c r="AK1063" s="282">
        <f ca="1">IF(E1063&gt;111,,IF(AND(OP!$D$99=1,T1063="F"),AA1063,IF(AND(OP!$D$99=2,COUNTIF($T$4:T1063,"F")=1),OP!$D$97+IF(F1063="F",OP!$D$98,0),"")))</f>
        <v>0</v>
      </c>
      <c r="AL1063" s="282">
        <f ca="1">IF(E1063&gt;111,,IF(AND(OP!$E$99=1,T1063="F"),AB1063,IF(AND(OP!$E$99=2,COUNTIF($T$4:T1063,"F")=1),OP!$E$97+IF(F1063="F",OP!$E$98,0),"")))</f>
        <v>0</v>
      </c>
      <c r="AM1063" s="1">
        <f t="shared" ca="1" si="618"/>
        <v>5</v>
      </c>
      <c r="AN1063" s="1" t="e">
        <f ca="1">IF(OR(VLOOKUP($A1063,MP,5,0)="季繳",VLOOKUP($A1063,MP,5,0)="月繳"),1,"")</f>
        <v>#N/A</v>
      </c>
      <c r="AO1063" s="1">
        <f t="shared" ca="1" si="598"/>
        <v>0</v>
      </c>
      <c r="AP1063" s="1" t="str">
        <f ca="1">IF(AND(A1063&lt;=OP!$C$120,COUNTIF(PAY,C1063)=1),1,"")</f>
        <v/>
      </c>
      <c r="AR1063" s="301">
        <f ca="1">IF(繳費報酬率資料!$A$1=1,$AY1063+$AZ1063,$BF1063+$BG1063)</f>
        <v>0</v>
      </c>
      <c r="AS1063" s="1">
        <f ca="1">IF(C1063&lt;&gt;IF($C$3=1,12,$C$3-1),0,IF(繳費報酬率資料!$A$1&lt;&gt;1,VLOOKUP($A1063,MP,8,0),IF(AND($A1063&gt;=OP!$C$79,$A1063&lt;=OP!$C$80),OP!$C$78,)))</f>
        <v>0</v>
      </c>
      <c r="AT1063" s="298">
        <f t="shared" ca="1" si="599"/>
        <v>0</v>
      </c>
      <c r="AU1063" s="298">
        <f ca="1">IF(AND(A1063&lt;=OP!$C$120,COUNTIF(PAY,C1063)=1),OP!$C$123,0)</f>
        <v>0</v>
      </c>
      <c r="AV1063" s="298">
        <f ca="1">IF(AND(A1063&gt;=OP!$C$132,A1063&lt;=OP!$C$133,$C$3=C1063),OP!$C$135,0)</f>
        <v>0</v>
      </c>
      <c r="AW1063" s="180">
        <f t="shared" ca="1" si="600"/>
        <v>0.05</v>
      </c>
      <c r="AX1063" s="180">
        <f t="shared" ca="1" si="601"/>
        <v>0.05</v>
      </c>
      <c r="AY1063" s="286">
        <f t="shared" ca="1" si="602"/>
        <v>0</v>
      </c>
      <c r="AZ1063" s="286">
        <f t="shared" ca="1" si="603"/>
        <v>0</v>
      </c>
      <c r="BA1063" s="286">
        <f t="shared" ca="1" si="604"/>
        <v>0</v>
      </c>
      <c r="BB1063" s="286">
        <f t="shared" ca="1" si="605"/>
        <v>0</v>
      </c>
      <c r="BC1063" s="286">
        <f t="shared" ca="1" si="606"/>
        <v>0</v>
      </c>
      <c r="BD1063" s="180">
        <f t="shared" ca="1" si="607"/>
        <v>0.05</v>
      </c>
      <c r="BE1063" s="180">
        <f t="shared" ca="1" si="608"/>
        <v>0.05</v>
      </c>
      <c r="BF1063" s="286">
        <f t="shared" ca="1" si="609"/>
        <v>0</v>
      </c>
      <c r="BG1063" s="286">
        <f t="shared" ca="1" si="610"/>
        <v>0</v>
      </c>
    </row>
    <row r="1064" spans="1:59">
      <c r="A1064" s="1">
        <f t="shared" ca="1" si="590"/>
        <v>89</v>
      </c>
      <c r="B1064" s="1">
        <f t="shared" ca="1" si="619"/>
        <v>194</v>
      </c>
      <c r="C1064" s="1">
        <f t="shared" ca="1" si="620"/>
        <v>10</v>
      </c>
      <c r="D1064" s="1">
        <f ca="1">MIN($D$3,VLOOKUP(C1064,OP!$S$30:$T$41,2))</f>
        <v>2</v>
      </c>
      <c r="E1064" s="1" t="str">
        <f t="shared" ca="1" si="616"/>
        <v/>
      </c>
      <c r="F1064" s="11" t="str">
        <f t="shared" ca="1" si="591"/>
        <v/>
      </c>
      <c r="G1064" s="8">
        <f t="shared" ca="1" si="621"/>
        <v>365</v>
      </c>
      <c r="H1064" s="8">
        <f t="shared" ca="1" si="592"/>
        <v>31</v>
      </c>
      <c r="I1064" s="8" t="str">
        <f t="shared" ca="1" si="589"/>
        <v>8910</v>
      </c>
      <c r="J1064" s="13">
        <f>IF(繳費報酬率資料!$A$1=1,VALUE(OP!$C$121),VLOOKUP(A1064,MP,2,0))</f>
        <v>0.05</v>
      </c>
      <c r="K1064" s="14">
        <f ca="1">IF(SUM($K$4:K1063,IF(繳費報酬率資料!$A$1=1,$AU1064+$AV1064,$BB1064+$BC1064))&gt;OP!$L$58,0,IF(繳費報酬率資料!$A$1=1,$AU1064+$AV1064,$BB1064+$BC1064))</f>
        <v>0</v>
      </c>
      <c r="L1064" s="2"/>
      <c r="M1064" s="2"/>
      <c r="N1064" s="2"/>
      <c r="O1064" s="261">
        <f t="shared" ca="1" si="593"/>
        <v>0</v>
      </c>
      <c r="P1064" s="261">
        <f t="shared" ca="1" si="611"/>
        <v>0</v>
      </c>
      <c r="Q1064" s="3">
        <f ca="1">IF(A1064&gt;MAX(OP!$R$17:$R$26),0,VLOOKUP(A1064,fees,3,FALSE))</f>
        <v>0</v>
      </c>
      <c r="R1064" s="200" t="str">
        <f t="shared" ca="1" si="594"/>
        <v/>
      </c>
      <c r="S1064" s="9" t="str">
        <f ca="1">IF(COUNTIF(($T$4:T1063),"F")&gt;=1,"",IF(OR(C1065&lt;&gt;$C$3,E1064=""),"",A1064))</f>
        <v/>
      </c>
      <c r="T1064" s="20" t="str">
        <f t="shared" ca="1" si="617"/>
        <v/>
      </c>
      <c r="U1064" s="2">
        <f ca="1">IF(IF(OP!$C$83=1,$Z1063,IF(OP!$C$83=2,$AA1063,IF(OP!$C$83=3,$AB1063,)))+$K1064-$O1064-$P1064-$AS1064&lt;OP!$C$142,0,$AS1064)</f>
        <v>0</v>
      </c>
      <c r="V1064" s="9"/>
      <c r="W1064" s="19">
        <f ca="1">MAX(SUM($K$4:K1064),0)</f>
        <v>2000000</v>
      </c>
      <c r="X1064" s="19"/>
      <c r="Y1064" s="19">
        <f t="shared" ca="1" si="612"/>
        <v>1920000</v>
      </c>
      <c r="Z1064" s="2">
        <f ca="1">IF(MIN($Z$4:Z1063)=0,0,MAX(0,($Z1063+$K1064-$O1064-$P1064)*IF(AND(F1064="F",$D$3&lt;&gt;$G$3),((1+(-J1064))^(H1064/MIN(G1064,365))),((1+(-J1064))^(1/12)))-$U1064))</f>
        <v>20591.911497191406</v>
      </c>
      <c r="AA1064" s="2">
        <f ca="1">IF(MIN($AA$4:AA1063)=0,0,MAX(0,($AA1063+$K1064-$O1064-$P1064)*IF(AND(F1064="F",$D$3&lt;&gt;$G$3),((1+$AA$1)^(H1064/MIN(G1064,365))),((1+$AA$1)^(1/12)))-$U1064))</f>
        <v>1920000</v>
      </c>
      <c r="AB1064" s="2">
        <f ca="1">IF(MIN($AB$4:AB1063)=0,0,MAX(0,($AB1063+$K1064-$O1064-$P1064)*IF(AND(F1064="F",$D$3&lt;&gt;$G$3),((1+(J1064))^(H1064/MIN(G1064,365))),((1+(J1064))^(1/12)))-$U1064))</f>
        <v>143479026.54262045</v>
      </c>
      <c r="AC1064" s="5"/>
      <c r="AD1064" s="5"/>
      <c r="AE1064" s="5"/>
      <c r="AF1064" s="282">
        <f t="shared" ca="1" si="595"/>
        <v>20592</v>
      </c>
      <c r="AG1064" s="282">
        <f t="shared" ca="1" si="596"/>
        <v>1920000</v>
      </c>
      <c r="AH1064" s="282">
        <f t="shared" ca="1" si="597"/>
        <v>143479027</v>
      </c>
      <c r="AI1064" s="23" t="str">
        <f t="shared" ca="1" si="613"/>
        <v>89-6</v>
      </c>
      <c r="AJ1064" s="282">
        <f ca="1">IF(E1064&gt;111,,IF(AND(OP!$C$99=1,T1064="F"),Z1064,IF(AND(OP!$C$99=2,COUNTIF($T$4:T1064,"F")=1),OP!$C$97+IF(F1064="F",OP!$C$98,0),"")))</f>
        <v>0</v>
      </c>
      <c r="AK1064" s="282">
        <f ca="1">IF(E1064&gt;111,,IF(AND(OP!$D$99=1,T1064="F"),AA1064,IF(AND(OP!$D$99=2,COUNTIF($T$4:T1064,"F")=1),OP!$D$97+IF(F1064="F",OP!$D$98,0),"")))</f>
        <v>0</v>
      </c>
      <c r="AL1064" s="282">
        <f ca="1">IF(E1064&gt;111,,IF(AND(OP!$E$99=1,T1064="F"),AB1064,IF(AND(OP!$E$99=2,COUNTIF($T$4:T1064,"F")=1),OP!$E$97+IF(F1064="F",OP!$E$98,0),"")))</f>
        <v>0</v>
      </c>
      <c r="AM1064" s="1">
        <f t="shared" ca="1" si="618"/>
        <v>6</v>
      </c>
      <c r="AN1064" s="1" t="e">
        <f ca="1">IF(OR(VLOOKUP($A1064,MP,5,0)="月繳"),1,"")</f>
        <v>#N/A</v>
      </c>
      <c r="AO1064" s="1">
        <f t="shared" ca="1" si="598"/>
        <v>0</v>
      </c>
      <c r="AP1064" s="1" t="str">
        <f ca="1">IF(AND(A1064&lt;=OP!$C$120,COUNTIF(PAY,C1064)=1),1,"")</f>
        <v/>
      </c>
      <c r="AR1064" s="301">
        <f ca="1">IF(繳費報酬率資料!$A$1=1,$AY1064+$AZ1064,$BF1064+$BG1064)</f>
        <v>0</v>
      </c>
      <c r="AS1064" s="1">
        <f ca="1">IF(C1064&lt;&gt;IF($C$3=1,12,$C$3-1),0,IF(繳費報酬率資料!$A$1&lt;&gt;1,VLOOKUP($A1064,MP,8,0),IF(AND($A1064&gt;=OP!$C$79,$A1064&lt;=OP!$C$80),OP!$C$78,)))</f>
        <v>0</v>
      </c>
      <c r="AT1064" s="298">
        <f t="shared" ca="1" si="599"/>
        <v>0</v>
      </c>
      <c r="AU1064" s="298">
        <f ca="1">IF(AND(A1064&lt;=OP!$C$120,COUNTIF(PAY,C1064)=1),OP!$C$123,0)</f>
        <v>0</v>
      </c>
      <c r="AV1064" s="298">
        <f ca="1">IF(AND(A1064&gt;=OP!$C$132,A1064&lt;=OP!$C$133,$C$3=C1064),OP!$C$135,0)</f>
        <v>0</v>
      </c>
      <c r="AW1064" s="180">
        <f t="shared" ca="1" si="600"/>
        <v>0.05</v>
      </c>
      <c r="AX1064" s="180">
        <f t="shared" ca="1" si="601"/>
        <v>0.05</v>
      </c>
      <c r="AY1064" s="286">
        <f t="shared" ca="1" si="602"/>
        <v>0</v>
      </c>
      <c r="AZ1064" s="286">
        <f t="shared" ca="1" si="603"/>
        <v>0</v>
      </c>
      <c r="BA1064" s="286">
        <f t="shared" ca="1" si="604"/>
        <v>0</v>
      </c>
      <c r="BB1064" s="286">
        <f t="shared" ca="1" si="605"/>
        <v>0</v>
      </c>
      <c r="BC1064" s="286">
        <f t="shared" ca="1" si="606"/>
        <v>0</v>
      </c>
      <c r="BD1064" s="180">
        <f t="shared" ca="1" si="607"/>
        <v>0.05</v>
      </c>
      <c r="BE1064" s="180">
        <f t="shared" ca="1" si="608"/>
        <v>0.05</v>
      </c>
      <c r="BF1064" s="286">
        <f t="shared" ca="1" si="609"/>
        <v>0</v>
      </c>
      <c r="BG1064" s="286">
        <f t="shared" ca="1" si="610"/>
        <v>0</v>
      </c>
    </row>
    <row r="1065" spans="1:59">
      <c r="A1065" s="1">
        <f t="shared" ca="1" si="590"/>
        <v>89</v>
      </c>
      <c r="B1065" s="1">
        <f t="shared" ca="1" si="619"/>
        <v>194</v>
      </c>
      <c r="C1065" s="1">
        <f t="shared" ca="1" si="620"/>
        <v>11</v>
      </c>
      <c r="D1065" s="1">
        <f ca="1">MIN($D$3,VLOOKUP(C1065,OP!$S$30:$T$41,2))</f>
        <v>2</v>
      </c>
      <c r="E1065" s="1" t="str">
        <f t="shared" ca="1" si="616"/>
        <v/>
      </c>
      <c r="F1065" s="11" t="str">
        <f t="shared" ca="1" si="591"/>
        <v/>
      </c>
      <c r="G1065" s="8">
        <f t="shared" ca="1" si="621"/>
        <v>365</v>
      </c>
      <c r="H1065" s="8">
        <f t="shared" ca="1" si="592"/>
        <v>30</v>
      </c>
      <c r="I1065" s="8" t="str">
        <f t="shared" ca="1" si="589"/>
        <v>8911</v>
      </c>
      <c r="J1065" s="13">
        <f>IF(繳費報酬率資料!$A$1=1,VALUE(OP!$C$121),VLOOKUP(A1065,MP,2,0))</f>
        <v>0.05</v>
      </c>
      <c r="K1065" s="14">
        <f ca="1">IF(SUM($K$4:K1064,IF(繳費報酬率資料!$A$1=1,$AU1065+$AV1065,$BB1065+$BC1065))&gt;OP!$L$58,0,IF(繳費報酬率資料!$A$1=1,$AU1065+$AV1065,$BB1065+$BC1065))</f>
        <v>0</v>
      </c>
      <c r="L1065" s="2"/>
      <c r="M1065" s="2"/>
      <c r="N1065" s="2"/>
      <c r="O1065" s="261">
        <f t="shared" ca="1" si="593"/>
        <v>0</v>
      </c>
      <c r="P1065" s="261">
        <f t="shared" ca="1" si="611"/>
        <v>0</v>
      </c>
      <c r="Q1065" s="3">
        <f ca="1">IF(A1065&gt;MAX(OP!$R$17:$R$26),0,VLOOKUP(A1065,fees,3,FALSE))</f>
        <v>0</v>
      </c>
      <c r="R1065" s="200" t="str">
        <f t="shared" ca="1" si="594"/>
        <v/>
      </c>
      <c r="S1065" s="9" t="str">
        <f ca="1">IF(COUNTIF(($T$4:T1064),"F")&gt;=1,"",IF(OR(C1066&lt;&gt;$C$3,E1065=""),"",A1065))</f>
        <v/>
      </c>
      <c r="T1065" s="20" t="str">
        <f t="shared" ca="1" si="617"/>
        <v/>
      </c>
      <c r="U1065" s="2">
        <f ca="1">IF(IF(OP!$C$83=1,$Z1064,IF(OP!$C$83=2,$AA1064,IF(OP!$C$83=3,$AB1064,)))+$K1065-$O1065-$P1065-$AS1065&lt;OP!$C$142,0,$AS1065)</f>
        <v>0</v>
      </c>
      <c r="V1065" s="9"/>
      <c r="W1065" s="19">
        <f ca="1">MAX(SUM($K$4:K1065),0)</f>
        <v>2000000</v>
      </c>
      <c r="X1065" s="19"/>
      <c r="Y1065" s="19">
        <f t="shared" ca="1" si="612"/>
        <v>1920000</v>
      </c>
      <c r="Z1065" s="2">
        <f ca="1">IF(MIN($Z$4:Z1064)=0,0,MAX(0,($Z1064+$K1065-$O1065-$P1065)*IF(AND(F1065="F",$D$3&lt;&gt;$G$3),((1+(-J1065))^(H1065/MIN(G1065,365))),((1+(-J1065))^(1/12)))-$U1065))</f>
        <v>20504.080430416569</v>
      </c>
      <c r="AA1065" s="2">
        <f ca="1">IF(MIN($AA$4:AA1064)=0,0,MAX(0,($AA1064+$K1065-$O1065-$P1065)*IF(AND(F1065="F",$D$3&lt;&gt;$G$3),((1+$AA$1)^(H1065/MIN(G1065,365))),((1+$AA$1)^(1/12)))-$U1065))</f>
        <v>1920000</v>
      </c>
      <c r="AB1065" s="2">
        <f ca="1">IF(MIN($AB$4:AB1064)=0,0,MAX(0,($AB1064+$K1065-$O1065-$P1065)*IF(AND(F1065="F",$D$3&lt;&gt;$G$3),((1+(J1065))^(H1065/MIN(G1065,365))),((1+(J1065))^(1/12)))-$U1065))</f>
        <v>144063577.85711247</v>
      </c>
      <c r="AC1065" s="5"/>
      <c r="AD1065" s="5"/>
      <c r="AE1065" s="5"/>
      <c r="AF1065" s="282">
        <f t="shared" ca="1" si="595"/>
        <v>20504</v>
      </c>
      <c r="AG1065" s="282">
        <f t="shared" ca="1" si="596"/>
        <v>1920000</v>
      </c>
      <c r="AH1065" s="282">
        <f t="shared" ca="1" si="597"/>
        <v>144063578</v>
      </c>
      <c r="AI1065" s="23" t="str">
        <f t="shared" ca="1" si="613"/>
        <v>89-7</v>
      </c>
      <c r="AJ1065" s="282">
        <f ca="1">IF(E1065&gt;111,,IF(AND(OP!$C$99=1,T1065="F"),Z1065,IF(AND(OP!$C$99=2,COUNTIF($T$4:T1065,"F")=1),OP!$C$97+IF(F1065="F",OP!$C$98,0),"")))</f>
        <v>0</v>
      </c>
      <c r="AK1065" s="282">
        <f ca="1">IF(E1065&gt;111,,IF(AND(OP!$D$99=1,T1065="F"),AA1065,IF(AND(OP!$D$99=2,COUNTIF($T$4:T1065,"F")=1),OP!$D$97+IF(F1065="F",OP!$D$98,0),"")))</f>
        <v>0</v>
      </c>
      <c r="AL1065" s="282">
        <f ca="1">IF(E1065&gt;111,,IF(AND(OP!$E$99=1,T1065="F"),AB1065,IF(AND(OP!$E$99=2,COUNTIF($T$4:T1065,"F")=1),OP!$E$97+IF(F1065="F",OP!$E$98,0),"")))</f>
        <v>0</v>
      </c>
      <c r="AM1065" s="1">
        <f t="shared" ca="1" si="618"/>
        <v>7</v>
      </c>
      <c r="AN1065" s="1" t="e">
        <f ca="1">IF(OR(VLOOKUP($A1065,MP,5,0)="月繳"),1,"")</f>
        <v>#N/A</v>
      </c>
      <c r="AO1065" s="1">
        <f t="shared" ca="1" si="598"/>
        <v>0</v>
      </c>
      <c r="AP1065" s="1" t="str">
        <f ca="1">IF(AND(A1065&lt;=OP!$C$120,COUNTIF(PAY,C1065)=1),1,"")</f>
        <v/>
      </c>
      <c r="AR1065" s="301">
        <f ca="1">IF(繳費報酬率資料!$A$1=1,$AY1065+$AZ1065,$BF1065+$BG1065)</f>
        <v>0</v>
      </c>
      <c r="AS1065" s="1">
        <f ca="1">IF(C1065&lt;&gt;IF($C$3=1,12,$C$3-1),0,IF(繳費報酬率資料!$A$1&lt;&gt;1,VLOOKUP($A1065,MP,8,0),IF(AND($A1065&gt;=OP!$C$79,$A1065&lt;=OP!$C$80),OP!$C$78,)))</f>
        <v>0</v>
      </c>
      <c r="AT1065" s="298">
        <f t="shared" ca="1" si="599"/>
        <v>0</v>
      </c>
      <c r="AU1065" s="298">
        <f ca="1">IF(AND(A1065&lt;=OP!$C$120,COUNTIF(PAY,C1065)=1),OP!$C$123,0)</f>
        <v>0</v>
      </c>
      <c r="AV1065" s="298">
        <f ca="1">IF(AND(A1065&gt;=OP!$C$132,A1065&lt;=OP!$C$133,$C$3=C1065),OP!$C$135,0)</f>
        <v>0</v>
      </c>
      <c r="AW1065" s="180">
        <f t="shared" ca="1" si="600"/>
        <v>0.05</v>
      </c>
      <c r="AX1065" s="180">
        <f t="shared" ca="1" si="601"/>
        <v>0.05</v>
      </c>
      <c r="AY1065" s="286">
        <f t="shared" ca="1" si="602"/>
        <v>0</v>
      </c>
      <c r="AZ1065" s="286">
        <f t="shared" ca="1" si="603"/>
        <v>0</v>
      </c>
      <c r="BA1065" s="286">
        <f t="shared" ca="1" si="604"/>
        <v>0</v>
      </c>
      <c r="BB1065" s="286">
        <f t="shared" ca="1" si="605"/>
        <v>0</v>
      </c>
      <c r="BC1065" s="286">
        <f t="shared" ca="1" si="606"/>
        <v>0</v>
      </c>
      <c r="BD1065" s="180">
        <f t="shared" ca="1" si="607"/>
        <v>0.05</v>
      </c>
      <c r="BE1065" s="180">
        <f t="shared" ca="1" si="608"/>
        <v>0.05</v>
      </c>
      <c r="BF1065" s="286">
        <f t="shared" ca="1" si="609"/>
        <v>0</v>
      </c>
      <c r="BG1065" s="286">
        <f t="shared" ca="1" si="610"/>
        <v>0</v>
      </c>
    </row>
    <row r="1066" spans="1:59">
      <c r="A1066" s="1">
        <f t="shared" ca="1" si="590"/>
        <v>89</v>
      </c>
      <c r="B1066" s="1">
        <f t="shared" ca="1" si="619"/>
        <v>194</v>
      </c>
      <c r="C1066" s="1">
        <f t="shared" ca="1" si="620"/>
        <v>12</v>
      </c>
      <c r="D1066" s="1">
        <f ca="1">MIN($D$3,VLOOKUP(C1066,OP!$S$30:$T$41,2))</f>
        <v>2</v>
      </c>
      <c r="E1066" s="1" t="str">
        <f t="shared" ca="1" si="616"/>
        <v/>
      </c>
      <c r="F1066" s="11" t="str">
        <f t="shared" ca="1" si="591"/>
        <v/>
      </c>
      <c r="G1066" s="8">
        <f t="shared" ca="1" si="621"/>
        <v>365</v>
      </c>
      <c r="H1066" s="8">
        <f t="shared" ca="1" si="592"/>
        <v>31</v>
      </c>
      <c r="I1066" s="8" t="str">
        <f t="shared" ca="1" si="589"/>
        <v>8912</v>
      </c>
      <c r="J1066" s="13">
        <f>IF(繳費報酬率資料!$A$1=1,VALUE(OP!$C$121),VLOOKUP(A1066,MP,2,0))</f>
        <v>0.05</v>
      </c>
      <c r="K1066" s="14">
        <f ca="1">IF(SUM($K$4:K1065,IF(繳費報酬率資料!$A$1=1,$AU1066+$AV1066,$BB1066+$BC1066))&gt;OP!$L$58,0,IF(繳費報酬率資料!$A$1=1,$AU1066+$AV1066,$BB1066+$BC1066))</f>
        <v>0</v>
      </c>
      <c r="L1066" s="2"/>
      <c r="M1066" s="2"/>
      <c r="N1066" s="2"/>
      <c r="O1066" s="261">
        <f t="shared" ca="1" si="593"/>
        <v>0</v>
      </c>
      <c r="P1066" s="261">
        <f t="shared" ca="1" si="611"/>
        <v>0</v>
      </c>
      <c r="Q1066" s="3">
        <f ca="1">IF(A1066&gt;MAX(OP!$R$17:$R$26),0,VLOOKUP(A1066,fees,3,FALSE))</f>
        <v>0</v>
      </c>
      <c r="R1066" s="200" t="str">
        <f t="shared" ca="1" si="594"/>
        <v/>
      </c>
      <c r="S1066" s="9" t="str">
        <f ca="1">IF(COUNTIF(($T$4:T1065),"F")&gt;=1,"",IF(OR(C1067&lt;&gt;$C$3,E1066=""),"",A1066))</f>
        <v/>
      </c>
      <c r="T1066" s="20" t="str">
        <f t="shared" ca="1" si="617"/>
        <v/>
      </c>
      <c r="U1066" s="2">
        <f ca="1">IF(IF(OP!$C$83=1,$Z1065,IF(OP!$C$83=2,$AA1065,IF(OP!$C$83=3,$AB1065,)))+$K1066-$O1066-$P1066-$AS1066&lt;OP!$C$142,0,$AS1066)</f>
        <v>0</v>
      </c>
      <c r="V1066" s="9"/>
      <c r="W1066" s="19">
        <f ca="1">MAX(SUM($K$4:K1066),0)</f>
        <v>2000000</v>
      </c>
      <c r="X1066" s="19"/>
      <c r="Y1066" s="19">
        <f t="shared" ca="1" si="612"/>
        <v>1920000</v>
      </c>
      <c r="Z1066" s="2">
        <f ca="1">IF(MIN($Z$4:Z1065)=0,0,MAX(0,($Z1065+$K1066-$O1066-$P1066)*IF(AND(F1066="F",$D$3&lt;&gt;$G$3),((1+(-J1066))^(H1066/MIN(G1066,365))),((1+(-J1066))^(1/12)))-$U1066))</f>
        <v>20416.623991140099</v>
      </c>
      <c r="AA1066" s="2">
        <f ca="1">IF(MIN($AA$4:AA1065)=0,0,MAX(0,($AA1065+$K1066-$O1066-$P1066)*IF(AND(F1066="F",$D$3&lt;&gt;$G$3),((1+$AA$1)^(H1066/MIN(G1066,365))),((1+$AA$1)^(1/12)))-$U1066))</f>
        <v>1920000</v>
      </c>
      <c r="AB1066" s="2">
        <f ca="1">IF(MIN($AB$4:AB1065)=0,0,MAX(0,($AB1065+$K1066-$O1066-$P1066)*IF(AND(F1066="F",$D$3&lt;&gt;$G$3),((1+(J1066))^(H1066/MIN(G1066,365))),((1+(J1066))^(1/12)))-$U1066))</f>
        <v>144650510.70601761</v>
      </c>
      <c r="AC1066" s="5"/>
      <c r="AD1066" s="5"/>
      <c r="AE1066" s="5"/>
      <c r="AF1066" s="282">
        <f t="shared" ca="1" si="595"/>
        <v>20417</v>
      </c>
      <c r="AG1066" s="282">
        <f t="shared" ca="1" si="596"/>
        <v>1920000</v>
      </c>
      <c r="AH1066" s="282">
        <f t="shared" ca="1" si="597"/>
        <v>144650511</v>
      </c>
      <c r="AI1066" s="23" t="str">
        <f t="shared" ca="1" si="613"/>
        <v>89-8</v>
      </c>
      <c r="AJ1066" s="282">
        <f ca="1">IF(E1066&gt;111,,IF(AND(OP!$C$99=1,T1066="F"),Z1066,IF(AND(OP!$C$99=2,COUNTIF($T$4:T1066,"F")=1),OP!$C$97+IF(F1066="F",OP!$C$98,0),"")))</f>
        <v>0</v>
      </c>
      <c r="AK1066" s="282">
        <f ca="1">IF(E1066&gt;111,,IF(AND(OP!$D$99=1,T1066="F"),AA1066,IF(AND(OP!$D$99=2,COUNTIF($T$4:T1066,"F")=1),OP!$D$97+IF(F1066="F",OP!$D$98,0),"")))</f>
        <v>0</v>
      </c>
      <c r="AL1066" s="282">
        <f ca="1">IF(E1066&gt;111,,IF(AND(OP!$E$99=1,T1066="F"),AB1066,IF(AND(OP!$E$99=2,COUNTIF($T$4:T1066,"F")=1),OP!$E$97+IF(F1066="F",OP!$E$98,0),"")))</f>
        <v>0</v>
      </c>
      <c r="AM1066" s="1">
        <f t="shared" ca="1" si="618"/>
        <v>8</v>
      </c>
      <c r="AN1066" s="1" t="e">
        <f ca="1">IF(OR(VLOOKUP($A1066,MP,5,0)="半年繳",VLOOKUP($A1066,MP,5,0)="季繳",VLOOKUP($A1066,MP,5,0)="月繳"),1,"")</f>
        <v>#N/A</v>
      </c>
      <c r="AO1066" s="1">
        <f t="shared" ca="1" si="598"/>
        <v>0</v>
      </c>
      <c r="AP1066" s="1" t="str">
        <f ca="1">IF(AND(A1066&lt;=OP!$C$120,COUNTIF(PAY,C1066)=1),1,"")</f>
        <v/>
      </c>
      <c r="AR1066" s="301">
        <f ca="1">IF(繳費報酬率資料!$A$1=1,$AY1066+$AZ1066,$BF1066+$BG1066)</f>
        <v>0</v>
      </c>
      <c r="AS1066" s="1">
        <f ca="1">IF(C1066&lt;&gt;IF($C$3=1,12,$C$3-1),0,IF(繳費報酬率資料!$A$1&lt;&gt;1,VLOOKUP($A1066,MP,8,0),IF(AND($A1066&gt;=OP!$C$79,$A1066&lt;=OP!$C$80),OP!$C$78,)))</f>
        <v>0</v>
      </c>
      <c r="AT1066" s="298">
        <f t="shared" ca="1" si="599"/>
        <v>0</v>
      </c>
      <c r="AU1066" s="298">
        <f ca="1">IF(AND(A1066&lt;=OP!$C$120,COUNTIF(PAY,C1066)=1),OP!$C$123,0)</f>
        <v>0</v>
      </c>
      <c r="AV1066" s="298">
        <f ca="1">IF(AND(A1066&gt;=OP!$C$132,A1066&lt;=OP!$C$133,$C$3=C1066),OP!$C$135,0)</f>
        <v>0</v>
      </c>
      <c r="AW1066" s="180">
        <f t="shared" ca="1" si="600"/>
        <v>0.05</v>
      </c>
      <c r="AX1066" s="180">
        <f t="shared" ca="1" si="601"/>
        <v>0.05</v>
      </c>
      <c r="AY1066" s="286">
        <f t="shared" ca="1" si="602"/>
        <v>0</v>
      </c>
      <c r="AZ1066" s="286">
        <f t="shared" ca="1" si="603"/>
        <v>0</v>
      </c>
      <c r="BA1066" s="286">
        <f t="shared" ca="1" si="604"/>
        <v>0</v>
      </c>
      <c r="BB1066" s="286">
        <f t="shared" ca="1" si="605"/>
        <v>0</v>
      </c>
      <c r="BC1066" s="286">
        <f t="shared" ca="1" si="606"/>
        <v>0</v>
      </c>
      <c r="BD1066" s="180">
        <f t="shared" ca="1" si="607"/>
        <v>0.05</v>
      </c>
      <c r="BE1066" s="180">
        <f t="shared" ca="1" si="608"/>
        <v>0.05</v>
      </c>
      <c r="BF1066" s="286">
        <f t="shared" ca="1" si="609"/>
        <v>0</v>
      </c>
      <c r="BG1066" s="286">
        <f t="shared" ca="1" si="610"/>
        <v>0</v>
      </c>
    </row>
    <row r="1067" spans="1:59">
      <c r="A1067" s="1">
        <f t="shared" ca="1" si="590"/>
        <v>89</v>
      </c>
      <c r="B1067" s="1">
        <f t="shared" ca="1" si="619"/>
        <v>195</v>
      </c>
      <c r="C1067" s="1">
        <f t="shared" ca="1" si="620"/>
        <v>1</v>
      </c>
      <c r="D1067" s="1">
        <f ca="1">MIN($D$3,VLOOKUP(C1067,OP!$S$30:$T$41,2))</f>
        <v>2</v>
      </c>
      <c r="E1067" s="1" t="str">
        <f t="shared" ca="1" si="616"/>
        <v/>
      </c>
      <c r="F1067" s="11" t="str">
        <f t="shared" ca="1" si="591"/>
        <v/>
      </c>
      <c r="G1067" s="8">
        <f t="shared" ca="1" si="621"/>
        <v>365</v>
      </c>
      <c r="H1067" s="8">
        <f t="shared" ca="1" si="592"/>
        <v>31</v>
      </c>
      <c r="I1067" s="8" t="str">
        <f t="shared" ca="1" si="589"/>
        <v>891</v>
      </c>
      <c r="J1067" s="13">
        <f>IF(繳費報酬率資料!$A$1=1,VALUE(OP!$C$121),VLOOKUP(A1067,MP,2,0))</f>
        <v>0.05</v>
      </c>
      <c r="K1067" s="14">
        <f ca="1">IF(SUM($K$4:K1066,IF(繳費報酬率資料!$A$1=1,$AU1067+$AV1067,$BB1067+$BC1067))&gt;OP!$L$58,0,IF(繳費報酬率資料!$A$1=1,$AU1067+$AV1067,$BB1067+$BC1067))</f>
        <v>0</v>
      </c>
      <c r="L1067" s="2"/>
      <c r="M1067" s="2"/>
      <c r="N1067" s="2"/>
      <c r="O1067" s="261">
        <f t="shared" ca="1" si="593"/>
        <v>0</v>
      </c>
      <c r="P1067" s="261">
        <f t="shared" ca="1" si="611"/>
        <v>0</v>
      </c>
      <c r="Q1067" s="3">
        <f ca="1">IF(A1067&gt;MAX(OP!$R$17:$R$26),0,VLOOKUP(A1067,fees,3,FALSE))</f>
        <v>0</v>
      </c>
      <c r="R1067" s="200" t="str">
        <f t="shared" ca="1" si="594"/>
        <v/>
      </c>
      <c r="S1067" s="9" t="str">
        <f ca="1">IF(COUNTIF(($T$4:T1066),"F")&gt;=1,"",IF(OR(C1068&lt;&gt;$C$3,E1067=""),"",A1067))</f>
        <v/>
      </c>
      <c r="T1067" s="20" t="str">
        <f t="shared" ca="1" si="617"/>
        <v/>
      </c>
      <c r="U1067" s="2">
        <f ca="1">IF(IF(OP!$C$83=1,$Z1066,IF(OP!$C$83=2,$AA1066,IF(OP!$C$83=3,$AB1066,)))+$K1067-$O1067-$P1067-$AS1067&lt;OP!$C$142,0,$AS1067)</f>
        <v>0</v>
      </c>
      <c r="V1067" s="9"/>
      <c r="W1067" s="19">
        <f ca="1">MAX(SUM($K$4:K1067),0)</f>
        <v>2000000</v>
      </c>
      <c r="X1067" s="19"/>
      <c r="Y1067" s="19">
        <f t="shared" ca="1" si="612"/>
        <v>1920000</v>
      </c>
      <c r="Z1067" s="2">
        <f ca="1">IF(MIN($Z$4:Z1066)=0,0,MAX(0,($Z1066+$K1067-$O1067-$P1067)*IF(AND(F1067="F",$D$3&lt;&gt;$G$3),((1+(-J1067))^(H1067/MIN(G1067,365))),((1+(-J1067))^(1/12)))-$U1067))</f>
        <v>20329.540581456295</v>
      </c>
      <c r="AA1067" s="2">
        <f ca="1">IF(MIN($AA$4:AA1066)=0,0,MAX(0,($AA1066+$K1067-$O1067-$P1067)*IF(AND(F1067="F",$D$3&lt;&gt;$G$3),((1+$AA$1)^(H1067/MIN(G1067,365))),((1+$AA$1)^(1/12)))-$U1067))</f>
        <v>1920000</v>
      </c>
      <c r="AB1067" s="2">
        <f ca="1">IF(MIN($AB$4:AB1066)=0,0,MAX(0,($AB1066+$K1067-$O1067-$P1067)*IF(AND(F1067="F",$D$3&lt;&gt;$G$3),((1+(J1067))^(H1067/MIN(G1067,365))),((1+(J1067))^(1/12)))-$U1067))</f>
        <v>145239834.79200187</v>
      </c>
      <c r="AC1067" s="5"/>
      <c r="AD1067" s="5"/>
      <c r="AE1067" s="5"/>
      <c r="AF1067" s="282">
        <f t="shared" ca="1" si="595"/>
        <v>20330</v>
      </c>
      <c r="AG1067" s="282">
        <f t="shared" ca="1" si="596"/>
        <v>1920000</v>
      </c>
      <c r="AH1067" s="282">
        <f t="shared" ca="1" si="597"/>
        <v>145239835</v>
      </c>
      <c r="AI1067" s="23" t="str">
        <f t="shared" ca="1" si="613"/>
        <v>89-9</v>
      </c>
      <c r="AJ1067" s="282">
        <f ca="1">IF(E1067&gt;111,,IF(AND(OP!$C$99=1,T1067="F"),Z1067,IF(AND(OP!$C$99=2,COUNTIF($T$4:T1067,"F")=1),OP!$C$97+IF(F1067="F",OP!$C$98,0),"")))</f>
        <v>0</v>
      </c>
      <c r="AK1067" s="282">
        <f ca="1">IF(E1067&gt;111,,IF(AND(OP!$D$99=1,T1067="F"),AA1067,IF(AND(OP!$D$99=2,COUNTIF($T$4:T1067,"F")=1),OP!$D$97+IF(F1067="F",OP!$D$98,0),"")))</f>
        <v>0</v>
      </c>
      <c r="AL1067" s="282">
        <f ca="1">IF(E1067&gt;111,,IF(AND(OP!$E$99=1,T1067="F"),AB1067,IF(AND(OP!$E$99=2,COUNTIF($T$4:T1067,"F")=1),OP!$E$97+IF(F1067="F",OP!$E$98,0),"")))</f>
        <v>0</v>
      </c>
      <c r="AM1067" s="1">
        <f t="shared" ca="1" si="618"/>
        <v>9</v>
      </c>
      <c r="AN1067" s="1" t="e">
        <f ca="1">IF(OR(VLOOKUP($A1067,MP,5,0)="月繳"),1,"")</f>
        <v>#N/A</v>
      </c>
      <c r="AO1067" s="1">
        <f t="shared" ca="1" si="598"/>
        <v>0</v>
      </c>
      <c r="AP1067" s="1" t="str">
        <f ca="1">IF(AND(A1067&lt;=OP!$C$120,COUNTIF(PAY,C1067)=1),1,"")</f>
        <v/>
      </c>
      <c r="AR1067" s="301">
        <f ca="1">IF(繳費報酬率資料!$A$1=1,$AY1067+$AZ1067,$BF1067+$BG1067)</f>
        <v>0</v>
      </c>
      <c r="AS1067" s="1">
        <f ca="1">IF(C1067&lt;&gt;IF($C$3=1,12,$C$3-1),0,IF(繳費報酬率資料!$A$1&lt;&gt;1,VLOOKUP($A1067,MP,8,0),IF(AND($A1067&gt;=OP!$C$79,$A1067&lt;=OP!$C$80),OP!$C$78,)))</f>
        <v>0</v>
      </c>
      <c r="AT1067" s="298">
        <f t="shared" ca="1" si="599"/>
        <v>0</v>
      </c>
      <c r="AU1067" s="298">
        <f ca="1">IF(AND(A1067&lt;=OP!$C$120,COUNTIF(PAY,C1067)=1),OP!$C$123,0)</f>
        <v>0</v>
      </c>
      <c r="AV1067" s="298">
        <f ca="1">IF(AND(A1067&gt;=OP!$C$132,A1067&lt;=OP!$C$133,$C$3=C1067),OP!$C$135,0)</f>
        <v>0</v>
      </c>
      <c r="AW1067" s="180">
        <f t="shared" ca="1" si="600"/>
        <v>0.05</v>
      </c>
      <c r="AX1067" s="180">
        <f t="shared" ca="1" si="601"/>
        <v>0.05</v>
      </c>
      <c r="AY1067" s="286">
        <f t="shared" ca="1" si="602"/>
        <v>0</v>
      </c>
      <c r="AZ1067" s="286">
        <f t="shared" ca="1" si="603"/>
        <v>0</v>
      </c>
      <c r="BA1067" s="286">
        <f t="shared" ca="1" si="604"/>
        <v>0</v>
      </c>
      <c r="BB1067" s="286">
        <f t="shared" ca="1" si="605"/>
        <v>0</v>
      </c>
      <c r="BC1067" s="286">
        <f t="shared" ca="1" si="606"/>
        <v>0</v>
      </c>
      <c r="BD1067" s="180">
        <f t="shared" ca="1" si="607"/>
        <v>0.05</v>
      </c>
      <c r="BE1067" s="180">
        <f t="shared" ca="1" si="608"/>
        <v>0.05</v>
      </c>
      <c r="BF1067" s="286">
        <f t="shared" ca="1" si="609"/>
        <v>0</v>
      </c>
      <c r="BG1067" s="286">
        <f t="shared" ca="1" si="610"/>
        <v>0</v>
      </c>
    </row>
    <row r="1068" spans="1:59">
      <c r="A1068" s="1">
        <f t="shared" ca="1" si="590"/>
        <v>89</v>
      </c>
      <c r="B1068" s="1">
        <f t="shared" ca="1" si="619"/>
        <v>195</v>
      </c>
      <c r="C1068" s="1">
        <f t="shared" ca="1" si="620"/>
        <v>2</v>
      </c>
      <c r="D1068" s="1">
        <f ca="1">MIN($D$3,VLOOKUP(C1068,OP!$S$30:$T$41,2))</f>
        <v>2</v>
      </c>
      <c r="E1068" s="1" t="str">
        <f t="shared" ca="1" si="616"/>
        <v/>
      </c>
      <c r="F1068" s="11" t="str">
        <f t="shared" ca="1" si="591"/>
        <v/>
      </c>
      <c r="G1068" s="8">
        <f t="shared" ca="1" si="621"/>
        <v>365</v>
      </c>
      <c r="H1068" s="8">
        <f t="shared" ca="1" si="592"/>
        <v>28</v>
      </c>
      <c r="I1068" s="8" t="str">
        <f t="shared" ca="1" si="589"/>
        <v>892</v>
      </c>
      <c r="J1068" s="13">
        <f>IF(繳費報酬率資料!$A$1=1,VALUE(OP!$C$121),VLOOKUP(A1068,MP,2,0))</f>
        <v>0.05</v>
      </c>
      <c r="K1068" s="14">
        <f ca="1">IF(SUM($K$4:K1067,IF(繳費報酬率資料!$A$1=1,$AU1068+$AV1068,$BB1068+$BC1068))&gt;OP!$L$58,0,IF(繳費報酬率資料!$A$1=1,$AU1068+$AV1068,$BB1068+$BC1068))</f>
        <v>0</v>
      </c>
      <c r="L1068" s="2"/>
      <c r="M1068" s="2"/>
      <c r="N1068" s="2"/>
      <c r="O1068" s="261">
        <f t="shared" ca="1" si="593"/>
        <v>0</v>
      </c>
      <c r="P1068" s="261">
        <f t="shared" ca="1" si="611"/>
        <v>0</v>
      </c>
      <c r="Q1068" s="3">
        <f ca="1">IF(A1068&gt;MAX(OP!$R$17:$R$26),0,VLOOKUP(A1068,fees,3,FALSE))</f>
        <v>0</v>
      </c>
      <c r="R1068" s="200" t="str">
        <f t="shared" ca="1" si="594"/>
        <v/>
      </c>
      <c r="S1068" s="9" t="str">
        <f ca="1">IF(COUNTIF(($T$4:T1067),"F")&gt;=1,"",IF(OR(C1069&lt;&gt;$C$3,E1068=""),"",A1068))</f>
        <v/>
      </c>
      <c r="T1068" s="20" t="str">
        <f t="shared" ca="1" si="617"/>
        <v/>
      </c>
      <c r="U1068" s="2">
        <f ca="1">IF(IF(OP!$C$83=1,$Z1067,IF(OP!$C$83=2,$AA1067,IF(OP!$C$83=3,$AB1067,)))+$K1068-$O1068-$P1068-$AS1068&lt;OP!$C$142,0,$AS1068)</f>
        <v>0</v>
      </c>
      <c r="V1068" s="9"/>
      <c r="W1068" s="19">
        <f ca="1">MAX(SUM($K$4:K1068),0)</f>
        <v>2000000</v>
      </c>
      <c r="X1068" s="19"/>
      <c r="Y1068" s="19">
        <f t="shared" ca="1" si="612"/>
        <v>1920000</v>
      </c>
      <c r="Z1068" s="2">
        <f ca="1">IF(MIN($Z$4:Z1067)=0,0,MAX(0,($Z1067+$K1068-$O1068-$P1068)*IF(AND(F1068="F",$D$3&lt;&gt;$G$3),((1+(-J1068))^(H1068/MIN(G1068,365))),((1+(-J1068))^(1/12)))-$U1068))</f>
        <v>20242.828610275028</v>
      </c>
      <c r="AA1068" s="2">
        <f ca="1">IF(MIN($AA$4:AA1067)=0,0,MAX(0,($AA1067+$K1068-$O1068-$P1068)*IF(AND(F1068="F",$D$3&lt;&gt;$G$3),((1+$AA$1)^(H1068/MIN(G1068,365))),((1+$AA$1)^(1/12)))-$U1068))</f>
        <v>1920000</v>
      </c>
      <c r="AB1068" s="2">
        <f ca="1">IF(MIN($AB$4:AB1067)=0,0,MAX(0,($AB1067+$K1068-$O1068-$P1068)*IF(AND(F1068="F",$D$3&lt;&gt;$G$3),((1+(J1068))^(H1068/MIN(G1068,365))),((1+(J1068))^(1/12)))-$U1068))</f>
        <v>145831559.85726112</v>
      </c>
      <c r="AC1068" s="5"/>
      <c r="AD1068" s="5"/>
      <c r="AE1068" s="5"/>
      <c r="AF1068" s="282">
        <f t="shared" ca="1" si="595"/>
        <v>20243</v>
      </c>
      <c r="AG1068" s="282">
        <f t="shared" ca="1" si="596"/>
        <v>1920000</v>
      </c>
      <c r="AH1068" s="282">
        <f t="shared" ca="1" si="597"/>
        <v>145831560</v>
      </c>
      <c r="AI1068" s="23" t="str">
        <f t="shared" ca="1" si="613"/>
        <v>89-10</v>
      </c>
      <c r="AJ1068" s="282">
        <f ca="1">IF(E1068&gt;111,,IF(AND(OP!$C$99=1,T1068="F"),Z1068,IF(AND(OP!$C$99=2,COUNTIF($T$4:T1068,"F")=1),OP!$C$97+IF(F1068="F",OP!$C$98,0),"")))</f>
        <v>0</v>
      </c>
      <c r="AK1068" s="282">
        <f ca="1">IF(E1068&gt;111,,IF(AND(OP!$D$99=1,T1068="F"),AA1068,IF(AND(OP!$D$99=2,COUNTIF($T$4:T1068,"F")=1),OP!$D$97+IF(F1068="F",OP!$D$98,0),"")))</f>
        <v>0</v>
      </c>
      <c r="AL1068" s="282">
        <f ca="1">IF(E1068&gt;111,,IF(AND(OP!$E$99=1,T1068="F"),AB1068,IF(AND(OP!$E$99=2,COUNTIF($T$4:T1068,"F")=1),OP!$E$97+IF(F1068="F",OP!$E$98,0),"")))</f>
        <v>0</v>
      </c>
      <c r="AM1068" s="1">
        <f t="shared" ca="1" si="618"/>
        <v>10</v>
      </c>
      <c r="AN1068" s="1" t="e">
        <f ca="1">IF(OR(VLOOKUP($A1068,MP,5,0)="月繳"),1,"")</f>
        <v>#N/A</v>
      </c>
      <c r="AO1068" s="1">
        <f t="shared" ca="1" si="598"/>
        <v>0</v>
      </c>
      <c r="AP1068" s="1" t="str">
        <f ca="1">IF(AND(A1068&lt;=OP!$C$120,COUNTIF(PAY,C1068)=1),1,"")</f>
        <v/>
      </c>
      <c r="AR1068" s="301">
        <f ca="1">IF(繳費報酬率資料!$A$1=1,$AY1068+$AZ1068,$BF1068+$BG1068)</f>
        <v>0</v>
      </c>
      <c r="AS1068" s="1">
        <f ca="1">IF(C1068&lt;&gt;IF($C$3=1,12,$C$3-1),0,IF(繳費報酬率資料!$A$1&lt;&gt;1,VLOOKUP($A1068,MP,8,0),IF(AND($A1068&gt;=OP!$C$79,$A1068&lt;=OP!$C$80),OP!$C$78,)))</f>
        <v>0</v>
      </c>
      <c r="AT1068" s="298">
        <f t="shared" ca="1" si="599"/>
        <v>0</v>
      </c>
      <c r="AU1068" s="298">
        <f ca="1">IF(AND(A1068&lt;=OP!$C$120,COUNTIF(PAY,C1068)=1),OP!$C$123,0)</f>
        <v>0</v>
      </c>
      <c r="AV1068" s="298">
        <f ca="1">IF(AND(A1068&gt;=OP!$C$132,A1068&lt;=OP!$C$133,$C$3=C1068),OP!$C$135,0)</f>
        <v>0</v>
      </c>
      <c r="AW1068" s="180">
        <f t="shared" ca="1" si="600"/>
        <v>0.05</v>
      </c>
      <c r="AX1068" s="180">
        <f t="shared" ca="1" si="601"/>
        <v>0.05</v>
      </c>
      <c r="AY1068" s="286">
        <f t="shared" ca="1" si="602"/>
        <v>0</v>
      </c>
      <c r="AZ1068" s="286">
        <f t="shared" ca="1" si="603"/>
        <v>0</v>
      </c>
      <c r="BA1068" s="286">
        <f t="shared" ca="1" si="604"/>
        <v>0</v>
      </c>
      <c r="BB1068" s="286">
        <f t="shared" ca="1" si="605"/>
        <v>0</v>
      </c>
      <c r="BC1068" s="286">
        <f t="shared" ca="1" si="606"/>
        <v>0</v>
      </c>
      <c r="BD1068" s="180">
        <f t="shared" ca="1" si="607"/>
        <v>0.05</v>
      </c>
      <c r="BE1068" s="180">
        <f t="shared" ca="1" si="608"/>
        <v>0.05</v>
      </c>
      <c r="BF1068" s="286">
        <f t="shared" ca="1" si="609"/>
        <v>0</v>
      </c>
      <c r="BG1068" s="286">
        <f t="shared" ca="1" si="610"/>
        <v>0</v>
      </c>
    </row>
    <row r="1069" spans="1:59">
      <c r="A1069" s="1">
        <f t="shared" ca="1" si="590"/>
        <v>89</v>
      </c>
      <c r="B1069" s="1">
        <f t="shared" ca="1" si="619"/>
        <v>195</v>
      </c>
      <c r="C1069" s="1">
        <f t="shared" ca="1" si="620"/>
        <v>3</v>
      </c>
      <c r="D1069" s="1">
        <f ca="1">MIN($D$3,VLOOKUP(C1069,OP!$S$30:$T$41,2))</f>
        <v>2</v>
      </c>
      <c r="E1069" s="1" t="str">
        <f t="shared" ca="1" si="616"/>
        <v/>
      </c>
      <c r="F1069" s="11" t="str">
        <f t="shared" ca="1" si="591"/>
        <v/>
      </c>
      <c r="G1069" s="8">
        <f t="shared" ca="1" si="621"/>
        <v>365</v>
      </c>
      <c r="H1069" s="8">
        <f t="shared" ca="1" si="592"/>
        <v>31</v>
      </c>
      <c r="I1069" s="8" t="str">
        <f t="shared" ca="1" si="589"/>
        <v>893</v>
      </c>
      <c r="J1069" s="13">
        <f>IF(繳費報酬率資料!$A$1=1,VALUE(OP!$C$121),VLOOKUP(A1069,MP,2,0))</f>
        <v>0.05</v>
      </c>
      <c r="K1069" s="14">
        <f ca="1">IF(SUM($K$4:K1068,IF(繳費報酬率資料!$A$1=1,$AU1069+$AV1069,$BB1069+$BC1069))&gt;OP!$L$58,0,IF(繳費報酬率資料!$A$1=1,$AU1069+$AV1069,$BB1069+$BC1069))</f>
        <v>0</v>
      </c>
      <c r="L1069" s="2"/>
      <c r="M1069" s="2"/>
      <c r="N1069" s="2"/>
      <c r="O1069" s="261">
        <f t="shared" ca="1" si="593"/>
        <v>0</v>
      </c>
      <c r="P1069" s="261">
        <f t="shared" ca="1" si="611"/>
        <v>0</v>
      </c>
      <c r="Q1069" s="3">
        <f ca="1">IF(A1069&gt;MAX(OP!$R$17:$R$26),0,VLOOKUP(A1069,fees,3,FALSE))</f>
        <v>0</v>
      </c>
      <c r="R1069" s="200" t="str">
        <f t="shared" ca="1" si="594"/>
        <v/>
      </c>
      <c r="S1069" s="9" t="str">
        <f ca="1">IF(COUNTIF(($T$4:T1068),"F")&gt;=1,"",IF(OR(C1070&lt;&gt;$C$3,E1069=""),"",A1069))</f>
        <v/>
      </c>
      <c r="T1069" s="20" t="str">
        <f t="shared" ca="1" si="617"/>
        <v/>
      </c>
      <c r="U1069" s="2">
        <f ca="1">IF(IF(OP!$C$83=1,$Z1068,IF(OP!$C$83=2,$AA1068,IF(OP!$C$83=3,$AB1068,)))+$K1069-$O1069-$P1069-$AS1069&lt;OP!$C$142,0,$AS1069)</f>
        <v>0</v>
      </c>
      <c r="V1069" s="9"/>
      <c r="W1069" s="19">
        <f ca="1">MAX(SUM($K$4:K1069),0)</f>
        <v>2000000</v>
      </c>
      <c r="X1069" s="19"/>
      <c r="Y1069" s="19">
        <f t="shared" ca="1" si="612"/>
        <v>1920000</v>
      </c>
      <c r="Z1069" s="2">
        <f ca="1">IF(MIN($Z$4:Z1068)=0,0,MAX(0,($Z1068+$K1069-$O1069-$P1069)*IF(AND(F1069="F",$D$3&lt;&gt;$G$3),((1+(-J1069))^(H1069/MIN(G1069,365))),((1+(-J1069))^(1/12)))-$U1069))</f>
        <v>20156.486493292679</v>
      </c>
      <c r="AA1069" s="2">
        <f ca="1">IF(MIN($AA$4:AA1068)=0,0,MAX(0,($AA1068+$K1069-$O1069-$P1069)*IF(AND(F1069="F",$D$3&lt;&gt;$G$3),((1+$AA$1)^(H1069/MIN(G1069,365))),((1+$AA$1)^(1/12)))-$U1069))</f>
        <v>1920000</v>
      </c>
      <c r="AB1069" s="2">
        <f ca="1">IF(MIN($AB$4:AB1068)=0,0,MAX(0,($AB1068+$K1069-$O1069-$P1069)*IF(AND(F1069="F",$D$3&lt;&gt;$G$3),((1+(J1069))^(H1069/MIN(G1069,365))),((1+(J1069))^(1/12)))-$U1069))</f>
        <v>146425695.68368211</v>
      </c>
      <c r="AC1069" s="5"/>
      <c r="AD1069" s="5"/>
      <c r="AE1069" s="5"/>
      <c r="AF1069" s="282">
        <f t="shared" ca="1" si="595"/>
        <v>20156</v>
      </c>
      <c r="AG1069" s="282">
        <f t="shared" ca="1" si="596"/>
        <v>1920000</v>
      </c>
      <c r="AH1069" s="282">
        <f t="shared" ca="1" si="597"/>
        <v>146425696</v>
      </c>
      <c r="AI1069" s="23" t="str">
        <f t="shared" ca="1" si="613"/>
        <v>89-11</v>
      </c>
      <c r="AJ1069" s="282">
        <f ca="1">IF(E1069&gt;111,,IF(AND(OP!$C$99=1,T1069="F"),Z1069,IF(AND(OP!$C$99=2,COUNTIF($T$4:T1069,"F")=1),OP!$C$97+IF(F1069="F",OP!$C$98,0),"")))</f>
        <v>0</v>
      </c>
      <c r="AK1069" s="282">
        <f ca="1">IF(E1069&gt;111,,IF(AND(OP!$D$99=1,T1069="F"),AA1069,IF(AND(OP!$D$99=2,COUNTIF($T$4:T1069,"F")=1),OP!$D$97+IF(F1069="F",OP!$D$98,0),"")))</f>
        <v>0</v>
      </c>
      <c r="AL1069" s="282">
        <f ca="1">IF(E1069&gt;111,,IF(AND(OP!$E$99=1,T1069="F"),AB1069,IF(AND(OP!$E$99=2,COUNTIF($T$4:T1069,"F")=1),OP!$E$97+IF(F1069="F",OP!$E$98,0),"")))</f>
        <v>0</v>
      </c>
      <c r="AM1069" s="1">
        <f t="shared" ca="1" si="618"/>
        <v>11</v>
      </c>
      <c r="AN1069" s="1" t="e">
        <f ca="1">IF(OR(VLOOKUP($A1069,MP,5,0)="季繳",VLOOKUP($A1069,MP,5,0)="月繳"),1,"")</f>
        <v>#N/A</v>
      </c>
      <c r="AO1069" s="1">
        <f t="shared" ca="1" si="598"/>
        <v>0</v>
      </c>
      <c r="AP1069" s="1" t="str">
        <f ca="1">IF(AND(A1069&lt;=OP!$C$120,COUNTIF(PAY,C1069)=1),1,"")</f>
        <v/>
      </c>
      <c r="AR1069" s="301">
        <f ca="1">IF(繳費報酬率資料!$A$1=1,$AY1069+$AZ1069,$BF1069+$BG1069)</f>
        <v>0</v>
      </c>
      <c r="AS1069" s="1">
        <f ca="1">IF(C1069&lt;&gt;IF($C$3=1,12,$C$3-1),0,IF(繳費報酬率資料!$A$1&lt;&gt;1,VLOOKUP($A1069,MP,8,0),IF(AND($A1069&gt;=OP!$C$79,$A1069&lt;=OP!$C$80),OP!$C$78,)))</f>
        <v>0</v>
      </c>
      <c r="AT1069" s="298">
        <f t="shared" ca="1" si="599"/>
        <v>0</v>
      </c>
      <c r="AU1069" s="298">
        <f ca="1">IF(AND(A1069&lt;=OP!$C$120,COUNTIF(PAY,C1069)=1),OP!$C$123,0)</f>
        <v>0</v>
      </c>
      <c r="AV1069" s="298">
        <f ca="1">IF(AND(A1069&gt;=OP!$C$132,A1069&lt;=OP!$C$133,$C$3=C1069),OP!$C$135,0)</f>
        <v>0</v>
      </c>
      <c r="AW1069" s="180">
        <f t="shared" ca="1" si="600"/>
        <v>0.05</v>
      </c>
      <c r="AX1069" s="180">
        <f t="shared" ca="1" si="601"/>
        <v>0.05</v>
      </c>
      <c r="AY1069" s="286">
        <f t="shared" ca="1" si="602"/>
        <v>0</v>
      </c>
      <c r="AZ1069" s="286">
        <f t="shared" ca="1" si="603"/>
        <v>0</v>
      </c>
      <c r="BA1069" s="286">
        <f t="shared" ca="1" si="604"/>
        <v>0</v>
      </c>
      <c r="BB1069" s="286">
        <f t="shared" ca="1" si="605"/>
        <v>0</v>
      </c>
      <c r="BC1069" s="286">
        <f t="shared" ca="1" si="606"/>
        <v>0</v>
      </c>
      <c r="BD1069" s="180">
        <f t="shared" ca="1" si="607"/>
        <v>0.05</v>
      </c>
      <c r="BE1069" s="180">
        <f t="shared" ca="1" si="608"/>
        <v>0.05</v>
      </c>
      <c r="BF1069" s="286">
        <f t="shared" ca="1" si="609"/>
        <v>0</v>
      </c>
      <c r="BG1069" s="286">
        <f t="shared" ca="1" si="610"/>
        <v>0</v>
      </c>
    </row>
    <row r="1070" spans="1:59">
      <c r="A1070" s="1">
        <f t="shared" ca="1" si="590"/>
        <v>89</v>
      </c>
      <c r="B1070" s="1">
        <f t="shared" ca="1" si="619"/>
        <v>195</v>
      </c>
      <c r="C1070" s="1">
        <f t="shared" ca="1" si="620"/>
        <v>4</v>
      </c>
      <c r="D1070" s="1">
        <f ca="1">MIN($D$3,VLOOKUP(C1070,OP!$S$30:$T$41,2))</f>
        <v>2</v>
      </c>
      <c r="E1070" s="1" t="str">
        <f t="shared" ca="1" si="616"/>
        <v/>
      </c>
      <c r="F1070" s="11" t="str">
        <f t="shared" ca="1" si="591"/>
        <v/>
      </c>
      <c r="G1070" s="8">
        <f t="shared" ca="1" si="621"/>
        <v>365</v>
      </c>
      <c r="H1070" s="8">
        <f t="shared" ca="1" si="592"/>
        <v>30</v>
      </c>
      <c r="I1070" s="8" t="str">
        <f t="shared" ca="1" si="589"/>
        <v>894</v>
      </c>
      <c r="J1070" s="13">
        <f>IF(繳費報酬率資料!$A$1=1,VALUE(OP!$C$121),VLOOKUP(A1070,MP,2,0))</f>
        <v>0.05</v>
      </c>
      <c r="K1070" s="14">
        <f ca="1">IF(SUM($K$4:K1069,IF(繳費報酬率資料!$A$1=1,$AU1070+$AV1070,$BB1070+$BC1070))&gt;OP!$L$58,0,IF(繳費報酬率資料!$A$1=1,$AU1070+$AV1070,$BB1070+$BC1070))</f>
        <v>0</v>
      </c>
      <c r="L1070" s="2"/>
      <c r="M1070" s="2"/>
      <c r="N1070" s="2"/>
      <c r="O1070" s="261">
        <f t="shared" ca="1" si="593"/>
        <v>0</v>
      </c>
      <c r="P1070" s="261">
        <f t="shared" ca="1" si="611"/>
        <v>0</v>
      </c>
      <c r="Q1070" s="3">
        <f ca="1">IF(A1070&gt;MAX(OP!$R$17:$R$26),0,VLOOKUP(A1070,fees,3,FALSE))</f>
        <v>0</v>
      </c>
      <c r="R1070" s="200" t="str">
        <f t="shared" ca="1" si="594"/>
        <v/>
      </c>
      <c r="S1070" s="9" t="str">
        <f ca="1">IF(COUNTIF(($T$4:T1069),"F")&gt;=1,"",IF(OR(C1071&lt;&gt;$C$3,E1070=""),"",A1070))</f>
        <v/>
      </c>
      <c r="T1070" s="20" t="str">
        <f t="shared" ca="1" si="617"/>
        <v/>
      </c>
      <c r="U1070" s="2">
        <f ca="1">IF(IF(OP!$C$83=1,$Z1069,IF(OP!$C$83=2,$AA1069,IF(OP!$C$83=3,$AB1069,)))+$K1070-$O1070-$P1070-$AS1070&lt;OP!$C$142,0,$AS1070)</f>
        <v>0</v>
      </c>
      <c r="V1070" s="9"/>
      <c r="W1070" s="19">
        <f ca="1">MAX(SUM($K$4:K1070),0)</f>
        <v>2000000</v>
      </c>
      <c r="X1070" s="19"/>
      <c r="Y1070" s="19">
        <f t="shared" ca="1" si="612"/>
        <v>1920000</v>
      </c>
      <c r="Z1070" s="2">
        <f ca="1">IF(MIN($Z$4:Z1069)=0,0,MAX(0,($Z1069+$K1070-$O1070-$P1070)*IF(AND(F1070="F",$D$3&lt;&gt;$G$3),((1+(-J1070))^(H1070/MIN(G1070,365))),((1+(-J1070))^(1/12)))-$U1070))</f>
        <v>20070.512652963189</v>
      </c>
      <c r="AA1070" s="2">
        <f ca="1">IF(MIN($AA$4:AA1069)=0,0,MAX(0,($AA1069+$K1070-$O1070-$P1070)*IF(AND(F1070="F",$D$3&lt;&gt;$G$3),((1+$AA$1)^(H1070/MIN(G1070,365))),((1+$AA$1)^(1/12)))-$U1070))</f>
        <v>1920000</v>
      </c>
      <c r="AB1070" s="2">
        <f ca="1">IF(MIN($AB$4:AB1069)=0,0,MAX(0,($AB1069+$K1070-$O1070-$P1070)*IF(AND(F1070="F",$D$3&lt;&gt;$G$3),((1+(J1070))^(H1070/MIN(G1070,365))),((1+(J1070))^(1/12)))-$U1070))</f>
        <v>147022252.09300426</v>
      </c>
      <c r="AC1070" s="5"/>
      <c r="AD1070" s="5"/>
      <c r="AE1070" s="5"/>
      <c r="AF1070" s="282">
        <f t="shared" ca="1" si="595"/>
        <v>20071</v>
      </c>
      <c r="AG1070" s="282">
        <f t="shared" ca="1" si="596"/>
        <v>1920000</v>
      </c>
      <c r="AH1070" s="282">
        <f t="shared" ca="1" si="597"/>
        <v>147022252</v>
      </c>
      <c r="AI1070" s="23" t="str">
        <f t="shared" ca="1" si="613"/>
        <v>89-12</v>
      </c>
      <c r="AJ1070" s="282">
        <f ca="1">IF(E1070&gt;111,,IF(AND(OP!$C$99=1,T1070="F"),Z1070,IF(AND(OP!$C$99=2,COUNTIF($T$4:T1070,"F")=1),OP!$C$97+IF(F1070="F",OP!$C$98,0),"")))</f>
        <v>0</v>
      </c>
      <c r="AK1070" s="282">
        <f ca="1">IF(E1070&gt;111,,IF(AND(OP!$D$99=1,T1070="F"),AA1070,IF(AND(OP!$D$99=2,COUNTIF($T$4:T1070,"F")=1),OP!$D$97+IF(F1070="F",OP!$D$98,0),"")))</f>
        <v>0</v>
      </c>
      <c r="AL1070" s="282">
        <f ca="1">IF(E1070&gt;111,,IF(AND(OP!$E$99=1,T1070="F"),AB1070,IF(AND(OP!$E$99=2,COUNTIF($T$4:T1070,"F")=1),OP!$E$97+IF(F1070="F",OP!$E$98,0),"")))</f>
        <v>0</v>
      </c>
      <c r="AM1070" s="1">
        <f t="shared" ca="1" si="618"/>
        <v>12</v>
      </c>
      <c r="AN1070" s="1" t="e">
        <f ca="1">IF(OR(VLOOKUP($A1070,MP,5,0)="月繳"),1,"")</f>
        <v>#N/A</v>
      </c>
      <c r="AO1070" s="1">
        <f t="shared" ca="1" si="598"/>
        <v>0</v>
      </c>
      <c r="AP1070" s="1" t="str">
        <f ca="1">IF(AND(A1070&lt;=OP!$C$120,COUNTIF(PAY,C1070)=1),1,"")</f>
        <v/>
      </c>
      <c r="AR1070" s="301">
        <f ca="1">IF(繳費報酬率資料!$A$1=1,$AY1070+$AZ1070,$BF1070+$BG1070)</f>
        <v>0</v>
      </c>
      <c r="AS1070" s="1">
        <f ca="1">IF(C1070&lt;&gt;IF($C$3=1,12,$C$3-1),0,IF(繳費報酬率資料!$A$1&lt;&gt;1,VLOOKUP($A1070,MP,8,0),IF(AND($A1070&gt;=OP!$C$79,$A1070&lt;=OP!$C$80),OP!$C$78,)))</f>
        <v>0</v>
      </c>
      <c r="AT1070" s="298">
        <f t="shared" ca="1" si="599"/>
        <v>0</v>
      </c>
      <c r="AU1070" s="298">
        <f ca="1">IF(AND(A1070&lt;=OP!$C$120,COUNTIF(PAY,C1070)=1),OP!$C$123,0)</f>
        <v>0</v>
      </c>
      <c r="AV1070" s="298">
        <f ca="1">IF(AND(A1070&gt;=OP!$C$132,A1070&lt;=OP!$C$133,$C$3=C1070),OP!$C$135,0)</f>
        <v>0</v>
      </c>
      <c r="AW1070" s="180">
        <f t="shared" ca="1" si="600"/>
        <v>0.05</v>
      </c>
      <c r="AX1070" s="180">
        <f t="shared" ca="1" si="601"/>
        <v>0.05</v>
      </c>
      <c r="AY1070" s="286">
        <f t="shared" ca="1" si="602"/>
        <v>0</v>
      </c>
      <c r="AZ1070" s="286">
        <f t="shared" ca="1" si="603"/>
        <v>0</v>
      </c>
      <c r="BA1070" s="286">
        <f t="shared" ca="1" si="604"/>
        <v>0</v>
      </c>
      <c r="BB1070" s="286">
        <f t="shared" ca="1" si="605"/>
        <v>0</v>
      </c>
      <c r="BC1070" s="286">
        <f t="shared" ca="1" si="606"/>
        <v>0</v>
      </c>
      <c r="BD1070" s="180">
        <f t="shared" ca="1" si="607"/>
        <v>0.05</v>
      </c>
      <c r="BE1070" s="180">
        <f t="shared" ca="1" si="608"/>
        <v>0.05</v>
      </c>
      <c r="BF1070" s="286">
        <f t="shared" ca="1" si="609"/>
        <v>0</v>
      </c>
      <c r="BG1070" s="286">
        <f t="shared" ca="1" si="610"/>
        <v>0</v>
      </c>
    </row>
    <row r="1071" spans="1:59">
      <c r="A1071" s="1">
        <f t="shared" ca="1" si="590"/>
        <v>89</v>
      </c>
      <c r="B1071" s="1">
        <f t="shared" ca="1" si="619"/>
        <v>195</v>
      </c>
      <c r="C1071" s="1">
        <f t="shared" ca="1" si="620"/>
        <v>5</v>
      </c>
      <c r="D1071" s="1">
        <f ca="1">MIN($D$3,VLOOKUP(C1071,OP!$S$30:$T$41,2))</f>
        <v>2</v>
      </c>
      <c r="E1071" s="1" t="str">
        <f t="shared" ca="1" si="616"/>
        <v/>
      </c>
      <c r="F1071" s="11" t="str">
        <f t="shared" ca="1" si="591"/>
        <v/>
      </c>
      <c r="G1071" s="8">
        <f t="shared" ca="1" si="621"/>
        <v>365</v>
      </c>
      <c r="H1071" s="8">
        <f t="shared" ca="1" si="592"/>
        <v>31</v>
      </c>
      <c r="I1071" s="8" t="str">
        <f t="shared" ca="1" si="589"/>
        <v>895</v>
      </c>
      <c r="J1071" s="13">
        <f>IF(繳費報酬率資料!$A$1=1,VALUE(OP!$C$121),VLOOKUP(A1071,MP,2,0))</f>
        <v>0.05</v>
      </c>
      <c r="K1071" s="14">
        <f ca="1">IF(SUM($K$4:K1070,IF(繳費報酬率資料!$A$1=1,$AU1071+$AV1071,$BB1071+$BC1071))&gt;OP!$L$58,0,IF(繳費報酬率資料!$A$1=1,$AU1071+$AV1071,$BB1071+$BC1071))</f>
        <v>0</v>
      </c>
      <c r="L1071" s="2">
        <f ca="1">ROUND(IF(OP!$C$78&lt;(IF(OR($T1071="F",$E1071&gt;=111),0,Z1070+$K1071-$O1071+IF($C$1=1,OP!$C$78,IF($C1072=$C$3,SUM(AC1060:AC1071,0)))))*5%,0,(OP!$C$78-((IF(OR($T1071="F",$E1071&gt;=111),0,Z1070+$K1071-$O1071+IF($C$1=1,AC1071,IF($C1072=$C$3,SUM(AC1060:AC1071,0)))))*5%))*$Q1071),0)</f>
        <v>0</v>
      </c>
      <c r="M1071" s="2">
        <f ca="1">ROUND(IF(OP!$C$78&lt;(IF(OR($T1071="F",$E1071&gt;=111),0,AA1070+$K1071-$O1071+IF($C$1=1,AD1071,IF($C1072=$C$3,SUM(AD1060:AD1071,0)))))*5%,0,(OP!$C$78-((IF(OR($T1071="F",$E1071&gt;=111),0,AA1070+$K1071-$O1071+IF($C$1=1,AD1071,IF($C1072=$C$3,SUM(AD1060:AD1071,0)))))*5%))*$Q1071),0)</f>
        <v>0</v>
      </c>
      <c r="N1071" s="2">
        <f ca="1">ROUND(IF(OP!$C$78&lt;(IF(OR($T1071="F",$E1071&gt;=111),0,AB1070+$K1071-$O1071+IF($C$1=1,AE1071,IF($C1072=$C$3,SUM(AE1060:AE1071,0)))))*5%,0,(OP!$C$78-((IF(OR($T1071="F",$E1071&gt;=111),0,AB1070+$K1071-$O1071+IF($C$1=1,AE1071,IF($C1072=$C$3,SUM(AE1060:AE1071,0)))))*5%))*$Q1071),0)</f>
        <v>0</v>
      </c>
      <c r="O1071" s="261">
        <f t="shared" ca="1" si="593"/>
        <v>0</v>
      </c>
      <c r="P1071" s="261">
        <f t="shared" ca="1" si="611"/>
        <v>0</v>
      </c>
      <c r="Q1071" s="3">
        <f ca="1">IF(A1071&gt;MAX(OP!$R$17:$R$26),0,VLOOKUP(A1071,fees,3,FALSE))</f>
        <v>0</v>
      </c>
      <c r="R1071" s="200" t="str">
        <f t="shared" ca="1" si="594"/>
        <v/>
      </c>
      <c r="S1071" s="9" t="str">
        <f ca="1">IF(COUNTIF(($T$4:T1070),"F")&gt;=1,"",IF(OR(C1072&lt;&gt;$C$3,E1071=""),"",A1071))</f>
        <v/>
      </c>
      <c r="T1071" s="20" t="str">
        <f t="shared" ca="1" si="617"/>
        <v/>
      </c>
      <c r="U1071" s="2">
        <f ca="1">IF(IF(OP!$C$83=1,$Z1070,IF(OP!$C$83=2,$AA1070,IF(OP!$C$83=3,$AB1070,)))+$K1071-$O1071-$P1071-$AS1071&lt;OP!$C$142,0,$AS1071)</f>
        <v>0</v>
      </c>
      <c r="V1071" s="19">
        <f ca="1">SUM(K1060:K1071)</f>
        <v>0</v>
      </c>
      <c r="W1071" s="19">
        <f ca="1">MAX(SUM($K$4:K1071),0)</f>
        <v>2000000</v>
      </c>
      <c r="X1071" s="19">
        <f ca="1">SUM(O1060:P1071)</f>
        <v>0</v>
      </c>
      <c r="Y1071" s="19">
        <f t="shared" ca="1" si="612"/>
        <v>1920000</v>
      </c>
      <c r="Z1071" s="2">
        <f ca="1">IF(MIN($Z$4:Z1070)=0,0,MAX(0,($Z1070+$K1071-$O1071-$P1071)*IF(AND(F1071="F",$D$3&lt;&gt;$G$3),((1+(-J1071))^(H1071/MIN(G1071,365))),((1+(-J1071))^(1/12)))-$U1071))</f>
        <v>19984.905518469237</v>
      </c>
      <c r="AA1071" s="2">
        <f ca="1">IF(MIN($AA$4:AA1070)=0,0,MAX(0,($AA1070+$K1071-$O1071-$P1071)*IF(AND(F1071="F",$D$3&lt;&gt;$G$3),((1+$AA$1)^(H1071/MIN(G1071,365))),((1+$AA$1)^(1/12)))-$U1071))</f>
        <v>1920000</v>
      </c>
      <c r="AB1071" s="2">
        <f ca="1">IF(MIN($AB$4:AB1070)=0,0,MAX(0,($AB1070+$K1071-$O1071-$P1071)*IF(AND(F1071="F",$D$3&lt;&gt;$G$3),((1+(J1071))^(H1071/MIN(G1071,365))),((1+(J1071))^(1/12)))-$U1071))</f>
        <v>147621238.94698191</v>
      </c>
      <c r="AC1071" s="5"/>
      <c r="AD1071" s="5"/>
      <c r="AE1071" s="5"/>
      <c r="AF1071" s="282">
        <f t="shared" ca="1" si="595"/>
        <v>19985</v>
      </c>
      <c r="AG1071" s="282">
        <f t="shared" ca="1" si="596"/>
        <v>1920000</v>
      </c>
      <c r="AH1071" s="282">
        <f t="shared" ca="1" si="597"/>
        <v>147621239</v>
      </c>
      <c r="AI1071" s="23" t="str">
        <f t="shared" ca="1" si="613"/>
        <v>90-1</v>
      </c>
      <c r="AJ1071" s="282">
        <f ca="1">IF(E1071&gt;111,,IF(AND(OP!$C$99=1,T1071="F"),Z1071,IF(AND(OP!$C$99=2,COUNTIF($T$4:T1071,"F")=1),OP!$C$97+IF(F1071="F",OP!$C$98,0),"")))</f>
        <v>0</v>
      </c>
      <c r="AK1071" s="282">
        <f ca="1">IF(E1071&gt;111,,IF(AND(OP!$D$99=1,T1071="F"),AA1071,IF(AND(OP!$D$99=2,COUNTIF($T$4:T1071,"F")=1),OP!$D$97+IF(F1071="F",OP!$D$98,0),"")))</f>
        <v>0</v>
      </c>
      <c r="AL1071" s="282">
        <f ca="1">IF(E1071&gt;111,,IF(AND(OP!$E$99=1,T1071="F"),AB1071,IF(AND(OP!$E$99=2,COUNTIF($T$4:T1071,"F")=1),OP!$E$97+IF(F1071="F",OP!$E$98,0),"")))</f>
        <v>0</v>
      </c>
      <c r="AM1071" s="1">
        <f t="shared" ca="1" si="618"/>
        <v>1</v>
      </c>
      <c r="AN1071" s="1" t="e">
        <f ca="1">IF(OR(VLOOKUP($A1071,MP,5,0)="月繳"),1,"")</f>
        <v>#N/A</v>
      </c>
      <c r="AO1071" s="1">
        <f t="shared" ca="1" si="598"/>
        <v>0</v>
      </c>
      <c r="AP1071" s="1" t="str">
        <f ca="1">IF(AND(A1071&lt;=OP!$C$120,COUNTIF(PAY,C1071)=1),1,"")</f>
        <v/>
      </c>
      <c r="AR1071" s="301">
        <f ca="1">IF(繳費報酬率資料!$A$1=1,$AY1071+$AZ1071,$BF1071+$BG1071)</f>
        <v>0</v>
      </c>
      <c r="AS1071" s="1">
        <f ca="1">IF(C1071&lt;&gt;IF($C$3=1,12,$C$3-1),0,IF(繳費報酬率資料!$A$1&lt;&gt;1,VLOOKUP($A1071,MP,8,0),IF(AND($A1071&gt;=OP!$C$79,$A1071&lt;=OP!$C$80),OP!$C$78,)))</f>
        <v>0</v>
      </c>
      <c r="AT1071" s="298">
        <f t="shared" ca="1" si="599"/>
        <v>0</v>
      </c>
      <c r="AU1071" s="298">
        <f ca="1">IF(AND(A1071&lt;=OP!$C$120,COUNTIF(PAY,C1071)=1),OP!$C$123,0)</f>
        <v>0</v>
      </c>
      <c r="AV1071" s="298">
        <f ca="1">IF(AND(A1071&gt;=OP!$C$132,A1071&lt;=OP!$C$133,$C$3=C1071),OP!$C$135,0)</f>
        <v>0</v>
      </c>
      <c r="AW1071" s="180">
        <f t="shared" ca="1" si="600"/>
        <v>0.05</v>
      </c>
      <c r="AX1071" s="180">
        <f t="shared" ca="1" si="601"/>
        <v>0.05</v>
      </c>
      <c r="AY1071" s="286">
        <f t="shared" ca="1" si="602"/>
        <v>0</v>
      </c>
      <c r="AZ1071" s="286">
        <f t="shared" ca="1" si="603"/>
        <v>0</v>
      </c>
      <c r="BA1071" s="286">
        <f t="shared" ca="1" si="604"/>
        <v>0</v>
      </c>
      <c r="BB1071" s="286">
        <f t="shared" ca="1" si="605"/>
        <v>0</v>
      </c>
      <c r="BC1071" s="286">
        <f t="shared" ca="1" si="606"/>
        <v>0</v>
      </c>
      <c r="BD1071" s="180">
        <f t="shared" ca="1" si="607"/>
        <v>0.05</v>
      </c>
      <c r="BE1071" s="180">
        <f t="shared" ca="1" si="608"/>
        <v>0.05</v>
      </c>
      <c r="BF1071" s="286">
        <f t="shared" ca="1" si="609"/>
        <v>0</v>
      </c>
      <c r="BG1071" s="286">
        <f t="shared" ca="1" si="610"/>
        <v>0</v>
      </c>
    </row>
    <row r="1072" spans="1:59">
      <c r="A1072" s="1">
        <f t="shared" ca="1" si="590"/>
        <v>90</v>
      </c>
      <c r="B1072" s="1">
        <f t="shared" ca="1" si="619"/>
        <v>195</v>
      </c>
      <c r="C1072" s="1">
        <f t="shared" ca="1" si="620"/>
        <v>6</v>
      </c>
      <c r="D1072" s="1">
        <f ca="1">MIN($D$3,VLOOKUP(C1072,OP!$S$30:$T$41,2))</f>
        <v>2</v>
      </c>
      <c r="E1072" s="1" t="str">
        <f t="shared" ca="1" si="616"/>
        <v/>
      </c>
      <c r="F1072" s="11" t="str">
        <f t="shared" ca="1" si="591"/>
        <v/>
      </c>
      <c r="G1072" s="6">
        <f ca="1">DATEDIF(DATE(B1072+1911,C1072,D1072),DATE(B1084+1911,C1084,D1084),"d")</f>
        <v>365</v>
      </c>
      <c r="H1072" s="8">
        <f t="shared" ca="1" si="592"/>
        <v>30</v>
      </c>
      <c r="I1072" s="8" t="str">
        <f t="shared" ca="1" si="589"/>
        <v>906</v>
      </c>
      <c r="J1072" s="13">
        <f>IF(繳費報酬率資料!$A$1=1,VALUE(OP!$C$121),VLOOKUP(A1072,MP,2,0))</f>
        <v>0.05</v>
      </c>
      <c r="K1072" s="14">
        <f ca="1">IF(SUM($K$4:K1071,IF(繳費報酬率資料!$A$1=1,$AU1072+$AV1072,$BB1072+$BC1072))&gt;OP!$L$58,0,IF(繳費報酬率資料!$A$1=1,$AU1072+$AV1072,$BB1072+$BC1072))</f>
        <v>0</v>
      </c>
      <c r="L1072" s="2"/>
      <c r="M1072" s="2"/>
      <c r="N1072" s="2"/>
      <c r="O1072" s="261">
        <f t="shared" ca="1" si="593"/>
        <v>0</v>
      </c>
      <c r="P1072" s="261">
        <f t="shared" ca="1" si="611"/>
        <v>0</v>
      </c>
      <c r="Q1072" s="3">
        <f ca="1">IF(A1072&gt;MAX(OP!$R$17:$R$26),0,VLOOKUP(A1072,fees,3,FALSE))</f>
        <v>0</v>
      </c>
      <c r="R1072" s="200" t="str">
        <f t="shared" ca="1" si="594"/>
        <v/>
      </c>
      <c r="S1072" s="9" t="str">
        <f ca="1">IF(COUNTIF(($T$4:T1071),"F")&gt;=1,"",IF(OR(C1073&lt;&gt;$C$3,E1072=""),"",A1072))</f>
        <v/>
      </c>
      <c r="T1072" s="20" t="str">
        <f t="shared" ca="1" si="617"/>
        <v/>
      </c>
      <c r="U1072" s="2">
        <f ca="1">IF(IF(OP!$C$83=1,$Z1071,IF(OP!$C$83=2,$AA1071,IF(OP!$C$83=3,$AB1071,)))+$K1072-$O1072-$P1072-$AS1072&lt;OP!$C$142,0,$AS1072)</f>
        <v>0</v>
      </c>
      <c r="V1072" s="9"/>
      <c r="W1072" s="19">
        <f ca="1">MAX(SUM($K$4:K1072),0)</f>
        <v>2000000</v>
      </c>
      <c r="X1072" s="19"/>
      <c r="Y1072" s="19">
        <f t="shared" ca="1" si="612"/>
        <v>1920000</v>
      </c>
      <c r="Z1072" s="2">
        <f ca="1">IF(MIN($Z$4:Z1071)=0,0,MAX(0,($Z1071+$K1072-$O1072-$P1072)*IF(AND(F1072="F",$D$3&lt;&gt;$G$3),((1+(-J1072))^(H1072/MIN(G1072,365))),((1+(-J1072))^(1/12)))-$U1072))</f>
        <v>19899.663525693533</v>
      </c>
      <c r="AA1072" s="2">
        <f ca="1">IF(MIN($AA$4:AA1071)=0,0,MAX(0,($AA1071+$K1072-$O1072-$P1072)*IF(AND(F1072="F",$D$3&lt;&gt;$G$3),((1+$AA$1)^(H1072/MIN(G1072,365))),((1+$AA$1)^(1/12)))-$U1072))</f>
        <v>1920000</v>
      </c>
      <c r="AB1072" s="2">
        <f ca="1">IF(MIN($AB$4:AB1071)=0,0,MAX(0,($AB1071+$K1072-$O1072-$P1072)*IF(AND(F1072="F",$D$3&lt;&gt;$G$3),((1+(J1072))^(H1072/MIN(G1072,365))),((1+(J1072))^(1/12)))-$U1072))</f>
        <v>148222666.14754745</v>
      </c>
      <c r="AC1072" s="21"/>
      <c r="AD1072" s="21"/>
      <c r="AE1072" s="21"/>
      <c r="AF1072" s="282">
        <f t="shared" ca="1" si="595"/>
        <v>19900</v>
      </c>
      <c r="AG1072" s="282">
        <f t="shared" ca="1" si="596"/>
        <v>1920000</v>
      </c>
      <c r="AH1072" s="282">
        <f t="shared" ca="1" si="597"/>
        <v>148222666</v>
      </c>
      <c r="AI1072" s="23" t="str">
        <f t="shared" ca="1" si="613"/>
        <v>90-2</v>
      </c>
      <c r="AJ1072" s="281">
        <f ca="1">IF(E1072&gt;111,,IF(AND(OP!$C$99=1,T1072="F"),Z1072,IF(AND(OP!$C$99=2,COUNTIF($T$4:T1072,"F")=1),OP!$C$97+IF(F1072="F",OP!$C$98,0),"")))</f>
        <v>0</v>
      </c>
      <c r="AK1072" s="281">
        <f ca="1">IF(E1072&gt;111,,IF(AND(OP!$D$99=1,T1072="F"),AA1072,IF(AND(OP!$D$99=2,COUNTIF($T$4:T1072,"F")=1),OP!$D$97+IF(F1072="F",OP!$D$98,0),"")))</f>
        <v>0</v>
      </c>
      <c r="AL1072" s="281">
        <f ca="1">IF(E1072&gt;111,,IF(AND(OP!$E$99=1,T1072="F"),AB1072,IF(AND(OP!$E$99=2,COUNTIF($T$4:T1072,"F")=1),OP!$E$97+IF(F1072="F",OP!$E$98,0),"")))</f>
        <v>0</v>
      </c>
      <c r="AM1072" s="1">
        <f t="shared" ca="1" si="618"/>
        <v>2</v>
      </c>
      <c r="AN1072" s="1" t="e">
        <f ca="1">IF(OR(VLOOKUP($A1072,MP,5,0)="年繳",VLOOKUP($A1072,MP,5,0)="半年繳",VLOOKUP($A1072,MP,5,0)="季繳",VLOOKUP($A1072,MP,5,0)="月繳"),1,"")</f>
        <v>#N/A</v>
      </c>
      <c r="AO1072" s="1">
        <f t="shared" ca="1" si="598"/>
        <v>0</v>
      </c>
      <c r="AP1072" s="1" t="str">
        <f ca="1">IF(AND(A1072&lt;=OP!$C$120,COUNTIF(PAY,C1072)=1),1,"")</f>
        <v/>
      </c>
      <c r="AR1072" s="301">
        <f ca="1">IF(繳費報酬率資料!$A$1=1,$AY1072+$AZ1072,$BF1072+$BG1072)</f>
        <v>0</v>
      </c>
      <c r="AS1072" s="1">
        <f ca="1">IF(C1072&lt;&gt;IF($C$3=1,12,$C$3-1),0,IF(繳費報酬率資料!$A$1&lt;&gt;1,VLOOKUP($A1072,MP,8,0),IF(AND($A1072&gt;=OP!$C$79,$A1072&lt;=OP!$C$80),OP!$C$78,)))</f>
        <v>0</v>
      </c>
      <c r="AT1072" s="298">
        <f t="shared" ca="1" si="599"/>
        <v>0</v>
      </c>
      <c r="AU1072" s="298">
        <f ca="1">IF(AND(A1072&lt;=OP!$C$120,COUNTIF(PAY,C1072)=1),OP!$C$123,0)</f>
        <v>0</v>
      </c>
      <c r="AV1072" s="298">
        <f ca="1">IF(AND(A1072&gt;=OP!$C$132,A1072&lt;=OP!$C$133,$C$3=C1072),OP!$C$135,0)</f>
        <v>0</v>
      </c>
      <c r="AW1072" s="180">
        <f t="shared" ca="1" si="600"/>
        <v>0.05</v>
      </c>
      <c r="AX1072" s="180">
        <f t="shared" ca="1" si="601"/>
        <v>0.05</v>
      </c>
      <c r="AY1072" s="286">
        <f t="shared" ca="1" si="602"/>
        <v>0</v>
      </c>
      <c r="AZ1072" s="286">
        <f t="shared" ca="1" si="603"/>
        <v>0</v>
      </c>
      <c r="BA1072" s="286">
        <f t="shared" ca="1" si="604"/>
        <v>0</v>
      </c>
      <c r="BB1072" s="286">
        <f t="shared" ca="1" si="605"/>
        <v>0</v>
      </c>
      <c r="BC1072" s="286">
        <f t="shared" ca="1" si="606"/>
        <v>0</v>
      </c>
      <c r="BD1072" s="180">
        <f t="shared" ca="1" si="607"/>
        <v>0.05</v>
      </c>
      <c r="BE1072" s="180">
        <f t="shared" ca="1" si="608"/>
        <v>0.05</v>
      </c>
      <c r="BF1072" s="286">
        <f t="shared" ca="1" si="609"/>
        <v>0</v>
      </c>
      <c r="BG1072" s="286">
        <f t="shared" ca="1" si="610"/>
        <v>0</v>
      </c>
    </row>
    <row r="1073" spans="1:59">
      <c r="A1073" s="1">
        <f t="shared" ca="1" si="590"/>
        <v>90</v>
      </c>
      <c r="B1073" s="1">
        <f t="shared" ca="1" si="619"/>
        <v>195</v>
      </c>
      <c r="C1073" s="1">
        <f t="shared" ca="1" si="620"/>
        <v>7</v>
      </c>
      <c r="D1073" s="1">
        <f ca="1">MIN($D$3,VLOOKUP(C1073,OP!$S$30:$T$41,2))</f>
        <v>2</v>
      </c>
      <c r="E1073" s="1" t="str">
        <f t="shared" ca="1" si="616"/>
        <v/>
      </c>
      <c r="F1073" s="11" t="str">
        <f t="shared" ca="1" si="591"/>
        <v/>
      </c>
      <c r="G1073" s="8">
        <f t="shared" ref="G1073:G1083" ca="1" si="622">G1072</f>
        <v>365</v>
      </c>
      <c r="H1073" s="8">
        <f t="shared" ca="1" si="592"/>
        <v>31</v>
      </c>
      <c r="I1073" s="8" t="str">
        <f t="shared" ca="1" si="589"/>
        <v>907</v>
      </c>
      <c r="J1073" s="13">
        <f>IF(繳費報酬率資料!$A$1=1,VALUE(OP!$C$121),VLOOKUP(A1073,MP,2,0))</f>
        <v>0.05</v>
      </c>
      <c r="K1073" s="14">
        <f ca="1">IF(SUM($K$4:K1072,IF(繳費報酬率資料!$A$1=1,$AU1073+$AV1073,$BB1073+$BC1073))&gt;OP!$L$58,0,IF(繳費報酬率資料!$A$1=1,$AU1073+$AV1073,$BB1073+$BC1073))</f>
        <v>0</v>
      </c>
      <c r="L1073" s="2"/>
      <c r="M1073" s="2"/>
      <c r="N1073" s="2"/>
      <c r="O1073" s="261">
        <f t="shared" ca="1" si="593"/>
        <v>0</v>
      </c>
      <c r="P1073" s="261">
        <f t="shared" ca="1" si="611"/>
        <v>0</v>
      </c>
      <c r="Q1073" s="3">
        <f ca="1">IF(A1073&gt;MAX(OP!$R$17:$R$26),0,VLOOKUP(A1073,fees,3,FALSE))</f>
        <v>0</v>
      </c>
      <c r="R1073" s="200" t="str">
        <f t="shared" ca="1" si="594"/>
        <v/>
      </c>
      <c r="S1073" s="9" t="str">
        <f ca="1">IF(COUNTIF(($T$4:T1072),"F")&gt;=1,"",IF(OR(C1074&lt;&gt;$C$3,E1073=""),"",A1073))</f>
        <v/>
      </c>
      <c r="T1073" s="20" t="str">
        <f t="shared" ca="1" si="617"/>
        <v/>
      </c>
      <c r="U1073" s="2">
        <f ca="1">IF(IF(OP!$C$83=1,$Z1072,IF(OP!$C$83=2,$AA1072,IF(OP!$C$83=3,$AB1072,)))+$K1073-$O1073-$P1073-$AS1073&lt;OP!$C$142,0,$AS1073)</f>
        <v>0</v>
      </c>
      <c r="V1073" s="9"/>
      <c r="W1073" s="19">
        <f ca="1">MAX(SUM($K$4:K1073),0)</f>
        <v>2000000</v>
      </c>
      <c r="X1073" s="19"/>
      <c r="Y1073" s="19">
        <f t="shared" ca="1" si="612"/>
        <v>1920000</v>
      </c>
      <c r="Z1073" s="2">
        <f ca="1">IF(MIN($Z$4:Z1072)=0,0,MAX(0,($Z1072+$K1073-$O1073-$P1073)*IF(AND(F1073="F",$D$3&lt;&gt;$G$3),((1+(-J1073))^(H1073/MIN(G1073,365))),((1+(-J1073))^(1/12)))-$U1073))</f>
        <v>19814.785117190255</v>
      </c>
      <c r="AA1073" s="2">
        <f ca="1">IF(MIN($AA$4:AA1072)=0,0,MAX(0,($AA1072+$K1073-$O1073-$P1073)*IF(AND(F1073="F",$D$3&lt;&gt;$G$3),((1+$AA$1)^(H1073/MIN(G1073,365))),((1+$AA$1)^(1/12)))-$U1073))</f>
        <v>1920000</v>
      </c>
      <c r="AB1073" s="2">
        <f ca="1">IF(MIN($AB$4:AB1072)=0,0,MAX(0,($AB1072+$K1073-$O1073-$P1073)*IF(AND(F1073="F",$D$3&lt;&gt;$G$3),((1+(J1073))^(H1073/MIN(G1073,365))),((1+(J1073))^(1/12)))-$U1073))</f>
        <v>148826543.63697496</v>
      </c>
      <c r="AC1073" s="5"/>
      <c r="AD1073" s="5"/>
      <c r="AE1073" s="5"/>
      <c r="AF1073" s="282">
        <f t="shared" ca="1" si="595"/>
        <v>19815</v>
      </c>
      <c r="AG1073" s="282">
        <f t="shared" ca="1" si="596"/>
        <v>1920000</v>
      </c>
      <c r="AH1073" s="282">
        <f t="shared" ca="1" si="597"/>
        <v>148826544</v>
      </c>
      <c r="AI1073" s="23" t="str">
        <f t="shared" ca="1" si="613"/>
        <v>90-3</v>
      </c>
      <c r="AJ1073" s="282">
        <f ca="1">IF(E1073&gt;111,,IF(AND(OP!$C$99=1,T1073="F"),Z1073,IF(AND(OP!$C$99=2,COUNTIF($T$4:T1073,"F")=1),OP!$C$97+IF(F1073="F",OP!$C$98,0),"")))</f>
        <v>0</v>
      </c>
      <c r="AK1073" s="282">
        <f ca="1">IF(E1073&gt;111,,IF(AND(OP!$D$99=1,T1073="F"),AA1073,IF(AND(OP!$D$99=2,COUNTIF($T$4:T1073,"F")=1),OP!$D$97+IF(F1073="F",OP!$D$98,0),"")))</f>
        <v>0</v>
      </c>
      <c r="AL1073" s="282">
        <f ca="1">IF(E1073&gt;111,,IF(AND(OP!$E$99=1,T1073="F"),AB1073,IF(AND(OP!$E$99=2,COUNTIF($T$4:T1073,"F")=1),OP!$E$97+IF(F1073="F",OP!$E$98,0),"")))</f>
        <v>0</v>
      </c>
      <c r="AM1073" s="1">
        <f t="shared" ca="1" si="618"/>
        <v>3</v>
      </c>
      <c r="AN1073" s="1" t="e">
        <f ca="1">IF(OR(VLOOKUP($A1073,MP,5,0)="月繳"),1,"")</f>
        <v>#N/A</v>
      </c>
      <c r="AO1073" s="1">
        <f t="shared" ca="1" si="598"/>
        <v>0</v>
      </c>
      <c r="AP1073" s="1" t="str">
        <f ca="1">IF(AND(A1073&lt;=OP!$C$120,COUNTIF(PAY,C1073)=1),1,"")</f>
        <v/>
      </c>
      <c r="AR1073" s="301">
        <f ca="1">IF(繳費報酬率資料!$A$1=1,$AY1073+$AZ1073,$BF1073+$BG1073)</f>
        <v>0</v>
      </c>
      <c r="AS1073" s="1">
        <f ca="1">IF(C1073&lt;&gt;IF($C$3=1,12,$C$3-1),0,IF(繳費報酬率資料!$A$1&lt;&gt;1,VLOOKUP($A1073,MP,8,0),IF(AND($A1073&gt;=OP!$C$79,$A1073&lt;=OP!$C$80),OP!$C$78,)))</f>
        <v>0</v>
      </c>
      <c r="AT1073" s="298">
        <f t="shared" ca="1" si="599"/>
        <v>0</v>
      </c>
      <c r="AU1073" s="298">
        <f ca="1">IF(AND(A1073&lt;=OP!$C$120,COUNTIF(PAY,C1073)=1),OP!$C$123,0)</f>
        <v>0</v>
      </c>
      <c r="AV1073" s="298">
        <f ca="1">IF(AND(A1073&gt;=OP!$C$132,A1073&lt;=OP!$C$133,$C$3=C1073),OP!$C$135,0)</f>
        <v>0</v>
      </c>
      <c r="AW1073" s="180">
        <f t="shared" ca="1" si="600"/>
        <v>0.05</v>
      </c>
      <c r="AX1073" s="180">
        <f t="shared" ca="1" si="601"/>
        <v>0.05</v>
      </c>
      <c r="AY1073" s="286">
        <f t="shared" ca="1" si="602"/>
        <v>0</v>
      </c>
      <c r="AZ1073" s="286">
        <f t="shared" ca="1" si="603"/>
        <v>0</v>
      </c>
      <c r="BA1073" s="286">
        <f t="shared" ca="1" si="604"/>
        <v>0</v>
      </c>
      <c r="BB1073" s="286">
        <f t="shared" ca="1" si="605"/>
        <v>0</v>
      </c>
      <c r="BC1073" s="286">
        <f t="shared" ca="1" si="606"/>
        <v>0</v>
      </c>
      <c r="BD1073" s="180">
        <f t="shared" ca="1" si="607"/>
        <v>0.05</v>
      </c>
      <c r="BE1073" s="180">
        <f t="shared" ca="1" si="608"/>
        <v>0.05</v>
      </c>
      <c r="BF1073" s="286">
        <f t="shared" ca="1" si="609"/>
        <v>0</v>
      </c>
      <c r="BG1073" s="286">
        <f t="shared" ca="1" si="610"/>
        <v>0</v>
      </c>
    </row>
    <row r="1074" spans="1:59">
      <c r="A1074" s="1">
        <f t="shared" ca="1" si="590"/>
        <v>90</v>
      </c>
      <c r="B1074" s="1">
        <f t="shared" ca="1" si="619"/>
        <v>195</v>
      </c>
      <c r="C1074" s="1">
        <f t="shared" ca="1" si="620"/>
        <v>8</v>
      </c>
      <c r="D1074" s="1">
        <f ca="1">MIN($D$3,VLOOKUP(C1074,OP!$S$30:$T$41,2))</f>
        <v>2</v>
      </c>
      <c r="E1074" s="1" t="str">
        <f t="shared" ca="1" si="616"/>
        <v/>
      </c>
      <c r="F1074" s="11" t="str">
        <f t="shared" ca="1" si="591"/>
        <v/>
      </c>
      <c r="G1074" s="8">
        <f t="shared" ca="1" si="622"/>
        <v>365</v>
      </c>
      <c r="H1074" s="8">
        <f t="shared" ca="1" si="592"/>
        <v>31</v>
      </c>
      <c r="I1074" s="8" t="str">
        <f t="shared" ca="1" si="589"/>
        <v>908</v>
      </c>
      <c r="J1074" s="13">
        <f>IF(繳費報酬率資料!$A$1=1,VALUE(OP!$C$121),VLOOKUP(A1074,MP,2,0))</f>
        <v>0.05</v>
      </c>
      <c r="K1074" s="14">
        <f ca="1">IF(SUM($K$4:K1073,IF(繳費報酬率資料!$A$1=1,$AU1074+$AV1074,$BB1074+$BC1074))&gt;OP!$L$58,0,IF(繳費報酬率資料!$A$1=1,$AU1074+$AV1074,$BB1074+$BC1074))</f>
        <v>0</v>
      </c>
      <c r="L1074" s="2"/>
      <c r="M1074" s="2"/>
      <c r="N1074" s="2"/>
      <c r="O1074" s="261">
        <f t="shared" ca="1" si="593"/>
        <v>0</v>
      </c>
      <c r="P1074" s="261">
        <f t="shared" ca="1" si="611"/>
        <v>0</v>
      </c>
      <c r="Q1074" s="3">
        <f ca="1">IF(A1074&gt;MAX(OP!$R$17:$R$26),0,VLOOKUP(A1074,fees,3,FALSE))</f>
        <v>0</v>
      </c>
      <c r="R1074" s="200" t="str">
        <f t="shared" ca="1" si="594"/>
        <v/>
      </c>
      <c r="S1074" s="9" t="str">
        <f ca="1">IF(COUNTIF(($T$4:T1073),"F")&gt;=1,"",IF(OR(C1075&lt;&gt;$C$3,E1074=""),"",A1074))</f>
        <v/>
      </c>
      <c r="T1074" s="20" t="str">
        <f t="shared" ca="1" si="617"/>
        <v/>
      </c>
      <c r="U1074" s="2">
        <f ca="1">IF(IF(OP!$C$83=1,$Z1073,IF(OP!$C$83=2,$AA1073,IF(OP!$C$83=3,$AB1073,)))+$K1074-$O1074-$P1074-$AS1074&lt;OP!$C$142,0,$AS1074)</f>
        <v>0</v>
      </c>
      <c r="V1074" s="9"/>
      <c r="W1074" s="19">
        <f ca="1">MAX(SUM($K$4:K1074),0)</f>
        <v>2000000</v>
      </c>
      <c r="X1074" s="19"/>
      <c r="Y1074" s="19">
        <f t="shared" ca="1" si="612"/>
        <v>1920000</v>
      </c>
      <c r="Z1074" s="2">
        <f ca="1">IF(MIN($Z$4:Z1073)=0,0,MAX(0,($Z1073+$K1074-$O1074-$P1074)*IF(AND(F1074="F",$D$3&lt;&gt;$G$3),((1+(-J1074))^(H1074/MIN(G1074,365))),((1+(-J1074))^(1/12)))-$U1074))</f>
        <v>19730.268742156575</v>
      </c>
      <c r="AA1074" s="2">
        <f ca="1">IF(MIN($AA$4:AA1073)=0,0,MAX(0,($AA1073+$K1074-$O1074-$P1074)*IF(AND(F1074="F",$D$3&lt;&gt;$G$3),((1+$AA$1)^(H1074/MIN(G1074,365))),((1+$AA$1)^(1/12)))-$U1074))</f>
        <v>1920000</v>
      </c>
      <c r="AB1074" s="2">
        <f ca="1">IF(MIN($AB$4:AB1073)=0,0,MAX(0,($AB1073+$K1074-$O1074-$P1074)*IF(AND(F1074="F",$D$3&lt;&gt;$G$3),((1+(J1074))^(H1074/MIN(G1074,365))),((1+(J1074))^(1/12)))-$U1074))</f>
        <v>149432881.39804453</v>
      </c>
      <c r="AC1074" s="5"/>
      <c r="AD1074" s="5"/>
      <c r="AE1074" s="5"/>
      <c r="AF1074" s="282">
        <f t="shared" ca="1" si="595"/>
        <v>19730</v>
      </c>
      <c r="AG1074" s="282">
        <f t="shared" ca="1" si="596"/>
        <v>1920000</v>
      </c>
      <c r="AH1074" s="282">
        <f t="shared" ca="1" si="597"/>
        <v>149432881</v>
      </c>
      <c r="AI1074" s="23" t="str">
        <f t="shared" ca="1" si="613"/>
        <v>90-4</v>
      </c>
      <c r="AJ1074" s="282">
        <f ca="1">IF(E1074&gt;111,,IF(AND(OP!$C$99=1,T1074="F"),Z1074,IF(AND(OP!$C$99=2,COUNTIF($T$4:T1074,"F")=1),OP!$C$97+IF(F1074="F",OP!$C$98,0),"")))</f>
        <v>0</v>
      </c>
      <c r="AK1074" s="282">
        <f ca="1">IF(E1074&gt;111,,IF(AND(OP!$D$99=1,T1074="F"),AA1074,IF(AND(OP!$D$99=2,COUNTIF($T$4:T1074,"F")=1),OP!$D$97+IF(F1074="F",OP!$D$98,0),"")))</f>
        <v>0</v>
      </c>
      <c r="AL1074" s="282">
        <f ca="1">IF(E1074&gt;111,,IF(AND(OP!$E$99=1,T1074="F"),AB1074,IF(AND(OP!$E$99=2,COUNTIF($T$4:T1074,"F")=1),OP!$E$97+IF(F1074="F",OP!$E$98,0),"")))</f>
        <v>0</v>
      </c>
      <c r="AM1074" s="1">
        <f t="shared" ca="1" si="618"/>
        <v>4</v>
      </c>
      <c r="AN1074" s="1" t="e">
        <f ca="1">IF(OR(VLOOKUP($A1074,MP,5,0)="月繳"),1,"")</f>
        <v>#N/A</v>
      </c>
      <c r="AO1074" s="1">
        <f t="shared" ca="1" si="598"/>
        <v>0</v>
      </c>
      <c r="AP1074" s="1" t="str">
        <f ca="1">IF(AND(A1074&lt;=OP!$C$120,COUNTIF(PAY,C1074)=1),1,"")</f>
        <v/>
      </c>
      <c r="AR1074" s="301">
        <f ca="1">IF(繳費報酬率資料!$A$1=1,$AY1074+$AZ1074,$BF1074+$BG1074)</f>
        <v>0</v>
      </c>
      <c r="AS1074" s="1">
        <f ca="1">IF(C1074&lt;&gt;IF($C$3=1,12,$C$3-1),0,IF(繳費報酬率資料!$A$1&lt;&gt;1,VLOOKUP($A1074,MP,8,0),IF(AND($A1074&gt;=OP!$C$79,$A1074&lt;=OP!$C$80),OP!$C$78,)))</f>
        <v>0</v>
      </c>
      <c r="AT1074" s="298">
        <f t="shared" ca="1" si="599"/>
        <v>0</v>
      </c>
      <c r="AU1074" s="298">
        <f ca="1">IF(AND(A1074&lt;=OP!$C$120,COUNTIF(PAY,C1074)=1),OP!$C$123,0)</f>
        <v>0</v>
      </c>
      <c r="AV1074" s="298">
        <f ca="1">IF(AND(A1074&gt;=OP!$C$132,A1074&lt;=OP!$C$133,$C$3=C1074),OP!$C$135,0)</f>
        <v>0</v>
      </c>
      <c r="AW1074" s="180">
        <f t="shared" ca="1" si="600"/>
        <v>0.05</v>
      </c>
      <c r="AX1074" s="180">
        <f t="shared" ca="1" si="601"/>
        <v>0.05</v>
      </c>
      <c r="AY1074" s="286">
        <f t="shared" ca="1" si="602"/>
        <v>0</v>
      </c>
      <c r="AZ1074" s="286">
        <f t="shared" ca="1" si="603"/>
        <v>0</v>
      </c>
      <c r="BA1074" s="286">
        <f t="shared" ca="1" si="604"/>
        <v>0</v>
      </c>
      <c r="BB1074" s="286">
        <f t="shared" ca="1" si="605"/>
        <v>0</v>
      </c>
      <c r="BC1074" s="286">
        <f t="shared" ca="1" si="606"/>
        <v>0</v>
      </c>
      <c r="BD1074" s="180">
        <f t="shared" ca="1" si="607"/>
        <v>0.05</v>
      </c>
      <c r="BE1074" s="180">
        <f t="shared" ca="1" si="608"/>
        <v>0.05</v>
      </c>
      <c r="BF1074" s="286">
        <f t="shared" ca="1" si="609"/>
        <v>0</v>
      </c>
      <c r="BG1074" s="286">
        <f t="shared" ca="1" si="610"/>
        <v>0</v>
      </c>
    </row>
    <row r="1075" spans="1:59">
      <c r="A1075" s="1">
        <f t="shared" ca="1" si="590"/>
        <v>90</v>
      </c>
      <c r="B1075" s="1">
        <f t="shared" ca="1" si="619"/>
        <v>195</v>
      </c>
      <c r="C1075" s="1">
        <f t="shared" ca="1" si="620"/>
        <v>9</v>
      </c>
      <c r="D1075" s="1">
        <f ca="1">MIN($D$3,VLOOKUP(C1075,OP!$S$30:$T$41,2))</f>
        <v>2</v>
      </c>
      <c r="E1075" s="1" t="str">
        <f t="shared" ca="1" si="616"/>
        <v/>
      </c>
      <c r="F1075" s="11" t="str">
        <f t="shared" ca="1" si="591"/>
        <v/>
      </c>
      <c r="G1075" s="8">
        <f t="shared" ca="1" si="622"/>
        <v>365</v>
      </c>
      <c r="H1075" s="8">
        <f t="shared" ca="1" si="592"/>
        <v>30</v>
      </c>
      <c r="I1075" s="8" t="str">
        <f t="shared" ca="1" si="589"/>
        <v>909</v>
      </c>
      <c r="J1075" s="13">
        <f>IF(繳費報酬率資料!$A$1=1,VALUE(OP!$C$121),VLOOKUP(A1075,MP,2,0))</f>
        <v>0.05</v>
      </c>
      <c r="K1075" s="14">
        <f ca="1">IF(SUM($K$4:K1074,IF(繳費報酬率資料!$A$1=1,$AU1075+$AV1075,$BB1075+$BC1075))&gt;OP!$L$58,0,IF(繳費報酬率資料!$A$1=1,$AU1075+$AV1075,$BB1075+$BC1075))</f>
        <v>0</v>
      </c>
      <c r="L1075" s="2"/>
      <c r="M1075" s="2"/>
      <c r="N1075" s="2"/>
      <c r="O1075" s="261">
        <f t="shared" ca="1" si="593"/>
        <v>0</v>
      </c>
      <c r="P1075" s="261">
        <f t="shared" ca="1" si="611"/>
        <v>0</v>
      </c>
      <c r="Q1075" s="3">
        <f ca="1">IF(A1075&gt;MAX(OP!$R$17:$R$26),0,VLOOKUP(A1075,fees,3,FALSE))</f>
        <v>0</v>
      </c>
      <c r="R1075" s="200" t="str">
        <f t="shared" ca="1" si="594"/>
        <v/>
      </c>
      <c r="S1075" s="9" t="str">
        <f ca="1">IF(COUNTIF(($T$4:T1074),"F")&gt;=1,"",IF(OR(C1076&lt;&gt;$C$3,E1075=""),"",A1075))</f>
        <v/>
      </c>
      <c r="T1075" s="20" t="str">
        <f t="shared" ca="1" si="617"/>
        <v/>
      </c>
      <c r="U1075" s="2">
        <f ca="1">IF(IF(OP!$C$83=1,$Z1074,IF(OP!$C$83=2,$AA1074,IF(OP!$C$83=3,$AB1074,)))+$K1075-$O1075-$P1075-$AS1075&lt;OP!$C$142,0,$AS1075)</f>
        <v>0</v>
      </c>
      <c r="V1075" s="9"/>
      <c r="W1075" s="19">
        <f ca="1">MAX(SUM($K$4:K1075),0)</f>
        <v>2000000</v>
      </c>
      <c r="X1075" s="19"/>
      <c r="Y1075" s="19">
        <f t="shared" ca="1" si="612"/>
        <v>1920000</v>
      </c>
      <c r="Z1075" s="2">
        <f ca="1">IF(MIN($Z$4:Z1074)=0,0,MAX(0,($Z1074+$K1075-$O1075-$P1075)*IF(AND(F1075="F",$D$3&lt;&gt;$G$3),((1+(-J1075))^(H1075/MIN(G1075,365))),((1+(-J1075))^(1/12)))-$U1075))</f>
        <v>19646.112856404336</v>
      </c>
      <c r="AA1075" s="2">
        <f ca="1">IF(MIN($AA$4:AA1074)=0,0,MAX(0,($AA1074+$K1075-$O1075-$P1075)*IF(AND(F1075="F",$D$3&lt;&gt;$G$3),((1+$AA$1)^(H1075/MIN(G1075,365))),((1+$AA$1)^(1/12)))-$U1075))</f>
        <v>1920000</v>
      </c>
      <c r="AB1075" s="2">
        <f ca="1">IF(MIN($AB$4:AB1074)=0,0,MAX(0,($AB1074+$K1075-$O1075-$P1075)*IF(AND(F1075="F",$D$3&lt;&gt;$G$3),((1+(J1075))^(H1075/MIN(G1075,365))),((1+(J1075))^(1/12)))-$U1075))</f>
        <v>150041689.45420739</v>
      </c>
      <c r="AC1075" s="5"/>
      <c r="AD1075" s="5"/>
      <c r="AE1075" s="5"/>
      <c r="AF1075" s="282">
        <f t="shared" ca="1" si="595"/>
        <v>19646</v>
      </c>
      <c r="AG1075" s="282">
        <f t="shared" ca="1" si="596"/>
        <v>1920000</v>
      </c>
      <c r="AH1075" s="282">
        <f t="shared" ca="1" si="597"/>
        <v>150041689</v>
      </c>
      <c r="AI1075" s="23" t="str">
        <f t="shared" ca="1" si="613"/>
        <v>90-5</v>
      </c>
      <c r="AJ1075" s="282">
        <f ca="1">IF(E1075&gt;111,,IF(AND(OP!$C$99=1,T1075="F"),Z1075,IF(AND(OP!$C$99=2,COUNTIF($T$4:T1075,"F")=1),OP!$C$97+IF(F1075="F",OP!$C$98,0),"")))</f>
        <v>0</v>
      </c>
      <c r="AK1075" s="282">
        <f ca="1">IF(E1075&gt;111,,IF(AND(OP!$D$99=1,T1075="F"),AA1075,IF(AND(OP!$D$99=2,COUNTIF($T$4:T1075,"F")=1),OP!$D$97+IF(F1075="F",OP!$D$98,0),"")))</f>
        <v>0</v>
      </c>
      <c r="AL1075" s="282">
        <f ca="1">IF(E1075&gt;111,,IF(AND(OP!$E$99=1,T1075="F"),AB1075,IF(AND(OP!$E$99=2,COUNTIF($T$4:T1075,"F")=1),OP!$E$97+IF(F1075="F",OP!$E$98,0),"")))</f>
        <v>0</v>
      </c>
      <c r="AM1075" s="1">
        <f t="shared" ca="1" si="618"/>
        <v>5</v>
      </c>
      <c r="AN1075" s="1" t="e">
        <f ca="1">IF(OR(VLOOKUP($A1075,MP,5,0)="季繳",VLOOKUP($A1075,MP,5,0)="月繳"),1,"")</f>
        <v>#N/A</v>
      </c>
      <c r="AO1075" s="1">
        <f t="shared" ca="1" si="598"/>
        <v>0</v>
      </c>
      <c r="AP1075" s="1" t="str">
        <f ca="1">IF(AND(A1075&lt;=OP!$C$120,COUNTIF(PAY,C1075)=1),1,"")</f>
        <v/>
      </c>
      <c r="AR1075" s="301">
        <f ca="1">IF(繳費報酬率資料!$A$1=1,$AY1075+$AZ1075,$BF1075+$BG1075)</f>
        <v>0</v>
      </c>
      <c r="AS1075" s="1">
        <f ca="1">IF(C1075&lt;&gt;IF($C$3=1,12,$C$3-1),0,IF(繳費報酬率資料!$A$1&lt;&gt;1,VLOOKUP($A1075,MP,8,0),IF(AND($A1075&gt;=OP!$C$79,$A1075&lt;=OP!$C$80),OP!$C$78,)))</f>
        <v>0</v>
      </c>
      <c r="AT1075" s="298">
        <f t="shared" ca="1" si="599"/>
        <v>0</v>
      </c>
      <c r="AU1075" s="298">
        <f ca="1">IF(AND(A1075&lt;=OP!$C$120,COUNTIF(PAY,C1075)=1),OP!$C$123,0)</f>
        <v>0</v>
      </c>
      <c r="AV1075" s="298">
        <f ca="1">IF(AND(A1075&gt;=OP!$C$132,A1075&lt;=OP!$C$133,$C$3=C1075),OP!$C$135,0)</f>
        <v>0</v>
      </c>
      <c r="AW1075" s="180">
        <f t="shared" ca="1" si="600"/>
        <v>0.05</v>
      </c>
      <c r="AX1075" s="180">
        <f t="shared" ca="1" si="601"/>
        <v>0.05</v>
      </c>
      <c r="AY1075" s="286">
        <f t="shared" ca="1" si="602"/>
        <v>0</v>
      </c>
      <c r="AZ1075" s="286">
        <f t="shared" ca="1" si="603"/>
        <v>0</v>
      </c>
      <c r="BA1075" s="286">
        <f t="shared" ca="1" si="604"/>
        <v>0</v>
      </c>
      <c r="BB1075" s="286">
        <f t="shared" ca="1" si="605"/>
        <v>0</v>
      </c>
      <c r="BC1075" s="286">
        <f t="shared" ca="1" si="606"/>
        <v>0</v>
      </c>
      <c r="BD1075" s="180">
        <f t="shared" ca="1" si="607"/>
        <v>0.05</v>
      </c>
      <c r="BE1075" s="180">
        <f t="shared" ca="1" si="608"/>
        <v>0.05</v>
      </c>
      <c r="BF1075" s="286">
        <f t="shared" ca="1" si="609"/>
        <v>0</v>
      </c>
      <c r="BG1075" s="286">
        <f t="shared" ca="1" si="610"/>
        <v>0</v>
      </c>
    </row>
    <row r="1076" spans="1:59">
      <c r="A1076" s="1">
        <f t="shared" ca="1" si="590"/>
        <v>90</v>
      </c>
      <c r="B1076" s="1">
        <f t="shared" ca="1" si="619"/>
        <v>195</v>
      </c>
      <c r="C1076" s="1">
        <f t="shared" ca="1" si="620"/>
        <v>10</v>
      </c>
      <c r="D1076" s="1">
        <f ca="1">MIN($D$3,VLOOKUP(C1076,OP!$S$30:$T$41,2))</f>
        <v>2</v>
      </c>
      <c r="E1076" s="1" t="str">
        <f t="shared" ca="1" si="616"/>
        <v/>
      </c>
      <c r="F1076" s="11" t="str">
        <f t="shared" ca="1" si="591"/>
        <v/>
      </c>
      <c r="G1076" s="8">
        <f t="shared" ca="1" si="622"/>
        <v>365</v>
      </c>
      <c r="H1076" s="8">
        <f t="shared" ca="1" si="592"/>
        <v>31</v>
      </c>
      <c r="I1076" s="8" t="str">
        <f t="shared" ca="1" si="589"/>
        <v>9010</v>
      </c>
      <c r="J1076" s="13">
        <f>IF(繳費報酬率資料!$A$1=1,VALUE(OP!$C$121),VLOOKUP(A1076,MP,2,0))</f>
        <v>0.05</v>
      </c>
      <c r="K1076" s="14">
        <f ca="1">IF(SUM($K$4:K1075,IF(繳費報酬率資料!$A$1=1,$AU1076+$AV1076,$BB1076+$BC1076))&gt;OP!$L$58,0,IF(繳費報酬率資料!$A$1=1,$AU1076+$AV1076,$BB1076+$BC1076))</f>
        <v>0</v>
      </c>
      <c r="L1076" s="2"/>
      <c r="M1076" s="2"/>
      <c r="N1076" s="2"/>
      <c r="O1076" s="261">
        <f t="shared" ca="1" si="593"/>
        <v>0</v>
      </c>
      <c r="P1076" s="261">
        <f t="shared" ca="1" si="611"/>
        <v>0</v>
      </c>
      <c r="Q1076" s="3">
        <f ca="1">IF(A1076&gt;MAX(OP!$R$17:$R$26),0,VLOOKUP(A1076,fees,3,FALSE))</f>
        <v>0</v>
      </c>
      <c r="R1076" s="200" t="str">
        <f t="shared" ca="1" si="594"/>
        <v/>
      </c>
      <c r="S1076" s="9" t="str">
        <f ca="1">IF(COUNTIF(($T$4:T1075),"F")&gt;=1,"",IF(OR(C1077&lt;&gt;$C$3,E1076=""),"",A1076))</f>
        <v/>
      </c>
      <c r="T1076" s="20" t="str">
        <f t="shared" ca="1" si="617"/>
        <v/>
      </c>
      <c r="U1076" s="2">
        <f ca="1">IF(IF(OP!$C$83=1,$Z1075,IF(OP!$C$83=2,$AA1075,IF(OP!$C$83=3,$AB1075,)))+$K1076-$O1076-$P1076-$AS1076&lt;OP!$C$142,0,$AS1076)</f>
        <v>0</v>
      </c>
      <c r="V1076" s="9"/>
      <c r="W1076" s="19">
        <f ca="1">MAX(SUM($K$4:K1076),0)</f>
        <v>2000000</v>
      </c>
      <c r="X1076" s="19"/>
      <c r="Y1076" s="19">
        <f t="shared" ca="1" si="612"/>
        <v>1920000</v>
      </c>
      <c r="Z1076" s="2">
        <f ca="1">IF(MIN($Z$4:Z1075)=0,0,MAX(0,($Z1075+$K1076-$O1076-$P1076)*IF(AND(F1076="F",$D$3&lt;&gt;$G$3),((1+(-J1076))^(H1076/MIN(G1076,365))),((1+(-J1076))^(1/12)))-$U1076))</f>
        <v>19562.31592233184</v>
      </c>
      <c r="AA1076" s="2">
        <f ca="1">IF(MIN($AA$4:AA1075)=0,0,MAX(0,($AA1075+$K1076-$O1076-$P1076)*IF(AND(F1076="F",$D$3&lt;&gt;$G$3),((1+$AA$1)^(H1076/MIN(G1076,365))),((1+$AA$1)^(1/12)))-$U1076))</f>
        <v>1920000</v>
      </c>
      <c r="AB1076" s="2">
        <f ca="1">IF(MIN($AB$4:AB1075)=0,0,MAX(0,($AB1075+$K1076-$O1076-$P1076)*IF(AND(F1076="F",$D$3&lt;&gt;$G$3),((1+(J1076))^(H1076/MIN(G1076,365))),((1+(J1076))^(1/12)))-$U1076))</f>
        <v>150652977.86975154</v>
      </c>
      <c r="AC1076" s="5"/>
      <c r="AD1076" s="5"/>
      <c r="AE1076" s="5"/>
      <c r="AF1076" s="282">
        <f t="shared" ca="1" si="595"/>
        <v>19562</v>
      </c>
      <c r="AG1076" s="282">
        <f t="shared" ca="1" si="596"/>
        <v>1920000</v>
      </c>
      <c r="AH1076" s="282">
        <f t="shared" ca="1" si="597"/>
        <v>150652978</v>
      </c>
      <c r="AI1076" s="23" t="str">
        <f t="shared" ca="1" si="613"/>
        <v>90-6</v>
      </c>
      <c r="AJ1076" s="282">
        <f ca="1">IF(E1076&gt;111,,IF(AND(OP!$C$99=1,T1076="F"),Z1076,IF(AND(OP!$C$99=2,COUNTIF($T$4:T1076,"F")=1),OP!$C$97+IF(F1076="F",OP!$C$98,0),"")))</f>
        <v>0</v>
      </c>
      <c r="AK1076" s="282">
        <f ca="1">IF(E1076&gt;111,,IF(AND(OP!$D$99=1,T1076="F"),AA1076,IF(AND(OP!$D$99=2,COUNTIF($T$4:T1076,"F")=1),OP!$D$97+IF(F1076="F",OP!$D$98,0),"")))</f>
        <v>0</v>
      </c>
      <c r="AL1076" s="282">
        <f ca="1">IF(E1076&gt;111,,IF(AND(OP!$E$99=1,T1076="F"),AB1076,IF(AND(OP!$E$99=2,COUNTIF($T$4:T1076,"F")=1),OP!$E$97+IF(F1076="F",OP!$E$98,0),"")))</f>
        <v>0</v>
      </c>
      <c r="AM1076" s="1">
        <f t="shared" ca="1" si="618"/>
        <v>6</v>
      </c>
      <c r="AN1076" s="1" t="e">
        <f ca="1">IF(OR(VLOOKUP($A1076,MP,5,0)="月繳"),1,"")</f>
        <v>#N/A</v>
      </c>
      <c r="AO1076" s="1">
        <f t="shared" ca="1" si="598"/>
        <v>0</v>
      </c>
      <c r="AP1076" s="1" t="str">
        <f ca="1">IF(AND(A1076&lt;=OP!$C$120,COUNTIF(PAY,C1076)=1),1,"")</f>
        <v/>
      </c>
      <c r="AR1076" s="301">
        <f ca="1">IF(繳費報酬率資料!$A$1=1,$AY1076+$AZ1076,$BF1076+$BG1076)</f>
        <v>0</v>
      </c>
      <c r="AS1076" s="1">
        <f ca="1">IF(C1076&lt;&gt;IF($C$3=1,12,$C$3-1),0,IF(繳費報酬率資料!$A$1&lt;&gt;1,VLOOKUP($A1076,MP,8,0),IF(AND($A1076&gt;=OP!$C$79,$A1076&lt;=OP!$C$80),OP!$C$78,)))</f>
        <v>0</v>
      </c>
      <c r="AT1076" s="298">
        <f t="shared" ca="1" si="599"/>
        <v>0</v>
      </c>
      <c r="AU1076" s="298">
        <f ca="1">IF(AND(A1076&lt;=OP!$C$120,COUNTIF(PAY,C1076)=1),OP!$C$123,0)</f>
        <v>0</v>
      </c>
      <c r="AV1076" s="298">
        <f ca="1">IF(AND(A1076&gt;=OP!$C$132,A1076&lt;=OP!$C$133,$C$3=C1076),OP!$C$135,0)</f>
        <v>0</v>
      </c>
      <c r="AW1076" s="180">
        <f t="shared" ca="1" si="600"/>
        <v>0.05</v>
      </c>
      <c r="AX1076" s="180">
        <f t="shared" ca="1" si="601"/>
        <v>0.05</v>
      </c>
      <c r="AY1076" s="286">
        <f t="shared" ca="1" si="602"/>
        <v>0</v>
      </c>
      <c r="AZ1076" s="286">
        <f t="shared" ca="1" si="603"/>
        <v>0</v>
      </c>
      <c r="BA1076" s="286">
        <f t="shared" ca="1" si="604"/>
        <v>0</v>
      </c>
      <c r="BB1076" s="286">
        <f t="shared" ca="1" si="605"/>
        <v>0</v>
      </c>
      <c r="BC1076" s="286">
        <f t="shared" ca="1" si="606"/>
        <v>0</v>
      </c>
      <c r="BD1076" s="180">
        <f t="shared" ca="1" si="607"/>
        <v>0.05</v>
      </c>
      <c r="BE1076" s="180">
        <f t="shared" ca="1" si="608"/>
        <v>0.05</v>
      </c>
      <c r="BF1076" s="286">
        <f t="shared" ca="1" si="609"/>
        <v>0</v>
      </c>
      <c r="BG1076" s="286">
        <f t="shared" ca="1" si="610"/>
        <v>0</v>
      </c>
    </row>
    <row r="1077" spans="1:59">
      <c r="A1077" s="1">
        <f t="shared" ca="1" si="590"/>
        <v>90</v>
      </c>
      <c r="B1077" s="1">
        <f t="shared" ca="1" si="619"/>
        <v>195</v>
      </c>
      <c r="C1077" s="1">
        <f t="shared" ca="1" si="620"/>
        <v>11</v>
      </c>
      <c r="D1077" s="1">
        <f ca="1">MIN($D$3,VLOOKUP(C1077,OP!$S$30:$T$41,2))</f>
        <v>2</v>
      </c>
      <c r="E1077" s="1" t="str">
        <f t="shared" ca="1" si="616"/>
        <v/>
      </c>
      <c r="F1077" s="11" t="str">
        <f t="shared" ca="1" si="591"/>
        <v/>
      </c>
      <c r="G1077" s="8">
        <f t="shared" ca="1" si="622"/>
        <v>365</v>
      </c>
      <c r="H1077" s="8">
        <f t="shared" ca="1" si="592"/>
        <v>30</v>
      </c>
      <c r="I1077" s="8" t="str">
        <f t="shared" ca="1" si="589"/>
        <v>9011</v>
      </c>
      <c r="J1077" s="13">
        <f>IF(繳費報酬率資料!$A$1=1,VALUE(OP!$C$121),VLOOKUP(A1077,MP,2,0))</f>
        <v>0.05</v>
      </c>
      <c r="K1077" s="14">
        <f ca="1">IF(SUM($K$4:K1076,IF(繳費報酬率資料!$A$1=1,$AU1077+$AV1077,$BB1077+$BC1077))&gt;OP!$L$58,0,IF(繳費報酬率資料!$A$1=1,$AU1077+$AV1077,$BB1077+$BC1077))</f>
        <v>0</v>
      </c>
      <c r="L1077" s="2"/>
      <c r="M1077" s="2"/>
      <c r="N1077" s="2"/>
      <c r="O1077" s="261">
        <f t="shared" ca="1" si="593"/>
        <v>0</v>
      </c>
      <c r="P1077" s="261">
        <f t="shared" ca="1" si="611"/>
        <v>0</v>
      </c>
      <c r="Q1077" s="3">
        <f ca="1">IF(A1077&gt;MAX(OP!$R$17:$R$26),0,VLOOKUP(A1077,fees,3,FALSE))</f>
        <v>0</v>
      </c>
      <c r="R1077" s="200" t="str">
        <f t="shared" ca="1" si="594"/>
        <v/>
      </c>
      <c r="S1077" s="9" t="str">
        <f ca="1">IF(COUNTIF(($T$4:T1076),"F")&gt;=1,"",IF(OR(C1078&lt;&gt;$C$3,E1077=""),"",A1077))</f>
        <v/>
      </c>
      <c r="T1077" s="20" t="str">
        <f t="shared" ca="1" si="617"/>
        <v/>
      </c>
      <c r="U1077" s="2">
        <f ca="1">IF(IF(OP!$C$83=1,$Z1076,IF(OP!$C$83=2,$AA1076,IF(OP!$C$83=3,$AB1076,)))+$K1077-$O1077-$P1077-$AS1077&lt;OP!$C$142,0,$AS1077)</f>
        <v>0</v>
      </c>
      <c r="V1077" s="9"/>
      <c r="W1077" s="19">
        <f ca="1">MAX(SUM($K$4:K1077),0)</f>
        <v>2000000</v>
      </c>
      <c r="X1077" s="19"/>
      <c r="Y1077" s="19">
        <f t="shared" ca="1" si="612"/>
        <v>1920000</v>
      </c>
      <c r="Z1077" s="2">
        <f ca="1">IF(MIN($Z$4:Z1076)=0,0,MAX(0,($Z1076+$K1077-$O1077-$P1077)*IF(AND(F1077="F",$D$3&lt;&gt;$G$3),((1+(-J1077))^(H1077/MIN(G1077,365))),((1+(-J1077))^(1/12)))-$U1077))</f>
        <v>19478.876408895743</v>
      </c>
      <c r="AA1077" s="2">
        <f ca="1">IF(MIN($AA$4:AA1076)=0,0,MAX(0,($AA1076+$K1077-$O1077-$P1077)*IF(AND(F1077="F",$D$3&lt;&gt;$G$3),((1+$AA$1)^(H1077/MIN(G1077,365))),((1+$AA$1)^(1/12)))-$U1077))</f>
        <v>1920000</v>
      </c>
      <c r="AB1077" s="2">
        <f ca="1">IF(MIN($AB$4:AB1076)=0,0,MAX(0,($AB1076+$K1077-$O1077-$P1077)*IF(AND(F1077="F",$D$3&lt;&gt;$G$3),((1+(J1077))^(H1077/MIN(G1077,365))),((1+(J1077))^(1/12)))-$U1077))</f>
        <v>151266756.74996814</v>
      </c>
      <c r="AC1077" s="5"/>
      <c r="AD1077" s="5"/>
      <c r="AE1077" s="5"/>
      <c r="AF1077" s="282">
        <f t="shared" ca="1" si="595"/>
        <v>19479</v>
      </c>
      <c r="AG1077" s="282">
        <f t="shared" ca="1" si="596"/>
        <v>1920000</v>
      </c>
      <c r="AH1077" s="282">
        <f t="shared" ca="1" si="597"/>
        <v>151266757</v>
      </c>
      <c r="AI1077" s="23" t="str">
        <f t="shared" ca="1" si="613"/>
        <v>90-7</v>
      </c>
      <c r="AJ1077" s="282">
        <f ca="1">IF(E1077&gt;111,,IF(AND(OP!$C$99=1,T1077="F"),Z1077,IF(AND(OP!$C$99=2,COUNTIF($T$4:T1077,"F")=1),OP!$C$97+IF(F1077="F",OP!$C$98,0),"")))</f>
        <v>0</v>
      </c>
      <c r="AK1077" s="282">
        <f ca="1">IF(E1077&gt;111,,IF(AND(OP!$D$99=1,T1077="F"),AA1077,IF(AND(OP!$D$99=2,COUNTIF($T$4:T1077,"F")=1),OP!$D$97+IF(F1077="F",OP!$D$98,0),"")))</f>
        <v>0</v>
      </c>
      <c r="AL1077" s="282">
        <f ca="1">IF(E1077&gt;111,,IF(AND(OP!$E$99=1,T1077="F"),AB1077,IF(AND(OP!$E$99=2,COUNTIF($T$4:T1077,"F")=1),OP!$E$97+IF(F1077="F",OP!$E$98,0),"")))</f>
        <v>0</v>
      </c>
      <c r="AM1077" s="1">
        <f t="shared" ca="1" si="618"/>
        <v>7</v>
      </c>
      <c r="AN1077" s="1" t="e">
        <f ca="1">IF(OR(VLOOKUP($A1077,MP,5,0)="月繳"),1,"")</f>
        <v>#N/A</v>
      </c>
      <c r="AO1077" s="1">
        <f t="shared" ca="1" si="598"/>
        <v>0</v>
      </c>
      <c r="AP1077" s="1" t="str">
        <f ca="1">IF(AND(A1077&lt;=OP!$C$120,COUNTIF(PAY,C1077)=1),1,"")</f>
        <v/>
      </c>
      <c r="AR1077" s="301">
        <f ca="1">IF(繳費報酬率資料!$A$1=1,$AY1077+$AZ1077,$BF1077+$BG1077)</f>
        <v>0</v>
      </c>
      <c r="AS1077" s="1">
        <f ca="1">IF(C1077&lt;&gt;IF($C$3=1,12,$C$3-1),0,IF(繳費報酬率資料!$A$1&lt;&gt;1,VLOOKUP($A1077,MP,8,0),IF(AND($A1077&gt;=OP!$C$79,$A1077&lt;=OP!$C$80),OP!$C$78,)))</f>
        <v>0</v>
      </c>
      <c r="AT1077" s="298">
        <f t="shared" ca="1" si="599"/>
        <v>0</v>
      </c>
      <c r="AU1077" s="298">
        <f ca="1">IF(AND(A1077&lt;=OP!$C$120,COUNTIF(PAY,C1077)=1),OP!$C$123,0)</f>
        <v>0</v>
      </c>
      <c r="AV1077" s="298">
        <f ca="1">IF(AND(A1077&gt;=OP!$C$132,A1077&lt;=OP!$C$133,$C$3=C1077),OP!$C$135,0)</f>
        <v>0</v>
      </c>
      <c r="AW1077" s="180">
        <f t="shared" ca="1" si="600"/>
        <v>0.05</v>
      </c>
      <c r="AX1077" s="180">
        <f t="shared" ca="1" si="601"/>
        <v>0.05</v>
      </c>
      <c r="AY1077" s="286">
        <f t="shared" ca="1" si="602"/>
        <v>0</v>
      </c>
      <c r="AZ1077" s="286">
        <f t="shared" ca="1" si="603"/>
        <v>0</v>
      </c>
      <c r="BA1077" s="286">
        <f t="shared" ca="1" si="604"/>
        <v>0</v>
      </c>
      <c r="BB1077" s="286">
        <f t="shared" ca="1" si="605"/>
        <v>0</v>
      </c>
      <c r="BC1077" s="286">
        <f t="shared" ca="1" si="606"/>
        <v>0</v>
      </c>
      <c r="BD1077" s="180">
        <f t="shared" ca="1" si="607"/>
        <v>0.05</v>
      </c>
      <c r="BE1077" s="180">
        <f t="shared" ca="1" si="608"/>
        <v>0.05</v>
      </c>
      <c r="BF1077" s="286">
        <f t="shared" ca="1" si="609"/>
        <v>0</v>
      </c>
      <c r="BG1077" s="286">
        <f t="shared" ca="1" si="610"/>
        <v>0</v>
      </c>
    </row>
    <row r="1078" spans="1:59">
      <c r="A1078" s="1">
        <f t="shared" ca="1" si="590"/>
        <v>90</v>
      </c>
      <c r="B1078" s="1">
        <f t="shared" ca="1" si="619"/>
        <v>195</v>
      </c>
      <c r="C1078" s="1">
        <f t="shared" ca="1" si="620"/>
        <v>12</v>
      </c>
      <c r="D1078" s="1">
        <f ca="1">MIN($D$3,VLOOKUP(C1078,OP!$S$30:$T$41,2))</f>
        <v>2</v>
      </c>
      <c r="E1078" s="1" t="str">
        <f t="shared" ca="1" si="616"/>
        <v/>
      </c>
      <c r="F1078" s="11" t="str">
        <f t="shared" ca="1" si="591"/>
        <v/>
      </c>
      <c r="G1078" s="8">
        <f t="shared" ca="1" si="622"/>
        <v>365</v>
      </c>
      <c r="H1078" s="8">
        <f t="shared" ca="1" si="592"/>
        <v>31</v>
      </c>
      <c r="I1078" s="8" t="str">
        <f t="shared" ca="1" si="589"/>
        <v>9012</v>
      </c>
      <c r="J1078" s="13">
        <f>IF(繳費報酬率資料!$A$1=1,VALUE(OP!$C$121),VLOOKUP(A1078,MP,2,0))</f>
        <v>0.05</v>
      </c>
      <c r="K1078" s="14">
        <f ca="1">IF(SUM($K$4:K1077,IF(繳費報酬率資料!$A$1=1,$AU1078+$AV1078,$BB1078+$BC1078))&gt;OP!$L$58,0,IF(繳費報酬率資料!$A$1=1,$AU1078+$AV1078,$BB1078+$BC1078))</f>
        <v>0</v>
      </c>
      <c r="L1078" s="2"/>
      <c r="M1078" s="2"/>
      <c r="N1078" s="2"/>
      <c r="O1078" s="261">
        <f t="shared" ca="1" si="593"/>
        <v>0</v>
      </c>
      <c r="P1078" s="261">
        <f t="shared" ca="1" si="611"/>
        <v>0</v>
      </c>
      <c r="Q1078" s="3">
        <f ca="1">IF(A1078&gt;MAX(OP!$R$17:$R$26),0,VLOOKUP(A1078,fees,3,FALSE))</f>
        <v>0</v>
      </c>
      <c r="R1078" s="200" t="str">
        <f t="shared" ca="1" si="594"/>
        <v/>
      </c>
      <c r="S1078" s="9" t="str">
        <f ca="1">IF(COUNTIF(($T$4:T1077),"F")&gt;=1,"",IF(OR(C1079&lt;&gt;$C$3,E1078=""),"",A1078))</f>
        <v/>
      </c>
      <c r="T1078" s="20" t="str">
        <f t="shared" ca="1" si="617"/>
        <v/>
      </c>
      <c r="U1078" s="2">
        <f ca="1">IF(IF(OP!$C$83=1,$Z1077,IF(OP!$C$83=2,$AA1077,IF(OP!$C$83=3,$AB1077,)))+$K1078-$O1078-$P1078-$AS1078&lt;OP!$C$142,0,$AS1078)</f>
        <v>0</v>
      </c>
      <c r="V1078" s="9"/>
      <c r="W1078" s="19">
        <f ca="1">MAX(SUM($K$4:K1078),0)</f>
        <v>2000000</v>
      </c>
      <c r="X1078" s="19"/>
      <c r="Y1078" s="19">
        <f t="shared" ca="1" si="612"/>
        <v>1920000</v>
      </c>
      <c r="Z1078" s="2">
        <f ca="1">IF(MIN($Z$4:Z1077)=0,0,MAX(0,($Z1077+$K1078-$O1078-$P1078)*IF(AND(F1078="F",$D$3&lt;&gt;$G$3),((1+(-J1078))^(H1078/MIN(G1078,365))),((1+(-J1078))^(1/12)))-$U1078))</f>
        <v>19395.792791583099</v>
      </c>
      <c r="AA1078" s="2">
        <f ca="1">IF(MIN($AA$4:AA1077)=0,0,MAX(0,($AA1077+$K1078-$O1078-$P1078)*IF(AND(F1078="F",$D$3&lt;&gt;$G$3),((1+$AA$1)^(H1078/MIN(G1078,365))),((1+$AA$1)^(1/12)))-$U1078))</f>
        <v>1920000</v>
      </c>
      <c r="AB1078" s="2">
        <f ca="1">IF(MIN($AB$4:AB1077)=0,0,MAX(0,($AB1077+$K1078-$O1078-$P1078)*IF(AND(F1078="F",$D$3&lt;&gt;$G$3),((1+(J1078))^(H1078/MIN(G1078,365))),((1+(J1078))^(1/12)))-$U1078))</f>
        <v>151883036.24131852</v>
      </c>
      <c r="AC1078" s="5"/>
      <c r="AD1078" s="5"/>
      <c r="AE1078" s="5"/>
      <c r="AF1078" s="282">
        <f t="shared" ca="1" si="595"/>
        <v>19396</v>
      </c>
      <c r="AG1078" s="282">
        <f t="shared" ca="1" si="596"/>
        <v>1920000</v>
      </c>
      <c r="AH1078" s="282">
        <f t="shared" ca="1" si="597"/>
        <v>151883036</v>
      </c>
      <c r="AI1078" s="23" t="str">
        <f t="shared" ca="1" si="613"/>
        <v>90-8</v>
      </c>
      <c r="AJ1078" s="282">
        <f ca="1">IF(E1078&gt;111,,IF(AND(OP!$C$99=1,T1078="F"),Z1078,IF(AND(OP!$C$99=2,COUNTIF($T$4:T1078,"F")=1),OP!$C$97+IF(F1078="F",OP!$C$98,0),"")))</f>
        <v>0</v>
      </c>
      <c r="AK1078" s="282">
        <f ca="1">IF(E1078&gt;111,,IF(AND(OP!$D$99=1,T1078="F"),AA1078,IF(AND(OP!$D$99=2,COUNTIF($T$4:T1078,"F")=1),OP!$D$97+IF(F1078="F",OP!$D$98,0),"")))</f>
        <v>0</v>
      </c>
      <c r="AL1078" s="282">
        <f ca="1">IF(E1078&gt;111,,IF(AND(OP!$E$99=1,T1078="F"),AB1078,IF(AND(OP!$E$99=2,COUNTIF($T$4:T1078,"F")=1),OP!$E$97+IF(F1078="F",OP!$E$98,0),"")))</f>
        <v>0</v>
      </c>
      <c r="AM1078" s="1">
        <f t="shared" ca="1" si="618"/>
        <v>8</v>
      </c>
      <c r="AN1078" s="1" t="e">
        <f ca="1">IF(OR(VLOOKUP($A1078,MP,5,0)="半年繳",VLOOKUP($A1078,MP,5,0)="季繳",VLOOKUP($A1078,MP,5,0)="月繳"),1,"")</f>
        <v>#N/A</v>
      </c>
      <c r="AO1078" s="1">
        <f t="shared" ca="1" si="598"/>
        <v>0</v>
      </c>
      <c r="AP1078" s="1" t="str">
        <f ca="1">IF(AND(A1078&lt;=OP!$C$120,COUNTIF(PAY,C1078)=1),1,"")</f>
        <v/>
      </c>
      <c r="AR1078" s="301">
        <f ca="1">IF(繳費報酬率資料!$A$1=1,$AY1078+$AZ1078,$BF1078+$BG1078)</f>
        <v>0</v>
      </c>
      <c r="AS1078" s="1">
        <f ca="1">IF(C1078&lt;&gt;IF($C$3=1,12,$C$3-1),0,IF(繳費報酬率資料!$A$1&lt;&gt;1,VLOOKUP($A1078,MP,8,0),IF(AND($A1078&gt;=OP!$C$79,$A1078&lt;=OP!$C$80),OP!$C$78,)))</f>
        <v>0</v>
      </c>
      <c r="AT1078" s="298">
        <f t="shared" ca="1" si="599"/>
        <v>0</v>
      </c>
      <c r="AU1078" s="298">
        <f ca="1">IF(AND(A1078&lt;=OP!$C$120,COUNTIF(PAY,C1078)=1),OP!$C$123,0)</f>
        <v>0</v>
      </c>
      <c r="AV1078" s="298">
        <f ca="1">IF(AND(A1078&gt;=OP!$C$132,A1078&lt;=OP!$C$133,$C$3=C1078),OP!$C$135,0)</f>
        <v>0</v>
      </c>
      <c r="AW1078" s="180">
        <f t="shared" ca="1" si="600"/>
        <v>0.05</v>
      </c>
      <c r="AX1078" s="180">
        <f t="shared" ca="1" si="601"/>
        <v>0.05</v>
      </c>
      <c r="AY1078" s="286">
        <f t="shared" ca="1" si="602"/>
        <v>0</v>
      </c>
      <c r="AZ1078" s="286">
        <f t="shared" ca="1" si="603"/>
        <v>0</v>
      </c>
      <c r="BA1078" s="286">
        <f t="shared" ca="1" si="604"/>
        <v>0</v>
      </c>
      <c r="BB1078" s="286">
        <f t="shared" ca="1" si="605"/>
        <v>0</v>
      </c>
      <c r="BC1078" s="286">
        <f t="shared" ca="1" si="606"/>
        <v>0</v>
      </c>
      <c r="BD1078" s="180">
        <f t="shared" ca="1" si="607"/>
        <v>0.05</v>
      </c>
      <c r="BE1078" s="180">
        <f t="shared" ca="1" si="608"/>
        <v>0.05</v>
      </c>
      <c r="BF1078" s="286">
        <f t="shared" ca="1" si="609"/>
        <v>0</v>
      </c>
      <c r="BG1078" s="286">
        <f t="shared" ca="1" si="610"/>
        <v>0</v>
      </c>
    </row>
    <row r="1079" spans="1:59">
      <c r="A1079" s="1">
        <f t="shared" ca="1" si="590"/>
        <v>90</v>
      </c>
      <c r="B1079" s="1">
        <f t="shared" ca="1" si="619"/>
        <v>196</v>
      </c>
      <c r="C1079" s="1">
        <f t="shared" ca="1" si="620"/>
        <v>1</v>
      </c>
      <c r="D1079" s="1">
        <f ca="1">MIN($D$3,VLOOKUP(C1079,OP!$S$30:$T$41,2))</f>
        <v>2</v>
      </c>
      <c r="E1079" s="1" t="str">
        <f t="shared" ca="1" si="616"/>
        <v/>
      </c>
      <c r="F1079" s="11" t="str">
        <f t="shared" ca="1" si="591"/>
        <v/>
      </c>
      <c r="G1079" s="8">
        <f t="shared" ca="1" si="622"/>
        <v>365</v>
      </c>
      <c r="H1079" s="8">
        <f t="shared" ca="1" si="592"/>
        <v>31</v>
      </c>
      <c r="I1079" s="8" t="str">
        <f t="shared" ca="1" si="589"/>
        <v>901</v>
      </c>
      <c r="J1079" s="13">
        <f>IF(繳費報酬率資料!$A$1=1,VALUE(OP!$C$121),VLOOKUP(A1079,MP,2,0))</f>
        <v>0.05</v>
      </c>
      <c r="K1079" s="14">
        <f ca="1">IF(SUM($K$4:K1078,IF(繳費報酬率資料!$A$1=1,$AU1079+$AV1079,$BB1079+$BC1079))&gt;OP!$L$58,0,IF(繳費報酬率資料!$A$1=1,$AU1079+$AV1079,$BB1079+$BC1079))</f>
        <v>0</v>
      </c>
      <c r="L1079" s="2"/>
      <c r="M1079" s="2"/>
      <c r="N1079" s="2"/>
      <c r="O1079" s="261">
        <f t="shared" ca="1" si="593"/>
        <v>0</v>
      </c>
      <c r="P1079" s="261">
        <f t="shared" ca="1" si="611"/>
        <v>0</v>
      </c>
      <c r="Q1079" s="3">
        <f ca="1">IF(A1079&gt;MAX(OP!$R$17:$R$26),0,VLOOKUP(A1079,fees,3,FALSE))</f>
        <v>0</v>
      </c>
      <c r="R1079" s="200" t="str">
        <f t="shared" ca="1" si="594"/>
        <v/>
      </c>
      <c r="S1079" s="9" t="str">
        <f ca="1">IF(COUNTIF(($T$4:T1078),"F")&gt;=1,"",IF(OR(C1080&lt;&gt;$C$3,E1079=""),"",A1079))</f>
        <v/>
      </c>
      <c r="T1079" s="20" t="str">
        <f t="shared" ca="1" si="617"/>
        <v/>
      </c>
      <c r="U1079" s="2">
        <f ca="1">IF(IF(OP!$C$83=1,$Z1078,IF(OP!$C$83=2,$AA1078,IF(OP!$C$83=3,$AB1078,)))+$K1079-$O1079-$P1079-$AS1079&lt;OP!$C$142,0,$AS1079)</f>
        <v>0</v>
      </c>
      <c r="V1079" s="9"/>
      <c r="W1079" s="19">
        <f ca="1">MAX(SUM($K$4:K1079),0)</f>
        <v>2000000</v>
      </c>
      <c r="X1079" s="19"/>
      <c r="Y1079" s="19">
        <f t="shared" ca="1" si="612"/>
        <v>1920000</v>
      </c>
      <c r="Z1079" s="2">
        <f ca="1">IF(MIN($Z$4:Z1078)=0,0,MAX(0,($Z1078+$K1079-$O1079-$P1079)*IF(AND(F1079="F",$D$3&lt;&gt;$G$3),((1+(-J1079))^(H1079/MIN(G1079,365))),((1+(-J1079))^(1/12)))-$U1079))</f>
        <v>19313.063552383483</v>
      </c>
      <c r="AA1079" s="2">
        <f ca="1">IF(MIN($AA$4:AA1078)=0,0,MAX(0,($AA1078+$K1079-$O1079-$P1079)*IF(AND(F1079="F",$D$3&lt;&gt;$G$3),((1+$AA$1)^(H1079/MIN(G1079,365))),((1+$AA$1)^(1/12)))-$U1079))</f>
        <v>1920000</v>
      </c>
      <c r="AB1079" s="2">
        <f ca="1">IF(MIN($AB$4:AB1078)=0,0,MAX(0,($AB1078+$K1079-$O1079-$P1079)*IF(AND(F1079="F",$D$3&lt;&gt;$G$3),((1+(J1079))^(H1079/MIN(G1079,365))),((1+(J1079))^(1/12)))-$U1079))</f>
        <v>152501826.531602</v>
      </c>
      <c r="AC1079" s="5"/>
      <c r="AD1079" s="5"/>
      <c r="AE1079" s="5"/>
      <c r="AF1079" s="282">
        <f t="shared" ca="1" si="595"/>
        <v>19313</v>
      </c>
      <c r="AG1079" s="282">
        <f t="shared" ca="1" si="596"/>
        <v>1920000</v>
      </c>
      <c r="AH1079" s="282">
        <f t="shared" ca="1" si="597"/>
        <v>152501827</v>
      </c>
      <c r="AI1079" s="23" t="str">
        <f t="shared" ca="1" si="613"/>
        <v>90-9</v>
      </c>
      <c r="AJ1079" s="282">
        <f ca="1">IF(E1079&gt;111,,IF(AND(OP!$C$99=1,T1079="F"),Z1079,IF(AND(OP!$C$99=2,COUNTIF($T$4:T1079,"F")=1),OP!$C$97+IF(F1079="F",OP!$C$98,0),"")))</f>
        <v>0</v>
      </c>
      <c r="AK1079" s="282">
        <f ca="1">IF(E1079&gt;111,,IF(AND(OP!$D$99=1,T1079="F"),AA1079,IF(AND(OP!$D$99=2,COUNTIF($T$4:T1079,"F")=1),OP!$D$97+IF(F1079="F",OP!$D$98,0),"")))</f>
        <v>0</v>
      </c>
      <c r="AL1079" s="282">
        <f ca="1">IF(E1079&gt;111,,IF(AND(OP!$E$99=1,T1079="F"),AB1079,IF(AND(OP!$E$99=2,COUNTIF($T$4:T1079,"F")=1),OP!$E$97+IF(F1079="F",OP!$E$98,0),"")))</f>
        <v>0</v>
      </c>
      <c r="AM1079" s="1">
        <f t="shared" ca="1" si="618"/>
        <v>9</v>
      </c>
      <c r="AN1079" s="1" t="e">
        <f ca="1">IF(OR(VLOOKUP($A1079,MP,5,0)="月繳"),1,"")</f>
        <v>#N/A</v>
      </c>
      <c r="AO1079" s="1">
        <f t="shared" ca="1" si="598"/>
        <v>0</v>
      </c>
      <c r="AP1079" s="1" t="str">
        <f ca="1">IF(AND(A1079&lt;=OP!$C$120,COUNTIF(PAY,C1079)=1),1,"")</f>
        <v/>
      </c>
      <c r="AR1079" s="301">
        <f ca="1">IF(繳費報酬率資料!$A$1=1,$AY1079+$AZ1079,$BF1079+$BG1079)</f>
        <v>0</v>
      </c>
      <c r="AS1079" s="1">
        <f ca="1">IF(C1079&lt;&gt;IF($C$3=1,12,$C$3-1),0,IF(繳費報酬率資料!$A$1&lt;&gt;1,VLOOKUP($A1079,MP,8,0),IF(AND($A1079&gt;=OP!$C$79,$A1079&lt;=OP!$C$80),OP!$C$78,)))</f>
        <v>0</v>
      </c>
      <c r="AT1079" s="298">
        <f t="shared" ca="1" si="599"/>
        <v>0</v>
      </c>
      <c r="AU1079" s="298">
        <f ca="1">IF(AND(A1079&lt;=OP!$C$120,COUNTIF(PAY,C1079)=1),OP!$C$123,0)</f>
        <v>0</v>
      </c>
      <c r="AV1079" s="298">
        <f ca="1">IF(AND(A1079&gt;=OP!$C$132,A1079&lt;=OP!$C$133,$C$3=C1079),OP!$C$135,0)</f>
        <v>0</v>
      </c>
      <c r="AW1079" s="180">
        <f t="shared" ca="1" si="600"/>
        <v>0.05</v>
      </c>
      <c r="AX1079" s="180">
        <f t="shared" ca="1" si="601"/>
        <v>0.05</v>
      </c>
      <c r="AY1079" s="286">
        <f t="shared" ca="1" si="602"/>
        <v>0</v>
      </c>
      <c r="AZ1079" s="286">
        <f t="shared" ca="1" si="603"/>
        <v>0</v>
      </c>
      <c r="BA1079" s="286">
        <f t="shared" ca="1" si="604"/>
        <v>0</v>
      </c>
      <c r="BB1079" s="286">
        <f t="shared" ca="1" si="605"/>
        <v>0</v>
      </c>
      <c r="BC1079" s="286">
        <f t="shared" ca="1" si="606"/>
        <v>0</v>
      </c>
      <c r="BD1079" s="180">
        <f t="shared" ca="1" si="607"/>
        <v>0.05</v>
      </c>
      <c r="BE1079" s="180">
        <f t="shared" ca="1" si="608"/>
        <v>0.05</v>
      </c>
      <c r="BF1079" s="286">
        <f t="shared" ca="1" si="609"/>
        <v>0</v>
      </c>
      <c r="BG1079" s="286">
        <f t="shared" ca="1" si="610"/>
        <v>0</v>
      </c>
    </row>
    <row r="1080" spans="1:59">
      <c r="A1080" s="1">
        <f t="shared" ca="1" si="590"/>
        <v>90</v>
      </c>
      <c r="B1080" s="1">
        <f t="shared" ca="1" si="619"/>
        <v>196</v>
      </c>
      <c r="C1080" s="1">
        <f t="shared" ca="1" si="620"/>
        <v>2</v>
      </c>
      <c r="D1080" s="1">
        <f ca="1">MIN($D$3,VLOOKUP(C1080,OP!$S$30:$T$41,2))</f>
        <v>2</v>
      </c>
      <c r="E1080" s="1" t="str">
        <f t="shared" ca="1" si="616"/>
        <v/>
      </c>
      <c r="F1080" s="11" t="str">
        <f t="shared" ca="1" si="591"/>
        <v/>
      </c>
      <c r="G1080" s="8">
        <f t="shared" ca="1" si="622"/>
        <v>365</v>
      </c>
      <c r="H1080" s="8">
        <f t="shared" ca="1" si="592"/>
        <v>28</v>
      </c>
      <c r="I1080" s="8" t="str">
        <f t="shared" ca="1" si="589"/>
        <v>902</v>
      </c>
      <c r="J1080" s="13">
        <f>IF(繳費報酬率資料!$A$1=1,VALUE(OP!$C$121),VLOOKUP(A1080,MP,2,0))</f>
        <v>0.05</v>
      </c>
      <c r="K1080" s="14">
        <f ca="1">IF(SUM($K$4:K1079,IF(繳費報酬率資料!$A$1=1,$AU1080+$AV1080,$BB1080+$BC1080))&gt;OP!$L$58,0,IF(繳費報酬率資料!$A$1=1,$AU1080+$AV1080,$BB1080+$BC1080))</f>
        <v>0</v>
      </c>
      <c r="L1080" s="2"/>
      <c r="M1080" s="2"/>
      <c r="N1080" s="2"/>
      <c r="O1080" s="261">
        <f t="shared" ca="1" si="593"/>
        <v>0</v>
      </c>
      <c r="P1080" s="261">
        <f t="shared" ca="1" si="611"/>
        <v>0</v>
      </c>
      <c r="Q1080" s="3">
        <f ca="1">IF(A1080&gt;MAX(OP!$R$17:$R$26),0,VLOOKUP(A1080,fees,3,FALSE))</f>
        <v>0</v>
      </c>
      <c r="R1080" s="200" t="str">
        <f t="shared" ca="1" si="594"/>
        <v/>
      </c>
      <c r="S1080" s="9" t="str">
        <f ca="1">IF(COUNTIF(($T$4:T1079),"F")&gt;=1,"",IF(OR(C1081&lt;&gt;$C$3,E1080=""),"",A1080))</f>
        <v/>
      </c>
      <c r="T1080" s="20" t="str">
        <f t="shared" ca="1" si="617"/>
        <v/>
      </c>
      <c r="U1080" s="2">
        <f ca="1">IF(IF(OP!$C$83=1,$Z1079,IF(OP!$C$83=2,$AA1079,IF(OP!$C$83=3,$AB1079,)))+$K1080-$O1080-$P1080-$AS1080&lt;OP!$C$142,0,$AS1080)</f>
        <v>0</v>
      </c>
      <c r="V1080" s="9"/>
      <c r="W1080" s="19">
        <f ca="1">MAX(SUM($K$4:K1080),0)</f>
        <v>2000000</v>
      </c>
      <c r="X1080" s="19"/>
      <c r="Y1080" s="19">
        <f t="shared" ca="1" si="612"/>
        <v>1920000</v>
      </c>
      <c r="Z1080" s="2">
        <f ca="1">IF(MIN($Z$4:Z1079)=0,0,MAX(0,($Z1079+$K1080-$O1080-$P1080)*IF(AND(F1080="F",$D$3&lt;&gt;$G$3),((1+(-J1080))^(H1080/MIN(G1080,365))),((1+(-J1080))^(1/12)))-$U1080))</f>
        <v>19230.68717976128</v>
      </c>
      <c r="AA1080" s="2">
        <f ca="1">IF(MIN($AA$4:AA1079)=0,0,MAX(0,($AA1079+$K1080-$O1080-$P1080)*IF(AND(F1080="F",$D$3&lt;&gt;$G$3),((1+$AA$1)^(H1080/MIN(G1080,365))),((1+$AA$1)^(1/12)))-$U1080))</f>
        <v>1920000</v>
      </c>
      <c r="AB1080" s="2">
        <f ca="1">IF(MIN($AB$4:AB1079)=0,0,MAX(0,($AB1079+$K1080-$O1080-$P1080)*IF(AND(F1080="F",$D$3&lt;&gt;$G$3),((1+(J1080))^(H1080/MIN(G1080,365))),((1+(J1080))^(1/12)))-$U1080))</f>
        <v>153123137.85012421</v>
      </c>
      <c r="AC1080" s="5"/>
      <c r="AD1080" s="5"/>
      <c r="AE1080" s="5"/>
      <c r="AF1080" s="282">
        <f t="shared" ca="1" si="595"/>
        <v>19231</v>
      </c>
      <c r="AG1080" s="282">
        <f t="shared" ca="1" si="596"/>
        <v>1920000</v>
      </c>
      <c r="AH1080" s="282">
        <f t="shared" ca="1" si="597"/>
        <v>153123138</v>
      </c>
      <c r="AI1080" s="23" t="str">
        <f t="shared" ca="1" si="613"/>
        <v>90-10</v>
      </c>
      <c r="AJ1080" s="282">
        <f ca="1">IF(E1080&gt;111,,IF(AND(OP!$C$99=1,T1080="F"),Z1080,IF(AND(OP!$C$99=2,COUNTIF($T$4:T1080,"F")=1),OP!$C$97+IF(F1080="F",OP!$C$98,0),"")))</f>
        <v>0</v>
      </c>
      <c r="AK1080" s="282">
        <f ca="1">IF(E1080&gt;111,,IF(AND(OP!$D$99=1,T1080="F"),AA1080,IF(AND(OP!$D$99=2,COUNTIF($T$4:T1080,"F")=1),OP!$D$97+IF(F1080="F",OP!$D$98,0),"")))</f>
        <v>0</v>
      </c>
      <c r="AL1080" s="282">
        <f ca="1">IF(E1080&gt;111,,IF(AND(OP!$E$99=1,T1080="F"),AB1080,IF(AND(OP!$E$99=2,COUNTIF($T$4:T1080,"F")=1),OP!$E$97+IF(F1080="F",OP!$E$98,0),"")))</f>
        <v>0</v>
      </c>
      <c r="AM1080" s="1">
        <f t="shared" ca="1" si="618"/>
        <v>10</v>
      </c>
      <c r="AN1080" s="1" t="e">
        <f ca="1">IF(OR(VLOOKUP($A1080,MP,5,0)="月繳"),1,"")</f>
        <v>#N/A</v>
      </c>
      <c r="AO1080" s="1">
        <f t="shared" ca="1" si="598"/>
        <v>0</v>
      </c>
      <c r="AP1080" s="1" t="str">
        <f ca="1">IF(AND(A1080&lt;=OP!$C$120,COUNTIF(PAY,C1080)=1),1,"")</f>
        <v/>
      </c>
      <c r="AR1080" s="301">
        <f ca="1">IF(繳費報酬率資料!$A$1=1,$AY1080+$AZ1080,$BF1080+$BG1080)</f>
        <v>0</v>
      </c>
      <c r="AS1080" s="1">
        <f ca="1">IF(C1080&lt;&gt;IF($C$3=1,12,$C$3-1),0,IF(繳費報酬率資料!$A$1&lt;&gt;1,VLOOKUP($A1080,MP,8,0),IF(AND($A1080&gt;=OP!$C$79,$A1080&lt;=OP!$C$80),OP!$C$78,)))</f>
        <v>0</v>
      </c>
      <c r="AT1080" s="298">
        <f t="shared" ca="1" si="599"/>
        <v>0</v>
      </c>
      <c r="AU1080" s="298">
        <f ca="1">IF(AND(A1080&lt;=OP!$C$120,COUNTIF(PAY,C1080)=1),OP!$C$123,0)</f>
        <v>0</v>
      </c>
      <c r="AV1080" s="298">
        <f ca="1">IF(AND(A1080&gt;=OP!$C$132,A1080&lt;=OP!$C$133,$C$3=C1080),OP!$C$135,0)</f>
        <v>0</v>
      </c>
      <c r="AW1080" s="180">
        <f t="shared" ca="1" si="600"/>
        <v>0.05</v>
      </c>
      <c r="AX1080" s="180">
        <f t="shared" ca="1" si="601"/>
        <v>0.05</v>
      </c>
      <c r="AY1080" s="286">
        <f t="shared" ca="1" si="602"/>
        <v>0</v>
      </c>
      <c r="AZ1080" s="286">
        <f t="shared" ca="1" si="603"/>
        <v>0</v>
      </c>
      <c r="BA1080" s="286">
        <f t="shared" ca="1" si="604"/>
        <v>0</v>
      </c>
      <c r="BB1080" s="286">
        <f t="shared" ca="1" si="605"/>
        <v>0</v>
      </c>
      <c r="BC1080" s="286">
        <f t="shared" ca="1" si="606"/>
        <v>0</v>
      </c>
      <c r="BD1080" s="180">
        <f t="shared" ca="1" si="607"/>
        <v>0.05</v>
      </c>
      <c r="BE1080" s="180">
        <f t="shared" ca="1" si="608"/>
        <v>0.05</v>
      </c>
      <c r="BF1080" s="286">
        <f t="shared" ca="1" si="609"/>
        <v>0</v>
      </c>
      <c r="BG1080" s="286">
        <f t="shared" ca="1" si="610"/>
        <v>0</v>
      </c>
    </row>
    <row r="1081" spans="1:59">
      <c r="A1081" s="1">
        <f t="shared" ca="1" si="590"/>
        <v>90</v>
      </c>
      <c r="B1081" s="1">
        <f t="shared" ca="1" si="619"/>
        <v>196</v>
      </c>
      <c r="C1081" s="1">
        <f t="shared" ca="1" si="620"/>
        <v>3</v>
      </c>
      <c r="D1081" s="1">
        <f ca="1">MIN($D$3,VLOOKUP(C1081,OP!$S$30:$T$41,2))</f>
        <v>2</v>
      </c>
      <c r="E1081" s="1" t="str">
        <f t="shared" ca="1" si="616"/>
        <v/>
      </c>
      <c r="F1081" s="11" t="str">
        <f t="shared" ca="1" si="591"/>
        <v/>
      </c>
      <c r="G1081" s="8">
        <f t="shared" ca="1" si="622"/>
        <v>365</v>
      </c>
      <c r="H1081" s="8">
        <f t="shared" ca="1" si="592"/>
        <v>31</v>
      </c>
      <c r="I1081" s="8" t="str">
        <f t="shared" ca="1" si="589"/>
        <v>903</v>
      </c>
      <c r="J1081" s="13">
        <f>IF(繳費報酬率資料!$A$1=1,VALUE(OP!$C$121),VLOOKUP(A1081,MP,2,0))</f>
        <v>0.05</v>
      </c>
      <c r="K1081" s="14">
        <f ca="1">IF(SUM($K$4:K1080,IF(繳費報酬率資料!$A$1=1,$AU1081+$AV1081,$BB1081+$BC1081))&gt;OP!$L$58,0,IF(繳費報酬率資料!$A$1=1,$AU1081+$AV1081,$BB1081+$BC1081))</f>
        <v>0</v>
      </c>
      <c r="L1081" s="2"/>
      <c r="M1081" s="2"/>
      <c r="N1081" s="2"/>
      <c r="O1081" s="261">
        <f t="shared" ca="1" si="593"/>
        <v>0</v>
      </c>
      <c r="P1081" s="261">
        <f t="shared" ca="1" si="611"/>
        <v>0</v>
      </c>
      <c r="Q1081" s="3">
        <f ca="1">IF(A1081&gt;MAX(OP!$R$17:$R$26),0,VLOOKUP(A1081,fees,3,FALSE))</f>
        <v>0</v>
      </c>
      <c r="R1081" s="200" t="str">
        <f t="shared" ca="1" si="594"/>
        <v/>
      </c>
      <c r="S1081" s="9" t="str">
        <f ca="1">IF(COUNTIF(($T$4:T1080),"F")&gt;=1,"",IF(OR(C1082&lt;&gt;$C$3,E1081=""),"",A1081))</f>
        <v/>
      </c>
      <c r="T1081" s="20" t="str">
        <f t="shared" ca="1" si="617"/>
        <v/>
      </c>
      <c r="U1081" s="2">
        <f ca="1">IF(IF(OP!$C$83=1,$Z1080,IF(OP!$C$83=2,$AA1080,IF(OP!$C$83=3,$AB1080,)))+$K1081-$O1081-$P1081-$AS1081&lt;OP!$C$142,0,$AS1081)</f>
        <v>0</v>
      </c>
      <c r="V1081" s="9"/>
      <c r="W1081" s="19">
        <f ca="1">MAX(SUM($K$4:K1081),0)</f>
        <v>2000000</v>
      </c>
      <c r="X1081" s="19"/>
      <c r="Y1081" s="19">
        <f t="shared" ca="1" si="612"/>
        <v>1920000</v>
      </c>
      <c r="Z1081" s="2">
        <f ca="1">IF(MIN($Z$4:Z1080)=0,0,MAX(0,($Z1080+$K1081-$O1081-$P1081)*IF(AND(F1081="F",$D$3&lt;&gt;$G$3),((1+(-J1081))^(H1081/MIN(G1081,365))),((1+(-J1081))^(1/12)))-$U1081))</f>
        <v>19148.662168628049</v>
      </c>
      <c r="AA1081" s="2">
        <f ca="1">IF(MIN($AA$4:AA1080)=0,0,MAX(0,($AA1080+$K1081-$O1081-$P1081)*IF(AND(F1081="F",$D$3&lt;&gt;$G$3),((1+$AA$1)^(H1081/MIN(G1081,365))),((1+$AA$1)^(1/12)))-$U1081))</f>
        <v>1920000</v>
      </c>
      <c r="AB1081" s="2">
        <f ca="1">IF(MIN($AB$4:AB1080)=0,0,MAX(0,($AB1080+$K1081-$O1081-$P1081)*IF(AND(F1081="F",$D$3&lt;&gt;$G$3),((1+(J1081))^(H1081/MIN(G1081,365))),((1+(J1081))^(1/12)))-$U1081))</f>
        <v>153746980.46786627</v>
      </c>
      <c r="AC1081" s="5"/>
      <c r="AD1081" s="5"/>
      <c r="AE1081" s="5"/>
      <c r="AF1081" s="282">
        <f t="shared" ca="1" si="595"/>
        <v>19149</v>
      </c>
      <c r="AG1081" s="282">
        <f t="shared" ca="1" si="596"/>
        <v>1920000</v>
      </c>
      <c r="AH1081" s="282">
        <f t="shared" ca="1" si="597"/>
        <v>153746980</v>
      </c>
      <c r="AI1081" s="23" t="str">
        <f t="shared" ca="1" si="613"/>
        <v>90-11</v>
      </c>
      <c r="AJ1081" s="282">
        <f ca="1">IF(E1081&gt;111,,IF(AND(OP!$C$99=1,T1081="F"),Z1081,IF(AND(OP!$C$99=2,COUNTIF($T$4:T1081,"F")=1),OP!$C$97+IF(F1081="F",OP!$C$98,0),"")))</f>
        <v>0</v>
      </c>
      <c r="AK1081" s="282">
        <f ca="1">IF(E1081&gt;111,,IF(AND(OP!$D$99=1,T1081="F"),AA1081,IF(AND(OP!$D$99=2,COUNTIF($T$4:T1081,"F")=1),OP!$D$97+IF(F1081="F",OP!$D$98,0),"")))</f>
        <v>0</v>
      </c>
      <c r="AL1081" s="282">
        <f ca="1">IF(E1081&gt;111,,IF(AND(OP!$E$99=1,T1081="F"),AB1081,IF(AND(OP!$E$99=2,COUNTIF($T$4:T1081,"F")=1),OP!$E$97+IF(F1081="F",OP!$E$98,0),"")))</f>
        <v>0</v>
      </c>
      <c r="AM1081" s="1">
        <f t="shared" ca="1" si="618"/>
        <v>11</v>
      </c>
      <c r="AN1081" s="1" t="e">
        <f ca="1">IF(OR(VLOOKUP($A1081,MP,5,0)="季繳",VLOOKUP($A1081,MP,5,0)="月繳"),1,"")</f>
        <v>#N/A</v>
      </c>
      <c r="AO1081" s="1">
        <f t="shared" ca="1" si="598"/>
        <v>0</v>
      </c>
      <c r="AP1081" s="1" t="str">
        <f ca="1">IF(AND(A1081&lt;=OP!$C$120,COUNTIF(PAY,C1081)=1),1,"")</f>
        <v/>
      </c>
      <c r="AR1081" s="301">
        <f ca="1">IF(繳費報酬率資料!$A$1=1,$AY1081+$AZ1081,$BF1081+$BG1081)</f>
        <v>0</v>
      </c>
      <c r="AS1081" s="1">
        <f ca="1">IF(C1081&lt;&gt;IF($C$3=1,12,$C$3-1),0,IF(繳費報酬率資料!$A$1&lt;&gt;1,VLOOKUP($A1081,MP,8,0),IF(AND($A1081&gt;=OP!$C$79,$A1081&lt;=OP!$C$80),OP!$C$78,)))</f>
        <v>0</v>
      </c>
      <c r="AT1081" s="298">
        <f t="shared" ca="1" si="599"/>
        <v>0</v>
      </c>
      <c r="AU1081" s="298">
        <f ca="1">IF(AND(A1081&lt;=OP!$C$120,COUNTIF(PAY,C1081)=1),OP!$C$123,0)</f>
        <v>0</v>
      </c>
      <c r="AV1081" s="298">
        <f ca="1">IF(AND(A1081&gt;=OP!$C$132,A1081&lt;=OP!$C$133,$C$3=C1081),OP!$C$135,0)</f>
        <v>0</v>
      </c>
      <c r="AW1081" s="180">
        <f t="shared" ca="1" si="600"/>
        <v>0.05</v>
      </c>
      <c r="AX1081" s="180">
        <f t="shared" ca="1" si="601"/>
        <v>0.05</v>
      </c>
      <c r="AY1081" s="286">
        <f t="shared" ca="1" si="602"/>
        <v>0</v>
      </c>
      <c r="AZ1081" s="286">
        <f t="shared" ca="1" si="603"/>
        <v>0</v>
      </c>
      <c r="BA1081" s="286">
        <f t="shared" ca="1" si="604"/>
        <v>0</v>
      </c>
      <c r="BB1081" s="286">
        <f t="shared" ca="1" si="605"/>
        <v>0</v>
      </c>
      <c r="BC1081" s="286">
        <f t="shared" ca="1" si="606"/>
        <v>0</v>
      </c>
      <c r="BD1081" s="180">
        <f t="shared" ca="1" si="607"/>
        <v>0.05</v>
      </c>
      <c r="BE1081" s="180">
        <f t="shared" ca="1" si="608"/>
        <v>0.05</v>
      </c>
      <c r="BF1081" s="286">
        <f t="shared" ca="1" si="609"/>
        <v>0</v>
      </c>
      <c r="BG1081" s="286">
        <f t="shared" ca="1" si="610"/>
        <v>0</v>
      </c>
    </row>
    <row r="1082" spans="1:59">
      <c r="A1082" s="1">
        <f t="shared" ca="1" si="590"/>
        <v>90</v>
      </c>
      <c r="B1082" s="1">
        <f t="shared" ca="1" si="619"/>
        <v>196</v>
      </c>
      <c r="C1082" s="1">
        <f t="shared" ca="1" si="620"/>
        <v>4</v>
      </c>
      <c r="D1082" s="1">
        <f ca="1">MIN($D$3,VLOOKUP(C1082,OP!$S$30:$T$41,2))</f>
        <v>2</v>
      </c>
      <c r="E1082" s="1" t="str">
        <f t="shared" ca="1" si="616"/>
        <v/>
      </c>
      <c r="F1082" s="11" t="str">
        <f t="shared" ca="1" si="591"/>
        <v/>
      </c>
      <c r="G1082" s="8">
        <f t="shared" ca="1" si="622"/>
        <v>365</v>
      </c>
      <c r="H1082" s="8">
        <f t="shared" ca="1" si="592"/>
        <v>30</v>
      </c>
      <c r="I1082" s="8" t="str">
        <f t="shared" ca="1" si="589"/>
        <v>904</v>
      </c>
      <c r="J1082" s="13">
        <f>IF(繳費報酬率資料!$A$1=1,VALUE(OP!$C$121),VLOOKUP(A1082,MP,2,0))</f>
        <v>0.05</v>
      </c>
      <c r="K1082" s="14">
        <f ca="1">IF(SUM($K$4:K1081,IF(繳費報酬率資料!$A$1=1,$AU1082+$AV1082,$BB1082+$BC1082))&gt;OP!$L$58,0,IF(繳費報酬率資料!$A$1=1,$AU1082+$AV1082,$BB1082+$BC1082))</f>
        <v>0</v>
      </c>
      <c r="L1082" s="2"/>
      <c r="M1082" s="2"/>
      <c r="N1082" s="2"/>
      <c r="O1082" s="261">
        <f t="shared" ca="1" si="593"/>
        <v>0</v>
      </c>
      <c r="P1082" s="261">
        <f t="shared" ca="1" si="611"/>
        <v>0</v>
      </c>
      <c r="Q1082" s="3">
        <f ca="1">IF(A1082&gt;MAX(OP!$R$17:$R$26),0,VLOOKUP(A1082,fees,3,FALSE))</f>
        <v>0</v>
      </c>
      <c r="R1082" s="200" t="str">
        <f t="shared" ca="1" si="594"/>
        <v/>
      </c>
      <c r="S1082" s="9" t="str">
        <f ca="1">IF(COUNTIF(($T$4:T1081),"F")&gt;=1,"",IF(OR(C1083&lt;&gt;$C$3,E1082=""),"",A1082))</f>
        <v/>
      </c>
      <c r="T1082" s="20" t="str">
        <f t="shared" ca="1" si="617"/>
        <v/>
      </c>
      <c r="U1082" s="2">
        <f ca="1">IF(IF(OP!$C$83=1,$Z1081,IF(OP!$C$83=2,$AA1081,IF(OP!$C$83=3,$AB1081,)))+$K1082-$O1082-$P1082-$AS1082&lt;OP!$C$142,0,$AS1082)</f>
        <v>0</v>
      </c>
      <c r="V1082" s="9"/>
      <c r="W1082" s="19">
        <f ca="1">MAX(SUM($K$4:K1082),0)</f>
        <v>2000000</v>
      </c>
      <c r="X1082" s="19"/>
      <c r="Y1082" s="19">
        <f t="shared" ca="1" si="612"/>
        <v>1920000</v>
      </c>
      <c r="Z1082" s="2">
        <f ca="1">IF(MIN($Z$4:Z1081)=0,0,MAX(0,($Z1081+$K1082-$O1082-$P1082)*IF(AND(F1082="F",$D$3&lt;&gt;$G$3),((1+(-J1082))^(H1082/MIN(G1082,365))),((1+(-J1082))^(1/12)))-$U1082))</f>
        <v>19066.987020315035</v>
      </c>
      <c r="AA1082" s="2">
        <f ca="1">IF(MIN($AA$4:AA1081)=0,0,MAX(0,($AA1081+$K1082-$O1082-$P1082)*IF(AND(F1082="F",$D$3&lt;&gt;$G$3),((1+$AA$1)^(H1082/MIN(G1082,365))),((1+$AA$1)^(1/12)))-$U1082))</f>
        <v>1920000</v>
      </c>
      <c r="AB1082" s="2">
        <f ca="1">IF(MIN($AB$4:AB1081)=0,0,MAX(0,($AB1081+$K1082-$O1082-$P1082)*IF(AND(F1082="F",$D$3&lt;&gt;$G$3),((1+(J1082))^(H1082/MIN(G1082,365))),((1+(J1082))^(1/12)))-$U1082))</f>
        <v>154373364.69765452</v>
      </c>
      <c r="AC1082" s="5"/>
      <c r="AD1082" s="5"/>
      <c r="AE1082" s="5"/>
      <c r="AF1082" s="282">
        <f t="shared" ca="1" si="595"/>
        <v>19067</v>
      </c>
      <c r="AG1082" s="282">
        <f t="shared" ca="1" si="596"/>
        <v>1920000</v>
      </c>
      <c r="AH1082" s="282">
        <f t="shared" ca="1" si="597"/>
        <v>154373365</v>
      </c>
      <c r="AI1082" s="23" t="str">
        <f t="shared" ca="1" si="613"/>
        <v>90-12</v>
      </c>
      <c r="AJ1082" s="282">
        <f ca="1">IF(E1082&gt;111,,IF(AND(OP!$C$99=1,T1082="F"),Z1082,IF(AND(OP!$C$99=2,COUNTIF($T$4:T1082,"F")=1),OP!$C$97+IF(F1082="F",OP!$C$98,0),"")))</f>
        <v>0</v>
      </c>
      <c r="AK1082" s="282">
        <f ca="1">IF(E1082&gt;111,,IF(AND(OP!$D$99=1,T1082="F"),AA1082,IF(AND(OP!$D$99=2,COUNTIF($T$4:T1082,"F")=1),OP!$D$97+IF(F1082="F",OP!$D$98,0),"")))</f>
        <v>0</v>
      </c>
      <c r="AL1082" s="282">
        <f ca="1">IF(E1082&gt;111,,IF(AND(OP!$E$99=1,T1082="F"),AB1082,IF(AND(OP!$E$99=2,COUNTIF($T$4:T1082,"F")=1),OP!$E$97+IF(F1082="F",OP!$E$98,0),"")))</f>
        <v>0</v>
      </c>
      <c r="AM1082" s="1">
        <f t="shared" ca="1" si="618"/>
        <v>12</v>
      </c>
      <c r="AN1082" s="1" t="e">
        <f ca="1">IF(OR(VLOOKUP($A1082,MP,5,0)="月繳"),1,"")</f>
        <v>#N/A</v>
      </c>
      <c r="AO1082" s="1">
        <f t="shared" ca="1" si="598"/>
        <v>0</v>
      </c>
      <c r="AP1082" s="1" t="str">
        <f ca="1">IF(AND(A1082&lt;=OP!$C$120,COUNTIF(PAY,C1082)=1),1,"")</f>
        <v/>
      </c>
      <c r="AR1082" s="301">
        <f ca="1">IF(繳費報酬率資料!$A$1=1,$AY1082+$AZ1082,$BF1082+$BG1082)</f>
        <v>0</v>
      </c>
      <c r="AS1082" s="1">
        <f ca="1">IF(C1082&lt;&gt;IF($C$3=1,12,$C$3-1),0,IF(繳費報酬率資料!$A$1&lt;&gt;1,VLOOKUP($A1082,MP,8,0),IF(AND($A1082&gt;=OP!$C$79,$A1082&lt;=OP!$C$80),OP!$C$78,)))</f>
        <v>0</v>
      </c>
      <c r="AT1082" s="298">
        <f t="shared" ca="1" si="599"/>
        <v>0</v>
      </c>
      <c r="AU1082" s="298">
        <f ca="1">IF(AND(A1082&lt;=OP!$C$120,COUNTIF(PAY,C1082)=1),OP!$C$123,0)</f>
        <v>0</v>
      </c>
      <c r="AV1082" s="298">
        <f ca="1">IF(AND(A1082&gt;=OP!$C$132,A1082&lt;=OP!$C$133,$C$3=C1082),OP!$C$135,0)</f>
        <v>0</v>
      </c>
      <c r="AW1082" s="180">
        <f t="shared" ca="1" si="600"/>
        <v>0.05</v>
      </c>
      <c r="AX1082" s="180">
        <f t="shared" ca="1" si="601"/>
        <v>0.05</v>
      </c>
      <c r="AY1082" s="286">
        <f t="shared" ca="1" si="602"/>
        <v>0</v>
      </c>
      <c r="AZ1082" s="286">
        <f t="shared" ca="1" si="603"/>
        <v>0</v>
      </c>
      <c r="BA1082" s="286">
        <f t="shared" ca="1" si="604"/>
        <v>0</v>
      </c>
      <c r="BB1082" s="286">
        <f t="shared" ca="1" si="605"/>
        <v>0</v>
      </c>
      <c r="BC1082" s="286">
        <f t="shared" ca="1" si="606"/>
        <v>0</v>
      </c>
      <c r="BD1082" s="180">
        <f t="shared" ca="1" si="607"/>
        <v>0.05</v>
      </c>
      <c r="BE1082" s="180">
        <f t="shared" ca="1" si="608"/>
        <v>0.05</v>
      </c>
      <c r="BF1082" s="286">
        <f t="shared" ca="1" si="609"/>
        <v>0</v>
      </c>
      <c r="BG1082" s="286">
        <f t="shared" ca="1" si="610"/>
        <v>0</v>
      </c>
    </row>
    <row r="1083" spans="1:59">
      <c r="A1083" s="1">
        <f t="shared" ca="1" si="590"/>
        <v>90</v>
      </c>
      <c r="B1083" s="1">
        <f t="shared" ca="1" si="619"/>
        <v>196</v>
      </c>
      <c r="C1083" s="1">
        <f t="shared" ca="1" si="620"/>
        <v>5</v>
      </c>
      <c r="D1083" s="1">
        <f ca="1">MIN($D$3,VLOOKUP(C1083,OP!$S$30:$T$41,2))</f>
        <v>2</v>
      </c>
      <c r="E1083" s="1" t="str">
        <f t="shared" ca="1" si="616"/>
        <v/>
      </c>
      <c r="F1083" s="11" t="str">
        <f t="shared" ca="1" si="591"/>
        <v/>
      </c>
      <c r="G1083" s="8">
        <f t="shared" ca="1" si="622"/>
        <v>365</v>
      </c>
      <c r="H1083" s="8">
        <f t="shared" ca="1" si="592"/>
        <v>31</v>
      </c>
      <c r="I1083" s="8" t="str">
        <f t="shared" ca="1" si="589"/>
        <v>905</v>
      </c>
      <c r="J1083" s="13">
        <f>IF(繳費報酬率資料!$A$1=1,VALUE(OP!$C$121),VLOOKUP(A1083,MP,2,0))</f>
        <v>0.05</v>
      </c>
      <c r="K1083" s="14">
        <f ca="1">IF(SUM($K$4:K1082,IF(繳費報酬率資料!$A$1=1,$AU1083+$AV1083,$BB1083+$BC1083))&gt;OP!$L$58,0,IF(繳費報酬率資料!$A$1=1,$AU1083+$AV1083,$BB1083+$BC1083))</f>
        <v>0</v>
      </c>
      <c r="L1083" s="2">
        <f ca="1">ROUND(IF(OP!$C$78&lt;(IF(OR($T1083="F",$E1083&gt;=111),0,Z1082+$K1083-$O1083+IF($C$1=1,OP!$C$78,IF($C1084=$C$3,SUM(AC1072:AC1083,0)))))*5%,0,(OP!$C$78-((IF(OR($T1083="F",$E1083&gt;=111),0,Z1082+$K1083-$O1083+IF($C$1=1,AC1083,IF($C1084=$C$3,SUM(AC1072:AC1083,0)))))*5%))*$Q1083),0)</f>
        <v>0</v>
      </c>
      <c r="M1083" s="2">
        <f ca="1">ROUND(IF(OP!$C$78&lt;(IF(OR($T1083="F",$E1083&gt;=111),0,AA1082+$K1083-$O1083+IF($C$1=1,AD1083,IF($C1084=$C$3,SUM(AD1072:AD1083,0)))))*5%,0,(OP!$C$78-((IF(OR($T1083="F",$E1083&gt;=111),0,AA1082+$K1083-$O1083+IF($C$1=1,AD1083,IF($C1084=$C$3,SUM(AD1072:AD1083,0)))))*5%))*$Q1083),0)</f>
        <v>0</v>
      </c>
      <c r="N1083" s="2">
        <f ca="1">ROUND(IF(OP!$C$78&lt;(IF(OR($T1083="F",$E1083&gt;=111),0,AB1082+$K1083-$O1083+IF($C$1=1,AE1083,IF($C1084=$C$3,SUM(AE1072:AE1083,0)))))*5%,0,(OP!$C$78-((IF(OR($T1083="F",$E1083&gt;=111),0,AB1082+$K1083-$O1083+IF($C$1=1,AE1083,IF($C1084=$C$3,SUM(AE1072:AE1083,0)))))*5%))*$Q1083),0)</f>
        <v>0</v>
      </c>
      <c r="O1083" s="261">
        <f t="shared" ca="1" si="593"/>
        <v>0</v>
      </c>
      <c r="P1083" s="261">
        <f t="shared" ca="1" si="611"/>
        <v>0</v>
      </c>
      <c r="Q1083" s="3">
        <f ca="1">IF(A1083&gt;MAX(OP!$R$17:$R$26),0,VLOOKUP(A1083,fees,3,FALSE))</f>
        <v>0</v>
      </c>
      <c r="R1083" s="200" t="str">
        <f t="shared" ca="1" si="594"/>
        <v/>
      </c>
      <c r="S1083" s="9" t="str">
        <f ca="1">IF(COUNTIF(($T$4:T1082),"F")&gt;=1,"",IF(OR(C1084&lt;&gt;$C$3,E1083=""),"",A1083))</f>
        <v/>
      </c>
      <c r="T1083" s="20" t="str">
        <f t="shared" ca="1" si="617"/>
        <v/>
      </c>
      <c r="U1083" s="2">
        <f ca="1">IF(IF(OP!$C$83=1,$Z1082,IF(OP!$C$83=2,$AA1082,IF(OP!$C$83=3,$AB1082,)))+$K1083-$O1083-$P1083-$AS1083&lt;OP!$C$142,0,$AS1083)</f>
        <v>0</v>
      </c>
      <c r="V1083" s="19">
        <f ca="1">SUM(K1072:K1083)</f>
        <v>0</v>
      </c>
      <c r="W1083" s="19">
        <f ca="1">MAX(SUM($K$4:K1083),0)</f>
        <v>2000000</v>
      </c>
      <c r="X1083" s="19">
        <f ca="1">SUM(O1072:P1083)</f>
        <v>0</v>
      </c>
      <c r="Y1083" s="19">
        <f t="shared" ca="1" si="612"/>
        <v>1920000</v>
      </c>
      <c r="Z1083" s="2">
        <f ca="1">IF(MIN($Z$4:Z1082)=0,0,MAX(0,($Z1082+$K1083-$O1083-$P1083)*IF(AND(F1083="F",$D$3&lt;&gt;$G$3),((1+(-J1083))^(H1083/MIN(G1083,365))),((1+(-J1083))^(1/12)))-$U1083))</f>
        <v>18985.660242545779</v>
      </c>
      <c r="AA1083" s="2">
        <f ca="1">IF(MIN($AA$4:AA1082)=0,0,MAX(0,($AA1082+$K1083-$O1083-$P1083)*IF(AND(F1083="F",$D$3&lt;&gt;$G$3),((1+$AA$1)^(H1083/MIN(G1083,365))),((1+$AA$1)^(1/12)))-$U1083))</f>
        <v>1920000</v>
      </c>
      <c r="AB1083" s="2">
        <f ca="1">IF(MIN($AB$4:AB1082)=0,0,MAX(0,($AB1082+$K1083-$O1083-$P1083)*IF(AND(F1083="F",$D$3&lt;&gt;$G$3),((1+(J1083))^(H1083/MIN(G1083,365))),((1+(J1083))^(1/12)))-$U1083))</f>
        <v>155002300.89433104</v>
      </c>
      <c r="AC1083" s="5"/>
      <c r="AD1083" s="5"/>
      <c r="AE1083" s="5"/>
      <c r="AF1083" s="282">
        <f t="shared" ca="1" si="595"/>
        <v>18986</v>
      </c>
      <c r="AG1083" s="282">
        <f t="shared" ca="1" si="596"/>
        <v>1920000</v>
      </c>
      <c r="AH1083" s="282">
        <f t="shared" ca="1" si="597"/>
        <v>155002301</v>
      </c>
      <c r="AI1083" s="23" t="str">
        <f t="shared" ca="1" si="613"/>
        <v>91-1</v>
      </c>
      <c r="AJ1083" s="282">
        <f ca="1">IF(E1083&gt;111,,IF(AND(OP!$C$99=1,T1083="F"),Z1083,IF(AND(OP!$C$99=2,COUNTIF($T$4:T1083,"F")=1),OP!$C$97+IF(F1083="F",OP!$C$98,0),"")))</f>
        <v>0</v>
      </c>
      <c r="AK1083" s="282">
        <f ca="1">IF(E1083&gt;111,,IF(AND(OP!$D$99=1,T1083="F"),AA1083,IF(AND(OP!$D$99=2,COUNTIF($T$4:T1083,"F")=1),OP!$D$97+IF(F1083="F",OP!$D$98,0),"")))</f>
        <v>0</v>
      </c>
      <c r="AL1083" s="282">
        <f ca="1">IF(E1083&gt;111,,IF(AND(OP!$E$99=1,T1083="F"),AB1083,IF(AND(OP!$E$99=2,COUNTIF($T$4:T1083,"F")=1),OP!$E$97+IF(F1083="F",OP!$E$98,0),"")))</f>
        <v>0</v>
      </c>
      <c r="AM1083" s="1">
        <f t="shared" ca="1" si="618"/>
        <v>1</v>
      </c>
      <c r="AN1083" s="1" t="e">
        <f ca="1">IF(OR(VLOOKUP($A1083,MP,5,0)="月繳"),1,"")</f>
        <v>#N/A</v>
      </c>
      <c r="AO1083" s="1">
        <f t="shared" ca="1" si="598"/>
        <v>0</v>
      </c>
      <c r="AP1083" s="1" t="str">
        <f ca="1">IF(AND(A1083&lt;=OP!$C$120,COUNTIF(PAY,C1083)=1),1,"")</f>
        <v/>
      </c>
      <c r="AR1083" s="301">
        <f ca="1">IF(繳費報酬率資料!$A$1=1,$AY1083+$AZ1083,$BF1083+$BG1083)</f>
        <v>0</v>
      </c>
      <c r="AS1083" s="1">
        <f ca="1">IF(C1083&lt;&gt;IF($C$3=1,12,$C$3-1),0,IF(繳費報酬率資料!$A$1&lt;&gt;1,VLOOKUP($A1083,MP,8,0),IF(AND($A1083&gt;=OP!$C$79,$A1083&lt;=OP!$C$80),OP!$C$78,)))</f>
        <v>0</v>
      </c>
      <c r="AT1083" s="298">
        <f t="shared" ca="1" si="599"/>
        <v>0</v>
      </c>
      <c r="AU1083" s="298">
        <f ca="1">IF(AND(A1083&lt;=OP!$C$120,COUNTIF(PAY,C1083)=1),OP!$C$123,0)</f>
        <v>0</v>
      </c>
      <c r="AV1083" s="298">
        <f ca="1">IF(AND(A1083&gt;=OP!$C$132,A1083&lt;=OP!$C$133,$C$3=C1083),OP!$C$135,0)</f>
        <v>0</v>
      </c>
      <c r="AW1083" s="180">
        <f t="shared" ca="1" si="600"/>
        <v>0.05</v>
      </c>
      <c r="AX1083" s="180">
        <f t="shared" ca="1" si="601"/>
        <v>0.05</v>
      </c>
      <c r="AY1083" s="286">
        <f t="shared" ca="1" si="602"/>
        <v>0</v>
      </c>
      <c r="AZ1083" s="286">
        <f t="shared" ca="1" si="603"/>
        <v>0</v>
      </c>
      <c r="BA1083" s="286">
        <f t="shared" ca="1" si="604"/>
        <v>0</v>
      </c>
      <c r="BB1083" s="286">
        <f t="shared" ca="1" si="605"/>
        <v>0</v>
      </c>
      <c r="BC1083" s="286">
        <f t="shared" ca="1" si="606"/>
        <v>0</v>
      </c>
      <c r="BD1083" s="180">
        <f t="shared" ca="1" si="607"/>
        <v>0.05</v>
      </c>
      <c r="BE1083" s="180">
        <f t="shared" ca="1" si="608"/>
        <v>0.05</v>
      </c>
      <c r="BF1083" s="286">
        <f t="shared" ca="1" si="609"/>
        <v>0</v>
      </c>
      <c r="BG1083" s="286">
        <f t="shared" ca="1" si="610"/>
        <v>0</v>
      </c>
    </row>
    <row r="1084" spans="1:59">
      <c r="A1084" s="1">
        <f t="shared" ca="1" si="590"/>
        <v>91</v>
      </c>
      <c r="B1084" s="1">
        <f t="shared" ca="1" si="619"/>
        <v>196</v>
      </c>
      <c r="C1084" s="1">
        <f t="shared" ca="1" si="620"/>
        <v>6</v>
      </c>
      <c r="D1084" s="1">
        <f ca="1">MIN($D$3,VLOOKUP(C1084,OP!$S$30:$T$41,2))</f>
        <v>2</v>
      </c>
      <c r="E1084" s="1" t="str">
        <f t="shared" ca="1" si="616"/>
        <v/>
      </c>
      <c r="F1084" s="11" t="str">
        <f t="shared" ca="1" si="591"/>
        <v/>
      </c>
      <c r="G1084" s="6">
        <f ca="1">DATEDIF(DATE(B1084+1911,C1084,D1084),DATE(B1096+1911,C1096,D1096),"d")</f>
        <v>366</v>
      </c>
      <c r="H1084" s="8">
        <f t="shared" ca="1" si="592"/>
        <v>30</v>
      </c>
      <c r="I1084" s="8" t="str">
        <f t="shared" ca="1" si="589"/>
        <v>916</v>
      </c>
      <c r="J1084" s="13">
        <f>IF(繳費報酬率資料!$A$1=1,VALUE(OP!$C$121),VLOOKUP(A1084,MP,2,0))</f>
        <v>0.05</v>
      </c>
      <c r="K1084" s="14">
        <f ca="1">IF(SUM($K$4:K1083,IF(繳費報酬率資料!$A$1=1,$AU1084+$AV1084,$BB1084+$BC1084))&gt;OP!$L$58,0,IF(繳費報酬率資料!$A$1=1,$AU1084+$AV1084,$BB1084+$BC1084))</f>
        <v>0</v>
      </c>
      <c r="L1084" s="2"/>
      <c r="M1084" s="2"/>
      <c r="N1084" s="2"/>
      <c r="O1084" s="261">
        <f t="shared" ca="1" si="593"/>
        <v>0</v>
      </c>
      <c r="P1084" s="261">
        <f t="shared" ca="1" si="611"/>
        <v>0</v>
      </c>
      <c r="Q1084" s="3">
        <f ca="1">IF(A1084&gt;MAX(OP!$R$17:$R$26),0,VLOOKUP(A1084,fees,3,FALSE))</f>
        <v>0</v>
      </c>
      <c r="R1084" s="200" t="str">
        <f t="shared" ca="1" si="594"/>
        <v/>
      </c>
      <c r="S1084" s="9" t="str">
        <f ca="1">IF(COUNTIF(($T$4:T1083),"F")&gt;=1,"",IF(OR(C1085&lt;&gt;$C$3,E1084=""),"",A1084))</f>
        <v/>
      </c>
      <c r="T1084" s="20" t="str">
        <f t="shared" ca="1" si="617"/>
        <v/>
      </c>
      <c r="U1084" s="2">
        <f ca="1">IF(IF(OP!$C$83=1,$Z1083,IF(OP!$C$83=2,$AA1083,IF(OP!$C$83=3,$AB1083,)))+$K1084-$O1084-$P1084-$AS1084&lt;OP!$C$142,0,$AS1084)</f>
        <v>0</v>
      </c>
      <c r="V1084" s="9"/>
      <c r="W1084" s="19">
        <f ca="1">MAX(SUM($K$4:K1084),0)</f>
        <v>2000000</v>
      </c>
      <c r="X1084" s="19"/>
      <c r="Y1084" s="19">
        <f t="shared" ca="1" si="612"/>
        <v>1920000</v>
      </c>
      <c r="Z1084" s="2">
        <f ca="1">IF(MIN($Z$4:Z1083)=0,0,MAX(0,($Z1083+$K1084-$O1084-$P1084)*IF(AND(F1084="F",$D$3&lt;&gt;$G$3),((1+(-J1084))^(H1084/MIN(G1084,365))),((1+(-J1084))^(1/12)))-$U1084))</f>
        <v>18904.68034940886</v>
      </c>
      <c r="AA1084" s="2">
        <f ca="1">IF(MIN($AA$4:AA1083)=0,0,MAX(0,($AA1083+$K1084-$O1084-$P1084)*IF(AND(F1084="F",$D$3&lt;&gt;$G$3),((1+$AA$1)^(H1084/MIN(G1084,365))),((1+$AA$1)^(1/12)))-$U1084))</f>
        <v>1920000</v>
      </c>
      <c r="AB1084" s="2">
        <f ca="1">IF(MIN($AB$4:AB1083)=0,0,MAX(0,($AB1083+$K1084-$O1084-$P1084)*IF(AND(F1084="F",$D$3&lt;&gt;$G$3),((1+(J1084))^(H1084/MIN(G1084,365))),((1+(J1084))^(1/12)))-$U1084))</f>
        <v>155633799.45492485</v>
      </c>
      <c r="AC1084" s="21"/>
      <c r="AD1084" s="21"/>
      <c r="AE1084" s="21"/>
      <c r="AF1084" s="282">
        <f t="shared" ca="1" si="595"/>
        <v>18905</v>
      </c>
      <c r="AG1084" s="282">
        <f t="shared" ca="1" si="596"/>
        <v>1920000</v>
      </c>
      <c r="AH1084" s="282">
        <f t="shared" ca="1" si="597"/>
        <v>155633799</v>
      </c>
      <c r="AI1084" s="23" t="str">
        <f t="shared" ca="1" si="613"/>
        <v>91-2</v>
      </c>
      <c r="AJ1084" s="281">
        <f ca="1">IF(E1084&gt;111,,IF(AND(OP!$C$99=1,T1084="F"),Z1084,IF(AND(OP!$C$99=2,COUNTIF($T$4:T1084,"F")=1),OP!$C$97+IF(F1084="F",OP!$C$98,0),"")))</f>
        <v>0</v>
      </c>
      <c r="AK1084" s="281">
        <f ca="1">IF(E1084&gt;111,,IF(AND(OP!$D$99=1,T1084="F"),AA1084,IF(AND(OP!$D$99=2,COUNTIF($T$4:T1084,"F")=1),OP!$D$97+IF(F1084="F",OP!$D$98,0),"")))</f>
        <v>0</v>
      </c>
      <c r="AL1084" s="281">
        <f ca="1">IF(E1084&gt;111,,IF(AND(OP!$E$99=1,T1084="F"),AB1084,IF(AND(OP!$E$99=2,COUNTIF($T$4:T1084,"F")=1),OP!$E$97+IF(F1084="F",OP!$E$98,0),"")))</f>
        <v>0</v>
      </c>
      <c r="AM1084" s="1">
        <f t="shared" ca="1" si="618"/>
        <v>2</v>
      </c>
      <c r="AN1084" s="1" t="e">
        <f ca="1">IF(OR(VLOOKUP($A1084,MP,5,0)="年繳",VLOOKUP($A1084,MP,5,0)="半年繳",VLOOKUP($A1084,MP,5,0)="季繳",VLOOKUP($A1084,MP,5,0)="月繳"),1,"")</f>
        <v>#N/A</v>
      </c>
      <c r="AO1084" s="1">
        <f t="shared" ca="1" si="598"/>
        <v>0</v>
      </c>
      <c r="AP1084" s="1" t="str">
        <f ca="1">IF(AND(A1084&lt;=OP!$C$120,COUNTIF(PAY,C1084)=1),1,"")</f>
        <v/>
      </c>
      <c r="AR1084" s="301">
        <f ca="1">IF(繳費報酬率資料!$A$1=1,$AY1084+$AZ1084,$BF1084+$BG1084)</f>
        <v>0</v>
      </c>
      <c r="AS1084" s="1">
        <f ca="1">IF(C1084&lt;&gt;IF($C$3=1,12,$C$3-1),0,IF(繳費報酬率資料!$A$1&lt;&gt;1,VLOOKUP($A1084,MP,8,0),IF(AND($A1084&gt;=OP!$C$79,$A1084&lt;=OP!$C$80),OP!$C$78,)))</f>
        <v>0</v>
      </c>
      <c r="AT1084" s="298">
        <f t="shared" ca="1" si="599"/>
        <v>0</v>
      </c>
      <c r="AU1084" s="298">
        <f ca="1">IF(AND(A1084&lt;=OP!$C$120,COUNTIF(PAY,C1084)=1),OP!$C$123,0)</f>
        <v>0</v>
      </c>
      <c r="AV1084" s="298">
        <f ca="1">IF(AND(A1084&gt;=OP!$C$132,A1084&lt;=OP!$C$133,$C$3=C1084),OP!$C$135,0)</f>
        <v>0</v>
      </c>
      <c r="AW1084" s="180">
        <f t="shared" ca="1" si="600"/>
        <v>0.05</v>
      </c>
      <c r="AX1084" s="180">
        <f t="shared" ca="1" si="601"/>
        <v>0.05</v>
      </c>
      <c r="AY1084" s="286">
        <f t="shared" ca="1" si="602"/>
        <v>0</v>
      </c>
      <c r="AZ1084" s="286">
        <f t="shared" ca="1" si="603"/>
        <v>0</v>
      </c>
      <c r="BA1084" s="286">
        <f t="shared" ca="1" si="604"/>
        <v>0</v>
      </c>
      <c r="BB1084" s="286">
        <f t="shared" ca="1" si="605"/>
        <v>0</v>
      </c>
      <c r="BC1084" s="286">
        <f t="shared" ca="1" si="606"/>
        <v>0</v>
      </c>
      <c r="BD1084" s="180">
        <f t="shared" ca="1" si="607"/>
        <v>0.05</v>
      </c>
      <c r="BE1084" s="180">
        <f t="shared" ca="1" si="608"/>
        <v>0.05</v>
      </c>
      <c r="BF1084" s="286">
        <f t="shared" ca="1" si="609"/>
        <v>0</v>
      </c>
      <c r="BG1084" s="286">
        <f t="shared" ca="1" si="610"/>
        <v>0</v>
      </c>
    </row>
    <row r="1085" spans="1:59">
      <c r="A1085" s="1">
        <f t="shared" ca="1" si="590"/>
        <v>91</v>
      </c>
      <c r="B1085" s="1">
        <f t="shared" ca="1" si="619"/>
        <v>196</v>
      </c>
      <c r="C1085" s="1">
        <f t="shared" ca="1" si="620"/>
        <v>7</v>
      </c>
      <c r="D1085" s="1">
        <f ca="1">MIN($D$3,VLOOKUP(C1085,OP!$S$30:$T$41,2))</f>
        <v>2</v>
      </c>
      <c r="E1085" s="1" t="str">
        <f t="shared" ca="1" si="616"/>
        <v/>
      </c>
      <c r="F1085" s="11" t="str">
        <f t="shared" ca="1" si="591"/>
        <v/>
      </c>
      <c r="G1085" s="8">
        <f t="shared" ref="G1085:G1095" ca="1" si="623">G1084</f>
        <v>366</v>
      </c>
      <c r="H1085" s="8">
        <f t="shared" ca="1" si="592"/>
        <v>31</v>
      </c>
      <c r="I1085" s="8" t="str">
        <f t="shared" ca="1" si="589"/>
        <v>917</v>
      </c>
      <c r="J1085" s="13">
        <f>IF(繳費報酬率資料!$A$1=1,VALUE(OP!$C$121),VLOOKUP(A1085,MP,2,0))</f>
        <v>0.05</v>
      </c>
      <c r="K1085" s="14">
        <f ca="1">IF(SUM($K$4:K1084,IF(繳費報酬率資料!$A$1=1,$AU1085+$AV1085,$BB1085+$BC1085))&gt;OP!$L$58,0,IF(繳費報酬率資料!$A$1=1,$AU1085+$AV1085,$BB1085+$BC1085))</f>
        <v>0</v>
      </c>
      <c r="L1085" s="2"/>
      <c r="M1085" s="2"/>
      <c r="N1085" s="2"/>
      <c r="O1085" s="261">
        <f t="shared" ca="1" si="593"/>
        <v>0</v>
      </c>
      <c r="P1085" s="261">
        <f t="shared" ca="1" si="611"/>
        <v>0</v>
      </c>
      <c r="Q1085" s="3">
        <f ca="1">IF(A1085&gt;MAX(OP!$R$17:$R$26),0,VLOOKUP(A1085,fees,3,FALSE))</f>
        <v>0</v>
      </c>
      <c r="R1085" s="200" t="str">
        <f t="shared" ca="1" si="594"/>
        <v/>
      </c>
      <c r="S1085" s="9" t="str">
        <f ca="1">IF(COUNTIF(($T$4:T1084),"F")&gt;=1,"",IF(OR(C1086&lt;&gt;$C$3,E1085=""),"",A1085))</f>
        <v/>
      </c>
      <c r="T1085" s="20" t="str">
        <f t="shared" ca="1" si="617"/>
        <v/>
      </c>
      <c r="U1085" s="2">
        <f ca="1">IF(IF(OP!$C$83=1,$Z1084,IF(OP!$C$83=2,$AA1084,IF(OP!$C$83=3,$AB1084,)))+$K1085-$O1085-$P1085-$AS1085&lt;OP!$C$142,0,$AS1085)</f>
        <v>0</v>
      </c>
      <c r="V1085" s="9"/>
      <c r="W1085" s="19">
        <f ca="1">MAX(SUM($K$4:K1085),0)</f>
        <v>2000000</v>
      </c>
      <c r="X1085" s="19"/>
      <c r="Y1085" s="19">
        <f t="shared" ca="1" si="612"/>
        <v>1920000</v>
      </c>
      <c r="Z1085" s="2">
        <f ca="1">IF(MIN($Z$4:Z1084)=0,0,MAX(0,($Z1084+$K1085-$O1085-$P1085)*IF(AND(F1085="F",$D$3&lt;&gt;$G$3),((1+(-J1085))^(H1085/MIN(G1085,365))),((1+(-J1085))^(1/12)))-$U1085))</f>
        <v>18824.045861330746</v>
      </c>
      <c r="AA1085" s="2">
        <f ca="1">IF(MIN($AA$4:AA1084)=0,0,MAX(0,($AA1084+$K1085-$O1085-$P1085)*IF(AND(F1085="F",$D$3&lt;&gt;$G$3),((1+$AA$1)^(H1085/MIN(G1085,365))),((1+$AA$1)^(1/12)))-$U1085))</f>
        <v>1920000</v>
      </c>
      <c r="AB1085" s="2">
        <f ca="1">IF(MIN($AB$4:AB1084)=0,0,MAX(0,($AB1084+$K1085-$O1085-$P1085)*IF(AND(F1085="F",$D$3&lt;&gt;$G$3),((1+(J1085))^(H1085/MIN(G1085,365))),((1+(J1085))^(1/12)))-$U1085))</f>
        <v>156267870.81882372</v>
      </c>
      <c r="AC1085" s="5"/>
      <c r="AD1085" s="5"/>
      <c r="AE1085" s="5"/>
      <c r="AF1085" s="282">
        <f t="shared" ca="1" si="595"/>
        <v>18824</v>
      </c>
      <c r="AG1085" s="282">
        <f t="shared" ca="1" si="596"/>
        <v>1920000</v>
      </c>
      <c r="AH1085" s="282">
        <f t="shared" ca="1" si="597"/>
        <v>156267871</v>
      </c>
      <c r="AI1085" s="23" t="str">
        <f t="shared" ca="1" si="613"/>
        <v>91-3</v>
      </c>
      <c r="AJ1085" s="282">
        <f ca="1">IF(E1085&gt;111,,IF(AND(OP!$C$99=1,T1085="F"),Z1085,IF(AND(OP!$C$99=2,COUNTIF($T$4:T1085,"F")=1),OP!$C$97+IF(F1085="F",OP!$C$98,0),"")))</f>
        <v>0</v>
      </c>
      <c r="AK1085" s="282">
        <f ca="1">IF(E1085&gt;111,,IF(AND(OP!$D$99=1,T1085="F"),AA1085,IF(AND(OP!$D$99=2,COUNTIF($T$4:T1085,"F")=1),OP!$D$97+IF(F1085="F",OP!$D$98,0),"")))</f>
        <v>0</v>
      </c>
      <c r="AL1085" s="282">
        <f ca="1">IF(E1085&gt;111,,IF(AND(OP!$E$99=1,T1085="F"),AB1085,IF(AND(OP!$E$99=2,COUNTIF($T$4:T1085,"F")=1),OP!$E$97+IF(F1085="F",OP!$E$98,0),"")))</f>
        <v>0</v>
      </c>
      <c r="AM1085" s="1">
        <f t="shared" ca="1" si="618"/>
        <v>3</v>
      </c>
      <c r="AN1085" s="1" t="e">
        <f ca="1">IF(OR(VLOOKUP($A1085,MP,5,0)="月繳"),1,"")</f>
        <v>#N/A</v>
      </c>
      <c r="AO1085" s="1">
        <f t="shared" ca="1" si="598"/>
        <v>0</v>
      </c>
      <c r="AP1085" s="1" t="str">
        <f ca="1">IF(AND(A1085&lt;=OP!$C$120,COUNTIF(PAY,C1085)=1),1,"")</f>
        <v/>
      </c>
      <c r="AR1085" s="301">
        <f ca="1">IF(繳費報酬率資料!$A$1=1,$AY1085+$AZ1085,$BF1085+$BG1085)</f>
        <v>0</v>
      </c>
      <c r="AS1085" s="1">
        <f ca="1">IF(C1085&lt;&gt;IF($C$3=1,12,$C$3-1),0,IF(繳費報酬率資料!$A$1&lt;&gt;1,VLOOKUP($A1085,MP,8,0),IF(AND($A1085&gt;=OP!$C$79,$A1085&lt;=OP!$C$80),OP!$C$78,)))</f>
        <v>0</v>
      </c>
      <c r="AT1085" s="298">
        <f t="shared" ca="1" si="599"/>
        <v>0</v>
      </c>
      <c r="AU1085" s="298">
        <f ca="1">IF(AND(A1085&lt;=OP!$C$120,COUNTIF(PAY,C1085)=1),OP!$C$123,0)</f>
        <v>0</v>
      </c>
      <c r="AV1085" s="298">
        <f ca="1">IF(AND(A1085&gt;=OP!$C$132,A1085&lt;=OP!$C$133,$C$3=C1085),OP!$C$135,0)</f>
        <v>0</v>
      </c>
      <c r="AW1085" s="180">
        <f t="shared" ca="1" si="600"/>
        <v>0.05</v>
      </c>
      <c r="AX1085" s="180">
        <f t="shared" ca="1" si="601"/>
        <v>0.05</v>
      </c>
      <c r="AY1085" s="286">
        <f t="shared" ca="1" si="602"/>
        <v>0</v>
      </c>
      <c r="AZ1085" s="286">
        <f t="shared" ca="1" si="603"/>
        <v>0</v>
      </c>
      <c r="BA1085" s="286">
        <f t="shared" ca="1" si="604"/>
        <v>0</v>
      </c>
      <c r="BB1085" s="286">
        <f t="shared" ca="1" si="605"/>
        <v>0</v>
      </c>
      <c r="BC1085" s="286">
        <f t="shared" ca="1" si="606"/>
        <v>0</v>
      </c>
      <c r="BD1085" s="180">
        <f t="shared" ca="1" si="607"/>
        <v>0.05</v>
      </c>
      <c r="BE1085" s="180">
        <f t="shared" ca="1" si="608"/>
        <v>0.05</v>
      </c>
      <c r="BF1085" s="286">
        <f t="shared" ca="1" si="609"/>
        <v>0</v>
      </c>
      <c r="BG1085" s="286">
        <f t="shared" ca="1" si="610"/>
        <v>0</v>
      </c>
    </row>
    <row r="1086" spans="1:59">
      <c r="A1086" s="1">
        <f t="shared" ca="1" si="590"/>
        <v>91</v>
      </c>
      <c r="B1086" s="1">
        <f t="shared" ca="1" si="619"/>
        <v>196</v>
      </c>
      <c r="C1086" s="1">
        <f t="shared" ca="1" si="620"/>
        <v>8</v>
      </c>
      <c r="D1086" s="1">
        <f ca="1">MIN($D$3,VLOOKUP(C1086,OP!$S$30:$T$41,2))</f>
        <v>2</v>
      </c>
      <c r="E1086" s="1" t="str">
        <f t="shared" ca="1" si="616"/>
        <v/>
      </c>
      <c r="F1086" s="11" t="str">
        <f t="shared" ca="1" si="591"/>
        <v/>
      </c>
      <c r="G1086" s="8">
        <f t="shared" ca="1" si="623"/>
        <v>366</v>
      </c>
      <c r="H1086" s="8">
        <f t="shared" ca="1" si="592"/>
        <v>31</v>
      </c>
      <c r="I1086" s="8" t="str">
        <f t="shared" ca="1" si="589"/>
        <v>918</v>
      </c>
      <c r="J1086" s="13">
        <f>IF(繳費報酬率資料!$A$1=1,VALUE(OP!$C$121),VLOOKUP(A1086,MP,2,0))</f>
        <v>0.05</v>
      </c>
      <c r="K1086" s="14">
        <f ca="1">IF(SUM($K$4:K1085,IF(繳費報酬率資料!$A$1=1,$AU1086+$AV1086,$BB1086+$BC1086))&gt;OP!$L$58,0,IF(繳費報酬率資料!$A$1=1,$AU1086+$AV1086,$BB1086+$BC1086))</f>
        <v>0</v>
      </c>
      <c r="L1086" s="2"/>
      <c r="M1086" s="2"/>
      <c r="N1086" s="2"/>
      <c r="O1086" s="261">
        <f t="shared" ca="1" si="593"/>
        <v>0</v>
      </c>
      <c r="P1086" s="261">
        <f t="shared" ca="1" si="611"/>
        <v>0</v>
      </c>
      <c r="Q1086" s="3">
        <f ca="1">IF(A1086&gt;MAX(OP!$R$17:$R$26),0,VLOOKUP(A1086,fees,3,FALSE))</f>
        <v>0</v>
      </c>
      <c r="R1086" s="200" t="str">
        <f t="shared" ca="1" si="594"/>
        <v/>
      </c>
      <c r="S1086" s="9" t="str">
        <f ca="1">IF(COUNTIF(($T$4:T1085),"F")&gt;=1,"",IF(OR(C1087&lt;&gt;$C$3,E1086=""),"",A1086))</f>
        <v/>
      </c>
      <c r="T1086" s="20" t="str">
        <f t="shared" ca="1" si="617"/>
        <v/>
      </c>
      <c r="U1086" s="2">
        <f ca="1">IF(IF(OP!$C$83=1,$Z1085,IF(OP!$C$83=2,$AA1085,IF(OP!$C$83=3,$AB1085,)))+$K1086-$O1086-$P1086-$AS1086&lt;OP!$C$142,0,$AS1086)</f>
        <v>0</v>
      </c>
      <c r="V1086" s="9"/>
      <c r="W1086" s="19">
        <f ca="1">MAX(SUM($K$4:K1086),0)</f>
        <v>2000000</v>
      </c>
      <c r="X1086" s="19"/>
      <c r="Y1086" s="19">
        <f t="shared" ca="1" si="612"/>
        <v>1920000</v>
      </c>
      <c r="Z1086" s="2">
        <f ca="1">IF(MIN($Z$4:Z1085)=0,0,MAX(0,($Z1085+$K1086-$O1086-$P1086)*IF(AND(F1086="F",$D$3&lt;&gt;$G$3),((1+(-J1086))^(H1086/MIN(G1086,365))),((1+(-J1086))^(1/12)))-$U1086))</f>
        <v>18743.755305048748</v>
      </c>
      <c r="AA1086" s="2">
        <f ca="1">IF(MIN($AA$4:AA1085)=0,0,MAX(0,($AA1085+$K1086-$O1086-$P1086)*IF(AND(F1086="F",$D$3&lt;&gt;$G$3),((1+$AA$1)^(H1086/MIN(G1086,365))),((1+$AA$1)^(1/12)))-$U1086))</f>
        <v>1920000</v>
      </c>
      <c r="AB1086" s="2">
        <f ca="1">IF(MIN($AB$4:AB1085)=0,0,MAX(0,($AB1085+$K1086-$O1086-$P1086)*IF(AND(F1086="F",$D$3&lt;&gt;$G$3),((1+(J1086))^(H1086/MIN(G1086,365))),((1+(J1086))^(1/12)))-$U1086))</f>
        <v>156904525.4679468</v>
      </c>
      <c r="AC1086" s="5"/>
      <c r="AD1086" s="5"/>
      <c r="AE1086" s="5"/>
      <c r="AF1086" s="282">
        <f t="shared" ca="1" si="595"/>
        <v>18744</v>
      </c>
      <c r="AG1086" s="282">
        <f t="shared" ca="1" si="596"/>
        <v>1920000</v>
      </c>
      <c r="AH1086" s="282">
        <f t="shared" ca="1" si="597"/>
        <v>156904525</v>
      </c>
      <c r="AI1086" s="23" t="str">
        <f t="shared" ca="1" si="613"/>
        <v>91-4</v>
      </c>
      <c r="AJ1086" s="282">
        <f ca="1">IF(E1086&gt;111,,IF(AND(OP!$C$99=1,T1086="F"),Z1086,IF(AND(OP!$C$99=2,COUNTIF($T$4:T1086,"F")=1),OP!$C$97+IF(F1086="F",OP!$C$98,0),"")))</f>
        <v>0</v>
      </c>
      <c r="AK1086" s="282">
        <f ca="1">IF(E1086&gt;111,,IF(AND(OP!$D$99=1,T1086="F"),AA1086,IF(AND(OP!$D$99=2,COUNTIF($T$4:T1086,"F")=1),OP!$D$97+IF(F1086="F",OP!$D$98,0),"")))</f>
        <v>0</v>
      </c>
      <c r="AL1086" s="282">
        <f ca="1">IF(E1086&gt;111,,IF(AND(OP!$E$99=1,T1086="F"),AB1086,IF(AND(OP!$E$99=2,COUNTIF($T$4:T1086,"F")=1),OP!$E$97+IF(F1086="F",OP!$E$98,0),"")))</f>
        <v>0</v>
      </c>
      <c r="AM1086" s="1">
        <f t="shared" ca="1" si="618"/>
        <v>4</v>
      </c>
      <c r="AN1086" s="1" t="e">
        <f ca="1">IF(OR(VLOOKUP($A1086,MP,5,0)="月繳"),1,"")</f>
        <v>#N/A</v>
      </c>
      <c r="AO1086" s="1">
        <f t="shared" ca="1" si="598"/>
        <v>0</v>
      </c>
      <c r="AP1086" s="1" t="str">
        <f ca="1">IF(AND(A1086&lt;=OP!$C$120,COUNTIF(PAY,C1086)=1),1,"")</f>
        <v/>
      </c>
      <c r="AR1086" s="301">
        <f ca="1">IF(繳費報酬率資料!$A$1=1,$AY1086+$AZ1086,$BF1086+$BG1086)</f>
        <v>0</v>
      </c>
      <c r="AS1086" s="1">
        <f ca="1">IF(C1086&lt;&gt;IF($C$3=1,12,$C$3-1),0,IF(繳費報酬率資料!$A$1&lt;&gt;1,VLOOKUP($A1086,MP,8,0),IF(AND($A1086&gt;=OP!$C$79,$A1086&lt;=OP!$C$80),OP!$C$78,)))</f>
        <v>0</v>
      </c>
      <c r="AT1086" s="298">
        <f t="shared" ca="1" si="599"/>
        <v>0</v>
      </c>
      <c r="AU1086" s="298">
        <f ca="1">IF(AND(A1086&lt;=OP!$C$120,COUNTIF(PAY,C1086)=1),OP!$C$123,0)</f>
        <v>0</v>
      </c>
      <c r="AV1086" s="298">
        <f ca="1">IF(AND(A1086&gt;=OP!$C$132,A1086&lt;=OP!$C$133,$C$3=C1086),OP!$C$135,0)</f>
        <v>0</v>
      </c>
      <c r="AW1086" s="180">
        <f t="shared" ca="1" si="600"/>
        <v>0.05</v>
      </c>
      <c r="AX1086" s="180">
        <f t="shared" ca="1" si="601"/>
        <v>0.05</v>
      </c>
      <c r="AY1086" s="286">
        <f t="shared" ca="1" si="602"/>
        <v>0</v>
      </c>
      <c r="AZ1086" s="286">
        <f t="shared" ca="1" si="603"/>
        <v>0</v>
      </c>
      <c r="BA1086" s="286">
        <f t="shared" ca="1" si="604"/>
        <v>0</v>
      </c>
      <c r="BB1086" s="286">
        <f t="shared" ca="1" si="605"/>
        <v>0</v>
      </c>
      <c r="BC1086" s="286">
        <f t="shared" ca="1" si="606"/>
        <v>0</v>
      </c>
      <c r="BD1086" s="180">
        <f t="shared" ca="1" si="607"/>
        <v>0.05</v>
      </c>
      <c r="BE1086" s="180">
        <f t="shared" ca="1" si="608"/>
        <v>0.05</v>
      </c>
      <c r="BF1086" s="286">
        <f t="shared" ca="1" si="609"/>
        <v>0</v>
      </c>
      <c r="BG1086" s="286">
        <f t="shared" ca="1" si="610"/>
        <v>0</v>
      </c>
    </row>
    <row r="1087" spans="1:59">
      <c r="A1087" s="1">
        <f t="shared" ca="1" si="590"/>
        <v>91</v>
      </c>
      <c r="B1087" s="1">
        <f t="shared" ca="1" si="619"/>
        <v>196</v>
      </c>
      <c r="C1087" s="1">
        <f t="shared" ca="1" si="620"/>
        <v>9</v>
      </c>
      <c r="D1087" s="1">
        <f ca="1">MIN($D$3,VLOOKUP(C1087,OP!$S$30:$T$41,2))</f>
        <v>2</v>
      </c>
      <c r="E1087" s="1" t="str">
        <f t="shared" ca="1" si="616"/>
        <v/>
      </c>
      <c r="F1087" s="11" t="str">
        <f t="shared" ca="1" si="591"/>
        <v/>
      </c>
      <c r="G1087" s="8">
        <f t="shared" ca="1" si="623"/>
        <v>366</v>
      </c>
      <c r="H1087" s="8">
        <f t="shared" ca="1" si="592"/>
        <v>30</v>
      </c>
      <c r="I1087" s="8" t="str">
        <f t="shared" ca="1" si="589"/>
        <v>919</v>
      </c>
      <c r="J1087" s="13">
        <f>IF(繳費報酬率資料!$A$1=1,VALUE(OP!$C$121),VLOOKUP(A1087,MP,2,0))</f>
        <v>0.05</v>
      </c>
      <c r="K1087" s="14">
        <f ca="1">IF(SUM($K$4:K1086,IF(繳費報酬率資料!$A$1=1,$AU1087+$AV1087,$BB1087+$BC1087))&gt;OP!$L$58,0,IF(繳費報酬率資料!$A$1=1,$AU1087+$AV1087,$BB1087+$BC1087))</f>
        <v>0</v>
      </c>
      <c r="L1087" s="2"/>
      <c r="M1087" s="2"/>
      <c r="N1087" s="2"/>
      <c r="O1087" s="261">
        <f t="shared" ca="1" si="593"/>
        <v>0</v>
      </c>
      <c r="P1087" s="261">
        <f t="shared" ca="1" si="611"/>
        <v>0</v>
      </c>
      <c r="Q1087" s="3">
        <f ca="1">IF(A1087&gt;MAX(OP!$R$17:$R$26),0,VLOOKUP(A1087,fees,3,FALSE))</f>
        <v>0</v>
      </c>
      <c r="R1087" s="200" t="str">
        <f t="shared" ca="1" si="594"/>
        <v/>
      </c>
      <c r="S1087" s="9" t="str">
        <f ca="1">IF(COUNTIF(($T$4:T1086),"F")&gt;=1,"",IF(OR(C1088&lt;&gt;$C$3,E1087=""),"",A1087))</f>
        <v/>
      </c>
      <c r="T1087" s="20" t="str">
        <f t="shared" ca="1" si="617"/>
        <v/>
      </c>
      <c r="U1087" s="2">
        <f ca="1">IF(IF(OP!$C$83=1,$Z1086,IF(OP!$C$83=2,$AA1086,IF(OP!$C$83=3,$AB1086,)))+$K1087-$O1087-$P1087-$AS1087&lt;OP!$C$142,0,$AS1087)</f>
        <v>0</v>
      </c>
      <c r="V1087" s="9"/>
      <c r="W1087" s="19">
        <f ca="1">MAX(SUM($K$4:K1087),0)</f>
        <v>2000000</v>
      </c>
      <c r="X1087" s="19"/>
      <c r="Y1087" s="19">
        <f t="shared" ca="1" si="612"/>
        <v>1920000</v>
      </c>
      <c r="Z1087" s="2">
        <f ca="1">IF(MIN($Z$4:Z1086)=0,0,MAX(0,($Z1086+$K1087-$O1087-$P1087)*IF(AND(F1087="F",$D$3&lt;&gt;$G$3),((1+(-J1087))^(H1087/MIN(G1087,365))),((1+(-J1087))^(1/12)))-$U1087))</f>
        <v>18663.807213584121</v>
      </c>
      <c r="AA1087" s="2">
        <f ca="1">IF(MIN($AA$4:AA1086)=0,0,MAX(0,($AA1086+$K1087-$O1087-$P1087)*IF(AND(F1087="F",$D$3&lt;&gt;$G$3),((1+$AA$1)^(H1087/MIN(G1087,365))),((1+$AA$1)^(1/12)))-$U1087))</f>
        <v>1920000</v>
      </c>
      <c r="AB1087" s="2">
        <f ca="1">IF(MIN($AB$4:AB1086)=0,0,MAX(0,($AB1086+$K1087-$O1087-$P1087)*IF(AND(F1087="F",$D$3&lt;&gt;$G$3),((1+(J1087))^(H1087/MIN(G1087,365))),((1+(J1087))^(1/12)))-$U1087))</f>
        <v>157543773.92691782</v>
      </c>
      <c r="AC1087" s="5"/>
      <c r="AD1087" s="5"/>
      <c r="AE1087" s="5"/>
      <c r="AF1087" s="282">
        <f t="shared" ca="1" si="595"/>
        <v>18664</v>
      </c>
      <c r="AG1087" s="282">
        <f t="shared" ca="1" si="596"/>
        <v>1920000</v>
      </c>
      <c r="AH1087" s="282">
        <f t="shared" ca="1" si="597"/>
        <v>157543774</v>
      </c>
      <c r="AI1087" s="23" t="str">
        <f t="shared" ca="1" si="613"/>
        <v>91-5</v>
      </c>
      <c r="AJ1087" s="282">
        <f ca="1">IF(E1087&gt;111,,IF(AND(OP!$C$99=1,T1087="F"),Z1087,IF(AND(OP!$C$99=2,COUNTIF($T$4:T1087,"F")=1),OP!$C$97+IF(F1087="F",OP!$C$98,0),"")))</f>
        <v>0</v>
      </c>
      <c r="AK1087" s="282">
        <f ca="1">IF(E1087&gt;111,,IF(AND(OP!$D$99=1,T1087="F"),AA1087,IF(AND(OP!$D$99=2,COUNTIF($T$4:T1087,"F")=1),OP!$D$97+IF(F1087="F",OP!$D$98,0),"")))</f>
        <v>0</v>
      </c>
      <c r="AL1087" s="282">
        <f ca="1">IF(E1087&gt;111,,IF(AND(OP!$E$99=1,T1087="F"),AB1087,IF(AND(OP!$E$99=2,COUNTIF($T$4:T1087,"F")=1),OP!$E$97+IF(F1087="F",OP!$E$98,0),"")))</f>
        <v>0</v>
      </c>
      <c r="AM1087" s="1">
        <f t="shared" ca="1" si="618"/>
        <v>5</v>
      </c>
      <c r="AN1087" s="1" t="e">
        <f ca="1">IF(OR(VLOOKUP($A1087,MP,5,0)="季繳",VLOOKUP($A1087,MP,5,0)="月繳"),1,"")</f>
        <v>#N/A</v>
      </c>
      <c r="AO1087" s="1">
        <f t="shared" ca="1" si="598"/>
        <v>0</v>
      </c>
      <c r="AP1087" s="1" t="str">
        <f ca="1">IF(AND(A1087&lt;=OP!$C$120,COUNTIF(PAY,C1087)=1),1,"")</f>
        <v/>
      </c>
      <c r="AR1087" s="301">
        <f ca="1">IF(繳費報酬率資料!$A$1=1,$AY1087+$AZ1087,$BF1087+$BG1087)</f>
        <v>0</v>
      </c>
      <c r="AS1087" s="1">
        <f ca="1">IF(C1087&lt;&gt;IF($C$3=1,12,$C$3-1),0,IF(繳費報酬率資料!$A$1&lt;&gt;1,VLOOKUP($A1087,MP,8,0),IF(AND($A1087&gt;=OP!$C$79,$A1087&lt;=OP!$C$80),OP!$C$78,)))</f>
        <v>0</v>
      </c>
      <c r="AT1087" s="298">
        <f t="shared" ca="1" si="599"/>
        <v>0</v>
      </c>
      <c r="AU1087" s="298">
        <f ca="1">IF(AND(A1087&lt;=OP!$C$120,COUNTIF(PAY,C1087)=1),OP!$C$123,0)</f>
        <v>0</v>
      </c>
      <c r="AV1087" s="298">
        <f ca="1">IF(AND(A1087&gt;=OP!$C$132,A1087&lt;=OP!$C$133,$C$3=C1087),OP!$C$135,0)</f>
        <v>0</v>
      </c>
      <c r="AW1087" s="180">
        <f t="shared" ca="1" si="600"/>
        <v>0.05</v>
      </c>
      <c r="AX1087" s="180">
        <f t="shared" ca="1" si="601"/>
        <v>0.05</v>
      </c>
      <c r="AY1087" s="286">
        <f t="shared" ca="1" si="602"/>
        <v>0</v>
      </c>
      <c r="AZ1087" s="286">
        <f t="shared" ca="1" si="603"/>
        <v>0</v>
      </c>
      <c r="BA1087" s="286">
        <f t="shared" ca="1" si="604"/>
        <v>0</v>
      </c>
      <c r="BB1087" s="286">
        <f t="shared" ca="1" si="605"/>
        <v>0</v>
      </c>
      <c r="BC1087" s="286">
        <f t="shared" ca="1" si="606"/>
        <v>0</v>
      </c>
      <c r="BD1087" s="180">
        <f t="shared" ca="1" si="607"/>
        <v>0.05</v>
      </c>
      <c r="BE1087" s="180">
        <f t="shared" ca="1" si="608"/>
        <v>0.05</v>
      </c>
      <c r="BF1087" s="286">
        <f t="shared" ca="1" si="609"/>
        <v>0</v>
      </c>
      <c r="BG1087" s="286">
        <f t="shared" ca="1" si="610"/>
        <v>0</v>
      </c>
    </row>
    <row r="1088" spans="1:59">
      <c r="A1088" s="1">
        <f t="shared" ca="1" si="590"/>
        <v>91</v>
      </c>
      <c r="B1088" s="1">
        <f t="shared" ca="1" si="619"/>
        <v>196</v>
      </c>
      <c r="C1088" s="1">
        <f t="shared" ca="1" si="620"/>
        <v>10</v>
      </c>
      <c r="D1088" s="1">
        <f ca="1">MIN($D$3,VLOOKUP(C1088,OP!$S$30:$T$41,2))</f>
        <v>2</v>
      </c>
      <c r="E1088" s="1" t="str">
        <f t="shared" ca="1" si="616"/>
        <v/>
      </c>
      <c r="F1088" s="11" t="str">
        <f t="shared" ca="1" si="591"/>
        <v/>
      </c>
      <c r="G1088" s="8">
        <f t="shared" ca="1" si="623"/>
        <v>366</v>
      </c>
      <c r="H1088" s="8">
        <f t="shared" ca="1" si="592"/>
        <v>31</v>
      </c>
      <c r="I1088" s="8" t="str">
        <f t="shared" ca="1" si="589"/>
        <v>9110</v>
      </c>
      <c r="J1088" s="13">
        <f>IF(繳費報酬率資料!$A$1=1,VALUE(OP!$C$121),VLOOKUP(A1088,MP,2,0))</f>
        <v>0.05</v>
      </c>
      <c r="K1088" s="14">
        <f ca="1">IF(SUM($K$4:K1087,IF(繳費報酬率資料!$A$1=1,$AU1088+$AV1088,$BB1088+$BC1088))&gt;OP!$L$58,0,IF(繳費報酬率資料!$A$1=1,$AU1088+$AV1088,$BB1088+$BC1088))</f>
        <v>0</v>
      </c>
      <c r="L1088" s="2"/>
      <c r="M1088" s="2"/>
      <c r="N1088" s="2"/>
      <c r="O1088" s="261">
        <f t="shared" ca="1" si="593"/>
        <v>0</v>
      </c>
      <c r="P1088" s="261">
        <f t="shared" ca="1" si="611"/>
        <v>0</v>
      </c>
      <c r="Q1088" s="3">
        <f ca="1">IF(A1088&gt;MAX(OP!$R$17:$R$26),0,VLOOKUP(A1088,fees,3,FALSE))</f>
        <v>0</v>
      </c>
      <c r="R1088" s="200" t="str">
        <f t="shared" ca="1" si="594"/>
        <v/>
      </c>
      <c r="S1088" s="9" t="str">
        <f ca="1">IF(COUNTIF(($T$4:T1087),"F")&gt;=1,"",IF(OR(C1089&lt;&gt;$C$3,E1088=""),"",A1088))</f>
        <v/>
      </c>
      <c r="T1088" s="20" t="str">
        <f t="shared" ca="1" si="617"/>
        <v/>
      </c>
      <c r="U1088" s="2">
        <f ca="1">IF(IF(OP!$C$83=1,$Z1087,IF(OP!$C$83=2,$AA1087,IF(OP!$C$83=3,$AB1087,)))+$K1088-$O1088-$P1088-$AS1088&lt;OP!$C$142,0,$AS1088)</f>
        <v>0</v>
      </c>
      <c r="V1088" s="9"/>
      <c r="W1088" s="19">
        <f ca="1">MAX(SUM($K$4:K1088),0)</f>
        <v>2000000</v>
      </c>
      <c r="X1088" s="19"/>
      <c r="Y1088" s="19">
        <f t="shared" ca="1" si="612"/>
        <v>1920000</v>
      </c>
      <c r="Z1088" s="2">
        <f ca="1">IF(MIN($Z$4:Z1087)=0,0,MAX(0,($Z1087+$K1088-$O1088-$P1088)*IF(AND(F1088="F",$D$3&lt;&gt;$G$3),((1+(-J1088))^(H1088/MIN(G1088,365))),((1+(-J1088))^(1/12)))-$U1088))</f>
        <v>18584.200126215248</v>
      </c>
      <c r="AA1088" s="2">
        <f ca="1">IF(MIN($AA$4:AA1087)=0,0,MAX(0,($AA1087+$K1088-$O1088-$P1088)*IF(AND(F1088="F",$D$3&lt;&gt;$G$3),((1+$AA$1)^(H1088/MIN(G1088,365))),((1+$AA$1)^(1/12)))-$U1088))</f>
        <v>1920000</v>
      </c>
      <c r="AB1088" s="2">
        <f ca="1">IF(MIN($AB$4:AB1087)=0,0,MAX(0,($AB1087+$K1088-$O1088-$P1088)*IF(AND(F1088="F",$D$3&lt;&gt;$G$3),((1+(J1088))^(H1088/MIN(G1088,365))),((1+(J1088))^(1/12)))-$U1088))</f>
        <v>158185626.7632392</v>
      </c>
      <c r="AC1088" s="5"/>
      <c r="AD1088" s="5"/>
      <c r="AE1088" s="5"/>
      <c r="AF1088" s="282">
        <f t="shared" ca="1" si="595"/>
        <v>18584</v>
      </c>
      <c r="AG1088" s="282">
        <f t="shared" ca="1" si="596"/>
        <v>1920000</v>
      </c>
      <c r="AH1088" s="282">
        <f t="shared" ca="1" si="597"/>
        <v>158185627</v>
      </c>
      <c r="AI1088" s="23" t="str">
        <f t="shared" ca="1" si="613"/>
        <v>91-6</v>
      </c>
      <c r="AJ1088" s="282">
        <f ca="1">IF(E1088&gt;111,,IF(AND(OP!$C$99=1,T1088="F"),Z1088,IF(AND(OP!$C$99=2,COUNTIF($T$4:T1088,"F")=1),OP!$C$97+IF(F1088="F",OP!$C$98,0),"")))</f>
        <v>0</v>
      </c>
      <c r="AK1088" s="282">
        <f ca="1">IF(E1088&gt;111,,IF(AND(OP!$D$99=1,T1088="F"),AA1088,IF(AND(OP!$D$99=2,COUNTIF($T$4:T1088,"F")=1),OP!$D$97+IF(F1088="F",OP!$D$98,0),"")))</f>
        <v>0</v>
      </c>
      <c r="AL1088" s="282">
        <f ca="1">IF(E1088&gt;111,,IF(AND(OP!$E$99=1,T1088="F"),AB1088,IF(AND(OP!$E$99=2,COUNTIF($T$4:T1088,"F")=1),OP!$E$97+IF(F1088="F",OP!$E$98,0),"")))</f>
        <v>0</v>
      </c>
      <c r="AM1088" s="1">
        <f t="shared" ca="1" si="618"/>
        <v>6</v>
      </c>
      <c r="AN1088" s="1" t="e">
        <f ca="1">IF(OR(VLOOKUP($A1088,MP,5,0)="月繳"),1,"")</f>
        <v>#N/A</v>
      </c>
      <c r="AO1088" s="1">
        <f t="shared" ca="1" si="598"/>
        <v>0</v>
      </c>
      <c r="AP1088" s="1" t="str">
        <f ca="1">IF(AND(A1088&lt;=OP!$C$120,COUNTIF(PAY,C1088)=1),1,"")</f>
        <v/>
      </c>
      <c r="AR1088" s="301">
        <f ca="1">IF(繳費報酬率資料!$A$1=1,$AY1088+$AZ1088,$BF1088+$BG1088)</f>
        <v>0</v>
      </c>
      <c r="AS1088" s="1">
        <f ca="1">IF(C1088&lt;&gt;IF($C$3=1,12,$C$3-1),0,IF(繳費報酬率資料!$A$1&lt;&gt;1,VLOOKUP($A1088,MP,8,0),IF(AND($A1088&gt;=OP!$C$79,$A1088&lt;=OP!$C$80),OP!$C$78,)))</f>
        <v>0</v>
      </c>
      <c r="AT1088" s="298">
        <f t="shared" ca="1" si="599"/>
        <v>0</v>
      </c>
      <c r="AU1088" s="298">
        <f ca="1">IF(AND(A1088&lt;=OP!$C$120,COUNTIF(PAY,C1088)=1),OP!$C$123,0)</f>
        <v>0</v>
      </c>
      <c r="AV1088" s="298">
        <f ca="1">IF(AND(A1088&gt;=OP!$C$132,A1088&lt;=OP!$C$133,$C$3=C1088),OP!$C$135,0)</f>
        <v>0</v>
      </c>
      <c r="AW1088" s="180">
        <f t="shared" ca="1" si="600"/>
        <v>0.05</v>
      </c>
      <c r="AX1088" s="180">
        <f t="shared" ca="1" si="601"/>
        <v>0.05</v>
      </c>
      <c r="AY1088" s="286">
        <f t="shared" ca="1" si="602"/>
        <v>0</v>
      </c>
      <c r="AZ1088" s="286">
        <f t="shared" ca="1" si="603"/>
        <v>0</v>
      </c>
      <c r="BA1088" s="286">
        <f t="shared" ca="1" si="604"/>
        <v>0</v>
      </c>
      <c r="BB1088" s="286">
        <f t="shared" ca="1" si="605"/>
        <v>0</v>
      </c>
      <c r="BC1088" s="286">
        <f t="shared" ca="1" si="606"/>
        <v>0</v>
      </c>
      <c r="BD1088" s="180">
        <f t="shared" ca="1" si="607"/>
        <v>0.05</v>
      </c>
      <c r="BE1088" s="180">
        <f t="shared" ca="1" si="608"/>
        <v>0.05</v>
      </c>
      <c r="BF1088" s="286">
        <f t="shared" ca="1" si="609"/>
        <v>0</v>
      </c>
      <c r="BG1088" s="286">
        <f t="shared" ca="1" si="610"/>
        <v>0</v>
      </c>
    </row>
    <row r="1089" spans="1:59">
      <c r="A1089" s="1">
        <f t="shared" ca="1" si="590"/>
        <v>91</v>
      </c>
      <c r="B1089" s="1">
        <f t="shared" ca="1" si="619"/>
        <v>196</v>
      </c>
      <c r="C1089" s="1">
        <f t="shared" ca="1" si="620"/>
        <v>11</v>
      </c>
      <c r="D1089" s="1">
        <f ca="1">MIN($D$3,VLOOKUP(C1089,OP!$S$30:$T$41,2))</f>
        <v>2</v>
      </c>
      <c r="E1089" s="1" t="str">
        <f t="shared" ca="1" si="616"/>
        <v/>
      </c>
      <c r="F1089" s="11" t="str">
        <f t="shared" ca="1" si="591"/>
        <v/>
      </c>
      <c r="G1089" s="8">
        <f t="shared" ca="1" si="623"/>
        <v>366</v>
      </c>
      <c r="H1089" s="8">
        <f t="shared" ca="1" si="592"/>
        <v>30</v>
      </c>
      <c r="I1089" s="8" t="str">
        <f t="shared" ca="1" si="589"/>
        <v>9111</v>
      </c>
      <c r="J1089" s="13">
        <f>IF(繳費報酬率資料!$A$1=1,VALUE(OP!$C$121),VLOOKUP(A1089,MP,2,0))</f>
        <v>0.05</v>
      </c>
      <c r="K1089" s="14">
        <f ca="1">IF(SUM($K$4:K1088,IF(繳費報酬率資料!$A$1=1,$AU1089+$AV1089,$BB1089+$BC1089))&gt;OP!$L$58,0,IF(繳費報酬率資料!$A$1=1,$AU1089+$AV1089,$BB1089+$BC1089))</f>
        <v>0</v>
      </c>
      <c r="L1089" s="2"/>
      <c r="M1089" s="2"/>
      <c r="N1089" s="2"/>
      <c r="O1089" s="261">
        <f t="shared" ca="1" si="593"/>
        <v>0</v>
      </c>
      <c r="P1089" s="261">
        <f t="shared" ca="1" si="611"/>
        <v>0</v>
      </c>
      <c r="Q1089" s="3">
        <f ca="1">IF(A1089&gt;MAX(OP!$R$17:$R$26),0,VLOOKUP(A1089,fees,3,FALSE))</f>
        <v>0</v>
      </c>
      <c r="R1089" s="200" t="str">
        <f t="shared" ca="1" si="594"/>
        <v/>
      </c>
      <c r="S1089" s="9" t="str">
        <f ca="1">IF(COUNTIF(($T$4:T1088),"F")&gt;=1,"",IF(OR(C1090&lt;&gt;$C$3,E1089=""),"",A1089))</f>
        <v/>
      </c>
      <c r="T1089" s="20" t="str">
        <f t="shared" ca="1" si="617"/>
        <v/>
      </c>
      <c r="U1089" s="2">
        <f ca="1">IF(IF(OP!$C$83=1,$Z1088,IF(OP!$C$83=2,$AA1088,IF(OP!$C$83=3,$AB1088,)))+$K1089-$O1089-$P1089-$AS1089&lt;OP!$C$142,0,$AS1089)</f>
        <v>0</v>
      </c>
      <c r="V1089" s="9"/>
      <c r="W1089" s="19">
        <f ca="1">MAX(SUM($K$4:K1089),0)</f>
        <v>2000000</v>
      </c>
      <c r="X1089" s="19"/>
      <c r="Y1089" s="19">
        <f t="shared" ca="1" si="612"/>
        <v>1920000</v>
      </c>
      <c r="Z1089" s="2">
        <f ca="1">IF(MIN($Z$4:Z1088)=0,0,MAX(0,($Z1088+$K1089-$O1089-$P1089)*IF(AND(F1089="F",$D$3&lt;&gt;$G$3),((1+(-J1089))^(H1089/MIN(G1089,365))),((1+(-J1089))^(1/12)))-$U1089))</f>
        <v>18504.932588450956</v>
      </c>
      <c r="AA1089" s="2">
        <f ca="1">IF(MIN($AA$4:AA1088)=0,0,MAX(0,($AA1088+$K1089-$O1089-$P1089)*IF(AND(F1089="F",$D$3&lt;&gt;$G$3),((1+$AA$1)^(H1089/MIN(G1089,365))),((1+$AA$1)^(1/12)))-$U1089))</f>
        <v>1920000</v>
      </c>
      <c r="AB1089" s="2">
        <f ca="1">IF(MIN($AB$4:AB1088)=0,0,MAX(0,($AB1088+$K1089-$O1089-$P1089)*IF(AND(F1089="F",$D$3&lt;&gt;$G$3),((1+(J1089))^(H1089/MIN(G1089,365))),((1+(J1089))^(1/12)))-$U1089))</f>
        <v>158830094.58746663</v>
      </c>
      <c r="AC1089" s="5"/>
      <c r="AD1089" s="5"/>
      <c r="AE1089" s="5"/>
      <c r="AF1089" s="282">
        <f t="shared" ca="1" si="595"/>
        <v>18505</v>
      </c>
      <c r="AG1089" s="282">
        <f t="shared" ca="1" si="596"/>
        <v>1920000</v>
      </c>
      <c r="AH1089" s="282">
        <f t="shared" ca="1" si="597"/>
        <v>158830095</v>
      </c>
      <c r="AI1089" s="23" t="str">
        <f t="shared" ca="1" si="613"/>
        <v>91-7</v>
      </c>
      <c r="AJ1089" s="282">
        <f ca="1">IF(E1089&gt;111,,IF(AND(OP!$C$99=1,T1089="F"),Z1089,IF(AND(OP!$C$99=2,COUNTIF($T$4:T1089,"F")=1),OP!$C$97+IF(F1089="F",OP!$C$98,0),"")))</f>
        <v>0</v>
      </c>
      <c r="AK1089" s="282">
        <f ca="1">IF(E1089&gt;111,,IF(AND(OP!$D$99=1,T1089="F"),AA1089,IF(AND(OP!$D$99=2,COUNTIF($T$4:T1089,"F")=1),OP!$D$97+IF(F1089="F",OP!$D$98,0),"")))</f>
        <v>0</v>
      </c>
      <c r="AL1089" s="282">
        <f ca="1">IF(E1089&gt;111,,IF(AND(OP!$E$99=1,T1089="F"),AB1089,IF(AND(OP!$E$99=2,COUNTIF($T$4:T1089,"F")=1),OP!$E$97+IF(F1089="F",OP!$E$98,0),"")))</f>
        <v>0</v>
      </c>
      <c r="AM1089" s="1">
        <f t="shared" ca="1" si="618"/>
        <v>7</v>
      </c>
      <c r="AN1089" s="1" t="e">
        <f ca="1">IF(OR(VLOOKUP($A1089,MP,5,0)="月繳"),1,"")</f>
        <v>#N/A</v>
      </c>
      <c r="AO1089" s="1">
        <f t="shared" ca="1" si="598"/>
        <v>0</v>
      </c>
      <c r="AP1089" s="1" t="str">
        <f ca="1">IF(AND(A1089&lt;=OP!$C$120,COUNTIF(PAY,C1089)=1),1,"")</f>
        <v/>
      </c>
      <c r="AR1089" s="301">
        <f ca="1">IF(繳費報酬率資料!$A$1=1,$AY1089+$AZ1089,$BF1089+$BG1089)</f>
        <v>0</v>
      </c>
      <c r="AS1089" s="1">
        <f ca="1">IF(C1089&lt;&gt;IF($C$3=1,12,$C$3-1),0,IF(繳費報酬率資料!$A$1&lt;&gt;1,VLOOKUP($A1089,MP,8,0),IF(AND($A1089&gt;=OP!$C$79,$A1089&lt;=OP!$C$80),OP!$C$78,)))</f>
        <v>0</v>
      </c>
      <c r="AT1089" s="298">
        <f t="shared" ca="1" si="599"/>
        <v>0</v>
      </c>
      <c r="AU1089" s="298">
        <f ca="1">IF(AND(A1089&lt;=OP!$C$120,COUNTIF(PAY,C1089)=1),OP!$C$123,0)</f>
        <v>0</v>
      </c>
      <c r="AV1089" s="298">
        <f ca="1">IF(AND(A1089&gt;=OP!$C$132,A1089&lt;=OP!$C$133,$C$3=C1089),OP!$C$135,0)</f>
        <v>0</v>
      </c>
      <c r="AW1089" s="180">
        <f t="shared" ca="1" si="600"/>
        <v>0.05</v>
      </c>
      <c r="AX1089" s="180">
        <f t="shared" ca="1" si="601"/>
        <v>0.05</v>
      </c>
      <c r="AY1089" s="286">
        <f t="shared" ca="1" si="602"/>
        <v>0</v>
      </c>
      <c r="AZ1089" s="286">
        <f t="shared" ca="1" si="603"/>
        <v>0</v>
      </c>
      <c r="BA1089" s="286">
        <f t="shared" ca="1" si="604"/>
        <v>0</v>
      </c>
      <c r="BB1089" s="286">
        <f t="shared" ca="1" si="605"/>
        <v>0</v>
      </c>
      <c r="BC1089" s="286">
        <f t="shared" ca="1" si="606"/>
        <v>0</v>
      </c>
      <c r="BD1089" s="180">
        <f t="shared" ca="1" si="607"/>
        <v>0.05</v>
      </c>
      <c r="BE1089" s="180">
        <f t="shared" ca="1" si="608"/>
        <v>0.05</v>
      </c>
      <c r="BF1089" s="286">
        <f t="shared" ca="1" si="609"/>
        <v>0</v>
      </c>
      <c r="BG1089" s="286">
        <f t="shared" ca="1" si="610"/>
        <v>0</v>
      </c>
    </row>
    <row r="1090" spans="1:59">
      <c r="A1090" s="1">
        <f t="shared" ca="1" si="590"/>
        <v>91</v>
      </c>
      <c r="B1090" s="1">
        <f t="shared" ca="1" si="619"/>
        <v>196</v>
      </c>
      <c r="C1090" s="1">
        <f t="shared" ca="1" si="620"/>
        <v>12</v>
      </c>
      <c r="D1090" s="1">
        <f ca="1">MIN($D$3,VLOOKUP(C1090,OP!$S$30:$T$41,2))</f>
        <v>2</v>
      </c>
      <c r="E1090" s="1" t="str">
        <f t="shared" ca="1" si="616"/>
        <v/>
      </c>
      <c r="F1090" s="11" t="str">
        <f t="shared" ca="1" si="591"/>
        <v/>
      </c>
      <c r="G1090" s="8">
        <f t="shared" ca="1" si="623"/>
        <v>366</v>
      </c>
      <c r="H1090" s="8">
        <f t="shared" ca="1" si="592"/>
        <v>31</v>
      </c>
      <c r="I1090" s="8" t="str">
        <f t="shared" ca="1" si="589"/>
        <v>9112</v>
      </c>
      <c r="J1090" s="13">
        <f>IF(繳費報酬率資料!$A$1=1,VALUE(OP!$C$121),VLOOKUP(A1090,MP,2,0))</f>
        <v>0.05</v>
      </c>
      <c r="K1090" s="14">
        <f ca="1">IF(SUM($K$4:K1089,IF(繳費報酬率資料!$A$1=1,$AU1090+$AV1090,$BB1090+$BC1090))&gt;OP!$L$58,0,IF(繳費報酬率資料!$A$1=1,$AU1090+$AV1090,$BB1090+$BC1090))</f>
        <v>0</v>
      </c>
      <c r="L1090" s="2"/>
      <c r="M1090" s="2"/>
      <c r="N1090" s="2"/>
      <c r="O1090" s="261">
        <f t="shared" ca="1" si="593"/>
        <v>0</v>
      </c>
      <c r="P1090" s="261">
        <f t="shared" ca="1" si="611"/>
        <v>0</v>
      </c>
      <c r="Q1090" s="3">
        <f ca="1">IF(A1090&gt;MAX(OP!$R$17:$R$26),0,VLOOKUP(A1090,fees,3,FALSE))</f>
        <v>0</v>
      </c>
      <c r="R1090" s="200" t="str">
        <f t="shared" ca="1" si="594"/>
        <v/>
      </c>
      <c r="S1090" s="9" t="str">
        <f ca="1">IF(COUNTIF(($T$4:T1089),"F")&gt;=1,"",IF(OR(C1091&lt;&gt;$C$3,E1090=""),"",A1090))</f>
        <v/>
      </c>
      <c r="T1090" s="20" t="str">
        <f t="shared" ca="1" si="617"/>
        <v/>
      </c>
      <c r="U1090" s="2">
        <f ca="1">IF(IF(OP!$C$83=1,$Z1089,IF(OP!$C$83=2,$AA1089,IF(OP!$C$83=3,$AB1089,)))+$K1090-$O1090-$P1090-$AS1090&lt;OP!$C$142,0,$AS1090)</f>
        <v>0</v>
      </c>
      <c r="V1090" s="9"/>
      <c r="W1090" s="19">
        <f ca="1">MAX(SUM($K$4:K1090),0)</f>
        <v>2000000</v>
      </c>
      <c r="X1090" s="19"/>
      <c r="Y1090" s="19">
        <f t="shared" ca="1" si="612"/>
        <v>1920000</v>
      </c>
      <c r="Z1090" s="2">
        <f ca="1">IF(MIN($Z$4:Z1089)=0,0,MAX(0,($Z1089+$K1090-$O1090-$P1090)*IF(AND(F1090="F",$D$3&lt;&gt;$G$3),((1+(-J1090))^(H1090/MIN(G1090,365))),((1+(-J1090))^(1/12)))-$U1090))</f>
        <v>18426.003152003941</v>
      </c>
      <c r="AA1090" s="2">
        <f ca="1">IF(MIN($AA$4:AA1089)=0,0,MAX(0,($AA1089+$K1090-$O1090-$P1090)*IF(AND(F1090="F",$D$3&lt;&gt;$G$3),((1+$AA$1)^(H1090/MIN(G1090,365))),((1+$AA$1)^(1/12)))-$U1090))</f>
        <v>1920000</v>
      </c>
      <c r="AB1090" s="2">
        <f ca="1">IF(MIN($AB$4:AB1089)=0,0,MAX(0,($AB1089+$K1090-$O1090-$P1090)*IF(AND(F1090="F",$D$3&lt;&gt;$G$3),((1+(J1090))^(H1090/MIN(G1090,365))),((1+(J1090))^(1/12)))-$U1090))</f>
        <v>159477188.05338454</v>
      </c>
      <c r="AC1090" s="5"/>
      <c r="AD1090" s="5"/>
      <c r="AE1090" s="5"/>
      <c r="AF1090" s="282">
        <f t="shared" ca="1" si="595"/>
        <v>18426</v>
      </c>
      <c r="AG1090" s="282">
        <f t="shared" ca="1" si="596"/>
        <v>1920000</v>
      </c>
      <c r="AH1090" s="282">
        <f t="shared" ca="1" si="597"/>
        <v>159477188</v>
      </c>
      <c r="AI1090" s="23" t="str">
        <f t="shared" ca="1" si="613"/>
        <v>91-8</v>
      </c>
      <c r="AJ1090" s="282">
        <f ca="1">IF(E1090&gt;111,,IF(AND(OP!$C$99=1,T1090="F"),Z1090,IF(AND(OP!$C$99=2,COUNTIF($T$4:T1090,"F")=1),OP!$C$97+IF(F1090="F",OP!$C$98,0),"")))</f>
        <v>0</v>
      </c>
      <c r="AK1090" s="282">
        <f ca="1">IF(E1090&gt;111,,IF(AND(OP!$D$99=1,T1090="F"),AA1090,IF(AND(OP!$D$99=2,COUNTIF($T$4:T1090,"F")=1),OP!$D$97+IF(F1090="F",OP!$D$98,0),"")))</f>
        <v>0</v>
      </c>
      <c r="AL1090" s="282">
        <f ca="1">IF(E1090&gt;111,,IF(AND(OP!$E$99=1,T1090="F"),AB1090,IF(AND(OP!$E$99=2,COUNTIF($T$4:T1090,"F")=1),OP!$E$97+IF(F1090="F",OP!$E$98,0),"")))</f>
        <v>0</v>
      </c>
      <c r="AM1090" s="1">
        <f t="shared" ca="1" si="618"/>
        <v>8</v>
      </c>
      <c r="AN1090" s="1" t="e">
        <f ca="1">IF(OR(VLOOKUP($A1090,MP,5,0)="半年繳",VLOOKUP($A1090,MP,5,0)="季繳",VLOOKUP($A1090,MP,5,0)="月繳"),1,"")</f>
        <v>#N/A</v>
      </c>
      <c r="AO1090" s="1">
        <f t="shared" ca="1" si="598"/>
        <v>0</v>
      </c>
      <c r="AP1090" s="1" t="str">
        <f ca="1">IF(AND(A1090&lt;=OP!$C$120,COUNTIF(PAY,C1090)=1),1,"")</f>
        <v/>
      </c>
      <c r="AR1090" s="301">
        <f ca="1">IF(繳費報酬率資料!$A$1=1,$AY1090+$AZ1090,$BF1090+$BG1090)</f>
        <v>0</v>
      </c>
      <c r="AS1090" s="1">
        <f ca="1">IF(C1090&lt;&gt;IF($C$3=1,12,$C$3-1),0,IF(繳費報酬率資料!$A$1&lt;&gt;1,VLOOKUP($A1090,MP,8,0),IF(AND($A1090&gt;=OP!$C$79,$A1090&lt;=OP!$C$80),OP!$C$78,)))</f>
        <v>0</v>
      </c>
      <c r="AT1090" s="298">
        <f t="shared" ca="1" si="599"/>
        <v>0</v>
      </c>
      <c r="AU1090" s="298">
        <f ca="1">IF(AND(A1090&lt;=OP!$C$120,COUNTIF(PAY,C1090)=1),OP!$C$123,0)</f>
        <v>0</v>
      </c>
      <c r="AV1090" s="298">
        <f ca="1">IF(AND(A1090&gt;=OP!$C$132,A1090&lt;=OP!$C$133,$C$3=C1090),OP!$C$135,0)</f>
        <v>0</v>
      </c>
      <c r="AW1090" s="180">
        <f t="shared" ca="1" si="600"/>
        <v>0.05</v>
      </c>
      <c r="AX1090" s="180">
        <f t="shared" ca="1" si="601"/>
        <v>0.05</v>
      </c>
      <c r="AY1090" s="286">
        <f t="shared" ca="1" si="602"/>
        <v>0</v>
      </c>
      <c r="AZ1090" s="286">
        <f t="shared" ca="1" si="603"/>
        <v>0</v>
      </c>
      <c r="BA1090" s="286">
        <f t="shared" ca="1" si="604"/>
        <v>0</v>
      </c>
      <c r="BB1090" s="286">
        <f t="shared" ca="1" si="605"/>
        <v>0</v>
      </c>
      <c r="BC1090" s="286">
        <f t="shared" ca="1" si="606"/>
        <v>0</v>
      </c>
      <c r="BD1090" s="180">
        <f t="shared" ca="1" si="607"/>
        <v>0.05</v>
      </c>
      <c r="BE1090" s="180">
        <f t="shared" ca="1" si="608"/>
        <v>0.05</v>
      </c>
      <c r="BF1090" s="286">
        <f t="shared" ca="1" si="609"/>
        <v>0</v>
      </c>
      <c r="BG1090" s="286">
        <f t="shared" ca="1" si="610"/>
        <v>0</v>
      </c>
    </row>
    <row r="1091" spans="1:59">
      <c r="A1091" s="1">
        <f t="shared" ca="1" si="590"/>
        <v>91</v>
      </c>
      <c r="B1091" s="1">
        <f t="shared" ca="1" si="619"/>
        <v>197</v>
      </c>
      <c r="C1091" s="1">
        <f t="shared" ca="1" si="620"/>
        <v>1</v>
      </c>
      <c r="D1091" s="1">
        <f ca="1">MIN($D$3,VLOOKUP(C1091,OP!$S$30:$T$41,2))</f>
        <v>2</v>
      </c>
      <c r="E1091" s="1" t="str">
        <f t="shared" ca="1" si="616"/>
        <v/>
      </c>
      <c r="F1091" s="11" t="str">
        <f t="shared" ca="1" si="591"/>
        <v/>
      </c>
      <c r="G1091" s="8">
        <f t="shared" ca="1" si="623"/>
        <v>366</v>
      </c>
      <c r="H1091" s="8">
        <f t="shared" ca="1" si="592"/>
        <v>31</v>
      </c>
      <c r="I1091" s="8" t="str">
        <f t="shared" ca="1" si="589"/>
        <v>911</v>
      </c>
      <c r="J1091" s="13">
        <f>IF(繳費報酬率資料!$A$1=1,VALUE(OP!$C$121),VLOOKUP(A1091,MP,2,0))</f>
        <v>0.05</v>
      </c>
      <c r="K1091" s="14">
        <f ca="1">IF(SUM($K$4:K1090,IF(繳費報酬率資料!$A$1=1,$AU1091+$AV1091,$BB1091+$BC1091))&gt;OP!$L$58,0,IF(繳費報酬率資料!$A$1=1,$AU1091+$AV1091,$BB1091+$BC1091))</f>
        <v>0</v>
      </c>
      <c r="L1091" s="2"/>
      <c r="M1091" s="2"/>
      <c r="N1091" s="2"/>
      <c r="O1091" s="261">
        <f t="shared" ca="1" si="593"/>
        <v>0</v>
      </c>
      <c r="P1091" s="261">
        <f t="shared" ca="1" si="611"/>
        <v>0</v>
      </c>
      <c r="Q1091" s="3">
        <f ca="1">IF(A1091&gt;MAX(OP!$R$17:$R$26),0,VLOOKUP(A1091,fees,3,FALSE))</f>
        <v>0</v>
      </c>
      <c r="R1091" s="200" t="str">
        <f t="shared" ca="1" si="594"/>
        <v/>
      </c>
      <c r="S1091" s="9" t="str">
        <f ca="1">IF(COUNTIF(($T$4:T1090),"F")&gt;=1,"",IF(OR(C1092&lt;&gt;$C$3,E1091=""),"",A1091))</f>
        <v/>
      </c>
      <c r="T1091" s="20" t="str">
        <f t="shared" ca="1" si="617"/>
        <v/>
      </c>
      <c r="U1091" s="2">
        <f ca="1">IF(IF(OP!$C$83=1,$Z1090,IF(OP!$C$83=2,$AA1090,IF(OP!$C$83=3,$AB1090,)))+$K1091-$O1091-$P1091-$AS1091&lt;OP!$C$142,0,$AS1091)</f>
        <v>0</v>
      </c>
      <c r="V1091" s="9"/>
      <c r="W1091" s="19">
        <f ca="1">MAX(SUM($K$4:K1091),0)</f>
        <v>2000000</v>
      </c>
      <c r="X1091" s="19"/>
      <c r="Y1091" s="19">
        <f t="shared" ca="1" si="612"/>
        <v>1920000</v>
      </c>
      <c r="Z1091" s="2">
        <f ca="1">IF(MIN($Z$4:Z1090)=0,0,MAX(0,($Z1090+$K1091-$O1091-$P1091)*IF(AND(F1091="F",$D$3&lt;&gt;$G$3),((1+(-J1091))^(H1091/MIN(G1091,365))),((1+(-J1091))^(1/12)))-$U1091))</f>
        <v>18347.410374764306</v>
      </c>
      <c r="AA1091" s="2">
        <f ca="1">IF(MIN($AA$4:AA1090)=0,0,MAX(0,($AA1090+$K1091-$O1091-$P1091)*IF(AND(F1091="F",$D$3&lt;&gt;$G$3),((1+$AA$1)^(H1091/MIN(G1091,365))),((1+$AA$1)^(1/12)))-$U1091))</f>
        <v>1920000</v>
      </c>
      <c r="AB1091" s="2">
        <f ca="1">IF(MIN($AB$4:AB1090)=0,0,MAX(0,($AB1090+$K1091-$O1091-$P1091)*IF(AND(F1091="F",$D$3&lt;&gt;$G$3),((1+(J1091))^(H1091/MIN(G1091,365))),((1+(J1091))^(1/12)))-$U1091))</f>
        <v>160126917.85818219</v>
      </c>
      <c r="AC1091" s="5"/>
      <c r="AD1091" s="5"/>
      <c r="AE1091" s="5"/>
      <c r="AF1091" s="282">
        <f t="shared" ca="1" si="595"/>
        <v>18347</v>
      </c>
      <c r="AG1091" s="282">
        <f t="shared" ca="1" si="596"/>
        <v>1920000</v>
      </c>
      <c r="AH1091" s="282">
        <f t="shared" ca="1" si="597"/>
        <v>160126918</v>
      </c>
      <c r="AI1091" s="23" t="str">
        <f t="shared" ca="1" si="613"/>
        <v>91-9</v>
      </c>
      <c r="AJ1091" s="282">
        <f ca="1">IF(E1091&gt;111,,IF(AND(OP!$C$99=1,T1091="F"),Z1091,IF(AND(OP!$C$99=2,COUNTIF($T$4:T1091,"F")=1),OP!$C$97+IF(F1091="F",OP!$C$98,0),"")))</f>
        <v>0</v>
      </c>
      <c r="AK1091" s="282">
        <f ca="1">IF(E1091&gt;111,,IF(AND(OP!$D$99=1,T1091="F"),AA1091,IF(AND(OP!$D$99=2,COUNTIF($T$4:T1091,"F")=1),OP!$D$97+IF(F1091="F",OP!$D$98,0),"")))</f>
        <v>0</v>
      </c>
      <c r="AL1091" s="282">
        <f ca="1">IF(E1091&gt;111,,IF(AND(OP!$E$99=1,T1091="F"),AB1091,IF(AND(OP!$E$99=2,COUNTIF($T$4:T1091,"F")=1),OP!$E$97+IF(F1091="F",OP!$E$98,0),"")))</f>
        <v>0</v>
      </c>
      <c r="AM1091" s="1">
        <f t="shared" ca="1" si="618"/>
        <v>9</v>
      </c>
      <c r="AN1091" s="1" t="e">
        <f ca="1">IF(OR(VLOOKUP($A1091,MP,5,0)="月繳"),1,"")</f>
        <v>#N/A</v>
      </c>
      <c r="AO1091" s="1">
        <f t="shared" ca="1" si="598"/>
        <v>0</v>
      </c>
      <c r="AP1091" s="1" t="str">
        <f ca="1">IF(AND(A1091&lt;=OP!$C$120,COUNTIF(PAY,C1091)=1),1,"")</f>
        <v/>
      </c>
      <c r="AR1091" s="301">
        <f ca="1">IF(繳費報酬率資料!$A$1=1,$AY1091+$AZ1091,$BF1091+$BG1091)</f>
        <v>0</v>
      </c>
      <c r="AS1091" s="1">
        <f ca="1">IF(C1091&lt;&gt;IF($C$3=1,12,$C$3-1),0,IF(繳費報酬率資料!$A$1&lt;&gt;1,VLOOKUP($A1091,MP,8,0),IF(AND($A1091&gt;=OP!$C$79,$A1091&lt;=OP!$C$80),OP!$C$78,)))</f>
        <v>0</v>
      </c>
      <c r="AT1091" s="298">
        <f t="shared" ca="1" si="599"/>
        <v>0</v>
      </c>
      <c r="AU1091" s="298">
        <f ca="1">IF(AND(A1091&lt;=OP!$C$120,COUNTIF(PAY,C1091)=1),OP!$C$123,0)</f>
        <v>0</v>
      </c>
      <c r="AV1091" s="298">
        <f ca="1">IF(AND(A1091&gt;=OP!$C$132,A1091&lt;=OP!$C$133,$C$3=C1091),OP!$C$135,0)</f>
        <v>0</v>
      </c>
      <c r="AW1091" s="180">
        <f t="shared" ca="1" si="600"/>
        <v>0.05</v>
      </c>
      <c r="AX1091" s="180">
        <f t="shared" ca="1" si="601"/>
        <v>0.05</v>
      </c>
      <c r="AY1091" s="286">
        <f t="shared" ca="1" si="602"/>
        <v>0</v>
      </c>
      <c r="AZ1091" s="286">
        <f t="shared" ca="1" si="603"/>
        <v>0</v>
      </c>
      <c r="BA1091" s="286">
        <f t="shared" ca="1" si="604"/>
        <v>0</v>
      </c>
      <c r="BB1091" s="286">
        <f t="shared" ca="1" si="605"/>
        <v>0</v>
      </c>
      <c r="BC1091" s="286">
        <f t="shared" ca="1" si="606"/>
        <v>0</v>
      </c>
      <c r="BD1091" s="180">
        <f t="shared" ca="1" si="607"/>
        <v>0.05</v>
      </c>
      <c r="BE1091" s="180">
        <f t="shared" ca="1" si="608"/>
        <v>0.05</v>
      </c>
      <c r="BF1091" s="286">
        <f t="shared" ca="1" si="609"/>
        <v>0</v>
      </c>
      <c r="BG1091" s="286">
        <f t="shared" ca="1" si="610"/>
        <v>0</v>
      </c>
    </row>
    <row r="1092" spans="1:59">
      <c r="A1092" s="1">
        <f t="shared" ca="1" si="590"/>
        <v>91</v>
      </c>
      <c r="B1092" s="1">
        <f t="shared" ca="1" si="619"/>
        <v>197</v>
      </c>
      <c r="C1092" s="1">
        <f t="shared" ca="1" si="620"/>
        <v>2</v>
      </c>
      <c r="D1092" s="1">
        <f ca="1">MIN($D$3,VLOOKUP(C1092,OP!$S$30:$T$41,2))</f>
        <v>2</v>
      </c>
      <c r="E1092" s="1" t="str">
        <f t="shared" ca="1" si="616"/>
        <v/>
      </c>
      <c r="F1092" s="11" t="str">
        <f t="shared" ca="1" si="591"/>
        <v/>
      </c>
      <c r="G1092" s="8">
        <f t="shared" ca="1" si="623"/>
        <v>366</v>
      </c>
      <c r="H1092" s="8">
        <f t="shared" ca="1" si="592"/>
        <v>29</v>
      </c>
      <c r="I1092" s="8" t="str">
        <f t="shared" ref="I1092:I1155" ca="1" si="624">A1092&amp;C1092</f>
        <v>912</v>
      </c>
      <c r="J1092" s="13">
        <f>IF(繳費報酬率資料!$A$1=1,VALUE(OP!$C$121),VLOOKUP(A1092,MP,2,0))</f>
        <v>0.05</v>
      </c>
      <c r="K1092" s="14">
        <f ca="1">IF(SUM($K$4:K1091,IF(繳費報酬率資料!$A$1=1,$AU1092+$AV1092,$BB1092+$BC1092))&gt;OP!$L$58,0,IF(繳費報酬率資料!$A$1=1,$AU1092+$AV1092,$BB1092+$BC1092))</f>
        <v>0</v>
      </c>
      <c r="L1092" s="2"/>
      <c r="M1092" s="2"/>
      <c r="N1092" s="2"/>
      <c r="O1092" s="261">
        <f t="shared" ca="1" si="593"/>
        <v>0</v>
      </c>
      <c r="P1092" s="261">
        <f t="shared" ca="1" si="611"/>
        <v>0</v>
      </c>
      <c r="Q1092" s="3">
        <f ca="1">IF(A1092&gt;MAX(OP!$R$17:$R$26),0,VLOOKUP(A1092,fees,3,FALSE))</f>
        <v>0</v>
      </c>
      <c r="R1092" s="200" t="str">
        <f t="shared" ca="1" si="594"/>
        <v/>
      </c>
      <c r="S1092" s="9" t="str">
        <f ca="1">IF(COUNTIF(($T$4:T1091),"F")&gt;=1,"",IF(OR(C1093&lt;&gt;$C$3,E1092=""),"",A1092))</f>
        <v/>
      </c>
      <c r="T1092" s="20" t="str">
        <f t="shared" ca="1" si="617"/>
        <v/>
      </c>
      <c r="U1092" s="2">
        <f ca="1">IF(IF(OP!$C$83=1,$Z1091,IF(OP!$C$83=2,$AA1091,IF(OP!$C$83=3,$AB1091,)))+$K1092-$O1092-$P1092-$AS1092&lt;OP!$C$142,0,$AS1092)</f>
        <v>0</v>
      </c>
      <c r="V1092" s="9"/>
      <c r="W1092" s="19">
        <f ca="1">MAX(SUM($K$4:K1092),0)</f>
        <v>2000000</v>
      </c>
      <c r="X1092" s="19"/>
      <c r="Y1092" s="19">
        <f t="shared" ca="1" si="612"/>
        <v>1920000</v>
      </c>
      <c r="Z1092" s="2">
        <f ca="1">IF(MIN($Z$4:Z1091)=0,0,MAX(0,($Z1091+$K1092-$O1092-$P1092)*IF(AND(F1092="F",$D$3&lt;&gt;$G$3),((1+(-J1092))^(H1092/MIN(G1092,365))),((1+(-J1092))^(1/12)))-$U1092))</f>
        <v>18269.152820773212</v>
      </c>
      <c r="AA1092" s="2">
        <f ca="1">IF(MIN($AA$4:AA1091)=0,0,MAX(0,($AA1091+$K1092-$O1092-$P1092)*IF(AND(F1092="F",$D$3&lt;&gt;$G$3),((1+$AA$1)^(H1092/MIN(G1092,365))),((1+$AA$1)^(1/12)))-$U1092))</f>
        <v>1920000</v>
      </c>
      <c r="AB1092" s="2">
        <f ca="1">IF(MIN($AB$4:AB1091)=0,0,MAX(0,($AB1091+$K1092-$O1092-$P1092)*IF(AND(F1092="F",$D$3&lt;&gt;$G$3),((1+(J1092))^(H1092/MIN(G1092,365))),((1+(J1092))^(1/12)))-$U1092))</f>
        <v>160779294.74263051</v>
      </c>
      <c r="AC1092" s="5"/>
      <c r="AD1092" s="5"/>
      <c r="AE1092" s="5"/>
      <c r="AF1092" s="282">
        <f t="shared" ca="1" si="595"/>
        <v>18269</v>
      </c>
      <c r="AG1092" s="282">
        <f t="shared" ca="1" si="596"/>
        <v>1920000</v>
      </c>
      <c r="AH1092" s="282">
        <f t="shared" ca="1" si="597"/>
        <v>160779295</v>
      </c>
      <c r="AI1092" s="23" t="str">
        <f t="shared" ca="1" si="613"/>
        <v>91-10</v>
      </c>
      <c r="AJ1092" s="282">
        <f ca="1">IF(E1092&gt;111,,IF(AND(OP!$C$99=1,T1092="F"),Z1092,IF(AND(OP!$C$99=2,COUNTIF($T$4:T1092,"F")=1),OP!$C$97+IF(F1092="F",OP!$C$98,0),"")))</f>
        <v>0</v>
      </c>
      <c r="AK1092" s="282">
        <f ca="1">IF(E1092&gt;111,,IF(AND(OP!$D$99=1,T1092="F"),AA1092,IF(AND(OP!$D$99=2,COUNTIF($T$4:T1092,"F")=1),OP!$D$97+IF(F1092="F",OP!$D$98,0),"")))</f>
        <v>0</v>
      </c>
      <c r="AL1092" s="282">
        <f ca="1">IF(E1092&gt;111,,IF(AND(OP!$E$99=1,T1092="F"),AB1092,IF(AND(OP!$E$99=2,COUNTIF($T$4:T1092,"F")=1),OP!$E$97+IF(F1092="F",OP!$E$98,0),"")))</f>
        <v>0</v>
      </c>
      <c r="AM1092" s="1">
        <f t="shared" ca="1" si="618"/>
        <v>10</v>
      </c>
      <c r="AN1092" s="1" t="e">
        <f ca="1">IF(OR(VLOOKUP($A1092,MP,5,0)="月繳"),1,"")</f>
        <v>#N/A</v>
      </c>
      <c r="AO1092" s="1">
        <f t="shared" ca="1" si="598"/>
        <v>0</v>
      </c>
      <c r="AP1092" s="1" t="str">
        <f ca="1">IF(AND(A1092&lt;=OP!$C$120,COUNTIF(PAY,C1092)=1),1,"")</f>
        <v/>
      </c>
      <c r="AR1092" s="301">
        <f ca="1">IF(繳費報酬率資料!$A$1=1,$AY1092+$AZ1092,$BF1092+$BG1092)</f>
        <v>0</v>
      </c>
      <c r="AS1092" s="1">
        <f ca="1">IF(C1092&lt;&gt;IF($C$3=1,12,$C$3-1),0,IF(繳費報酬率資料!$A$1&lt;&gt;1,VLOOKUP($A1092,MP,8,0),IF(AND($A1092&gt;=OP!$C$79,$A1092&lt;=OP!$C$80),OP!$C$78,)))</f>
        <v>0</v>
      </c>
      <c r="AT1092" s="298">
        <f t="shared" ca="1" si="599"/>
        <v>0</v>
      </c>
      <c r="AU1092" s="298">
        <f ca="1">IF(AND(A1092&lt;=OP!$C$120,COUNTIF(PAY,C1092)=1),OP!$C$123,0)</f>
        <v>0</v>
      </c>
      <c r="AV1092" s="298">
        <f ca="1">IF(AND(A1092&gt;=OP!$C$132,A1092&lt;=OP!$C$133,$C$3=C1092),OP!$C$135,0)</f>
        <v>0</v>
      </c>
      <c r="AW1092" s="180">
        <f t="shared" ca="1" si="600"/>
        <v>0.05</v>
      </c>
      <c r="AX1092" s="180">
        <f t="shared" ca="1" si="601"/>
        <v>0.05</v>
      </c>
      <c r="AY1092" s="286">
        <f t="shared" ca="1" si="602"/>
        <v>0</v>
      </c>
      <c r="AZ1092" s="286">
        <f t="shared" ca="1" si="603"/>
        <v>0</v>
      </c>
      <c r="BA1092" s="286">
        <f t="shared" ca="1" si="604"/>
        <v>0</v>
      </c>
      <c r="BB1092" s="286">
        <f t="shared" ca="1" si="605"/>
        <v>0</v>
      </c>
      <c r="BC1092" s="286">
        <f t="shared" ca="1" si="606"/>
        <v>0</v>
      </c>
      <c r="BD1092" s="180">
        <f t="shared" ca="1" si="607"/>
        <v>0.05</v>
      </c>
      <c r="BE1092" s="180">
        <f t="shared" ca="1" si="608"/>
        <v>0.05</v>
      </c>
      <c r="BF1092" s="286">
        <f t="shared" ca="1" si="609"/>
        <v>0</v>
      </c>
      <c r="BG1092" s="286">
        <f t="shared" ca="1" si="610"/>
        <v>0</v>
      </c>
    </row>
    <row r="1093" spans="1:59">
      <c r="A1093" s="1">
        <f t="shared" ref="A1093:A1156" ca="1" si="625">IF(C1093=$C$4,A1092+1,A1092)</f>
        <v>91</v>
      </c>
      <c r="B1093" s="1">
        <f t="shared" ca="1" si="619"/>
        <v>197</v>
      </c>
      <c r="C1093" s="1">
        <f t="shared" ca="1" si="620"/>
        <v>3</v>
      </c>
      <c r="D1093" s="1">
        <f ca="1">MIN($D$3,VLOOKUP(C1093,OP!$S$30:$T$41,2))</f>
        <v>2</v>
      </c>
      <c r="E1093" s="1" t="str">
        <f t="shared" ca="1" si="616"/>
        <v/>
      </c>
      <c r="F1093" s="11" t="str">
        <f t="shared" ref="F1093:F1156" ca="1" si="626">IF(AND(DATE($E$3+1911,$F$3,$G$3)&gt;DATE(B1093+1911,C1093,D1093),DATE($E$3+1911,$F$3,$G$3)&lt;=DATE(B1094+1911,C1094,D1094)),"F","")</f>
        <v/>
      </c>
      <c r="G1093" s="8">
        <f t="shared" ca="1" si="623"/>
        <v>366</v>
      </c>
      <c r="H1093" s="8">
        <f t="shared" ref="H1093:H1156" ca="1" si="627">DATEDIF(DATE(B1093+1911,C1093,D1093),IF(F1093="F",DATE($E$3+1911,$F$3,$G$3),DATE(B1094+1911,C1094,D1094)),"d")</f>
        <v>31</v>
      </c>
      <c r="I1093" s="8" t="str">
        <f t="shared" ca="1" si="624"/>
        <v>913</v>
      </c>
      <c r="J1093" s="13">
        <f>IF(繳費報酬率資料!$A$1=1,VALUE(OP!$C$121),VLOOKUP(A1093,MP,2,0))</f>
        <v>0.05</v>
      </c>
      <c r="K1093" s="14">
        <f ca="1">IF(SUM($K$4:K1092,IF(繳費報酬率資料!$A$1=1,$AU1093+$AV1093,$BB1093+$BC1093))&gt;OP!$L$58,0,IF(繳費報酬率資料!$A$1=1,$AU1093+$AV1093,$BB1093+$BC1093))</f>
        <v>0</v>
      </c>
      <c r="L1093" s="2"/>
      <c r="M1093" s="2"/>
      <c r="N1093" s="2"/>
      <c r="O1093" s="261">
        <f t="shared" ref="O1093:O1156" ca="1" si="628">IF(K1093=0,0,$AR1093)</f>
        <v>0</v>
      </c>
      <c r="P1093" s="261">
        <f t="shared" ca="1" si="611"/>
        <v>0</v>
      </c>
      <c r="Q1093" s="3">
        <f ca="1">IF(A1093&gt;MAX(OP!$R$17:$R$26),0,VLOOKUP(A1093,fees,3,FALSE))</f>
        <v>0</v>
      </c>
      <c r="R1093" s="200" t="str">
        <f t="shared" ref="R1093:R1156" ca="1" si="629">IF(OR(C1094&lt;&gt;$C$3,E1093=""),"",A1093)</f>
        <v/>
      </c>
      <c r="S1093" s="9" t="str">
        <f ca="1">IF(COUNTIF(($T$4:T1092),"F")&gt;=1,"",IF(OR(C1094&lt;&gt;$C$3,E1093=""),"",A1093))</f>
        <v/>
      </c>
      <c r="T1093" s="20" t="str">
        <f t="shared" ca="1" si="617"/>
        <v/>
      </c>
      <c r="U1093" s="2">
        <f ca="1">IF(IF(OP!$C$83=1,$Z1092,IF(OP!$C$83=2,$AA1092,IF(OP!$C$83=3,$AB1092,)))+$K1093-$O1093-$P1093-$AS1093&lt;OP!$C$142,0,$AS1093)</f>
        <v>0</v>
      </c>
      <c r="V1093" s="9"/>
      <c r="W1093" s="19">
        <f ca="1">MAX(SUM($K$4:K1093),0)</f>
        <v>2000000</v>
      </c>
      <c r="X1093" s="19"/>
      <c r="Y1093" s="19">
        <f t="shared" ca="1" si="612"/>
        <v>1920000</v>
      </c>
      <c r="Z1093" s="2">
        <f ca="1">IF(MIN($Z$4:Z1092)=0,0,MAX(0,($Z1092+$K1093-$O1093-$P1093)*IF(AND(F1093="F",$D$3&lt;&gt;$G$3),((1+(-J1093))^(H1093/MIN(G1093,365))),((1+(-J1093))^(1/12)))-$U1093))</f>
        <v>18191.229060196642</v>
      </c>
      <c r="AA1093" s="2">
        <f ca="1">IF(MIN($AA$4:AA1092)=0,0,MAX(0,($AA1092+$K1093-$O1093-$P1093)*IF(AND(F1093="F",$D$3&lt;&gt;$G$3),((1+$AA$1)^(H1093/MIN(G1093,365))),((1+$AA$1)^(1/12)))-$U1093))</f>
        <v>1920000</v>
      </c>
      <c r="AB1093" s="2">
        <f ca="1">IF(MIN($AB$4:AB1092)=0,0,MAX(0,($AB1092+$K1093-$O1093-$P1093)*IF(AND(F1093="F",$D$3&lt;&gt;$G$3),((1+(J1093))^(H1093/MIN(G1093,365))),((1+(J1093))^(1/12)))-$U1093))</f>
        <v>161434329.49125966</v>
      </c>
      <c r="AC1093" s="5"/>
      <c r="AD1093" s="5"/>
      <c r="AE1093" s="5"/>
      <c r="AF1093" s="282">
        <f t="shared" ref="AF1093:AF1156" ca="1" si="630">ROUND(Z1093*(1-$Q1093),$AF$1)</f>
        <v>18191</v>
      </c>
      <c r="AG1093" s="282">
        <f t="shared" ref="AG1093:AG1156" ca="1" si="631">ROUND(AA1093*(1-$Q1093),$AF$1)</f>
        <v>1920000</v>
      </c>
      <c r="AH1093" s="282">
        <f t="shared" ref="AH1093:AH1156" ca="1" si="632">ROUND(AB1093*(1-$Q1093),$AF$1)</f>
        <v>161434329</v>
      </c>
      <c r="AI1093" s="23" t="str">
        <f t="shared" ca="1" si="613"/>
        <v>91-11</v>
      </c>
      <c r="AJ1093" s="282">
        <f ca="1">IF(E1093&gt;111,,IF(AND(OP!$C$99=1,T1093="F"),Z1093,IF(AND(OP!$C$99=2,COUNTIF($T$4:T1093,"F")=1),OP!$C$97+IF(F1093="F",OP!$C$98,0),"")))</f>
        <v>0</v>
      </c>
      <c r="AK1093" s="282">
        <f ca="1">IF(E1093&gt;111,,IF(AND(OP!$D$99=1,T1093="F"),AA1093,IF(AND(OP!$D$99=2,COUNTIF($T$4:T1093,"F")=1),OP!$D$97+IF(F1093="F",OP!$D$98,0),"")))</f>
        <v>0</v>
      </c>
      <c r="AL1093" s="282">
        <f ca="1">IF(E1093&gt;111,,IF(AND(OP!$E$99=1,T1093="F"),AB1093,IF(AND(OP!$E$99=2,COUNTIF($T$4:T1093,"F")=1),OP!$E$97+IF(F1093="F",OP!$E$98,0),"")))</f>
        <v>0</v>
      </c>
      <c r="AM1093" s="1">
        <f t="shared" ca="1" si="618"/>
        <v>11</v>
      </c>
      <c r="AN1093" s="1" t="e">
        <f ca="1">IF(OR(VLOOKUP($A1093,MP,5,0)="季繳",VLOOKUP($A1093,MP,5,0)="月繳"),1,"")</f>
        <v>#N/A</v>
      </c>
      <c r="AO1093" s="1">
        <f t="shared" ref="AO1093:AO1156" ca="1" si="633">IF(ISNA(VLOOKUP(A1093,MP,2,0)),,IF(C1093=$C$3,ROUND(VLOOKUP(A1093,MP,4,0),0),0)+IF(AN1093=1,ROUND(VLOOKUP(A1093,MP,6,0),0),0))</f>
        <v>0</v>
      </c>
      <c r="AP1093" s="1" t="str">
        <f ca="1">IF(AND(A1093&lt;=OP!$C$120,COUNTIF(PAY,C1093)=1),1,"")</f>
        <v/>
      </c>
      <c r="AR1093" s="301">
        <f ca="1">IF(繳費報酬率資料!$A$1=1,$AY1093+$AZ1093,$BF1093+$BG1093)</f>
        <v>0</v>
      </c>
      <c r="AS1093" s="1">
        <f ca="1">IF(C1093&lt;&gt;IF($C$3=1,12,$C$3-1),0,IF(繳費報酬率資料!$A$1&lt;&gt;1,VLOOKUP($A1093,MP,8,0),IF(AND($A1093&gt;=OP!$C$79,$A1093&lt;=OP!$C$80),OP!$C$78,)))</f>
        <v>0</v>
      </c>
      <c r="AT1093" s="298">
        <f t="shared" ref="AT1093:AT1156" ca="1" si="634">AU1093+AV1093</f>
        <v>0</v>
      </c>
      <c r="AU1093" s="298">
        <f ca="1">IF(AND(A1093&lt;=OP!$C$120,COUNTIF(PAY,C1093)=1),OP!$C$123,0)</f>
        <v>0</v>
      </c>
      <c r="AV1093" s="298">
        <f ca="1">IF(AND(A1093&gt;=OP!$C$132,A1093&lt;=OP!$C$133,$C$3=C1093),OP!$C$135,0)</f>
        <v>0</v>
      </c>
      <c r="AW1093" s="180">
        <f t="shared" ref="AW1093:AW1156" ca="1" si="635">HLOOKUP(IF($AU1093&lt;$AY$1,1,IF(AND($AU1093&gt;=$AY$1,$AU1093&lt;$AZ$1),2,IF(AND($AU1093&gt;=$AZ$1,$AU1093&lt;$BA$1),3,IF(AND($AU1093&gt;=$BA$1),4,1)))),PR,2,0)</f>
        <v>0.05</v>
      </c>
      <c r="AX1093" s="180">
        <f t="shared" ref="AX1093:AX1156" ca="1" si="636">HLOOKUP(IF($AV1093&lt;$AY$1,1,IF(AND($AV1093&gt;=$AY$1,$AV1093&lt;$AZ$1),2,IF(AND($AV1093&gt;=$AZ$1,$AV1093&lt;$BA$1),3,IF(AND($AV1093&gt;=$BA$1),4,1)))),PR,2,0)</f>
        <v>0.05</v>
      </c>
      <c r="AY1093" s="286">
        <f t="shared" ref="AY1093:AY1156" ca="1" si="637">ROUND(AU1093*AW1093,0)</f>
        <v>0</v>
      </c>
      <c r="AZ1093" s="286">
        <f t="shared" ref="AZ1093:AZ1156" ca="1" si="638">ROUND(AV1093*AX1093,0)</f>
        <v>0</v>
      </c>
      <c r="BA1093" s="286">
        <f t="shared" ref="BA1093:BA1156" ca="1" si="639">BB1093+BC1093</f>
        <v>0</v>
      </c>
      <c r="BB1093" s="286">
        <f t="shared" ref="BB1093:BB1156" ca="1" si="640">IF(ISNA(VLOOKUP(A1093,MP,2,0)),,IF(C1093=$C$3,ROUND(VLOOKUP(A1093,MP,6,0),0),0))</f>
        <v>0</v>
      </c>
      <c r="BC1093" s="286">
        <f t="shared" ref="BC1093:BC1156" ca="1" si="641">IF(ISNA(VLOOKUP(A1093,MP,4,0)),,IF(AND(C1093=$C$3,AN1093=1),ROUND(VLOOKUP(A1093,MP,4,0),0),0))</f>
        <v>0</v>
      </c>
      <c r="BD1093" s="180">
        <f t="shared" ref="BD1093:BD1156" ca="1" si="642">HLOOKUP(IF($BB1093&lt;$AY$1,1,IF(AND($BB1093&gt;=$AY$1,$BB1093&lt;$AZ$1),2,IF(AND($BB1093&gt;=$AZ$1,$BB1093&lt;$BA$1),3,IF(AND($BB1093&gt;=$BA$1),4,1)))),PR,2,0)</f>
        <v>0.05</v>
      </c>
      <c r="BE1093" s="180">
        <f t="shared" ref="BE1093:BE1156" ca="1" si="643">HLOOKUP(IF($BC1093&lt;$AY$1,1,IF(AND($BC1093&gt;=$AY$1,$BC1093&lt;$AZ$1),2,IF(AND($BC1093&gt;=$AZ$1,$BC1093&lt;$BA$1),3,IF(AND($BC1093&gt;=$BA$1),4,1)))),PR,2,0)</f>
        <v>0.05</v>
      </c>
      <c r="BF1093" s="286">
        <f t="shared" ref="BF1093:BF1156" ca="1" si="644">ROUND(BB1093*BD1093,0)</f>
        <v>0</v>
      </c>
      <c r="BG1093" s="286">
        <f t="shared" ref="BG1093:BG1156" ca="1" si="645">ROUND(BC1093*BE1093,0)</f>
        <v>0</v>
      </c>
    </row>
    <row r="1094" spans="1:59">
      <c r="A1094" s="1">
        <f t="shared" ca="1" si="625"/>
        <v>91</v>
      </c>
      <c r="B1094" s="1">
        <f t="shared" ca="1" si="619"/>
        <v>197</v>
      </c>
      <c r="C1094" s="1">
        <f t="shared" ca="1" si="620"/>
        <v>4</v>
      </c>
      <c r="D1094" s="1">
        <f ca="1">MIN($D$3,VLOOKUP(C1094,OP!$S$30:$T$41,2))</f>
        <v>2</v>
      </c>
      <c r="E1094" s="1" t="str">
        <f t="shared" ca="1" si="616"/>
        <v/>
      </c>
      <c r="F1094" s="11" t="str">
        <f t="shared" ca="1" si="626"/>
        <v/>
      </c>
      <c r="G1094" s="8">
        <f t="shared" ca="1" si="623"/>
        <v>366</v>
      </c>
      <c r="H1094" s="8">
        <f t="shared" ca="1" si="627"/>
        <v>30</v>
      </c>
      <c r="I1094" s="8" t="str">
        <f t="shared" ca="1" si="624"/>
        <v>914</v>
      </c>
      <c r="J1094" s="13">
        <f>IF(繳費報酬率資料!$A$1=1,VALUE(OP!$C$121),VLOOKUP(A1094,MP,2,0))</f>
        <v>0.05</v>
      </c>
      <c r="K1094" s="14">
        <f ca="1">IF(SUM($K$4:K1093,IF(繳費報酬率資料!$A$1=1,$AU1094+$AV1094,$BB1094+$BC1094))&gt;OP!$L$58,0,IF(繳費報酬率資料!$A$1=1,$AU1094+$AV1094,$BB1094+$BC1094))</f>
        <v>0</v>
      </c>
      <c r="L1094" s="2"/>
      <c r="M1094" s="2"/>
      <c r="N1094" s="2"/>
      <c r="O1094" s="261">
        <f t="shared" ca="1" si="628"/>
        <v>0</v>
      </c>
      <c r="P1094" s="261">
        <f t="shared" ref="P1094:P1157" ca="1" si="646">IF(MAX(Z1093:AB1093)=0,0,P1093)</f>
        <v>0</v>
      </c>
      <c r="Q1094" s="3">
        <f ca="1">IF(A1094&gt;MAX(OP!$R$17:$R$26),0,VLOOKUP(A1094,fees,3,FALSE))</f>
        <v>0</v>
      </c>
      <c r="R1094" s="200" t="str">
        <f t="shared" ca="1" si="629"/>
        <v/>
      </c>
      <c r="S1094" s="9" t="str">
        <f ca="1">IF(COUNTIF(($T$4:T1093),"F")&gt;=1,"",IF(OR(C1095&lt;&gt;$C$3,E1094=""),"",A1094))</f>
        <v/>
      </c>
      <c r="T1094" s="20" t="str">
        <f t="shared" ca="1" si="617"/>
        <v/>
      </c>
      <c r="U1094" s="2">
        <f ca="1">IF(IF(OP!$C$83=1,$Z1093,IF(OP!$C$83=2,$AA1093,IF(OP!$C$83=3,$AB1093,)))+$K1094-$O1094-$P1094-$AS1094&lt;OP!$C$142,0,$AS1094)</f>
        <v>0</v>
      </c>
      <c r="V1094" s="9"/>
      <c r="W1094" s="19">
        <f ca="1">MAX(SUM($K$4:K1094),0)</f>
        <v>2000000</v>
      </c>
      <c r="X1094" s="19"/>
      <c r="Y1094" s="19">
        <f t="shared" ref="Y1094:Y1157" ca="1" si="647">Y1093+K1094-O1094</f>
        <v>1920000</v>
      </c>
      <c r="Z1094" s="2">
        <f ca="1">IF(MIN($Z$4:Z1093)=0,0,MAX(0,($Z1093+$K1094-$O1094-$P1094)*IF(AND(F1094="F",$D$3&lt;&gt;$G$3),((1+(-J1094))^(H1094/MIN(G1094,365))),((1+(-J1094))^(1/12)))-$U1094))</f>
        <v>18113.637669299278</v>
      </c>
      <c r="AA1094" s="2">
        <f ca="1">IF(MIN($AA$4:AA1093)=0,0,MAX(0,($AA1093+$K1094-$O1094-$P1094)*IF(AND(F1094="F",$D$3&lt;&gt;$G$3),((1+$AA$1)^(H1094/MIN(G1094,365))),((1+$AA$1)^(1/12)))-$U1094))</f>
        <v>1920000</v>
      </c>
      <c r="AB1094" s="2">
        <f ca="1">IF(MIN($AB$4:AB1093)=0,0,MAX(0,($AB1093+$K1094-$O1094-$P1094)*IF(AND(F1094="F",$D$3&lt;&gt;$G$3),((1+(J1094))^(H1094/MIN(G1094,365))),((1+(J1094))^(1/12)))-$U1094))</f>
        <v>162092032.93253732</v>
      </c>
      <c r="AC1094" s="5"/>
      <c r="AD1094" s="5"/>
      <c r="AE1094" s="5"/>
      <c r="AF1094" s="282">
        <f t="shared" ca="1" si="630"/>
        <v>18114</v>
      </c>
      <c r="AG1094" s="282">
        <f t="shared" ca="1" si="631"/>
        <v>1920000</v>
      </c>
      <c r="AH1094" s="282">
        <f t="shared" ca="1" si="632"/>
        <v>162092033</v>
      </c>
      <c r="AI1094" s="23" t="str">
        <f t="shared" ca="1" si="613"/>
        <v>91-12</v>
      </c>
      <c r="AJ1094" s="282">
        <f ca="1">IF(E1094&gt;111,,IF(AND(OP!$C$99=1,T1094="F"),Z1094,IF(AND(OP!$C$99=2,COUNTIF($T$4:T1094,"F")=1),OP!$C$97+IF(F1094="F",OP!$C$98,0),"")))</f>
        <v>0</v>
      </c>
      <c r="AK1094" s="282">
        <f ca="1">IF(E1094&gt;111,,IF(AND(OP!$D$99=1,T1094="F"),AA1094,IF(AND(OP!$D$99=2,COUNTIF($T$4:T1094,"F")=1),OP!$D$97+IF(F1094="F",OP!$D$98,0),"")))</f>
        <v>0</v>
      </c>
      <c r="AL1094" s="282">
        <f ca="1">IF(E1094&gt;111,,IF(AND(OP!$E$99=1,T1094="F"),AB1094,IF(AND(OP!$E$99=2,COUNTIF($T$4:T1094,"F")=1),OP!$E$97+IF(F1094="F",OP!$E$98,0),"")))</f>
        <v>0</v>
      </c>
      <c r="AM1094" s="1">
        <f t="shared" ca="1" si="618"/>
        <v>12</v>
      </c>
      <c r="AN1094" s="1" t="e">
        <f ca="1">IF(OR(VLOOKUP($A1094,MP,5,0)="月繳"),1,"")</f>
        <v>#N/A</v>
      </c>
      <c r="AO1094" s="1">
        <f t="shared" ca="1" si="633"/>
        <v>0</v>
      </c>
      <c r="AP1094" s="1" t="str">
        <f ca="1">IF(AND(A1094&lt;=OP!$C$120,COUNTIF(PAY,C1094)=1),1,"")</f>
        <v/>
      </c>
      <c r="AR1094" s="301">
        <f ca="1">IF(繳費報酬率資料!$A$1=1,$AY1094+$AZ1094,$BF1094+$BG1094)</f>
        <v>0</v>
      </c>
      <c r="AS1094" s="1">
        <f ca="1">IF(C1094&lt;&gt;IF($C$3=1,12,$C$3-1),0,IF(繳費報酬率資料!$A$1&lt;&gt;1,VLOOKUP($A1094,MP,8,0),IF(AND($A1094&gt;=OP!$C$79,$A1094&lt;=OP!$C$80),OP!$C$78,)))</f>
        <v>0</v>
      </c>
      <c r="AT1094" s="298">
        <f t="shared" ca="1" si="634"/>
        <v>0</v>
      </c>
      <c r="AU1094" s="298">
        <f ca="1">IF(AND(A1094&lt;=OP!$C$120,COUNTIF(PAY,C1094)=1),OP!$C$123,0)</f>
        <v>0</v>
      </c>
      <c r="AV1094" s="298">
        <f ca="1">IF(AND(A1094&gt;=OP!$C$132,A1094&lt;=OP!$C$133,$C$3=C1094),OP!$C$135,0)</f>
        <v>0</v>
      </c>
      <c r="AW1094" s="180">
        <f t="shared" ca="1" si="635"/>
        <v>0.05</v>
      </c>
      <c r="AX1094" s="180">
        <f t="shared" ca="1" si="636"/>
        <v>0.05</v>
      </c>
      <c r="AY1094" s="286">
        <f t="shared" ca="1" si="637"/>
        <v>0</v>
      </c>
      <c r="AZ1094" s="286">
        <f t="shared" ca="1" si="638"/>
        <v>0</v>
      </c>
      <c r="BA1094" s="286">
        <f t="shared" ca="1" si="639"/>
        <v>0</v>
      </c>
      <c r="BB1094" s="286">
        <f t="shared" ca="1" si="640"/>
        <v>0</v>
      </c>
      <c r="BC1094" s="286">
        <f t="shared" ca="1" si="641"/>
        <v>0</v>
      </c>
      <c r="BD1094" s="180">
        <f t="shared" ca="1" si="642"/>
        <v>0.05</v>
      </c>
      <c r="BE1094" s="180">
        <f t="shared" ca="1" si="643"/>
        <v>0.05</v>
      </c>
      <c r="BF1094" s="286">
        <f t="shared" ca="1" si="644"/>
        <v>0</v>
      </c>
      <c r="BG1094" s="286">
        <f t="shared" ca="1" si="645"/>
        <v>0</v>
      </c>
    </row>
    <row r="1095" spans="1:59">
      <c r="A1095" s="1">
        <f t="shared" ca="1" si="625"/>
        <v>91</v>
      </c>
      <c r="B1095" s="1">
        <f t="shared" ca="1" si="619"/>
        <v>197</v>
      </c>
      <c r="C1095" s="1">
        <f t="shared" ca="1" si="620"/>
        <v>5</v>
      </c>
      <c r="D1095" s="1">
        <f ca="1">MIN($D$3,VLOOKUP(C1095,OP!$S$30:$T$41,2))</f>
        <v>2</v>
      </c>
      <c r="E1095" s="1" t="str">
        <f t="shared" ca="1" si="616"/>
        <v/>
      </c>
      <c r="F1095" s="11" t="str">
        <f t="shared" ca="1" si="626"/>
        <v/>
      </c>
      <c r="G1095" s="8">
        <f t="shared" ca="1" si="623"/>
        <v>366</v>
      </c>
      <c r="H1095" s="8">
        <f t="shared" ca="1" si="627"/>
        <v>31</v>
      </c>
      <c r="I1095" s="8" t="str">
        <f t="shared" ca="1" si="624"/>
        <v>915</v>
      </c>
      <c r="J1095" s="13">
        <f>IF(繳費報酬率資料!$A$1=1,VALUE(OP!$C$121),VLOOKUP(A1095,MP,2,0))</f>
        <v>0.05</v>
      </c>
      <c r="K1095" s="14">
        <f ca="1">IF(SUM($K$4:K1094,IF(繳費報酬率資料!$A$1=1,$AU1095+$AV1095,$BB1095+$BC1095))&gt;OP!$L$58,0,IF(繳費報酬率資料!$A$1=1,$AU1095+$AV1095,$BB1095+$BC1095))</f>
        <v>0</v>
      </c>
      <c r="L1095" s="2">
        <f ca="1">ROUND(IF(OP!$C$78&lt;(IF(OR($T1095="F",$E1095&gt;=111),0,Z1094+$K1095-$O1095+IF($C$1=1,OP!$C$78,IF($C1096=$C$3,SUM(AC1084:AC1095,0)))))*5%,0,(OP!$C$78-((IF(OR($T1095="F",$E1095&gt;=111),0,Z1094+$K1095-$O1095+IF($C$1=1,AC1095,IF($C1096=$C$3,SUM(AC1084:AC1095,0)))))*5%))*$Q1095),0)</f>
        <v>0</v>
      </c>
      <c r="M1095" s="2">
        <f ca="1">ROUND(IF(OP!$C$78&lt;(IF(OR($T1095="F",$E1095&gt;=111),0,AA1094+$K1095-$O1095+IF($C$1=1,AD1095,IF($C1096=$C$3,SUM(AD1084:AD1095,0)))))*5%,0,(OP!$C$78-((IF(OR($T1095="F",$E1095&gt;=111),0,AA1094+$K1095-$O1095+IF($C$1=1,AD1095,IF($C1096=$C$3,SUM(AD1084:AD1095,0)))))*5%))*$Q1095),0)</f>
        <v>0</v>
      </c>
      <c r="N1095" s="2">
        <f ca="1">ROUND(IF(OP!$C$78&lt;(IF(OR($T1095="F",$E1095&gt;=111),0,AB1094+$K1095-$O1095+IF($C$1=1,AE1095,IF($C1096=$C$3,SUM(AE1084:AE1095,0)))))*5%,0,(OP!$C$78-((IF(OR($T1095="F",$E1095&gt;=111),0,AB1094+$K1095-$O1095+IF($C$1=1,AE1095,IF($C1096=$C$3,SUM(AE1084:AE1095,0)))))*5%))*$Q1095),0)</f>
        <v>0</v>
      </c>
      <c r="O1095" s="261">
        <f t="shared" ca="1" si="628"/>
        <v>0</v>
      </c>
      <c r="P1095" s="261">
        <f t="shared" ca="1" si="646"/>
        <v>0</v>
      </c>
      <c r="Q1095" s="3">
        <f ca="1">IF(A1095&gt;MAX(OP!$R$17:$R$26),0,VLOOKUP(A1095,fees,3,FALSE))</f>
        <v>0</v>
      </c>
      <c r="R1095" s="200" t="str">
        <f t="shared" ca="1" si="629"/>
        <v/>
      </c>
      <c r="S1095" s="9" t="str">
        <f ca="1">IF(COUNTIF(($T$4:T1094),"F")&gt;=1,"",IF(OR(C1096&lt;&gt;$C$3,E1095=""),"",A1095))</f>
        <v/>
      </c>
      <c r="T1095" s="20" t="str">
        <f t="shared" ca="1" si="617"/>
        <v/>
      </c>
      <c r="U1095" s="2">
        <f ca="1">IF(IF(OP!$C$83=1,$Z1094,IF(OP!$C$83=2,$AA1094,IF(OP!$C$83=3,$AB1094,)))+$K1095-$O1095-$P1095-$AS1095&lt;OP!$C$142,0,$AS1095)</f>
        <v>0</v>
      </c>
      <c r="V1095" s="19">
        <f ca="1">SUM(K1084:K1095)</f>
        <v>0</v>
      </c>
      <c r="W1095" s="19">
        <f ca="1">MAX(SUM($K$4:K1095),0)</f>
        <v>2000000</v>
      </c>
      <c r="X1095" s="19">
        <f ca="1">SUM(O1084:P1095)</f>
        <v>0</v>
      </c>
      <c r="Y1095" s="19">
        <f t="shared" ca="1" si="647"/>
        <v>1920000</v>
      </c>
      <c r="Z1095" s="2">
        <f ca="1">IF(MIN($Z$4:Z1094)=0,0,MAX(0,($Z1094+$K1095-$O1095-$P1095)*IF(AND(F1095="F",$D$3&lt;&gt;$G$3),((1+(-J1095))^(H1095/MIN(G1095,365))),((1+(-J1095))^(1/12)))-$U1095))</f>
        <v>18036.377230418486</v>
      </c>
      <c r="AA1095" s="2">
        <f ca="1">IF(MIN($AA$4:AA1094)=0,0,MAX(0,($AA1094+$K1095-$O1095-$P1095)*IF(AND(F1095="F",$D$3&lt;&gt;$G$3),((1+$AA$1)^(H1095/MIN(G1095,365))),((1+$AA$1)^(1/12)))-$U1095))</f>
        <v>1920000</v>
      </c>
      <c r="AB1095" s="2">
        <f ca="1">IF(MIN($AB$4:AB1094)=0,0,MAX(0,($AB1094+$K1095-$O1095-$P1095)*IF(AND(F1095="F",$D$3&lt;&gt;$G$3),((1+(J1095))^(H1095/MIN(G1095,365))),((1+(J1095))^(1/12)))-$U1095))</f>
        <v>162752415.93904769</v>
      </c>
      <c r="AC1095" s="5"/>
      <c r="AD1095" s="5"/>
      <c r="AE1095" s="5"/>
      <c r="AF1095" s="282">
        <f t="shared" ca="1" si="630"/>
        <v>18036</v>
      </c>
      <c r="AG1095" s="282">
        <f t="shared" ca="1" si="631"/>
        <v>1920000</v>
      </c>
      <c r="AH1095" s="282">
        <f t="shared" ca="1" si="632"/>
        <v>162752416</v>
      </c>
      <c r="AI1095" s="23" t="str">
        <f t="shared" ca="1" si="613"/>
        <v>92-1</v>
      </c>
      <c r="AJ1095" s="282">
        <f ca="1">IF(E1095&gt;111,,IF(AND(OP!$C$99=1,T1095="F"),Z1095,IF(AND(OP!$C$99=2,COUNTIF($T$4:T1095,"F")=1),OP!$C$97+IF(F1095="F",OP!$C$98,0),"")))</f>
        <v>0</v>
      </c>
      <c r="AK1095" s="282">
        <f ca="1">IF(E1095&gt;111,,IF(AND(OP!$D$99=1,T1095="F"),AA1095,IF(AND(OP!$D$99=2,COUNTIF($T$4:T1095,"F")=1),OP!$D$97+IF(F1095="F",OP!$D$98,0),"")))</f>
        <v>0</v>
      </c>
      <c r="AL1095" s="282">
        <f ca="1">IF(E1095&gt;111,,IF(AND(OP!$E$99=1,T1095="F"),AB1095,IF(AND(OP!$E$99=2,COUNTIF($T$4:T1095,"F")=1),OP!$E$97+IF(F1095="F",OP!$E$98,0),"")))</f>
        <v>0</v>
      </c>
      <c r="AM1095" s="1">
        <f t="shared" ca="1" si="618"/>
        <v>1</v>
      </c>
      <c r="AN1095" s="1" t="e">
        <f ca="1">IF(OR(VLOOKUP($A1095,MP,5,0)="月繳"),1,"")</f>
        <v>#N/A</v>
      </c>
      <c r="AO1095" s="1">
        <f t="shared" ca="1" si="633"/>
        <v>0</v>
      </c>
      <c r="AP1095" s="1" t="str">
        <f ca="1">IF(AND(A1095&lt;=OP!$C$120,COUNTIF(PAY,C1095)=1),1,"")</f>
        <v/>
      </c>
      <c r="AR1095" s="301">
        <f ca="1">IF(繳費報酬率資料!$A$1=1,$AY1095+$AZ1095,$BF1095+$BG1095)</f>
        <v>0</v>
      </c>
      <c r="AS1095" s="1">
        <f ca="1">IF(C1095&lt;&gt;IF($C$3=1,12,$C$3-1),0,IF(繳費報酬率資料!$A$1&lt;&gt;1,VLOOKUP($A1095,MP,8,0),IF(AND($A1095&gt;=OP!$C$79,$A1095&lt;=OP!$C$80),OP!$C$78,)))</f>
        <v>0</v>
      </c>
      <c r="AT1095" s="298">
        <f t="shared" ca="1" si="634"/>
        <v>0</v>
      </c>
      <c r="AU1095" s="298">
        <f ca="1">IF(AND(A1095&lt;=OP!$C$120,COUNTIF(PAY,C1095)=1),OP!$C$123,0)</f>
        <v>0</v>
      </c>
      <c r="AV1095" s="298">
        <f ca="1">IF(AND(A1095&gt;=OP!$C$132,A1095&lt;=OP!$C$133,$C$3=C1095),OP!$C$135,0)</f>
        <v>0</v>
      </c>
      <c r="AW1095" s="180">
        <f t="shared" ca="1" si="635"/>
        <v>0.05</v>
      </c>
      <c r="AX1095" s="180">
        <f t="shared" ca="1" si="636"/>
        <v>0.05</v>
      </c>
      <c r="AY1095" s="286">
        <f t="shared" ca="1" si="637"/>
        <v>0</v>
      </c>
      <c r="AZ1095" s="286">
        <f t="shared" ca="1" si="638"/>
        <v>0</v>
      </c>
      <c r="BA1095" s="286">
        <f t="shared" ca="1" si="639"/>
        <v>0</v>
      </c>
      <c r="BB1095" s="286">
        <f t="shared" ca="1" si="640"/>
        <v>0</v>
      </c>
      <c r="BC1095" s="286">
        <f t="shared" ca="1" si="641"/>
        <v>0</v>
      </c>
      <c r="BD1095" s="180">
        <f t="shared" ca="1" si="642"/>
        <v>0.05</v>
      </c>
      <c r="BE1095" s="180">
        <f t="shared" ca="1" si="643"/>
        <v>0.05</v>
      </c>
      <c r="BF1095" s="286">
        <f t="shared" ca="1" si="644"/>
        <v>0</v>
      </c>
      <c r="BG1095" s="286">
        <f t="shared" ca="1" si="645"/>
        <v>0</v>
      </c>
    </row>
    <row r="1096" spans="1:59">
      <c r="A1096" s="1">
        <f t="shared" ca="1" si="625"/>
        <v>92</v>
      </c>
      <c r="B1096" s="1">
        <f t="shared" ca="1" si="619"/>
        <v>197</v>
      </c>
      <c r="C1096" s="1">
        <f t="shared" ca="1" si="620"/>
        <v>6</v>
      </c>
      <c r="D1096" s="1">
        <f ca="1">MIN($D$3,VLOOKUP(C1096,OP!$S$30:$T$41,2))</f>
        <v>2</v>
      </c>
      <c r="E1096" s="1" t="str">
        <f t="shared" ca="1" si="616"/>
        <v/>
      </c>
      <c r="F1096" s="11" t="str">
        <f t="shared" ca="1" si="626"/>
        <v/>
      </c>
      <c r="G1096" s="6">
        <f ca="1">DATEDIF(DATE(B1096+1911,C1096,D1096),DATE(B1108+1911,C1108,D1108),"d")</f>
        <v>365</v>
      </c>
      <c r="H1096" s="8">
        <f t="shared" ca="1" si="627"/>
        <v>30</v>
      </c>
      <c r="I1096" s="8" t="str">
        <f t="shared" ca="1" si="624"/>
        <v>926</v>
      </c>
      <c r="J1096" s="13">
        <f>IF(繳費報酬率資料!$A$1=1,VALUE(OP!$C$121),VLOOKUP(A1096,MP,2,0))</f>
        <v>0.05</v>
      </c>
      <c r="K1096" s="14">
        <f ca="1">IF(SUM($K$4:K1095,IF(繳費報酬率資料!$A$1=1,$AU1096+$AV1096,$BB1096+$BC1096))&gt;OP!$L$58,0,IF(繳費報酬率資料!$A$1=1,$AU1096+$AV1096,$BB1096+$BC1096))</f>
        <v>0</v>
      </c>
      <c r="L1096" s="2"/>
      <c r="M1096" s="2"/>
      <c r="N1096" s="2"/>
      <c r="O1096" s="261">
        <f t="shared" ca="1" si="628"/>
        <v>0</v>
      </c>
      <c r="P1096" s="261">
        <f t="shared" ca="1" si="646"/>
        <v>0</v>
      </c>
      <c r="Q1096" s="3">
        <f ca="1">IF(A1096&gt;MAX(OP!$R$17:$R$26),0,VLOOKUP(A1096,fees,3,FALSE))</f>
        <v>0</v>
      </c>
      <c r="R1096" s="200" t="str">
        <f t="shared" ca="1" si="629"/>
        <v/>
      </c>
      <c r="S1096" s="9" t="str">
        <f ca="1">IF(COUNTIF(($T$4:T1095),"F")&gt;=1,"",IF(OR(C1097&lt;&gt;$C$3,E1096=""),"",A1096))</f>
        <v/>
      </c>
      <c r="T1096" s="20" t="str">
        <f t="shared" ca="1" si="617"/>
        <v/>
      </c>
      <c r="U1096" s="2">
        <f ca="1">IF(IF(OP!$C$83=1,$Z1095,IF(OP!$C$83=2,$AA1095,IF(OP!$C$83=3,$AB1095,)))+$K1096-$O1096-$P1096-$AS1096&lt;OP!$C$142,0,$AS1096)</f>
        <v>0</v>
      </c>
      <c r="V1096" s="9"/>
      <c r="W1096" s="19">
        <f ca="1">MAX(SUM($K$4:K1096),0)</f>
        <v>2000000</v>
      </c>
      <c r="X1096" s="19"/>
      <c r="Y1096" s="19">
        <f t="shared" ca="1" si="647"/>
        <v>1920000</v>
      </c>
      <c r="Z1096" s="2">
        <f ca="1">IF(MIN($Z$4:Z1095)=0,0,MAX(0,($Z1095+$K1096-$O1096-$P1096)*IF(AND(F1096="F",$D$3&lt;&gt;$G$3),((1+(-J1096))^(H1096/MIN(G1096,365))),((1+(-J1096))^(1/12)))-$U1096))</f>
        <v>17959.446331938416</v>
      </c>
      <c r="AA1096" s="2">
        <f ca="1">IF(MIN($AA$4:AA1095)=0,0,MAX(0,($AA1095+$K1096-$O1096-$P1096)*IF(AND(F1096="F",$D$3&lt;&gt;$G$3),((1+$AA$1)^(H1096/MIN(G1096,365))),((1+$AA$1)^(1/12)))-$U1096))</f>
        <v>1920000</v>
      </c>
      <c r="AB1096" s="2">
        <f ca="1">IF(MIN($AB$4:AB1095)=0,0,MAX(0,($AB1095+$K1096-$O1096-$P1096)*IF(AND(F1096="F",$D$3&lt;&gt;$G$3),((1+(J1096))^(H1096/MIN(G1096,365))),((1+(J1096))^(1/12)))-$U1096))</f>
        <v>163415489.42767119</v>
      </c>
      <c r="AC1096" s="21"/>
      <c r="AD1096" s="21"/>
      <c r="AE1096" s="21"/>
      <c r="AF1096" s="282">
        <f t="shared" ca="1" si="630"/>
        <v>17959</v>
      </c>
      <c r="AG1096" s="282">
        <f t="shared" ca="1" si="631"/>
        <v>1920000</v>
      </c>
      <c r="AH1096" s="282">
        <f t="shared" ca="1" si="632"/>
        <v>163415489</v>
      </c>
      <c r="AI1096" s="23" t="str">
        <f t="shared" ca="1" si="613"/>
        <v>92-2</v>
      </c>
      <c r="AJ1096" s="281">
        <f ca="1">IF(E1096&gt;111,,IF(AND(OP!$C$99=1,T1096="F"),Z1096,IF(AND(OP!$C$99=2,COUNTIF($T$4:T1096,"F")=1),OP!$C$97+IF(F1096="F",OP!$C$98,0),"")))</f>
        <v>0</v>
      </c>
      <c r="AK1096" s="281">
        <f ca="1">IF(E1096&gt;111,,IF(AND(OP!$D$99=1,T1096="F"),AA1096,IF(AND(OP!$D$99=2,COUNTIF($T$4:T1096,"F")=1),OP!$D$97+IF(F1096="F",OP!$D$98,0),"")))</f>
        <v>0</v>
      </c>
      <c r="AL1096" s="281">
        <f ca="1">IF(E1096&gt;111,,IF(AND(OP!$E$99=1,T1096="F"),AB1096,IF(AND(OP!$E$99=2,COUNTIF($T$4:T1096,"F")=1),OP!$E$97+IF(F1096="F",OP!$E$98,0),"")))</f>
        <v>0</v>
      </c>
      <c r="AM1096" s="1">
        <f t="shared" ca="1" si="618"/>
        <v>2</v>
      </c>
      <c r="AN1096" s="1" t="e">
        <f ca="1">IF(OR(VLOOKUP($A1096,MP,5,0)="年繳",VLOOKUP($A1096,MP,5,0)="半年繳",VLOOKUP($A1096,MP,5,0)="季繳",VLOOKUP($A1096,MP,5,0)="月繳"),1,"")</f>
        <v>#N/A</v>
      </c>
      <c r="AO1096" s="1">
        <f t="shared" ca="1" si="633"/>
        <v>0</v>
      </c>
      <c r="AP1096" s="1" t="str">
        <f ca="1">IF(AND(A1096&lt;=OP!$C$120,COUNTIF(PAY,C1096)=1),1,"")</f>
        <v/>
      </c>
      <c r="AR1096" s="301">
        <f ca="1">IF(繳費報酬率資料!$A$1=1,$AY1096+$AZ1096,$BF1096+$BG1096)</f>
        <v>0</v>
      </c>
      <c r="AS1096" s="1">
        <f ca="1">IF(C1096&lt;&gt;IF($C$3=1,12,$C$3-1),0,IF(繳費報酬率資料!$A$1&lt;&gt;1,VLOOKUP($A1096,MP,8,0),IF(AND($A1096&gt;=OP!$C$79,$A1096&lt;=OP!$C$80),OP!$C$78,)))</f>
        <v>0</v>
      </c>
      <c r="AT1096" s="298">
        <f t="shared" ca="1" si="634"/>
        <v>0</v>
      </c>
      <c r="AU1096" s="298">
        <f ca="1">IF(AND(A1096&lt;=OP!$C$120,COUNTIF(PAY,C1096)=1),OP!$C$123,0)</f>
        <v>0</v>
      </c>
      <c r="AV1096" s="298">
        <f ca="1">IF(AND(A1096&gt;=OP!$C$132,A1096&lt;=OP!$C$133,$C$3=C1096),OP!$C$135,0)</f>
        <v>0</v>
      </c>
      <c r="AW1096" s="180">
        <f t="shared" ca="1" si="635"/>
        <v>0.05</v>
      </c>
      <c r="AX1096" s="180">
        <f t="shared" ca="1" si="636"/>
        <v>0.05</v>
      </c>
      <c r="AY1096" s="286">
        <f t="shared" ca="1" si="637"/>
        <v>0</v>
      </c>
      <c r="AZ1096" s="286">
        <f t="shared" ca="1" si="638"/>
        <v>0</v>
      </c>
      <c r="BA1096" s="286">
        <f t="shared" ca="1" si="639"/>
        <v>0</v>
      </c>
      <c r="BB1096" s="286">
        <f t="shared" ca="1" si="640"/>
        <v>0</v>
      </c>
      <c r="BC1096" s="286">
        <f t="shared" ca="1" si="641"/>
        <v>0</v>
      </c>
      <c r="BD1096" s="180">
        <f t="shared" ca="1" si="642"/>
        <v>0.05</v>
      </c>
      <c r="BE1096" s="180">
        <f t="shared" ca="1" si="643"/>
        <v>0.05</v>
      </c>
      <c r="BF1096" s="286">
        <f t="shared" ca="1" si="644"/>
        <v>0</v>
      </c>
      <c r="BG1096" s="286">
        <f t="shared" ca="1" si="645"/>
        <v>0</v>
      </c>
    </row>
    <row r="1097" spans="1:59">
      <c r="A1097" s="1">
        <f t="shared" ca="1" si="625"/>
        <v>92</v>
      </c>
      <c r="B1097" s="1">
        <f t="shared" ca="1" si="619"/>
        <v>197</v>
      </c>
      <c r="C1097" s="1">
        <f t="shared" ca="1" si="620"/>
        <v>7</v>
      </c>
      <c r="D1097" s="1">
        <f ca="1">MIN($D$3,VLOOKUP(C1097,OP!$S$30:$T$41,2))</f>
        <v>2</v>
      </c>
      <c r="E1097" s="1" t="str">
        <f t="shared" ca="1" si="616"/>
        <v/>
      </c>
      <c r="F1097" s="11" t="str">
        <f t="shared" ca="1" si="626"/>
        <v/>
      </c>
      <c r="G1097" s="8">
        <f t="shared" ref="G1097:G1107" ca="1" si="648">G1096</f>
        <v>365</v>
      </c>
      <c r="H1097" s="8">
        <f t="shared" ca="1" si="627"/>
        <v>31</v>
      </c>
      <c r="I1097" s="8" t="str">
        <f t="shared" ca="1" si="624"/>
        <v>927</v>
      </c>
      <c r="J1097" s="13">
        <f>IF(繳費報酬率資料!$A$1=1,VALUE(OP!$C$121),VLOOKUP(A1097,MP,2,0))</f>
        <v>0.05</v>
      </c>
      <c r="K1097" s="14">
        <f ca="1">IF(SUM($K$4:K1096,IF(繳費報酬率資料!$A$1=1,$AU1097+$AV1097,$BB1097+$BC1097))&gt;OP!$L$58,0,IF(繳費報酬率資料!$A$1=1,$AU1097+$AV1097,$BB1097+$BC1097))</f>
        <v>0</v>
      </c>
      <c r="L1097" s="2"/>
      <c r="M1097" s="2"/>
      <c r="N1097" s="2"/>
      <c r="O1097" s="261">
        <f t="shared" ca="1" si="628"/>
        <v>0</v>
      </c>
      <c r="P1097" s="261">
        <f t="shared" ca="1" si="646"/>
        <v>0</v>
      </c>
      <c r="Q1097" s="3">
        <f ca="1">IF(A1097&gt;MAX(OP!$R$17:$R$26),0,VLOOKUP(A1097,fees,3,FALSE))</f>
        <v>0</v>
      </c>
      <c r="R1097" s="200" t="str">
        <f t="shared" ca="1" si="629"/>
        <v/>
      </c>
      <c r="S1097" s="9" t="str">
        <f ca="1">IF(COUNTIF(($T$4:T1096),"F")&gt;=1,"",IF(OR(C1098&lt;&gt;$C$3,E1097=""),"",A1097))</f>
        <v/>
      </c>
      <c r="T1097" s="20" t="str">
        <f t="shared" ca="1" si="617"/>
        <v/>
      </c>
      <c r="U1097" s="2">
        <f ca="1">IF(IF(OP!$C$83=1,$Z1096,IF(OP!$C$83=2,$AA1096,IF(OP!$C$83=3,$AB1096,)))+$K1097-$O1097-$P1097-$AS1097&lt;OP!$C$142,0,$AS1097)</f>
        <v>0</v>
      </c>
      <c r="V1097" s="9"/>
      <c r="W1097" s="19">
        <f ca="1">MAX(SUM($K$4:K1097),0)</f>
        <v>2000000</v>
      </c>
      <c r="X1097" s="19"/>
      <c r="Y1097" s="19">
        <f t="shared" ca="1" si="647"/>
        <v>1920000</v>
      </c>
      <c r="Z1097" s="2">
        <f ca="1">IF(MIN($Z$4:Z1096)=0,0,MAX(0,($Z1096+$K1097-$O1097-$P1097)*IF(AND(F1097="F",$D$3&lt;&gt;$G$3),((1+(-J1097))^(H1097/MIN(G1097,365))),((1+(-J1097))^(1/12)))-$U1097))</f>
        <v>17882.843568264205</v>
      </c>
      <c r="AA1097" s="2">
        <f ca="1">IF(MIN($AA$4:AA1096)=0,0,MAX(0,($AA1096+$K1097-$O1097-$P1097)*IF(AND(F1097="F",$D$3&lt;&gt;$G$3),((1+$AA$1)^(H1097/MIN(G1097,365))),((1+$AA$1)^(1/12)))-$U1097))</f>
        <v>1920000</v>
      </c>
      <c r="AB1097" s="2">
        <f ca="1">IF(MIN($AB$4:AB1096)=0,0,MAX(0,($AB1096+$K1097-$O1097-$P1097)*IF(AND(F1097="F",$D$3&lt;&gt;$G$3),((1+(J1097))^(H1097/MIN(G1097,365))),((1+(J1097))^(1/12)))-$U1097))</f>
        <v>164081264.35976499</v>
      </c>
      <c r="AC1097" s="5"/>
      <c r="AD1097" s="5"/>
      <c r="AE1097" s="5"/>
      <c r="AF1097" s="282">
        <f t="shared" ca="1" si="630"/>
        <v>17883</v>
      </c>
      <c r="AG1097" s="282">
        <f t="shared" ca="1" si="631"/>
        <v>1920000</v>
      </c>
      <c r="AH1097" s="282">
        <f t="shared" ca="1" si="632"/>
        <v>164081264</v>
      </c>
      <c r="AI1097" s="23" t="str">
        <f t="shared" ca="1" si="613"/>
        <v>92-3</v>
      </c>
      <c r="AJ1097" s="282">
        <f ca="1">IF(E1097&gt;111,,IF(AND(OP!$C$99=1,T1097="F"),Z1097,IF(AND(OP!$C$99=2,COUNTIF($T$4:T1097,"F")=1),OP!$C$97+IF(F1097="F",OP!$C$98,0),"")))</f>
        <v>0</v>
      </c>
      <c r="AK1097" s="282">
        <f ca="1">IF(E1097&gt;111,,IF(AND(OP!$D$99=1,T1097="F"),AA1097,IF(AND(OP!$D$99=2,COUNTIF($T$4:T1097,"F")=1),OP!$D$97+IF(F1097="F",OP!$D$98,0),"")))</f>
        <v>0</v>
      </c>
      <c r="AL1097" s="282">
        <f ca="1">IF(E1097&gt;111,,IF(AND(OP!$E$99=1,T1097="F"),AB1097,IF(AND(OP!$E$99=2,COUNTIF($T$4:T1097,"F")=1),OP!$E$97+IF(F1097="F",OP!$E$98,0),"")))</f>
        <v>0</v>
      </c>
      <c r="AM1097" s="1">
        <f t="shared" ca="1" si="618"/>
        <v>3</v>
      </c>
      <c r="AN1097" s="1" t="e">
        <f ca="1">IF(OR(VLOOKUP($A1097,MP,5,0)="月繳"),1,"")</f>
        <v>#N/A</v>
      </c>
      <c r="AO1097" s="1">
        <f t="shared" ca="1" si="633"/>
        <v>0</v>
      </c>
      <c r="AP1097" s="1" t="str">
        <f ca="1">IF(AND(A1097&lt;=OP!$C$120,COUNTIF(PAY,C1097)=1),1,"")</f>
        <v/>
      </c>
      <c r="AR1097" s="301">
        <f ca="1">IF(繳費報酬率資料!$A$1=1,$AY1097+$AZ1097,$BF1097+$BG1097)</f>
        <v>0</v>
      </c>
      <c r="AS1097" s="1">
        <f ca="1">IF(C1097&lt;&gt;IF($C$3=1,12,$C$3-1),0,IF(繳費報酬率資料!$A$1&lt;&gt;1,VLOOKUP($A1097,MP,8,0),IF(AND($A1097&gt;=OP!$C$79,$A1097&lt;=OP!$C$80),OP!$C$78,)))</f>
        <v>0</v>
      </c>
      <c r="AT1097" s="298">
        <f t="shared" ca="1" si="634"/>
        <v>0</v>
      </c>
      <c r="AU1097" s="298">
        <f ca="1">IF(AND(A1097&lt;=OP!$C$120,COUNTIF(PAY,C1097)=1),OP!$C$123,0)</f>
        <v>0</v>
      </c>
      <c r="AV1097" s="298">
        <f ca="1">IF(AND(A1097&gt;=OP!$C$132,A1097&lt;=OP!$C$133,$C$3=C1097),OP!$C$135,0)</f>
        <v>0</v>
      </c>
      <c r="AW1097" s="180">
        <f t="shared" ca="1" si="635"/>
        <v>0.05</v>
      </c>
      <c r="AX1097" s="180">
        <f t="shared" ca="1" si="636"/>
        <v>0.05</v>
      </c>
      <c r="AY1097" s="286">
        <f t="shared" ca="1" si="637"/>
        <v>0</v>
      </c>
      <c r="AZ1097" s="286">
        <f t="shared" ca="1" si="638"/>
        <v>0</v>
      </c>
      <c r="BA1097" s="286">
        <f t="shared" ca="1" si="639"/>
        <v>0</v>
      </c>
      <c r="BB1097" s="286">
        <f t="shared" ca="1" si="640"/>
        <v>0</v>
      </c>
      <c r="BC1097" s="286">
        <f t="shared" ca="1" si="641"/>
        <v>0</v>
      </c>
      <c r="BD1097" s="180">
        <f t="shared" ca="1" si="642"/>
        <v>0.05</v>
      </c>
      <c r="BE1097" s="180">
        <f t="shared" ca="1" si="643"/>
        <v>0.05</v>
      </c>
      <c r="BF1097" s="286">
        <f t="shared" ca="1" si="644"/>
        <v>0</v>
      </c>
      <c r="BG1097" s="286">
        <f t="shared" ca="1" si="645"/>
        <v>0</v>
      </c>
    </row>
    <row r="1098" spans="1:59">
      <c r="A1098" s="1">
        <f t="shared" ca="1" si="625"/>
        <v>92</v>
      </c>
      <c r="B1098" s="1">
        <f t="shared" ca="1" si="619"/>
        <v>197</v>
      </c>
      <c r="C1098" s="1">
        <f t="shared" ca="1" si="620"/>
        <v>8</v>
      </c>
      <c r="D1098" s="1">
        <f ca="1">MIN($D$3,VLOOKUP(C1098,OP!$S$30:$T$41,2))</f>
        <v>2</v>
      </c>
      <c r="E1098" s="1" t="str">
        <f t="shared" ca="1" si="616"/>
        <v/>
      </c>
      <c r="F1098" s="11" t="str">
        <f t="shared" ca="1" si="626"/>
        <v/>
      </c>
      <c r="G1098" s="8">
        <f t="shared" ca="1" si="648"/>
        <v>365</v>
      </c>
      <c r="H1098" s="8">
        <f t="shared" ca="1" si="627"/>
        <v>31</v>
      </c>
      <c r="I1098" s="8" t="str">
        <f t="shared" ca="1" si="624"/>
        <v>928</v>
      </c>
      <c r="J1098" s="13">
        <f>IF(繳費報酬率資料!$A$1=1,VALUE(OP!$C$121),VLOOKUP(A1098,MP,2,0))</f>
        <v>0.05</v>
      </c>
      <c r="K1098" s="14">
        <f ca="1">IF(SUM($K$4:K1097,IF(繳費報酬率資料!$A$1=1,$AU1098+$AV1098,$BB1098+$BC1098))&gt;OP!$L$58,0,IF(繳費報酬率資料!$A$1=1,$AU1098+$AV1098,$BB1098+$BC1098))</f>
        <v>0</v>
      </c>
      <c r="L1098" s="2"/>
      <c r="M1098" s="2"/>
      <c r="N1098" s="2"/>
      <c r="O1098" s="261">
        <f t="shared" ca="1" si="628"/>
        <v>0</v>
      </c>
      <c r="P1098" s="261">
        <f t="shared" ca="1" si="646"/>
        <v>0</v>
      </c>
      <c r="Q1098" s="3">
        <f ca="1">IF(A1098&gt;MAX(OP!$R$17:$R$26),0,VLOOKUP(A1098,fees,3,FALSE))</f>
        <v>0</v>
      </c>
      <c r="R1098" s="200" t="str">
        <f t="shared" ca="1" si="629"/>
        <v/>
      </c>
      <c r="S1098" s="9" t="str">
        <f ca="1">IF(COUNTIF(($T$4:T1097),"F")&gt;=1,"",IF(OR(C1099&lt;&gt;$C$3,E1098=""),"",A1098))</f>
        <v/>
      </c>
      <c r="T1098" s="20" t="str">
        <f t="shared" ca="1" si="617"/>
        <v/>
      </c>
      <c r="U1098" s="2">
        <f ca="1">IF(IF(OP!$C$83=1,$Z1097,IF(OP!$C$83=2,$AA1097,IF(OP!$C$83=3,$AB1097,)))+$K1098-$O1098-$P1098-$AS1098&lt;OP!$C$142,0,$AS1098)</f>
        <v>0</v>
      </c>
      <c r="V1098" s="9"/>
      <c r="W1098" s="19">
        <f ca="1">MAX(SUM($K$4:K1098),0)</f>
        <v>2000000</v>
      </c>
      <c r="X1098" s="19"/>
      <c r="Y1098" s="19">
        <f t="shared" ca="1" si="647"/>
        <v>1920000</v>
      </c>
      <c r="Z1098" s="2">
        <f ca="1">IF(MIN($Z$4:Z1097)=0,0,MAX(0,($Z1097+$K1098-$O1098-$P1098)*IF(AND(F1098="F",$D$3&lt;&gt;$G$3),((1+(-J1098))^(H1098/MIN(G1098,365))),((1+(-J1098))^(1/12)))-$U1098))</f>
        <v>17806.56753979631</v>
      </c>
      <c r="AA1098" s="2">
        <f ca="1">IF(MIN($AA$4:AA1097)=0,0,MAX(0,($AA1097+$K1098-$O1098-$P1098)*IF(AND(F1098="F",$D$3&lt;&gt;$G$3),((1+$AA$1)^(H1098/MIN(G1098,365))),((1+$AA$1)^(1/12)))-$U1098))</f>
        <v>1920000</v>
      </c>
      <c r="AB1098" s="2">
        <f ca="1">IF(MIN($AB$4:AB1097)=0,0,MAX(0,($AB1097+$K1098-$O1098-$P1098)*IF(AND(F1098="F",$D$3&lt;&gt;$G$3),((1+(J1098))^(H1098/MIN(G1098,365))),((1+(J1098))^(1/12)))-$U1098))</f>
        <v>164749751.74134421</v>
      </c>
      <c r="AC1098" s="5"/>
      <c r="AD1098" s="5"/>
      <c r="AE1098" s="5"/>
      <c r="AF1098" s="282">
        <f t="shared" ca="1" si="630"/>
        <v>17807</v>
      </c>
      <c r="AG1098" s="282">
        <f t="shared" ca="1" si="631"/>
        <v>1920000</v>
      </c>
      <c r="AH1098" s="282">
        <f t="shared" ca="1" si="632"/>
        <v>164749752</v>
      </c>
      <c r="AI1098" s="23" t="str">
        <f t="shared" ca="1" si="613"/>
        <v>92-4</v>
      </c>
      <c r="AJ1098" s="282">
        <f ca="1">IF(E1098&gt;111,,IF(AND(OP!$C$99=1,T1098="F"),Z1098,IF(AND(OP!$C$99=2,COUNTIF($T$4:T1098,"F")=1),OP!$C$97+IF(F1098="F",OP!$C$98,0),"")))</f>
        <v>0</v>
      </c>
      <c r="AK1098" s="282">
        <f ca="1">IF(E1098&gt;111,,IF(AND(OP!$D$99=1,T1098="F"),AA1098,IF(AND(OP!$D$99=2,COUNTIF($T$4:T1098,"F")=1),OP!$D$97+IF(F1098="F",OP!$D$98,0),"")))</f>
        <v>0</v>
      </c>
      <c r="AL1098" s="282">
        <f ca="1">IF(E1098&gt;111,,IF(AND(OP!$E$99=1,T1098="F"),AB1098,IF(AND(OP!$E$99=2,COUNTIF($T$4:T1098,"F")=1),OP!$E$97+IF(F1098="F",OP!$E$98,0),"")))</f>
        <v>0</v>
      </c>
      <c r="AM1098" s="1">
        <f t="shared" ca="1" si="618"/>
        <v>4</v>
      </c>
      <c r="AN1098" s="1" t="e">
        <f ca="1">IF(OR(VLOOKUP($A1098,MP,5,0)="月繳"),1,"")</f>
        <v>#N/A</v>
      </c>
      <c r="AO1098" s="1">
        <f t="shared" ca="1" si="633"/>
        <v>0</v>
      </c>
      <c r="AP1098" s="1" t="str">
        <f ca="1">IF(AND(A1098&lt;=OP!$C$120,COUNTIF(PAY,C1098)=1),1,"")</f>
        <v/>
      </c>
      <c r="AR1098" s="301">
        <f ca="1">IF(繳費報酬率資料!$A$1=1,$AY1098+$AZ1098,$BF1098+$BG1098)</f>
        <v>0</v>
      </c>
      <c r="AS1098" s="1">
        <f ca="1">IF(C1098&lt;&gt;IF($C$3=1,12,$C$3-1),0,IF(繳費報酬率資料!$A$1&lt;&gt;1,VLOOKUP($A1098,MP,8,0),IF(AND($A1098&gt;=OP!$C$79,$A1098&lt;=OP!$C$80),OP!$C$78,)))</f>
        <v>0</v>
      </c>
      <c r="AT1098" s="298">
        <f t="shared" ca="1" si="634"/>
        <v>0</v>
      </c>
      <c r="AU1098" s="298">
        <f ca="1">IF(AND(A1098&lt;=OP!$C$120,COUNTIF(PAY,C1098)=1),OP!$C$123,0)</f>
        <v>0</v>
      </c>
      <c r="AV1098" s="298">
        <f ca="1">IF(AND(A1098&gt;=OP!$C$132,A1098&lt;=OP!$C$133,$C$3=C1098),OP!$C$135,0)</f>
        <v>0</v>
      </c>
      <c r="AW1098" s="180">
        <f t="shared" ca="1" si="635"/>
        <v>0.05</v>
      </c>
      <c r="AX1098" s="180">
        <f t="shared" ca="1" si="636"/>
        <v>0.05</v>
      </c>
      <c r="AY1098" s="286">
        <f t="shared" ca="1" si="637"/>
        <v>0</v>
      </c>
      <c r="AZ1098" s="286">
        <f t="shared" ca="1" si="638"/>
        <v>0</v>
      </c>
      <c r="BA1098" s="286">
        <f t="shared" ca="1" si="639"/>
        <v>0</v>
      </c>
      <c r="BB1098" s="286">
        <f t="shared" ca="1" si="640"/>
        <v>0</v>
      </c>
      <c r="BC1098" s="286">
        <f t="shared" ca="1" si="641"/>
        <v>0</v>
      </c>
      <c r="BD1098" s="180">
        <f t="shared" ca="1" si="642"/>
        <v>0.05</v>
      </c>
      <c r="BE1098" s="180">
        <f t="shared" ca="1" si="643"/>
        <v>0.05</v>
      </c>
      <c r="BF1098" s="286">
        <f t="shared" ca="1" si="644"/>
        <v>0</v>
      </c>
      <c r="BG1098" s="286">
        <f t="shared" ca="1" si="645"/>
        <v>0</v>
      </c>
    </row>
    <row r="1099" spans="1:59">
      <c r="A1099" s="1">
        <f t="shared" ca="1" si="625"/>
        <v>92</v>
      </c>
      <c r="B1099" s="1">
        <f t="shared" ca="1" si="619"/>
        <v>197</v>
      </c>
      <c r="C1099" s="1">
        <f t="shared" ca="1" si="620"/>
        <v>9</v>
      </c>
      <c r="D1099" s="1">
        <f ca="1">MIN($D$3,VLOOKUP(C1099,OP!$S$30:$T$41,2))</f>
        <v>2</v>
      </c>
      <c r="E1099" s="1" t="str">
        <f t="shared" ca="1" si="616"/>
        <v/>
      </c>
      <c r="F1099" s="11" t="str">
        <f t="shared" ca="1" si="626"/>
        <v/>
      </c>
      <c r="G1099" s="8">
        <f t="shared" ca="1" si="648"/>
        <v>365</v>
      </c>
      <c r="H1099" s="8">
        <f t="shared" ca="1" si="627"/>
        <v>30</v>
      </c>
      <c r="I1099" s="8" t="str">
        <f t="shared" ca="1" si="624"/>
        <v>929</v>
      </c>
      <c r="J1099" s="13">
        <f>IF(繳費報酬率資料!$A$1=1,VALUE(OP!$C$121),VLOOKUP(A1099,MP,2,0))</f>
        <v>0.05</v>
      </c>
      <c r="K1099" s="14">
        <f ca="1">IF(SUM($K$4:K1098,IF(繳費報酬率資料!$A$1=1,$AU1099+$AV1099,$BB1099+$BC1099))&gt;OP!$L$58,0,IF(繳費報酬率資料!$A$1=1,$AU1099+$AV1099,$BB1099+$BC1099))</f>
        <v>0</v>
      </c>
      <c r="L1099" s="2"/>
      <c r="M1099" s="2"/>
      <c r="N1099" s="2"/>
      <c r="O1099" s="261">
        <f t="shared" ca="1" si="628"/>
        <v>0</v>
      </c>
      <c r="P1099" s="261">
        <f t="shared" ca="1" si="646"/>
        <v>0</v>
      </c>
      <c r="Q1099" s="3">
        <f ca="1">IF(A1099&gt;MAX(OP!$R$17:$R$26),0,VLOOKUP(A1099,fees,3,FALSE))</f>
        <v>0</v>
      </c>
      <c r="R1099" s="200" t="str">
        <f t="shared" ca="1" si="629"/>
        <v/>
      </c>
      <c r="S1099" s="9" t="str">
        <f ca="1">IF(COUNTIF(($T$4:T1098),"F")&gt;=1,"",IF(OR(C1100&lt;&gt;$C$3,E1099=""),"",A1099))</f>
        <v/>
      </c>
      <c r="T1099" s="20" t="str">
        <f t="shared" ca="1" si="617"/>
        <v/>
      </c>
      <c r="U1099" s="2">
        <f ca="1">IF(IF(OP!$C$83=1,$Z1098,IF(OP!$C$83=2,$AA1098,IF(OP!$C$83=3,$AB1098,)))+$K1099-$O1099-$P1099-$AS1099&lt;OP!$C$142,0,$AS1099)</f>
        <v>0</v>
      </c>
      <c r="V1099" s="9"/>
      <c r="W1099" s="19">
        <f ca="1">MAX(SUM($K$4:K1099),0)</f>
        <v>2000000</v>
      </c>
      <c r="X1099" s="19"/>
      <c r="Y1099" s="19">
        <f t="shared" ca="1" si="647"/>
        <v>1920000</v>
      </c>
      <c r="Z1099" s="2">
        <f ca="1">IF(MIN($Z$4:Z1098)=0,0,MAX(0,($Z1098+$K1099-$O1099-$P1099)*IF(AND(F1099="F",$D$3&lt;&gt;$G$3),((1+(-J1099))^(H1099/MIN(G1099,365))),((1+(-J1099))^(1/12)))-$U1099))</f>
        <v>17730.616852904914</v>
      </c>
      <c r="AA1099" s="2">
        <f ca="1">IF(MIN($AA$4:AA1098)=0,0,MAX(0,($AA1098+$K1099-$O1099-$P1099)*IF(AND(F1099="F",$D$3&lt;&gt;$G$3),((1+$AA$1)^(H1099/MIN(G1099,365))),((1+$AA$1)^(1/12)))-$U1099))</f>
        <v>1920000</v>
      </c>
      <c r="AB1099" s="2">
        <f ca="1">IF(MIN($AB$4:AB1098)=0,0,MAX(0,($AB1098+$K1099-$O1099-$P1099)*IF(AND(F1099="F",$D$3&lt;&gt;$G$3),((1+(J1099))^(H1099/MIN(G1099,365))),((1+(J1099))^(1/12)))-$U1099))</f>
        <v>165420962.62326378</v>
      </c>
      <c r="AC1099" s="5"/>
      <c r="AD1099" s="5"/>
      <c r="AE1099" s="5"/>
      <c r="AF1099" s="282">
        <f t="shared" ca="1" si="630"/>
        <v>17731</v>
      </c>
      <c r="AG1099" s="282">
        <f t="shared" ca="1" si="631"/>
        <v>1920000</v>
      </c>
      <c r="AH1099" s="282">
        <f t="shared" ca="1" si="632"/>
        <v>165420963</v>
      </c>
      <c r="AI1099" s="23" t="str">
        <f t="shared" ca="1" si="613"/>
        <v>92-5</v>
      </c>
      <c r="AJ1099" s="282">
        <f ca="1">IF(E1099&gt;111,,IF(AND(OP!$C$99=1,T1099="F"),Z1099,IF(AND(OP!$C$99=2,COUNTIF($T$4:T1099,"F")=1),OP!$C$97+IF(F1099="F",OP!$C$98,0),"")))</f>
        <v>0</v>
      </c>
      <c r="AK1099" s="282">
        <f ca="1">IF(E1099&gt;111,,IF(AND(OP!$D$99=1,T1099="F"),AA1099,IF(AND(OP!$D$99=2,COUNTIF($T$4:T1099,"F")=1),OP!$D$97+IF(F1099="F",OP!$D$98,0),"")))</f>
        <v>0</v>
      </c>
      <c r="AL1099" s="282">
        <f ca="1">IF(E1099&gt;111,,IF(AND(OP!$E$99=1,T1099="F"),AB1099,IF(AND(OP!$E$99=2,COUNTIF($T$4:T1099,"F")=1),OP!$E$97+IF(F1099="F",OP!$E$98,0),"")))</f>
        <v>0</v>
      </c>
      <c r="AM1099" s="1">
        <f t="shared" ca="1" si="618"/>
        <v>5</v>
      </c>
      <c r="AN1099" s="1" t="e">
        <f ca="1">IF(OR(VLOOKUP($A1099,MP,5,0)="季繳",VLOOKUP($A1099,MP,5,0)="月繳"),1,"")</f>
        <v>#N/A</v>
      </c>
      <c r="AO1099" s="1">
        <f t="shared" ca="1" si="633"/>
        <v>0</v>
      </c>
      <c r="AP1099" s="1" t="str">
        <f ca="1">IF(AND(A1099&lt;=OP!$C$120,COUNTIF(PAY,C1099)=1),1,"")</f>
        <v/>
      </c>
      <c r="AR1099" s="301">
        <f ca="1">IF(繳費報酬率資料!$A$1=1,$AY1099+$AZ1099,$BF1099+$BG1099)</f>
        <v>0</v>
      </c>
      <c r="AS1099" s="1">
        <f ca="1">IF(C1099&lt;&gt;IF($C$3=1,12,$C$3-1),0,IF(繳費報酬率資料!$A$1&lt;&gt;1,VLOOKUP($A1099,MP,8,0),IF(AND($A1099&gt;=OP!$C$79,$A1099&lt;=OP!$C$80),OP!$C$78,)))</f>
        <v>0</v>
      </c>
      <c r="AT1099" s="298">
        <f t="shared" ca="1" si="634"/>
        <v>0</v>
      </c>
      <c r="AU1099" s="298">
        <f ca="1">IF(AND(A1099&lt;=OP!$C$120,COUNTIF(PAY,C1099)=1),OP!$C$123,0)</f>
        <v>0</v>
      </c>
      <c r="AV1099" s="298">
        <f ca="1">IF(AND(A1099&gt;=OP!$C$132,A1099&lt;=OP!$C$133,$C$3=C1099),OP!$C$135,0)</f>
        <v>0</v>
      </c>
      <c r="AW1099" s="180">
        <f t="shared" ca="1" si="635"/>
        <v>0.05</v>
      </c>
      <c r="AX1099" s="180">
        <f t="shared" ca="1" si="636"/>
        <v>0.05</v>
      </c>
      <c r="AY1099" s="286">
        <f t="shared" ca="1" si="637"/>
        <v>0</v>
      </c>
      <c r="AZ1099" s="286">
        <f t="shared" ca="1" si="638"/>
        <v>0</v>
      </c>
      <c r="BA1099" s="286">
        <f t="shared" ca="1" si="639"/>
        <v>0</v>
      </c>
      <c r="BB1099" s="286">
        <f t="shared" ca="1" si="640"/>
        <v>0</v>
      </c>
      <c r="BC1099" s="286">
        <f t="shared" ca="1" si="641"/>
        <v>0</v>
      </c>
      <c r="BD1099" s="180">
        <f t="shared" ca="1" si="642"/>
        <v>0.05</v>
      </c>
      <c r="BE1099" s="180">
        <f t="shared" ca="1" si="643"/>
        <v>0.05</v>
      </c>
      <c r="BF1099" s="286">
        <f t="shared" ca="1" si="644"/>
        <v>0</v>
      </c>
      <c r="BG1099" s="286">
        <f t="shared" ca="1" si="645"/>
        <v>0</v>
      </c>
    </row>
    <row r="1100" spans="1:59">
      <c r="A1100" s="1">
        <f t="shared" ca="1" si="625"/>
        <v>92</v>
      </c>
      <c r="B1100" s="1">
        <f t="shared" ca="1" si="619"/>
        <v>197</v>
      </c>
      <c r="C1100" s="1">
        <f t="shared" ca="1" si="620"/>
        <v>10</v>
      </c>
      <c r="D1100" s="1">
        <f ca="1">MIN($D$3,VLOOKUP(C1100,OP!$S$30:$T$41,2))</f>
        <v>2</v>
      </c>
      <c r="E1100" s="1" t="str">
        <f t="shared" ca="1" si="616"/>
        <v/>
      </c>
      <c r="F1100" s="11" t="str">
        <f t="shared" ca="1" si="626"/>
        <v/>
      </c>
      <c r="G1100" s="8">
        <f t="shared" ca="1" si="648"/>
        <v>365</v>
      </c>
      <c r="H1100" s="8">
        <f t="shared" ca="1" si="627"/>
        <v>31</v>
      </c>
      <c r="I1100" s="8" t="str">
        <f t="shared" ca="1" si="624"/>
        <v>9210</v>
      </c>
      <c r="J1100" s="13">
        <f>IF(繳費報酬率資料!$A$1=1,VALUE(OP!$C$121),VLOOKUP(A1100,MP,2,0))</f>
        <v>0.05</v>
      </c>
      <c r="K1100" s="14">
        <f ca="1">IF(SUM($K$4:K1099,IF(繳費報酬率資料!$A$1=1,$AU1100+$AV1100,$BB1100+$BC1100))&gt;OP!$L$58,0,IF(繳費報酬率資料!$A$1=1,$AU1100+$AV1100,$BB1100+$BC1100))</f>
        <v>0</v>
      </c>
      <c r="L1100" s="2"/>
      <c r="M1100" s="2"/>
      <c r="N1100" s="2"/>
      <c r="O1100" s="261">
        <f t="shared" ca="1" si="628"/>
        <v>0</v>
      </c>
      <c r="P1100" s="261">
        <f t="shared" ca="1" si="646"/>
        <v>0</v>
      </c>
      <c r="Q1100" s="3">
        <f ca="1">IF(A1100&gt;MAX(OP!$R$17:$R$26),0,VLOOKUP(A1100,fees,3,FALSE))</f>
        <v>0</v>
      </c>
      <c r="R1100" s="200" t="str">
        <f t="shared" ca="1" si="629"/>
        <v/>
      </c>
      <c r="S1100" s="9" t="str">
        <f ca="1">IF(COUNTIF(($T$4:T1099),"F")&gt;=1,"",IF(OR(C1101&lt;&gt;$C$3,E1100=""),"",A1100))</f>
        <v/>
      </c>
      <c r="T1100" s="20" t="str">
        <f t="shared" ca="1" si="617"/>
        <v/>
      </c>
      <c r="U1100" s="2">
        <f ca="1">IF(IF(OP!$C$83=1,$Z1099,IF(OP!$C$83=2,$AA1099,IF(OP!$C$83=3,$AB1099,)))+$K1100-$O1100-$P1100-$AS1100&lt;OP!$C$142,0,$AS1100)</f>
        <v>0</v>
      </c>
      <c r="V1100" s="9"/>
      <c r="W1100" s="19">
        <f ca="1">MAX(SUM($K$4:K1100),0)</f>
        <v>2000000</v>
      </c>
      <c r="X1100" s="19"/>
      <c r="Y1100" s="19">
        <f t="shared" ca="1" si="647"/>
        <v>1920000</v>
      </c>
      <c r="Z1100" s="2">
        <f ca="1">IF(MIN($Z$4:Z1099)=0,0,MAX(0,($Z1099+$K1100-$O1100-$P1100)*IF(AND(F1100="F",$D$3&lt;&gt;$G$3),((1+(-J1100))^(H1100/MIN(G1100,365))),((1+(-J1100))^(1/12)))-$U1100))</f>
        <v>17654.990119904483</v>
      </c>
      <c r="AA1100" s="2">
        <f ca="1">IF(MIN($AA$4:AA1099)=0,0,MAX(0,($AA1099+$K1100-$O1100-$P1100)*IF(AND(F1100="F",$D$3&lt;&gt;$G$3),((1+$AA$1)^(H1100/MIN(G1100,365))),((1+$AA$1)^(1/12)))-$U1100))</f>
        <v>1920000</v>
      </c>
      <c r="AB1100" s="2">
        <f ca="1">IF(MIN($AB$4:AB1099)=0,0,MAX(0,($AB1099+$K1100-$O1100-$P1100)*IF(AND(F1100="F",$D$3&lt;&gt;$G$3),((1+(J1100))^(H1100/MIN(G1100,365))),((1+(J1100))^(1/12)))-$U1100))</f>
        <v>166094908.10140121</v>
      </c>
      <c r="AC1100" s="5"/>
      <c r="AD1100" s="5"/>
      <c r="AE1100" s="5"/>
      <c r="AF1100" s="282">
        <f t="shared" ca="1" si="630"/>
        <v>17655</v>
      </c>
      <c r="AG1100" s="282">
        <f t="shared" ca="1" si="631"/>
        <v>1920000</v>
      </c>
      <c r="AH1100" s="282">
        <f t="shared" ca="1" si="632"/>
        <v>166094908</v>
      </c>
      <c r="AI1100" s="23" t="str">
        <f t="shared" ref="AI1100:AI1163" ca="1" si="649">IF($G$3=D1101,A1101,A1100)&amp;"-"&amp;AM1100</f>
        <v>92-6</v>
      </c>
      <c r="AJ1100" s="282">
        <f ca="1">IF(E1100&gt;111,,IF(AND(OP!$C$99=1,T1100="F"),Z1100,IF(AND(OP!$C$99=2,COUNTIF($T$4:T1100,"F")=1),OP!$C$97+IF(F1100="F",OP!$C$98,0),"")))</f>
        <v>0</v>
      </c>
      <c r="AK1100" s="282">
        <f ca="1">IF(E1100&gt;111,,IF(AND(OP!$D$99=1,T1100="F"),AA1100,IF(AND(OP!$D$99=2,COUNTIF($T$4:T1100,"F")=1),OP!$D$97+IF(F1100="F",OP!$D$98,0),"")))</f>
        <v>0</v>
      </c>
      <c r="AL1100" s="282">
        <f ca="1">IF(E1100&gt;111,,IF(AND(OP!$E$99=1,T1100="F"),AB1100,IF(AND(OP!$E$99=2,COUNTIF($T$4:T1100,"F")=1),OP!$E$97+IF(F1100="F",OP!$E$98,0),"")))</f>
        <v>0</v>
      </c>
      <c r="AM1100" s="1">
        <f t="shared" ca="1" si="618"/>
        <v>6</v>
      </c>
      <c r="AN1100" s="1" t="e">
        <f ca="1">IF(OR(VLOOKUP($A1100,MP,5,0)="月繳"),1,"")</f>
        <v>#N/A</v>
      </c>
      <c r="AO1100" s="1">
        <f t="shared" ca="1" si="633"/>
        <v>0</v>
      </c>
      <c r="AP1100" s="1" t="str">
        <f ca="1">IF(AND(A1100&lt;=OP!$C$120,COUNTIF(PAY,C1100)=1),1,"")</f>
        <v/>
      </c>
      <c r="AR1100" s="301">
        <f ca="1">IF(繳費報酬率資料!$A$1=1,$AY1100+$AZ1100,$BF1100+$BG1100)</f>
        <v>0</v>
      </c>
      <c r="AS1100" s="1">
        <f ca="1">IF(C1100&lt;&gt;IF($C$3=1,12,$C$3-1),0,IF(繳費報酬率資料!$A$1&lt;&gt;1,VLOOKUP($A1100,MP,8,0),IF(AND($A1100&gt;=OP!$C$79,$A1100&lt;=OP!$C$80),OP!$C$78,)))</f>
        <v>0</v>
      </c>
      <c r="AT1100" s="298">
        <f t="shared" ca="1" si="634"/>
        <v>0</v>
      </c>
      <c r="AU1100" s="298">
        <f ca="1">IF(AND(A1100&lt;=OP!$C$120,COUNTIF(PAY,C1100)=1),OP!$C$123,0)</f>
        <v>0</v>
      </c>
      <c r="AV1100" s="298">
        <f ca="1">IF(AND(A1100&gt;=OP!$C$132,A1100&lt;=OP!$C$133,$C$3=C1100),OP!$C$135,0)</f>
        <v>0</v>
      </c>
      <c r="AW1100" s="180">
        <f t="shared" ca="1" si="635"/>
        <v>0.05</v>
      </c>
      <c r="AX1100" s="180">
        <f t="shared" ca="1" si="636"/>
        <v>0.05</v>
      </c>
      <c r="AY1100" s="286">
        <f t="shared" ca="1" si="637"/>
        <v>0</v>
      </c>
      <c r="AZ1100" s="286">
        <f t="shared" ca="1" si="638"/>
        <v>0</v>
      </c>
      <c r="BA1100" s="286">
        <f t="shared" ca="1" si="639"/>
        <v>0</v>
      </c>
      <c r="BB1100" s="286">
        <f t="shared" ca="1" si="640"/>
        <v>0</v>
      </c>
      <c r="BC1100" s="286">
        <f t="shared" ca="1" si="641"/>
        <v>0</v>
      </c>
      <c r="BD1100" s="180">
        <f t="shared" ca="1" si="642"/>
        <v>0.05</v>
      </c>
      <c r="BE1100" s="180">
        <f t="shared" ca="1" si="643"/>
        <v>0.05</v>
      </c>
      <c r="BF1100" s="286">
        <f t="shared" ca="1" si="644"/>
        <v>0</v>
      </c>
      <c r="BG1100" s="286">
        <f t="shared" ca="1" si="645"/>
        <v>0</v>
      </c>
    </row>
    <row r="1101" spans="1:59">
      <c r="A1101" s="1">
        <f t="shared" ca="1" si="625"/>
        <v>92</v>
      </c>
      <c r="B1101" s="1">
        <f t="shared" ca="1" si="619"/>
        <v>197</v>
      </c>
      <c r="C1101" s="1">
        <f t="shared" ca="1" si="620"/>
        <v>11</v>
      </c>
      <c r="D1101" s="1">
        <f ca="1">MIN($D$3,VLOOKUP(C1101,OP!$S$30:$T$41,2))</f>
        <v>2</v>
      </c>
      <c r="E1101" s="1" t="str">
        <f t="shared" ca="1" si="616"/>
        <v/>
      </c>
      <c r="F1101" s="11" t="str">
        <f t="shared" ca="1" si="626"/>
        <v/>
      </c>
      <c r="G1101" s="8">
        <f t="shared" ca="1" si="648"/>
        <v>365</v>
      </c>
      <c r="H1101" s="8">
        <f t="shared" ca="1" si="627"/>
        <v>30</v>
      </c>
      <c r="I1101" s="8" t="str">
        <f t="shared" ca="1" si="624"/>
        <v>9211</v>
      </c>
      <c r="J1101" s="13">
        <f>IF(繳費報酬率資料!$A$1=1,VALUE(OP!$C$121),VLOOKUP(A1101,MP,2,0))</f>
        <v>0.05</v>
      </c>
      <c r="K1101" s="14">
        <f ca="1">IF(SUM($K$4:K1100,IF(繳費報酬率資料!$A$1=1,$AU1101+$AV1101,$BB1101+$BC1101))&gt;OP!$L$58,0,IF(繳費報酬率資料!$A$1=1,$AU1101+$AV1101,$BB1101+$BC1101))</f>
        <v>0</v>
      </c>
      <c r="L1101" s="2"/>
      <c r="M1101" s="2"/>
      <c r="N1101" s="2"/>
      <c r="O1101" s="261">
        <f t="shared" ca="1" si="628"/>
        <v>0</v>
      </c>
      <c r="P1101" s="261">
        <f t="shared" ca="1" si="646"/>
        <v>0</v>
      </c>
      <c r="Q1101" s="3">
        <f ca="1">IF(A1101&gt;MAX(OP!$R$17:$R$26),0,VLOOKUP(A1101,fees,3,FALSE))</f>
        <v>0</v>
      </c>
      <c r="R1101" s="200" t="str">
        <f t="shared" ca="1" si="629"/>
        <v/>
      </c>
      <c r="S1101" s="9" t="str">
        <f ca="1">IF(COUNTIF(($T$4:T1100),"F")&gt;=1,"",IF(OR(C1102&lt;&gt;$C$3,E1101=""),"",A1101))</f>
        <v/>
      </c>
      <c r="T1101" s="20" t="str">
        <f t="shared" ca="1" si="617"/>
        <v/>
      </c>
      <c r="U1101" s="2">
        <f ca="1">IF(IF(OP!$C$83=1,$Z1100,IF(OP!$C$83=2,$AA1100,IF(OP!$C$83=3,$AB1100,)))+$K1101-$O1101-$P1101-$AS1101&lt;OP!$C$142,0,$AS1101)</f>
        <v>0</v>
      </c>
      <c r="V1101" s="9"/>
      <c r="W1101" s="19">
        <f ca="1">MAX(SUM($K$4:K1101),0)</f>
        <v>2000000</v>
      </c>
      <c r="X1101" s="19"/>
      <c r="Y1101" s="19">
        <f t="shared" ca="1" si="647"/>
        <v>1920000</v>
      </c>
      <c r="Z1101" s="2">
        <f ca="1">IF(MIN($Z$4:Z1100)=0,0,MAX(0,($Z1100+$K1101-$O1101-$P1101)*IF(AND(F1101="F",$D$3&lt;&gt;$G$3),((1+(-J1101))^(H1101/MIN(G1101,365))),((1+(-J1101))^(1/12)))-$U1101))</f>
        <v>17579.685959028408</v>
      </c>
      <c r="AA1101" s="2">
        <f ca="1">IF(MIN($AA$4:AA1100)=0,0,MAX(0,($AA1100+$K1101-$O1101-$P1101)*IF(AND(F1101="F",$D$3&lt;&gt;$G$3),((1+$AA$1)^(H1101/MIN(G1101,365))),((1+$AA$1)^(1/12)))-$U1101))</f>
        <v>1920000</v>
      </c>
      <c r="AB1101" s="2">
        <f ca="1">IF(MIN($AB$4:AB1100)=0,0,MAX(0,($AB1100+$K1101-$O1101-$P1101)*IF(AND(F1101="F",$D$3&lt;&gt;$G$3),((1+(J1101))^(H1101/MIN(G1101,365))),((1+(J1101))^(1/12)))-$U1101))</f>
        <v>166771599.31684002</v>
      </c>
      <c r="AC1101" s="5"/>
      <c r="AD1101" s="5"/>
      <c r="AE1101" s="5"/>
      <c r="AF1101" s="282">
        <f t="shared" ca="1" si="630"/>
        <v>17580</v>
      </c>
      <c r="AG1101" s="282">
        <f t="shared" ca="1" si="631"/>
        <v>1920000</v>
      </c>
      <c r="AH1101" s="282">
        <f t="shared" ca="1" si="632"/>
        <v>166771599</v>
      </c>
      <c r="AI1101" s="23" t="str">
        <f t="shared" ca="1" si="649"/>
        <v>92-7</v>
      </c>
      <c r="AJ1101" s="282">
        <f ca="1">IF(E1101&gt;111,,IF(AND(OP!$C$99=1,T1101="F"),Z1101,IF(AND(OP!$C$99=2,COUNTIF($T$4:T1101,"F")=1),OP!$C$97+IF(F1101="F",OP!$C$98,0),"")))</f>
        <v>0</v>
      </c>
      <c r="AK1101" s="282">
        <f ca="1">IF(E1101&gt;111,,IF(AND(OP!$D$99=1,T1101="F"),AA1101,IF(AND(OP!$D$99=2,COUNTIF($T$4:T1101,"F")=1),OP!$D$97+IF(F1101="F",OP!$D$98,0),"")))</f>
        <v>0</v>
      </c>
      <c r="AL1101" s="282">
        <f ca="1">IF(E1101&gt;111,,IF(AND(OP!$E$99=1,T1101="F"),AB1101,IF(AND(OP!$E$99=2,COUNTIF($T$4:T1101,"F")=1),OP!$E$97+IF(F1101="F",OP!$E$98,0),"")))</f>
        <v>0</v>
      </c>
      <c r="AM1101" s="1">
        <f t="shared" ca="1" si="618"/>
        <v>7</v>
      </c>
      <c r="AN1101" s="1" t="e">
        <f ca="1">IF(OR(VLOOKUP($A1101,MP,5,0)="月繳"),1,"")</f>
        <v>#N/A</v>
      </c>
      <c r="AO1101" s="1">
        <f t="shared" ca="1" si="633"/>
        <v>0</v>
      </c>
      <c r="AP1101" s="1" t="str">
        <f ca="1">IF(AND(A1101&lt;=OP!$C$120,COUNTIF(PAY,C1101)=1),1,"")</f>
        <v/>
      </c>
      <c r="AR1101" s="301">
        <f ca="1">IF(繳費報酬率資料!$A$1=1,$AY1101+$AZ1101,$BF1101+$BG1101)</f>
        <v>0</v>
      </c>
      <c r="AS1101" s="1">
        <f ca="1">IF(C1101&lt;&gt;IF($C$3=1,12,$C$3-1),0,IF(繳費報酬率資料!$A$1&lt;&gt;1,VLOOKUP($A1101,MP,8,0),IF(AND($A1101&gt;=OP!$C$79,$A1101&lt;=OP!$C$80),OP!$C$78,)))</f>
        <v>0</v>
      </c>
      <c r="AT1101" s="298">
        <f t="shared" ca="1" si="634"/>
        <v>0</v>
      </c>
      <c r="AU1101" s="298">
        <f ca="1">IF(AND(A1101&lt;=OP!$C$120,COUNTIF(PAY,C1101)=1),OP!$C$123,0)</f>
        <v>0</v>
      </c>
      <c r="AV1101" s="298">
        <f ca="1">IF(AND(A1101&gt;=OP!$C$132,A1101&lt;=OP!$C$133,$C$3=C1101),OP!$C$135,0)</f>
        <v>0</v>
      </c>
      <c r="AW1101" s="180">
        <f t="shared" ca="1" si="635"/>
        <v>0.05</v>
      </c>
      <c r="AX1101" s="180">
        <f t="shared" ca="1" si="636"/>
        <v>0.05</v>
      </c>
      <c r="AY1101" s="286">
        <f t="shared" ca="1" si="637"/>
        <v>0</v>
      </c>
      <c r="AZ1101" s="286">
        <f t="shared" ca="1" si="638"/>
        <v>0</v>
      </c>
      <c r="BA1101" s="286">
        <f t="shared" ca="1" si="639"/>
        <v>0</v>
      </c>
      <c r="BB1101" s="286">
        <f t="shared" ca="1" si="640"/>
        <v>0</v>
      </c>
      <c r="BC1101" s="286">
        <f t="shared" ca="1" si="641"/>
        <v>0</v>
      </c>
      <c r="BD1101" s="180">
        <f t="shared" ca="1" si="642"/>
        <v>0.05</v>
      </c>
      <c r="BE1101" s="180">
        <f t="shared" ca="1" si="643"/>
        <v>0.05</v>
      </c>
      <c r="BF1101" s="286">
        <f t="shared" ca="1" si="644"/>
        <v>0</v>
      </c>
      <c r="BG1101" s="286">
        <f t="shared" ca="1" si="645"/>
        <v>0</v>
      </c>
    </row>
    <row r="1102" spans="1:59">
      <c r="A1102" s="1">
        <f t="shared" ca="1" si="625"/>
        <v>92</v>
      </c>
      <c r="B1102" s="1">
        <f t="shared" ca="1" si="619"/>
        <v>197</v>
      </c>
      <c r="C1102" s="1">
        <f t="shared" ca="1" si="620"/>
        <v>12</v>
      </c>
      <c r="D1102" s="1">
        <f ca="1">MIN($D$3,VLOOKUP(C1102,OP!$S$30:$T$41,2))</f>
        <v>2</v>
      </c>
      <c r="E1102" s="1" t="str">
        <f t="shared" ca="1" si="616"/>
        <v/>
      </c>
      <c r="F1102" s="11" t="str">
        <f t="shared" ca="1" si="626"/>
        <v/>
      </c>
      <c r="G1102" s="8">
        <f t="shared" ca="1" si="648"/>
        <v>365</v>
      </c>
      <c r="H1102" s="8">
        <f t="shared" ca="1" si="627"/>
        <v>31</v>
      </c>
      <c r="I1102" s="8" t="str">
        <f t="shared" ca="1" si="624"/>
        <v>9212</v>
      </c>
      <c r="J1102" s="13">
        <f>IF(繳費報酬率資料!$A$1=1,VALUE(OP!$C$121),VLOOKUP(A1102,MP,2,0))</f>
        <v>0.05</v>
      </c>
      <c r="K1102" s="14">
        <f ca="1">IF(SUM($K$4:K1101,IF(繳費報酬率資料!$A$1=1,$AU1102+$AV1102,$BB1102+$BC1102))&gt;OP!$L$58,0,IF(繳費報酬率資料!$A$1=1,$AU1102+$AV1102,$BB1102+$BC1102))</f>
        <v>0</v>
      </c>
      <c r="L1102" s="2"/>
      <c r="M1102" s="2"/>
      <c r="N1102" s="2"/>
      <c r="O1102" s="261">
        <f t="shared" ca="1" si="628"/>
        <v>0</v>
      </c>
      <c r="P1102" s="261">
        <f t="shared" ca="1" si="646"/>
        <v>0</v>
      </c>
      <c r="Q1102" s="3">
        <f ca="1">IF(A1102&gt;MAX(OP!$R$17:$R$26),0,VLOOKUP(A1102,fees,3,FALSE))</f>
        <v>0</v>
      </c>
      <c r="R1102" s="200" t="str">
        <f t="shared" ca="1" si="629"/>
        <v/>
      </c>
      <c r="S1102" s="9" t="str">
        <f ca="1">IF(COUNTIF(($T$4:T1101),"F")&gt;=1,"",IF(OR(C1103&lt;&gt;$C$3,E1102=""),"",A1102))</f>
        <v/>
      </c>
      <c r="T1102" s="20" t="str">
        <f t="shared" ca="1" si="617"/>
        <v/>
      </c>
      <c r="U1102" s="2">
        <f ca="1">IF(IF(OP!$C$83=1,$Z1101,IF(OP!$C$83=2,$AA1101,IF(OP!$C$83=3,$AB1101,)))+$K1102-$O1102-$P1102-$AS1102&lt;OP!$C$142,0,$AS1102)</f>
        <v>0</v>
      </c>
      <c r="V1102" s="9"/>
      <c r="W1102" s="19">
        <f ca="1">MAX(SUM($K$4:K1102),0)</f>
        <v>2000000</v>
      </c>
      <c r="X1102" s="19"/>
      <c r="Y1102" s="19">
        <f t="shared" ca="1" si="647"/>
        <v>1920000</v>
      </c>
      <c r="Z1102" s="2">
        <f ca="1">IF(MIN($Z$4:Z1101)=0,0,MAX(0,($Z1101+$K1102-$O1102-$P1102)*IF(AND(F1102="F",$D$3&lt;&gt;$G$3),((1+(-J1102))^(H1102/MIN(G1102,365))),((1+(-J1102))^(1/12)))-$U1102))</f>
        <v>17504.702994403746</v>
      </c>
      <c r="AA1102" s="2">
        <f ca="1">IF(MIN($AA$4:AA1101)=0,0,MAX(0,($AA1101+$K1102-$O1102-$P1102)*IF(AND(F1102="F",$D$3&lt;&gt;$G$3),((1+$AA$1)^(H1102/MIN(G1102,365))),((1+$AA$1)^(1/12)))-$U1102))</f>
        <v>1920000</v>
      </c>
      <c r="AB1102" s="2">
        <f ca="1">IF(MIN($AB$4:AB1101)=0,0,MAX(0,($AB1101+$K1102-$O1102-$P1102)*IF(AND(F1102="F",$D$3&lt;&gt;$G$3),((1+(J1102))^(H1102/MIN(G1102,365))),((1+(J1102))^(1/12)))-$U1102))</f>
        <v>167451047.45605382</v>
      </c>
      <c r="AC1102" s="5"/>
      <c r="AD1102" s="5"/>
      <c r="AE1102" s="5"/>
      <c r="AF1102" s="282">
        <f t="shared" ca="1" si="630"/>
        <v>17505</v>
      </c>
      <c r="AG1102" s="282">
        <f t="shared" ca="1" si="631"/>
        <v>1920000</v>
      </c>
      <c r="AH1102" s="282">
        <f t="shared" ca="1" si="632"/>
        <v>167451047</v>
      </c>
      <c r="AI1102" s="23" t="str">
        <f t="shared" ca="1" si="649"/>
        <v>92-8</v>
      </c>
      <c r="AJ1102" s="282">
        <f ca="1">IF(E1102&gt;111,,IF(AND(OP!$C$99=1,T1102="F"),Z1102,IF(AND(OP!$C$99=2,COUNTIF($T$4:T1102,"F")=1),OP!$C$97+IF(F1102="F",OP!$C$98,0),"")))</f>
        <v>0</v>
      </c>
      <c r="AK1102" s="282">
        <f ca="1">IF(E1102&gt;111,,IF(AND(OP!$D$99=1,T1102="F"),AA1102,IF(AND(OP!$D$99=2,COUNTIF($T$4:T1102,"F")=1),OP!$D$97+IF(F1102="F",OP!$D$98,0),"")))</f>
        <v>0</v>
      </c>
      <c r="AL1102" s="282">
        <f ca="1">IF(E1102&gt;111,,IF(AND(OP!$E$99=1,T1102="F"),AB1102,IF(AND(OP!$E$99=2,COUNTIF($T$4:T1102,"F")=1),OP!$E$97+IF(F1102="F",OP!$E$98,0),"")))</f>
        <v>0</v>
      </c>
      <c r="AM1102" s="1">
        <f t="shared" ca="1" si="618"/>
        <v>8</v>
      </c>
      <c r="AN1102" s="1" t="e">
        <f ca="1">IF(OR(VLOOKUP($A1102,MP,5,0)="半年繳",VLOOKUP($A1102,MP,5,0)="季繳",VLOOKUP($A1102,MP,5,0)="月繳"),1,"")</f>
        <v>#N/A</v>
      </c>
      <c r="AO1102" s="1">
        <f t="shared" ca="1" si="633"/>
        <v>0</v>
      </c>
      <c r="AP1102" s="1" t="str">
        <f ca="1">IF(AND(A1102&lt;=OP!$C$120,COUNTIF(PAY,C1102)=1),1,"")</f>
        <v/>
      </c>
      <c r="AR1102" s="301">
        <f ca="1">IF(繳費報酬率資料!$A$1=1,$AY1102+$AZ1102,$BF1102+$BG1102)</f>
        <v>0</v>
      </c>
      <c r="AS1102" s="1">
        <f ca="1">IF(C1102&lt;&gt;IF($C$3=1,12,$C$3-1),0,IF(繳費報酬率資料!$A$1&lt;&gt;1,VLOOKUP($A1102,MP,8,0),IF(AND($A1102&gt;=OP!$C$79,$A1102&lt;=OP!$C$80),OP!$C$78,)))</f>
        <v>0</v>
      </c>
      <c r="AT1102" s="298">
        <f t="shared" ca="1" si="634"/>
        <v>0</v>
      </c>
      <c r="AU1102" s="298">
        <f ca="1">IF(AND(A1102&lt;=OP!$C$120,COUNTIF(PAY,C1102)=1),OP!$C$123,0)</f>
        <v>0</v>
      </c>
      <c r="AV1102" s="298">
        <f ca="1">IF(AND(A1102&gt;=OP!$C$132,A1102&lt;=OP!$C$133,$C$3=C1102),OP!$C$135,0)</f>
        <v>0</v>
      </c>
      <c r="AW1102" s="180">
        <f t="shared" ca="1" si="635"/>
        <v>0.05</v>
      </c>
      <c r="AX1102" s="180">
        <f t="shared" ca="1" si="636"/>
        <v>0.05</v>
      </c>
      <c r="AY1102" s="286">
        <f t="shared" ca="1" si="637"/>
        <v>0</v>
      </c>
      <c r="AZ1102" s="286">
        <f t="shared" ca="1" si="638"/>
        <v>0</v>
      </c>
      <c r="BA1102" s="286">
        <f t="shared" ca="1" si="639"/>
        <v>0</v>
      </c>
      <c r="BB1102" s="286">
        <f t="shared" ca="1" si="640"/>
        <v>0</v>
      </c>
      <c r="BC1102" s="286">
        <f t="shared" ca="1" si="641"/>
        <v>0</v>
      </c>
      <c r="BD1102" s="180">
        <f t="shared" ca="1" si="642"/>
        <v>0.05</v>
      </c>
      <c r="BE1102" s="180">
        <f t="shared" ca="1" si="643"/>
        <v>0.05</v>
      </c>
      <c r="BF1102" s="286">
        <f t="shared" ca="1" si="644"/>
        <v>0</v>
      </c>
      <c r="BG1102" s="286">
        <f t="shared" ca="1" si="645"/>
        <v>0</v>
      </c>
    </row>
    <row r="1103" spans="1:59">
      <c r="A1103" s="1">
        <f t="shared" ca="1" si="625"/>
        <v>92</v>
      </c>
      <c r="B1103" s="1">
        <f t="shared" ca="1" si="619"/>
        <v>198</v>
      </c>
      <c r="C1103" s="1">
        <f t="shared" ca="1" si="620"/>
        <v>1</v>
      </c>
      <c r="D1103" s="1">
        <f ca="1">MIN($D$3,VLOOKUP(C1103,OP!$S$30:$T$41,2))</f>
        <v>2</v>
      </c>
      <c r="E1103" s="1" t="str">
        <f t="shared" ca="1" si="616"/>
        <v/>
      </c>
      <c r="F1103" s="11" t="str">
        <f t="shared" ca="1" si="626"/>
        <v/>
      </c>
      <c r="G1103" s="8">
        <f t="shared" ca="1" si="648"/>
        <v>365</v>
      </c>
      <c r="H1103" s="8">
        <f t="shared" ca="1" si="627"/>
        <v>31</v>
      </c>
      <c r="I1103" s="8" t="str">
        <f t="shared" ca="1" si="624"/>
        <v>921</v>
      </c>
      <c r="J1103" s="13">
        <f>IF(繳費報酬率資料!$A$1=1,VALUE(OP!$C$121),VLOOKUP(A1103,MP,2,0))</f>
        <v>0.05</v>
      </c>
      <c r="K1103" s="14">
        <f ca="1">IF(SUM($K$4:K1102,IF(繳費報酬率資料!$A$1=1,$AU1103+$AV1103,$BB1103+$BC1103))&gt;OP!$L$58,0,IF(繳費報酬率資料!$A$1=1,$AU1103+$AV1103,$BB1103+$BC1103))</f>
        <v>0</v>
      </c>
      <c r="L1103" s="2"/>
      <c r="M1103" s="2"/>
      <c r="N1103" s="2"/>
      <c r="O1103" s="261">
        <f t="shared" ca="1" si="628"/>
        <v>0</v>
      </c>
      <c r="P1103" s="261">
        <f t="shared" ca="1" si="646"/>
        <v>0</v>
      </c>
      <c r="Q1103" s="3">
        <f ca="1">IF(A1103&gt;MAX(OP!$R$17:$R$26),0,VLOOKUP(A1103,fees,3,FALSE))</f>
        <v>0</v>
      </c>
      <c r="R1103" s="200" t="str">
        <f t="shared" ca="1" si="629"/>
        <v/>
      </c>
      <c r="S1103" s="9" t="str">
        <f ca="1">IF(COUNTIF(($T$4:T1102),"F")&gt;=1,"",IF(OR(C1104&lt;&gt;$C$3,E1103=""),"",A1103))</f>
        <v/>
      </c>
      <c r="T1103" s="20" t="str">
        <f t="shared" ca="1" si="617"/>
        <v/>
      </c>
      <c r="U1103" s="2">
        <f ca="1">IF(IF(OP!$C$83=1,$Z1102,IF(OP!$C$83=2,$AA1102,IF(OP!$C$83=3,$AB1102,)))+$K1103-$O1103-$P1103-$AS1103&lt;OP!$C$142,0,$AS1103)</f>
        <v>0</v>
      </c>
      <c r="V1103" s="9"/>
      <c r="W1103" s="19">
        <f ca="1">MAX(SUM($K$4:K1103),0)</f>
        <v>2000000</v>
      </c>
      <c r="X1103" s="19"/>
      <c r="Y1103" s="19">
        <f t="shared" ca="1" si="647"/>
        <v>1920000</v>
      </c>
      <c r="Z1103" s="2">
        <f ca="1">IF(MIN($Z$4:Z1102)=0,0,MAX(0,($Z1102+$K1103-$O1103-$P1103)*IF(AND(F1103="F",$D$3&lt;&gt;$G$3),((1+(-J1103))^(H1103/MIN(G1103,365))),((1+(-J1103))^(1/12)))-$U1103))</f>
        <v>17430.039856026095</v>
      </c>
      <c r="AA1103" s="2">
        <f ca="1">IF(MIN($AA$4:AA1102)=0,0,MAX(0,($AA1102+$K1103-$O1103-$P1103)*IF(AND(F1103="F",$D$3&lt;&gt;$G$3),((1+$AA$1)^(H1103/MIN(G1103,365))),((1+$AA$1)^(1/12)))-$U1103))</f>
        <v>1920000</v>
      </c>
      <c r="AB1103" s="2">
        <f ca="1">IF(MIN($AB$4:AB1102)=0,0,MAX(0,($AB1102+$K1103-$O1103-$P1103)*IF(AND(F1103="F",$D$3&lt;&gt;$G$3),((1+(J1103))^(H1103/MIN(G1103,365))),((1+(J1103))^(1/12)))-$U1103))</f>
        <v>168133263.75109136</v>
      </c>
      <c r="AC1103" s="5"/>
      <c r="AD1103" s="5"/>
      <c r="AE1103" s="5"/>
      <c r="AF1103" s="282">
        <f t="shared" ca="1" si="630"/>
        <v>17430</v>
      </c>
      <c r="AG1103" s="282">
        <f t="shared" ca="1" si="631"/>
        <v>1920000</v>
      </c>
      <c r="AH1103" s="282">
        <f t="shared" ca="1" si="632"/>
        <v>168133264</v>
      </c>
      <c r="AI1103" s="23" t="str">
        <f t="shared" ca="1" si="649"/>
        <v>92-9</v>
      </c>
      <c r="AJ1103" s="282">
        <f ca="1">IF(E1103&gt;111,,IF(AND(OP!$C$99=1,T1103="F"),Z1103,IF(AND(OP!$C$99=2,COUNTIF($T$4:T1103,"F")=1),OP!$C$97+IF(F1103="F",OP!$C$98,0),"")))</f>
        <v>0</v>
      </c>
      <c r="AK1103" s="282">
        <f ca="1">IF(E1103&gt;111,,IF(AND(OP!$D$99=1,T1103="F"),AA1103,IF(AND(OP!$D$99=2,COUNTIF($T$4:T1103,"F")=1),OP!$D$97+IF(F1103="F",OP!$D$98,0),"")))</f>
        <v>0</v>
      </c>
      <c r="AL1103" s="282">
        <f ca="1">IF(E1103&gt;111,,IF(AND(OP!$E$99=1,T1103="F"),AB1103,IF(AND(OP!$E$99=2,COUNTIF($T$4:T1103,"F")=1),OP!$E$97+IF(F1103="F",OP!$E$98,0),"")))</f>
        <v>0</v>
      </c>
      <c r="AM1103" s="1">
        <f t="shared" ca="1" si="618"/>
        <v>9</v>
      </c>
      <c r="AN1103" s="1" t="e">
        <f ca="1">IF(OR(VLOOKUP($A1103,MP,5,0)="月繳"),1,"")</f>
        <v>#N/A</v>
      </c>
      <c r="AO1103" s="1">
        <f t="shared" ca="1" si="633"/>
        <v>0</v>
      </c>
      <c r="AP1103" s="1" t="str">
        <f ca="1">IF(AND(A1103&lt;=OP!$C$120,COUNTIF(PAY,C1103)=1),1,"")</f>
        <v/>
      </c>
      <c r="AR1103" s="301">
        <f ca="1">IF(繳費報酬率資料!$A$1=1,$AY1103+$AZ1103,$BF1103+$BG1103)</f>
        <v>0</v>
      </c>
      <c r="AS1103" s="1">
        <f ca="1">IF(C1103&lt;&gt;IF($C$3=1,12,$C$3-1),0,IF(繳費報酬率資料!$A$1&lt;&gt;1,VLOOKUP($A1103,MP,8,0),IF(AND($A1103&gt;=OP!$C$79,$A1103&lt;=OP!$C$80),OP!$C$78,)))</f>
        <v>0</v>
      </c>
      <c r="AT1103" s="298">
        <f t="shared" ca="1" si="634"/>
        <v>0</v>
      </c>
      <c r="AU1103" s="298">
        <f ca="1">IF(AND(A1103&lt;=OP!$C$120,COUNTIF(PAY,C1103)=1),OP!$C$123,0)</f>
        <v>0</v>
      </c>
      <c r="AV1103" s="298">
        <f ca="1">IF(AND(A1103&gt;=OP!$C$132,A1103&lt;=OP!$C$133,$C$3=C1103),OP!$C$135,0)</f>
        <v>0</v>
      </c>
      <c r="AW1103" s="180">
        <f t="shared" ca="1" si="635"/>
        <v>0.05</v>
      </c>
      <c r="AX1103" s="180">
        <f t="shared" ca="1" si="636"/>
        <v>0.05</v>
      </c>
      <c r="AY1103" s="286">
        <f t="shared" ca="1" si="637"/>
        <v>0</v>
      </c>
      <c r="AZ1103" s="286">
        <f t="shared" ca="1" si="638"/>
        <v>0</v>
      </c>
      <c r="BA1103" s="286">
        <f t="shared" ca="1" si="639"/>
        <v>0</v>
      </c>
      <c r="BB1103" s="286">
        <f t="shared" ca="1" si="640"/>
        <v>0</v>
      </c>
      <c r="BC1103" s="286">
        <f t="shared" ca="1" si="641"/>
        <v>0</v>
      </c>
      <c r="BD1103" s="180">
        <f t="shared" ca="1" si="642"/>
        <v>0.05</v>
      </c>
      <c r="BE1103" s="180">
        <f t="shared" ca="1" si="643"/>
        <v>0.05</v>
      </c>
      <c r="BF1103" s="286">
        <f t="shared" ca="1" si="644"/>
        <v>0</v>
      </c>
      <c r="BG1103" s="286">
        <f t="shared" ca="1" si="645"/>
        <v>0</v>
      </c>
    </row>
    <row r="1104" spans="1:59">
      <c r="A1104" s="1">
        <f t="shared" ca="1" si="625"/>
        <v>92</v>
      </c>
      <c r="B1104" s="1">
        <f t="shared" ca="1" si="619"/>
        <v>198</v>
      </c>
      <c r="C1104" s="1">
        <f t="shared" ca="1" si="620"/>
        <v>2</v>
      </c>
      <c r="D1104" s="1">
        <f ca="1">MIN($D$3,VLOOKUP(C1104,OP!$S$30:$T$41,2))</f>
        <v>2</v>
      </c>
      <c r="E1104" s="1" t="str">
        <f t="shared" ca="1" si="616"/>
        <v/>
      </c>
      <c r="F1104" s="11" t="str">
        <f t="shared" ca="1" si="626"/>
        <v/>
      </c>
      <c r="G1104" s="8">
        <f t="shared" ca="1" si="648"/>
        <v>365</v>
      </c>
      <c r="H1104" s="8">
        <f t="shared" ca="1" si="627"/>
        <v>28</v>
      </c>
      <c r="I1104" s="8" t="str">
        <f t="shared" ca="1" si="624"/>
        <v>922</v>
      </c>
      <c r="J1104" s="13">
        <f>IF(繳費報酬率資料!$A$1=1,VALUE(OP!$C$121),VLOOKUP(A1104,MP,2,0))</f>
        <v>0.05</v>
      </c>
      <c r="K1104" s="14">
        <f ca="1">IF(SUM($K$4:K1103,IF(繳費報酬率資料!$A$1=1,$AU1104+$AV1104,$BB1104+$BC1104))&gt;OP!$L$58,0,IF(繳費報酬率資料!$A$1=1,$AU1104+$AV1104,$BB1104+$BC1104))</f>
        <v>0</v>
      </c>
      <c r="L1104" s="2"/>
      <c r="M1104" s="2"/>
      <c r="N1104" s="2"/>
      <c r="O1104" s="261">
        <f t="shared" ca="1" si="628"/>
        <v>0</v>
      </c>
      <c r="P1104" s="261">
        <f t="shared" ca="1" si="646"/>
        <v>0</v>
      </c>
      <c r="Q1104" s="3">
        <f ca="1">IF(A1104&gt;MAX(OP!$R$17:$R$26),0,VLOOKUP(A1104,fees,3,FALSE))</f>
        <v>0</v>
      </c>
      <c r="R1104" s="200" t="str">
        <f t="shared" ca="1" si="629"/>
        <v/>
      </c>
      <c r="S1104" s="9" t="str">
        <f ca="1">IF(COUNTIF(($T$4:T1103),"F")&gt;=1,"",IF(OR(C1105&lt;&gt;$C$3,E1104=""),"",A1104))</f>
        <v/>
      </c>
      <c r="T1104" s="20" t="str">
        <f t="shared" ca="1" si="617"/>
        <v/>
      </c>
      <c r="U1104" s="2">
        <f ca="1">IF(IF(OP!$C$83=1,$Z1103,IF(OP!$C$83=2,$AA1103,IF(OP!$C$83=3,$AB1103,)))+$K1104-$O1104-$P1104-$AS1104&lt;OP!$C$142,0,$AS1104)</f>
        <v>0</v>
      </c>
      <c r="V1104" s="9"/>
      <c r="W1104" s="19">
        <f ca="1">MAX(SUM($K$4:K1104),0)</f>
        <v>2000000</v>
      </c>
      <c r="X1104" s="19"/>
      <c r="Y1104" s="19">
        <f t="shared" ca="1" si="647"/>
        <v>1920000</v>
      </c>
      <c r="Z1104" s="2">
        <f ca="1">IF(MIN($Z$4:Z1103)=0,0,MAX(0,($Z1103+$K1104-$O1104-$P1104)*IF(AND(F1104="F",$D$3&lt;&gt;$G$3),((1+(-J1104))^(H1104/MIN(G1104,365))),((1+(-J1104))^(1/12)))-$U1104))</f>
        <v>17355.695179734557</v>
      </c>
      <c r="AA1104" s="2">
        <f ca="1">IF(MIN($AA$4:AA1103)=0,0,MAX(0,($AA1103+$K1104-$O1104-$P1104)*IF(AND(F1104="F",$D$3&lt;&gt;$G$3),((1+$AA$1)^(H1104/MIN(G1104,365))),((1+$AA$1)^(1/12)))-$U1104))</f>
        <v>1920000</v>
      </c>
      <c r="AB1104" s="2">
        <f ca="1">IF(MIN($AB$4:AB1103)=0,0,MAX(0,($AB1103+$K1104-$O1104-$P1104)*IF(AND(F1104="F",$D$3&lt;&gt;$G$3),((1+(J1104))^(H1104/MIN(G1104,365))),((1+(J1104))^(1/12)))-$U1104))</f>
        <v>168818259.47976211</v>
      </c>
      <c r="AC1104" s="5"/>
      <c r="AD1104" s="5"/>
      <c r="AE1104" s="5"/>
      <c r="AF1104" s="282">
        <f t="shared" ca="1" si="630"/>
        <v>17356</v>
      </c>
      <c r="AG1104" s="282">
        <f t="shared" ca="1" si="631"/>
        <v>1920000</v>
      </c>
      <c r="AH1104" s="282">
        <f t="shared" ca="1" si="632"/>
        <v>168818259</v>
      </c>
      <c r="AI1104" s="23" t="str">
        <f t="shared" ca="1" si="649"/>
        <v>92-10</v>
      </c>
      <c r="AJ1104" s="282">
        <f ca="1">IF(E1104&gt;111,,IF(AND(OP!$C$99=1,T1104="F"),Z1104,IF(AND(OP!$C$99=2,COUNTIF($T$4:T1104,"F")=1),OP!$C$97+IF(F1104="F",OP!$C$98,0),"")))</f>
        <v>0</v>
      </c>
      <c r="AK1104" s="282">
        <f ca="1">IF(E1104&gt;111,,IF(AND(OP!$D$99=1,T1104="F"),AA1104,IF(AND(OP!$D$99=2,COUNTIF($T$4:T1104,"F")=1),OP!$D$97+IF(F1104="F",OP!$D$98,0),"")))</f>
        <v>0</v>
      </c>
      <c r="AL1104" s="282">
        <f ca="1">IF(E1104&gt;111,,IF(AND(OP!$E$99=1,T1104="F"),AB1104,IF(AND(OP!$E$99=2,COUNTIF($T$4:T1104,"F")=1),OP!$E$97+IF(F1104="F",OP!$E$98,0),"")))</f>
        <v>0</v>
      </c>
      <c r="AM1104" s="1">
        <f t="shared" ca="1" si="618"/>
        <v>10</v>
      </c>
      <c r="AN1104" s="1" t="e">
        <f ca="1">IF(OR(VLOOKUP($A1104,MP,5,0)="月繳"),1,"")</f>
        <v>#N/A</v>
      </c>
      <c r="AO1104" s="1">
        <f t="shared" ca="1" si="633"/>
        <v>0</v>
      </c>
      <c r="AP1104" s="1" t="str">
        <f ca="1">IF(AND(A1104&lt;=OP!$C$120,COUNTIF(PAY,C1104)=1),1,"")</f>
        <v/>
      </c>
      <c r="AR1104" s="301">
        <f ca="1">IF(繳費報酬率資料!$A$1=1,$AY1104+$AZ1104,$BF1104+$BG1104)</f>
        <v>0</v>
      </c>
      <c r="AS1104" s="1">
        <f ca="1">IF(C1104&lt;&gt;IF($C$3=1,12,$C$3-1),0,IF(繳費報酬率資料!$A$1&lt;&gt;1,VLOOKUP($A1104,MP,8,0),IF(AND($A1104&gt;=OP!$C$79,$A1104&lt;=OP!$C$80),OP!$C$78,)))</f>
        <v>0</v>
      </c>
      <c r="AT1104" s="298">
        <f t="shared" ca="1" si="634"/>
        <v>0</v>
      </c>
      <c r="AU1104" s="298">
        <f ca="1">IF(AND(A1104&lt;=OP!$C$120,COUNTIF(PAY,C1104)=1),OP!$C$123,0)</f>
        <v>0</v>
      </c>
      <c r="AV1104" s="298">
        <f ca="1">IF(AND(A1104&gt;=OP!$C$132,A1104&lt;=OP!$C$133,$C$3=C1104),OP!$C$135,0)</f>
        <v>0</v>
      </c>
      <c r="AW1104" s="180">
        <f t="shared" ca="1" si="635"/>
        <v>0.05</v>
      </c>
      <c r="AX1104" s="180">
        <f t="shared" ca="1" si="636"/>
        <v>0.05</v>
      </c>
      <c r="AY1104" s="286">
        <f t="shared" ca="1" si="637"/>
        <v>0</v>
      </c>
      <c r="AZ1104" s="286">
        <f t="shared" ca="1" si="638"/>
        <v>0</v>
      </c>
      <c r="BA1104" s="286">
        <f t="shared" ca="1" si="639"/>
        <v>0</v>
      </c>
      <c r="BB1104" s="286">
        <f t="shared" ca="1" si="640"/>
        <v>0</v>
      </c>
      <c r="BC1104" s="286">
        <f t="shared" ca="1" si="641"/>
        <v>0</v>
      </c>
      <c r="BD1104" s="180">
        <f t="shared" ca="1" si="642"/>
        <v>0.05</v>
      </c>
      <c r="BE1104" s="180">
        <f t="shared" ca="1" si="643"/>
        <v>0.05</v>
      </c>
      <c r="BF1104" s="286">
        <f t="shared" ca="1" si="644"/>
        <v>0</v>
      </c>
      <c r="BG1104" s="286">
        <f t="shared" ca="1" si="645"/>
        <v>0</v>
      </c>
    </row>
    <row r="1105" spans="1:59">
      <c r="A1105" s="1">
        <f t="shared" ca="1" si="625"/>
        <v>92</v>
      </c>
      <c r="B1105" s="1">
        <f t="shared" ca="1" si="619"/>
        <v>198</v>
      </c>
      <c r="C1105" s="1">
        <f t="shared" ca="1" si="620"/>
        <v>3</v>
      </c>
      <c r="D1105" s="1">
        <f ca="1">MIN($D$3,VLOOKUP(C1105,OP!$S$30:$T$41,2))</f>
        <v>2</v>
      </c>
      <c r="E1105" s="1" t="str">
        <f t="shared" ca="1" si="616"/>
        <v/>
      </c>
      <c r="F1105" s="11" t="str">
        <f t="shared" ca="1" si="626"/>
        <v/>
      </c>
      <c r="G1105" s="8">
        <f t="shared" ca="1" si="648"/>
        <v>365</v>
      </c>
      <c r="H1105" s="8">
        <f t="shared" ca="1" si="627"/>
        <v>31</v>
      </c>
      <c r="I1105" s="8" t="str">
        <f t="shared" ca="1" si="624"/>
        <v>923</v>
      </c>
      <c r="J1105" s="13">
        <f>IF(繳費報酬率資料!$A$1=1,VALUE(OP!$C$121),VLOOKUP(A1105,MP,2,0))</f>
        <v>0.05</v>
      </c>
      <c r="K1105" s="14">
        <f ca="1">IF(SUM($K$4:K1104,IF(繳費報酬率資料!$A$1=1,$AU1105+$AV1105,$BB1105+$BC1105))&gt;OP!$L$58,0,IF(繳費報酬率資料!$A$1=1,$AU1105+$AV1105,$BB1105+$BC1105))</f>
        <v>0</v>
      </c>
      <c r="L1105" s="2"/>
      <c r="M1105" s="2"/>
      <c r="N1105" s="2"/>
      <c r="O1105" s="261">
        <f t="shared" ca="1" si="628"/>
        <v>0</v>
      </c>
      <c r="P1105" s="261">
        <f t="shared" ca="1" si="646"/>
        <v>0</v>
      </c>
      <c r="Q1105" s="3">
        <f ca="1">IF(A1105&gt;MAX(OP!$R$17:$R$26),0,VLOOKUP(A1105,fees,3,FALSE))</f>
        <v>0</v>
      </c>
      <c r="R1105" s="200" t="str">
        <f t="shared" ca="1" si="629"/>
        <v/>
      </c>
      <c r="S1105" s="9" t="str">
        <f ca="1">IF(COUNTIF(($T$4:T1104),"F")&gt;=1,"",IF(OR(C1106&lt;&gt;$C$3,E1105=""),"",A1105))</f>
        <v/>
      </c>
      <c r="T1105" s="20" t="str">
        <f t="shared" ca="1" si="617"/>
        <v/>
      </c>
      <c r="U1105" s="2">
        <f ca="1">IF(IF(OP!$C$83=1,$Z1104,IF(OP!$C$83=2,$AA1104,IF(OP!$C$83=3,$AB1104,)))+$K1105-$O1105-$P1105-$AS1105&lt;OP!$C$142,0,$AS1105)</f>
        <v>0</v>
      </c>
      <c r="V1105" s="9"/>
      <c r="W1105" s="19">
        <f ca="1">MAX(SUM($K$4:K1105),0)</f>
        <v>2000000</v>
      </c>
      <c r="X1105" s="19"/>
      <c r="Y1105" s="19">
        <f t="shared" ca="1" si="647"/>
        <v>1920000</v>
      </c>
      <c r="Z1105" s="2">
        <f ca="1">IF(MIN($Z$4:Z1104)=0,0,MAX(0,($Z1104+$K1105-$O1105-$P1105)*IF(AND(F1105="F",$D$3&lt;&gt;$G$3),((1+(-J1105))^(H1105/MIN(G1105,365))),((1+(-J1105))^(1/12)))-$U1105))</f>
        <v>17281.667607186817</v>
      </c>
      <c r="AA1105" s="2">
        <f ca="1">IF(MIN($AA$4:AA1104)=0,0,MAX(0,($AA1104+$K1105-$O1105-$P1105)*IF(AND(F1105="F",$D$3&lt;&gt;$G$3),((1+$AA$1)^(H1105/MIN(G1105,365))),((1+$AA$1)^(1/12)))-$U1105))</f>
        <v>1920000</v>
      </c>
      <c r="AB1105" s="2">
        <f ca="1">IF(MIN($AB$4:AB1104)=0,0,MAX(0,($AB1104+$K1105-$O1105-$P1105)*IF(AND(F1105="F",$D$3&lt;&gt;$G$3),((1+(J1105))^(H1105/MIN(G1105,365))),((1+(J1105))^(1/12)))-$U1105))</f>
        <v>169506045.96582273</v>
      </c>
      <c r="AC1105" s="5"/>
      <c r="AD1105" s="5"/>
      <c r="AE1105" s="5"/>
      <c r="AF1105" s="282">
        <f t="shared" ca="1" si="630"/>
        <v>17282</v>
      </c>
      <c r="AG1105" s="282">
        <f t="shared" ca="1" si="631"/>
        <v>1920000</v>
      </c>
      <c r="AH1105" s="282">
        <f t="shared" ca="1" si="632"/>
        <v>169506046</v>
      </c>
      <c r="AI1105" s="23" t="str">
        <f t="shared" ca="1" si="649"/>
        <v>92-11</v>
      </c>
      <c r="AJ1105" s="282">
        <f ca="1">IF(E1105&gt;111,,IF(AND(OP!$C$99=1,T1105="F"),Z1105,IF(AND(OP!$C$99=2,COUNTIF($T$4:T1105,"F")=1),OP!$C$97+IF(F1105="F",OP!$C$98,0),"")))</f>
        <v>0</v>
      </c>
      <c r="AK1105" s="282">
        <f ca="1">IF(E1105&gt;111,,IF(AND(OP!$D$99=1,T1105="F"),AA1105,IF(AND(OP!$D$99=2,COUNTIF($T$4:T1105,"F")=1),OP!$D$97+IF(F1105="F",OP!$D$98,0),"")))</f>
        <v>0</v>
      </c>
      <c r="AL1105" s="282">
        <f ca="1">IF(E1105&gt;111,,IF(AND(OP!$E$99=1,T1105="F"),AB1105,IF(AND(OP!$E$99=2,COUNTIF($T$4:T1105,"F")=1),OP!$E$97+IF(F1105="F",OP!$E$98,0),"")))</f>
        <v>0</v>
      </c>
      <c r="AM1105" s="1">
        <f t="shared" ca="1" si="618"/>
        <v>11</v>
      </c>
      <c r="AN1105" s="1" t="e">
        <f ca="1">IF(OR(VLOOKUP($A1105,MP,5,0)="季繳",VLOOKUP($A1105,MP,5,0)="月繳"),1,"")</f>
        <v>#N/A</v>
      </c>
      <c r="AO1105" s="1">
        <f t="shared" ca="1" si="633"/>
        <v>0</v>
      </c>
      <c r="AP1105" s="1" t="str">
        <f ca="1">IF(AND(A1105&lt;=OP!$C$120,COUNTIF(PAY,C1105)=1),1,"")</f>
        <v/>
      </c>
      <c r="AR1105" s="301">
        <f ca="1">IF(繳費報酬率資料!$A$1=1,$AY1105+$AZ1105,$BF1105+$BG1105)</f>
        <v>0</v>
      </c>
      <c r="AS1105" s="1">
        <f ca="1">IF(C1105&lt;&gt;IF($C$3=1,12,$C$3-1),0,IF(繳費報酬率資料!$A$1&lt;&gt;1,VLOOKUP($A1105,MP,8,0),IF(AND($A1105&gt;=OP!$C$79,$A1105&lt;=OP!$C$80),OP!$C$78,)))</f>
        <v>0</v>
      </c>
      <c r="AT1105" s="298">
        <f t="shared" ca="1" si="634"/>
        <v>0</v>
      </c>
      <c r="AU1105" s="298">
        <f ca="1">IF(AND(A1105&lt;=OP!$C$120,COUNTIF(PAY,C1105)=1),OP!$C$123,0)</f>
        <v>0</v>
      </c>
      <c r="AV1105" s="298">
        <f ca="1">IF(AND(A1105&gt;=OP!$C$132,A1105&lt;=OP!$C$133,$C$3=C1105),OP!$C$135,0)</f>
        <v>0</v>
      </c>
      <c r="AW1105" s="180">
        <f t="shared" ca="1" si="635"/>
        <v>0.05</v>
      </c>
      <c r="AX1105" s="180">
        <f t="shared" ca="1" si="636"/>
        <v>0.05</v>
      </c>
      <c r="AY1105" s="286">
        <f t="shared" ca="1" si="637"/>
        <v>0</v>
      </c>
      <c r="AZ1105" s="286">
        <f t="shared" ca="1" si="638"/>
        <v>0</v>
      </c>
      <c r="BA1105" s="286">
        <f t="shared" ca="1" si="639"/>
        <v>0</v>
      </c>
      <c r="BB1105" s="286">
        <f t="shared" ca="1" si="640"/>
        <v>0</v>
      </c>
      <c r="BC1105" s="286">
        <f t="shared" ca="1" si="641"/>
        <v>0</v>
      </c>
      <c r="BD1105" s="180">
        <f t="shared" ca="1" si="642"/>
        <v>0.05</v>
      </c>
      <c r="BE1105" s="180">
        <f t="shared" ca="1" si="643"/>
        <v>0.05</v>
      </c>
      <c r="BF1105" s="286">
        <f t="shared" ca="1" si="644"/>
        <v>0</v>
      </c>
      <c r="BG1105" s="286">
        <f t="shared" ca="1" si="645"/>
        <v>0</v>
      </c>
    </row>
    <row r="1106" spans="1:59">
      <c r="A1106" s="1">
        <f t="shared" ca="1" si="625"/>
        <v>92</v>
      </c>
      <c r="B1106" s="1">
        <f t="shared" ca="1" si="619"/>
        <v>198</v>
      </c>
      <c r="C1106" s="1">
        <f t="shared" ca="1" si="620"/>
        <v>4</v>
      </c>
      <c r="D1106" s="1">
        <f ca="1">MIN($D$3,VLOOKUP(C1106,OP!$S$30:$T$41,2))</f>
        <v>2</v>
      </c>
      <c r="E1106" s="1" t="str">
        <f t="shared" ca="1" si="616"/>
        <v/>
      </c>
      <c r="F1106" s="11" t="str">
        <f t="shared" ca="1" si="626"/>
        <v/>
      </c>
      <c r="G1106" s="8">
        <f t="shared" ca="1" si="648"/>
        <v>365</v>
      </c>
      <c r="H1106" s="8">
        <f t="shared" ca="1" si="627"/>
        <v>30</v>
      </c>
      <c r="I1106" s="8" t="str">
        <f t="shared" ca="1" si="624"/>
        <v>924</v>
      </c>
      <c r="J1106" s="13">
        <f>IF(繳費報酬率資料!$A$1=1,VALUE(OP!$C$121),VLOOKUP(A1106,MP,2,0))</f>
        <v>0.05</v>
      </c>
      <c r="K1106" s="14">
        <f ca="1">IF(SUM($K$4:K1105,IF(繳費報酬率資料!$A$1=1,$AU1106+$AV1106,$BB1106+$BC1106))&gt;OP!$L$58,0,IF(繳費報酬率資料!$A$1=1,$AU1106+$AV1106,$BB1106+$BC1106))</f>
        <v>0</v>
      </c>
      <c r="L1106" s="2"/>
      <c r="M1106" s="2"/>
      <c r="N1106" s="2"/>
      <c r="O1106" s="261">
        <f t="shared" ca="1" si="628"/>
        <v>0</v>
      </c>
      <c r="P1106" s="261">
        <f t="shared" ca="1" si="646"/>
        <v>0</v>
      </c>
      <c r="Q1106" s="3">
        <f ca="1">IF(A1106&gt;MAX(OP!$R$17:$R$26),0,VLOOKUP(A1106,fees,3,FALSE))</f>
        <v>0</v>
      </c>
      <c r="R1106" s="200" t="str">
        <f t="shared" ca="1" si="629"/>
        <v/>
      </c>
      <c r="S1106" s="9" t="str">
        <f ca="1">IF(COUNTIF(($T$4:T1105),"F")&gt;=1,"",IF(OR(C1107&lt;&gt;$C$3,E1106=""),"",A1106))</f>
        <v/>
      </c>
      <c r="T1106" s="20" t="str">
        <f t="shared" ca="1" si="617"/>
        <v/>
      </c>
      <c r="U1106" s="2">
        <f ca="1">IF(IF(OP!$C$83=1,$Z1105,IF(OP!$C$83=2,$AA1105,IF(OP!$C$83=3,$AB1105,)))+$K1106-$O1106-$P1106-$AS1106&lt;OP!$C$142,0,$AS1106)</f>
        <v>0</v>
      </c>
      <c r="V1106" s="9"/>
      <c r="W1106" s="19">
        <f ca="1">MAX(SUM($K$4:K1106),0)</f>
        <v>2000000</v>
      </c>
      <c r="X1106" s="19"/>
      <c r="Y1106" s="19">
        <f t="shared" ca="1" si="647"/>
        <v>1920000</v>
      </c>
      <c r="Z1106" s="2">
        <f ca="1">IF(MIN($Z$4:Z1105)=0,0,MAX(0,($Z1105+$K1106-$O1106-$P1106)*IF(AND(F1106="F",$D$3&lt;&gt;$G$3),((1+(-J1106))^(H1106/MIN(G1106,365))),((1+(-J1106))^(1/12)))-$U1106))</f>
        <v>17207.955785834321</v>
      </c>
      <c r="AA1106" s="2">
        <f ca="1">IF(MIN($AA$4:AA1105)=0,0,MAX(0,($AA1105+$K1106-$O1106-$P1106)*IF(AND(F1106="F",$D$3&lt;&gt;$G$3),((1+$AA$1)^(H1106/MIN(G1106,365))),((1+$AA$1)^(1/12)))-$U1106))</f>
        <v>1920000</v>
      </c>
      <c r="AB1106" s="2">
        <f ca="1">IF(MIN($AB$4:AB1105)=0,0,MAX(0,($AB1105+$K1106-$O1106-$P1106)*IF(AND(F1106="F",$D$3&lt;&gt;$G$3),((1+(J1106))^(H1106/MIN(G1106,365))),((1+(J1106))^(1/12)))-$U1106))</f>
        <v>170196634.57916427</v>
      </c>
      <c r="AC1106" s="5"/>
      <c r="AD1106" s="5"/>
      <c r="AE1106" s="5"/>
      <c r="AF1106" s="282">
        <f t="shared" ca="1" si="630"/>
        <v>17208</v>
      </c>
      <c r="AG1106" s="282">
        <f t="shared" ca="1" si="631"/>
        <v>1920000</v>
      </c>
      <c r="AH1106" s="282">
        <f t="shared" ca="1" si="632"/>
        <v>170196635</v>
      </c>
      <c r="AI1106" s="23" t="str">
        <f t="shared" ca="1" si="649"/>
        <v>92-12</v>
      </c>
      <c r="AJ1106" s="282">
        <f ca="1">IF(E1106&gt;111,,IF(AND(OP!$C$99=1,T1106="F"),Z1106,IF(AND(OP!$C$99=2,COUNTIF($T$4:T1106,"F")=1),OP!$C$97+IF(F1106="F",OP!$C$98,0),"")))</f>
        <v>0</v>
      </c>
      <c r="AK1106" s="282">
        <f ca="1">IF(E1106&gt;111,,IF(AND(OP!$D$99=1,T1106="F"),AA1106,IF(AND(OP!$D$99=2,COUNTIF($T$4:T1106,"F")=1),OP!$D$97+IF(F1106="F",OP!$D$98,0),"")))</f>
        <v>0</v>
      </c>
      <c r="AL1106" s="282">
        <f ca="1">IF(E1106&gt;111,,IF(AND(OP!$E$99=1,T1106="F"),AB1106,IF(AND(OP!$E$99=2,COUNTIF($T$4:T1106,"F")=1),OP!$E$97+IF(F1106="F",OP!$E$98,0),"")))</f>
        <v>0</v>
      </c>
      <c r="AM1106" s="1">
        <f t="shared" ca="1" si="618"/>
        <v>12</v>
      </c>
      <c r="AN1106" s="1" t="e">
        <f ca="1">IF(OR(VLOOKUP($A1106,MP,5,0)="月繳"),1,"")</f>
        <v>#N/A</v>
      </c>
      <c r="AO1106" s="1">
        <f t="shared" ca="1" si="633"/>
        <v>0</v>
      </c>
      <c r="AP1106" s="1" t="str">
        <f ca="1">IF(AND(A1106&lt;=OP!$C$120,COUNTIF(PAY,C1106)=1),1,"")</f>
        <v/>
      </c>
      <c r="AR1106" s="301">
        <f ca="1">IF(繳費報酬率資料!$A$1=1,$AY1106+$AZ1106,$BF1106+$BG1106)</f>
        <v>0</v>
      </c>
      <c r="AS1106" s="1">
        <f ca="1">IF(C1106&lt;&gt;IF($C$3=1,12,$C$3-1),0,IF(繳費報酬率資料!$A$1&lt;&gt;1,VLOOKUP($A1106,MP,8,0),IF(AND($A1106&gt;=OP!$C$79,$A1106&lt;=OP!$C$80),OP!$C$78,)))</f>
        <v>0</v>
      </c>
      <c r="AT1106" s="298">
        <f t="shared" ca="1" si="634"/>
        <v>0</v>
      </c>
      <c r="AU1106" s="298">
        <f ca="1">IF(AND(A1106&lt;=OP!$C$120,COUNTIF(PAY,C1106)=1),OP!$C$123,0)</f>
        <v>0</v>
      </c>
      <c r="AV1106" s="298">
        <f ca="1">IF(AND(A1106&gt;=OP!$C$132,A1106&lt;=OP!$C$133,$C$3=C1106),OP!$C$135,0)</f>
        <v>0</v>
      </c>
      <c r="AW1106" s="180">
        <f t="shared" ca="1" si="635"/>
        <v>0.05</v>
      </c>
      <c r="AX1106" s="180">
        <f t="shared" ca="1" si="636"/>
        <v>0.05</v>
      </c>
      <c r="AY1106" s="286">
        <f t="shared" ca="1" si="637"/>
        <v>0</v>
      </c>
      <c r="AZ1106" s="286">
        <f t="shared" ca="1" si="638"/>
        <v>0</v>
      </c>
      <c r="BA1106" s="286">
        <f t="shared" ca="1" si="639"/>
        <v>0</v>
      </c>
      <c r="BB1106" s="286">
        <f t="shared" ca="1" si="640"/>
        <v>0</v>
      </c>
      <c r="BC1106" s="286">
        <f t="shared" ca="1" si="641"/>
        <v>0</v>
      </c>
      <c r="BD1106" s="180">
        <f t="shared" ca="1" si="642"/>
        <v>0.05</v>
      </c>
      <c r="BE1106" s="180">
        <f t="shared" ca="1" si="643"/>
        <v>0.05</v>
      </c>
      <c r="BF1106" s="286">
        <f t="shared" ca="1" si="644"/>
        <v>0</v>
      </c>
      <c r="BG1106" s="286">
        <f t="shared" ca="1" si="645"/>
        <v>0</v>
      </c>
    </row>
    <row r="1107" spans="1:59">
      <c r="A1107" s="1">
        <f t="shared" ca="1" si="625"/>
        <v>92</v>
      </c>
      <c r="B1107" s="1">
        <f t="shared" ca="1" si="619"/>
        <v>198</v>
      </c>
      <c r="C1107" s="1">
        <f t="shared" ca="1" si="620"/>
        <v>5</v>
      </c>
      <c r="D1107" s="1">
        <f ca="1">MIN($D$3,VLOOKUP(C1107,OP!$S$30:$T$41,2))</f>
        <v>2</v>
      </c>
      <c r="E1107" s="1" t="str">
        <f t="shared" ca="1" si="616"/>
        <v/>
      </c>
      <c r="F1107" s="11" t="str">
        <f t="shared" ca="1" si="626"/>
        <v/>
      </c>
      <c r="G1107" s="8">
        <f t="shared" ca="1" si="648"/>
        <v>365</v>
      </c>
      <c r="H1107" s="8">
        <f t="shared" ca="1" si="627"/>
        <v>31</v>
      </c>
      <c r="I1107" s="8" t="str">
        <f t="shared" ca="1" si="624"/>
        <v>925</v>
      </c>
      <c r="J1107" s="13">
        <f>IF(繳費報酬率資料!$A$1=1,VALUE(OP!$C$121),VLOOKUP(A1107,MP,2,0))</f>
        <v>0.05</v>
      </c>
      <c r="K1107" s="14">
        <f ca="1">IF(SUM($K$4:K1106,IF(繳費報酬率資料!$A$1=1,$AU1107+$AV1107,$BB1107+$BC1107))&gt;OP!$L$58,0,IF(繳費報酬率資料!$A$1=1,$AU1107+$AV1107,$BB1107+$BC1107))</f>
        <v>0</v>
      </c>
      <c r="L1107" s="2">
        <f ca="1">ROUND(IF(OP!$C$78&lt;(IF(OR($T1107="F",$E1107&gt;=111),0,Z1106+$K1107-$O1107+IF($C$1=1,OP!$C$78,IF($C1108=$C$3,SUM(AC1096:AC1107,0)))))*5%,0,(OP!$C$78-((IF(OR($T1107="F",$E1107&gt;=111),0,Z1106+$K1107-$O1107+IF($C$1=1,AC1107,IF($C1108=$C$3,SUM(AC1096:AC1107,0)))))*5%))*$Q1107),0)</f>
        <v>0</v>
      </c>
      <c r="M1107" s="2">
        <f ca="1">ROUND(IF(OP!$C$78&lt;(IF(OR($T1107="F",$E1107&gt;=111),0,AA1106+$K1107-$O1107+IF($C$1=1,AD1107,IF($C1108=$C$3,SUM(AD1096:AD1107,0)))))*5%,0,(OP!$C$78-((IF(OR($T1107="F",$E1107&gt;=111),0,AA1106+$K1107-$O1107+IF($C$1=1,AD1107,IF($C1108=$C$3,SUM(AD1096:AD1107,0)))))*5%))*$Q1107),0)</f>
        <v>0</v>
      </c>
      <c r="N1107" s="2">
        <f ca="1">ROUND(IF(OP!$C$78&lt;(IF(OR($T1107="F",$E1107&gt;=111),0,AB1106+$K1107-$O1107+IF($C$1=1,AE1107,IF($C1108=$C$3,SUM(AE1096:AE1107,0)))))*5%,0,(OP!$C$78-((IF(OR($T1107="F",$E1107&gt;=111),0,AB1106+$K1107-$O1107+IF($C$1=1,AE1107,IF($C1108=$C$3,SUM(AE1096:AE1107,0)))))*5%))*$Q1107),0)</f>
        <v>0</v>
      </c>
      <c r="O1107" s="261">
        <f t="shared" ca="1" si="628"/>
        <v>0</v>
      </c>
      <c r="P1107" s="261">
        <f t="shared" ca="1" si="646"/>
        <v>0</v>
      </c>
      <c r="Q1107" s="3">
        <f ca="1">IF(A1107&gt;MAX(OP!$R$17:$R$26),0,VLOOKUP(A1107,fees,3,FALSE))</f>
        <v>0</v>
      </c>
      <c r="R1107" s="200" t="str">
        <f t="shared" ca="1" si="629"/>
        <v/>
      </c>
      <c r="S1107" s="9" t="str">
        <f ca="1">IF(COUNTIF(($T$4:T1106),"F")&gt;=1,"",IF(OR(C1108&lt;&gt;$C$3,E1107=""),"",A1107))</f>
        <v/>
      </c>
      <c r="T1107" s="20" t="str">
        <f t="shared" ca="1" si="617"/>
        <v/>
      </c>
      <c r="U1107" s="2">
        <f ca="1">IF(IF(OP!$C$83=1,$Z1106,IF(OP!$C$83=2,$AA1106,IF(OP!$C$83=3,$AB1106,)))+$K1107-$O1107-$P1107-$AS1107&lt;OP!$C$142,0,$AS1107)</f>
        <v>0</v>
      </c>
      <c r="V1107" s="19">
        <f ca="1">SUM(K1096:K1107)</f>
        <v>0</v>
      </c>
      <c r="W1107" s="19">
        <f ca="1">MAX(SUM($K$4:K1107),0)</f>
        <v>2000000</v>
      </c>
      <c r="X1107" s="19">
        <f ca="1">SUM(O1096:P1107)</f>
        <v>0</v>
      </c>
      <c r="Y1107" s="19">
        <f t="shared" ca="1" si="647"/>
        <v>1920000</v>
      </c>
      <c r="Z1107" s="2">
        <f ca="1">IF(MIN($Z$4:Z1106)=0,0,MAX(0,($Z1106+$K1107-$O1107-$P1107)*IF(AND(F1107="F",$D$3&lt;&gt;$G$3),((1+(-J1107))^(H1107/MIN(G1107,365))),((1+(-J1107))^(1/12)))-$U1107))</f>
        <v>17134.558368897568</v>
      </c>
      <c r="AA1107" s="2">
        <f ca="1">IF(MIN($AA$4:AA1106)=0,0,MAX(0,($AA1106+$K1107-$O1107-$P1107)*IF(AND(F1107="F",$D$3&lt;&gt;$G$3),((1+$AA$1)^(H1107/MIN(G1107,365))),((1+$AA$1)^(1/12)))-$U1107))</f>
        <v>1920000</v>
      </c>
      <c r="AB1107" s="2">
        <f ca="1">IF(MIN($AB$4:AB1106)=0,0,MAX(0,($AB1106+$K1107-$O1107-$P1107)*IF(AND(F1107="F",$D$3&lt;&gt;$G$3),((1+(J1107))^(H1107/MIN(G1107,365))),((1+(J1107))^(1/12)))-$U1107))</f>
        <v>170890036.73600015</v>
      </c>
      <c r="AC1107" s="5"/>
      <c r="AD1107" s="5"/>
      <c r="AE1107" s="5"/>
      <c r="AF1107" s="282">
        <f t="shared" ca="1" si="630"/>
        <v>17135</v>
      </c>
      <c r="AG1107" s="282">
        <f t="shared" ca="1" si="631"/>
        <v>1920000</v>
      </c>
      <c r="AH1107" s="282">
        <f t="shared" ca="1" si="632"/>
        <v>170890037</v>
      </c>
      <c r="AI1107" s="23" t="str">
        <f t="shared" ca="1" si="649"/>
        <v>93-1</v>
      </c>
      <c r="AJ1107" s="282">
        <f ca="1">IF(E1107&gt;111,,IF(AND(OP!$C$99=1,T1107="F"),Z1107,IF(AND(OP!$C$99=2,COUNTIF($T$4:T1107,"F")=1),OP!$C$97+IF(F1107="F",OP!$C$98,0),"")))</f>
        <v>0</v>
      </c>
      <c r="AK1107" s="282">
        <f ca="1">IF(E1107&gt;111,,IF(AND(OP!$D$99=1,T1107="F"),AA1107,IF(AND(OP!$D$99=2,COUNTIF($T$4:T1107,"F")=1),OP!$D$97+IF(F1107="F",OP!$D$98,0),"")))</f>
        <v>0</v>
      </c>
      <c r="AL1107" s="282">
        <f ca="1">IF(E1107&gt;111,,IF(AND(OP!$E$99=1,T1107="F"),AB1107,IF(AND(OP!$E$99=2,COUNTIF($T$4:T1107,"F")=1),OP!$E$97+IF(F1107="F",OP!$E$98,0),"")))</f>
        <v>0</v>
      </c>
      <c r="AM1107" s="1">
        <f t="shared" ca="1" si="618"/>
        <v>1</v>
      </c>
      <c r="AN1107" s="1" t="e">
        <f ca="1">IF(OR(VLOOKUP($A1107,MP,5,0)="月繳"),1,"")</f>
        <v>#N/A</v>
      </c>
      <c r="AO1107" s="1">
        <f t="shared" ca="1" si="633"/>
        <v>0</v>
      </c>
      <c r="AP1107" s="1" t="str">
        <f ca="1">IF(AND(A1107&lt;=OP!$C$120,COUNTIF(PAY,C1107)=1),1,"")</f>
        <v/>
      </c>
      <c r="AR1107" s="301">
        <f ca="1">IF(繳費報酬率資料!$A$1=1,$AY1107+$AZ1107,$BF1107+$BG1107)</f>
        <v>0</v>
      </c>
      <c r="AS1107" s="1">
        <f ca="1">IF(C1107&lt;&gt;IF($C$3=1,12,$C$3-1),0,IF(繳費報酬率資料!$A$1&lt;&gt;1,VLOOKUP($A1107,MP,8,0),IF(AND($A1107&gt;=OP!$C$79,$A1107&lt;=OP!$C$80),OP!$C$78,)))</f>
        <v>0</v>
      </c>
      <c r="AT1107" s="298">
        <f t="shared" ca="1" si="634"/>
        <v>0</v>
      </c>
      <c r="AU1107" s="298">
        <f ca="1">IF(AND(A1107&lt;=OP!$C$120,COUNTIF(PAY,C1107)=1),OP!$C$123,0)</f>
        <v>0</v>
      </c>
      <c r="AV1107" s="298">
        <f ca="1">IF(AND(A1107&gt;=OP!$C$132,A1107&lt;=OP!$C$133,$C$3=C1107),OP!$C$135,0)</f>
        <v>0</v>
      </c>
      <c r="AW1107" s="180">
        <f t="shared" ca="1" si="635"/>
        <v>0.05</v>
      </c>
      <c r="AX1107" s="180">
        <f t="shared" ca="1" si="636"/>
        <v>0.05</v>
      </c>
      <c r="AY1107" s="286">
        <f t="shared" ca="1" si="637"/>
        <v>0</v>
      </c>
      <c r="AZ1107" s="286">
        <f t="shared" ca="1" si="638"/>
        <v>0</v>
      </c>
      <c r="BA1107" s="286">
        <f t="shared" ca="1" si="639"/>
        <v>0</v>
      </c>
      <c r="BB1107" s="286">
        <f t="shared" ca="1" si="640"/>
        <v>0</v>
      </c>
      <c r="BC1107" s="286">
        <f t="shared" ca="1" si="641"/>
        <v>0</v>
      </c>
      <c r="BD1107" s="180">
        <f t="shared" ca="1" si="642"/>
        <v>0.05</v>
      </c>
      <c r="BE1107" s="180">
        <f t="shared" ca="1" si="643"/>
        <v>0.05</v>
      </c>
      <c r="BF1107" s="286">
        <f t="shared" ca="1" si="644"/>
        <v>0</v>
      </c>
      <c r="BG1107" s="286">
        <f t="shared" ca="1" si="645"/>
        <v>0</v>
      </c>
    </row>
    <row r="1108" spans="1:59">
      <c r="A1108" s="1">
        <f t="shared" ca="1" si="625"/>
        <v>93</v>
      </c>
      <c r="B1108" s="1">
        <f t="shared" ca="1" si="619"/>
        <v>198</v>
      </c>
      <c r="C1108" s="1">
        <f t="shared" ca="1" si="620"/>
        <v>6</v>
      </c>
      <c r="D1108" s="1">
        <f ca="1">MIN($D$3,VLOOKUP(C1108,OP!$S$30:$T$41,2))</f>
        <v>2</v>
      </c>
      <c r="E1108" s="1" t="str">
        <f t="shared" ca="1" si="616"/>
        <v/>
      </c>
      <c r="F1108" s="11" t="str">
        <f t="shared" ca="1" si="626"/>
        <v/>
      </c>
      <c r="G1108" s="6">
        <f ca="1">DATEDIF(DATE(B1108+1911,C1108,D1108),DATE(B1120+1911,C1120,D1120),"d")</f>
        <v>365</v>
      </c>
      <c r="H1108" s="8">
        <f t="shared" ca="1" si="627"/>
        <v>30</v>
      </c>
      <c r="I1108" s="8" t="str">
        <f t="shared" ca="1" si="624"/>
        <v>936</v>
      </c>
      <c r="J1108" s="13">
        <f>IF(繳費報酬率資料!$A$1=1,VALUE(OP!$C$121),VLOOKUP(A1108,MP,2,0))</f>
        <v>0.05</v>
      </c>
      <c r="K1108" s="14">
        <f ca="1">IF(SUM($K$4:K1107,IF(繳費報酬率資料!$A$1=1,$AU1108+$AV1108,$BB1108+$BC1108))&gt;OP!$L$58,0,IF(繳費報酬率資料!$A$1=1,$AU1108+$AV1108,$BB1108+$BC1108))</f>
        <v>0</v>
      </c>
      <c r="L1108" s="2"/>
      <c r="M1108" s="2"/>
      <c r="N1108" s="2"/>
      <c r="O1108" s="261">
        <f t="shared" ca="1" si="628"/>
        <v>0</v>
      </c>
      <c r="P1108" s="261">
        <f t="shared" ca="1" si="646"/>
        <v>0</v>
      </c>
      <c r="Q1108" s="3">
        <f ca="1">IF(A1108&gt;MAX(OP!$R$17:$R$26),0,VLOOKUP(A1108,fees,3,FALSE))</f>
        <v>0</v>
      </c>
      <c r="R1108" s="200" t="str">
        <f t="shared" ca="1" si="629"/>
        <v/>
      </c>
      <c r="S1108" s="9" t="str">
        <f ca="1">IF(COUNTIF(($T$4:T1107),"F")&gt;=1,"",IF(OR(C1109&lt;&gt;$C$3,E1108=""),"",A1108))</f>
        <v/>
      </c>
      <c r="T1108" s="20" t="str">
        <f t="shared" ca="1" si="617"/>
        <v/>
      </c>
      <c r="U1108" s="2">
        <f ca="1">IF(IF(OP!$C$83=1,$Z1107,IF(OP!$C$83=2,$AA1107,IF(OP!$C$83=3,$AB1107,)))+$K1108-$O1108-$P1108-$AS1108&lt;OP!$C$142,0,$AS1108)</f>
        <v>0</v>
      </c>
      <c r="V1108" s="9"/>
      <c r="W1108" s="19">
        <f ca="1">MAX(SUM($K$4:K1108),0)</f>
        <v>2000000</v>
      </c>
      <c r="X1108" s="19"/>
      <c r="Y1108" s="19">
        <f t="shared" ca="1" si="647"/>
        <v>1920000</v>
      </c>
      <c r="Z1108" s="2">
        <f ca="1">IF(MIN($Z$4:Z1107)=0,0,MAX(0,($Z1107+$K1108-$O1108-$P1108)*IF(AND(F1108="F",$D$3&lt;&gt;$G$3),((1+(-J1108))^(H1108/MIN(G1108,365))),((1+(-J1108))^(1/12)))-$U1108))</f>
        <v>17061.4740153415</v>
      </c>
      <c r="AA1108" s="2">
        <f ca="1">IF(MIN($AA$4:AA1107)=0,0,MAX(0,($AA1107+$K1108-$O1108-$P1108)*IF(AND(F1108="F",$D$3&lt;&gt;$G$3),((1+$AA$1)^(H1108/MIN(G1108,365))),((1+$AA$1)^(1/12)))-$U1108))</f>
        <v>1920000</v>
      </c>
      <c r="AB1108" s="2">
        <f ca="1">IF(MIN($AB$4:AB1107)=0,0,MAX(0,($AB1107+$K1108-$O1108-$P1108)*IF(AND(F1108="F",$D$3&lt;&gt;$G$3),((1+(J1108))^(H1108/MIN(G1108,365))),((1+(J1108))^(1/12)))-$U1108))</f>
        <v>171586263.89905483</v>
      </c>
      <c r="AC1108" s="21"/>
      <c r="AD1108" s="21"/>
      <c r="AE1108" s="21"/>
      <c r="AF1108" s="282">
        <f t="shared" ca="1" si="630"/>
        <v>17061</v>
      </c>
      <c r="AG1108" s="282">
        <f t="shared" ca="1" si="631"/>
        <v>1920000</v>
      </c>
      <c r="AH1108" s="282">
        <f t="shared" ca="1" si="632"/>
        <v>171586264</v>
      </c>
      <c r="AI1108" s="23" t="str">
        <f t="shared" ca="1" si="649"/>
        <v>93-2</v>
      </c>
      <c r="AJ1108" s="281">
        <f ca="1">IF(E1108&gt;111,,IF(AND(OP!$C$99=1,T1108="F"),Z1108,IF(AND(OP!$C$99=2,COUNTIF($T$4:T1108,"F")=1),OP!$C$97+IF(F1108="F",OP!$C$98,0),"")))</f>
        <v>0</v>
      </c>
      <c r="AK1108" s="281">
        <f ca="1">IF(E1108&gt;111,,IF(AND(OP!$D$99=1,T1108="F"),AA1108,IF(AND(OP!$D$99=2,COUNTIF($T$4:T1108,"F")=1),OP!$D$97+IF(F1108="F",OP!$D$98,0),"")))</f>
        <v>0</v>
      </c>
      <c r="AL1108" s="281">
        <f ca="1">IF(E1108&gt;111,,IF(AND(OP!$E$99=1,T1108="F"),AB1108,IF(AND(OP!$E$99=2,COUNTIF($T$4:T1108,"F")=1),OP!$E$97+IF(F1108="F",OP!$E$98,0),"")))</f>
        <v>0</v>
      </c>
      <c r="AM1108" s="1">
        <f t="shared" ca="1" si="618"/>
        <v>2</v>
      </c>
      <c r="AN1108" s="1" t="e">
        <f ca="1">IF(OR(VLOOKUP($A1108,MP,5,0)="年繳",VLOOKUP($A1108,MP,5,0)="半年繳",VLOOKUP($A1108,MP,5,0)="季繳",VLOOKUP($A1108,MP,5,0)="月繳"),1,"")</f>
        <v>#N/A</v>
      </c>
      <c r="AO1108" s="1">
        <f t="shared" ca="1" si="633"/>
        <v>0</v>
      </c>
      <c r="AP1108" s="1" t="str">
        <f ca="1">IF(AND(A1108&lt;=OP!$C$120,COUNTIF(PAY,C1108)=1),1,"")</f>
        <v/>
      </c>
      <c r="AR1108" s="301">
        <f ca="1">IF(繳費報酬率資料!$A$1=1,$AY1108+$AZ1108,$BF1108+$BG1108)</f>
        <v>0</v>
      </c>
      <c r="AS1108" s="1">
        <f ca="1">IF(C1108&lt;&gt;IF($C$3=1,12,$C$3-1),0,IF(繳費報酬率資料!$A$1&lt;&gt;1,VLOOKUP($A1108,MP,8,0),IF(AND($A1108&gt;=OP!$C$79,$A1108&lt;=OP!$C$80),OP!$C$78,)))</f>
        <v>0</v>
      </c>
      <c r="AT1108" s="298">
        <f t="shared" ca="1" si="634"/>
        <v>0</v>
      </c>
      <c r="AU1108" s="298">
        <f ca="1">IF(AND(A1108&lt;=OP!$C$120,COUNTIF(PAY,C1108)=1),OP!$C$123,0)</f>
        <v>0</v>
      </c>
      <c r="AV1108" s="298">
        <f ca="1">IF(AND(A1108&gt;=OP!$C$132,A1108&lt;=OP!$C$133,$C$3=C1108),OP!$C$135,0)</f>
        <v>0</v>
      </c>
      <c r="AW1108" s="180">
        <f t="shared" ca="1" si="635"/>
        <v>0.05</v>
      </c>
      <c r="AX1108" s="180">
        <f t="shared" ca="1" si="636"/>
        <v>0.05</v>
      </c>
      <c r="AY1108" s="286">
        <f t="shared" ca="1" si="637"/>
        <v>0</v>
      </c>
      <c r="AZ1108" s="286">
        <f t="shared" ca="1" si="638"/>
        <v>0</v>
      </c>
      <c r="BA1108" s="286">
        <f t="shared" ca="1" si="639"/>
        <v>0</v>
      </c>
      <c r="BB1108" s="286">
        <f t="shared" ca="1" si="640"/>
        <v>0</v>
      </c>
      <c r="BC1108" s="286">
        <f t="shared" ca="1" si="641"/>
        <v>0</v>
      </c>
      <c r="BD1108" s="180">
        <f t="shared" ca="1" si="642"/>
        <v>0.05</v>
      </c>
      <c r="BE1108" s="180">
        <f t="shared" ca="1" si="643"/>
        <v>0.05</v>
      </c>
      <c r="BF1108" s="286">
        <f t="shared" ca="1" si="644"/>
        <v>0</v>
      </c>
      <c r="BG1108" s="286">
        <f t="shared" ca="1" si="645"/>
        <v>0</v>
      </c>
    </row>
    <row r="1109" spans="1:59">
      <c r="A1109" s="1">
        <f t="shared" ca="1" si="625"/>
        <v>93</v>
      </c>
      <c r="B1109" s="1">
        <f t="shared" ca="1" si="619"/>
        <v>198</v>
      </c>
      <c r="C1109" s="1">
        <f t="shared" ca="1" si="620"/>
        <v>7</v>
      </c>
      <c r="D1109" s="1">
        <f ca="1">MIN($D$3,VLOOKUP(C1109,OP!$S$30:$T$41,2))</f>
        <v>2</v>
      </c>
      <c r="E1109" s="1" t="str">
        <f t="shared" ca="1" si="616"/>
        <v/>
      </c>
      <c r="F1109" s="11" t="str">
        <f t="shared" ca="1" si="626"/>
        <v/>
      </c>
      <c r="G1109" s="8">
        <f t="shared" ref="G1109:G1119" ca="1" si="650">G1108</f>
        <v>365</v>
      </c>
      <c r="H1109" s="8">
        <f t="shared" ca="1" si="627"/>
        <v>31</v>
      </c>
      <c r="I1109" s="8" t="str">
        <f t="shared" ca="1" si="624"/>
        <v>937</v>
      </c>
      <c r="J1109" s="13">
        <f>IF(繳費報酬率資料!$A$1=1,VALUE(OP!$C$121),VLOOKUP(A1109,MP,2,0))</f>
        <v>0.05</v>
      </c>
      <c r="K1109" s="14">
        <f ca="1">IF(SUM($K$4:K1108,IF(繳費報酬率資料!$A$1=1,$AU1109+$AV1109,$BB1109+$BC1109))&gt;OP!$L$58,0,IF(繳費報酬率資料!$A$1=1,$AU1109+$AV1109,$BB1109+$BC1109))</f>
        <v>0</v>
      </c>
      <c r="L1109" s="2"/>
      <c r="M1109" s="2"/>
      <c r="N1109" s="2"/>
      <c r="O1109" s="261">
        <f t="shared" ca="1" si="628"/>
        <v>0</v>
      </c>
      <c r="P1109" s="261">
        <f t="shared" ca="1" si="646"/>
        <v>0</v>
      </c>
      <c r="Q1109" s="3">
        <f ca="1">IF(A1109&gt;MAX(OP!$R$17:$R$26),0,VLOOKUP(A1109,fees,3,FALSE))</f>
        <v>0</v>
      </c>
      <c r="R1109" s="200" t="str">
        <f t="shared" ca="1" si="629"/>
        <v/>
      </c>
      <c r="S1109" s="9" t="str">
        <f ca="1">IF(COUNTIF(($T$4:T1108),"F")&gt;=1,"",IF(OR(C1110&lt;&gt;$C$3,E1109=""),"",A1109))</f>
        <v/>
      </c>
      <c r="T1109" s="20" t="str">
        <f t="shared" ca="1" si="617"/>
        <v/>
      </c>
      <c r="U1109" s="2">
        <f ca="1">IF(IF(OP!$C$83=1,$Z1108,IF(OP!$C$83=2,$AA1108,IF(OP!$C$83=3,$AB1108,)))+$K1109-$O1109-$P1109-$AS1109&lt;OP!$C$142,0,$AS1109)</f>
        <v>0</v>
      </c>
      <c r="V1109" s="9"/>
      <c r="W1109" s="19">
        <f ca="1">MAX(SUM($K$4:K1109),0)</f>
        <v>2000000</v>
      </c>
      <c r="X1109" s="19"/>
      <c r="Y1109" s="19">
        <f t="shared" ca="1" si="647"/>
        <v>1920000</v>
      </c>
      <c r="Z1109" s="2">
        <f ca="1">IF(MIN($Z$4:Z1108)=0,0,MAX(0,($Z1108+$K1109-$O1109-$P1109)*IF(AND(F1109="F",$D$3&lt;&gt;$G$3),((1+(-J1109))^(H1109/MIN(G1109,365))),((1+(-J1109))^(1/12)))-$U1109))</f>
        <v>16988.701389851001</v>
      </c>
      <c r="AA1109" s="2">
        <f ca="1">IF(MIN($AA$4:AA1108)=0,0,MAX(0,($AA1108+$K1109-$O1109-$P1109)*IF(AND(F1109="F",$D$3&lt;&gt;$G$3),((1+$AA$1)^(H1109/MIN(G1109,365))),((1+$AA$1)^(1/12)))-$U1109))</f>
        <v>1920000</v>
      </c>
      <c r="AB1109" s="2">
        <f ca="1">IF(MIN($AB$4:AB1108)=0,0,MAX(0,($AB1108+$K1109-$O1109-$P1109)*IF(AND(F1109="F",$D$3&lt;&gt;$G$3),((1+(J1109))^(H1109/MIN(G1109,365))),((1+(J1109))^(1/12)))-$U1109))</f>
        <v>172285327.57775334</v>
      </c>
      <c r="AC1109" s="5"/>
      <c r="AD1109" s="5"/>
      <c r="AE1109" s="5"/>
      <c r="AF1109" s="282">
        <f t="shared" ca="1" si="630"/>
        <v>16989</v>
      </c>
      <c r="AG1109" s="282">
        <f t="shared" ca="1" si="631"/>
        <v>1920000</v>
      </c>
      <c r="AH1109" s="282">
        <f t="shared" ca="1" si="632"/>
        <v>172285328</v>
      </c>
      <c r="AI1109" s="23" t="str">
        <f t="shared" ca="1" si="649"/>
        <v>93-3</v>
      </c>
      <c r="AJ1109" s="282">
        <f ca="1">IF(E1109&gt;111,,IF(AND(OP!$C$99=1,T1109="F"),Z1109,IF(AND(OP!$C$99=2,COUNTIF($T$4:T1109,"F")=1),OP!$C$97+IF(F1109="F",OP!$C$98,0),"")))</f>
        <v>0</v>
      </c>
      <c r="AK1109" s="282">
        <f ca="1">IF(E1109&gt;111,,IF(AND(OP!$D$99=1,T1109="F"),AA1109,IF(AND(OP!$D$99=2,COUNTIF($T$4:T1109,"F")=1),OP!$D$97+IF(F1109="F",OP!$D$98,0),"")))</f>
        <v>0</v>
      </c>
      <c r="AL1109" s="282">
        <f ca="1">IF(E1109&gt;111,,IF(AND(OP!$E$99=1,T1109="F"),AB1109,IF(AND(OP!$E$99=2,COUNTIF($T$4:T1109,"F")=1),OP!$E$97+IF(F1109="F",OP!$E$98,0),"")))</f>
        <v>0</v>
      </c>
      <c r="AM1109" s="1">
        <f t="shared" ca="1" si="618"/>
        <v>3</v>
      </c>
      <c r="AN1109" s="1" t="e">
        <f ca="1">IF(OR(VLOOKUP($A1109,MP,5,0)="月繳"),1,"")</f>
        <v>#N/A</v>
      </c>
      <c r="AO1109" s="1">
        <f t="shared" ca="1" si="633"/>
        <v>0</v>
      </c>
      <c r="AP1109" s="1" t="str">
        <f ca="1">IF(AND(A1109&lt;=OP!$C$120,COUNTIF(PAY,C1109)=1),1,"")</f>
        <v/>
      </c>
      <c r="AR1109" s="301">
        <f ca="1">IF(繳費報酬率資料!$A$1=1,$AY1109+$AZ1109,$BF1109+$BG1109)</f>
        <v>0</v>
      </c>
      <c r="AS1109" s="1">
        <f ca="1">IF(C1109&lt;&gt;IF($C$3=1,12,$C$3-1),0,IF(繳費報酬率資料!$A$1&lt;&gt;1,VLOOKUP($A1109,MP,8,0),IF(AND($A1109&gt;=OP!$C$79,$A1109&lt;=OP!$C$80),OP!$C$78,)))</f>
        <v>0</v>
      </c>
      <c r="AT1109" s="298">
        <f t="shared" ca="1" si="634"/>
        <v>0</v>
      </c>
      <c r="AU1109" s="298">
        <f ca="1">IF(AND(A1109&lt;=OP!$C$120,COUNTIF(PAY,C1109)=1),OP!$C$123,0)</f>
        <v>0</v>
      </c>
      <c r="AV1109" s="298">
        <f ca="1">IF(AND(A1109&gt;=OP!$C$132,A1109&lt;=OP!$C$133,$C$3=C1109),OP!$C$135,0)</f>
        <v>0</v>
      </c>
      <c r="AW1109" s="180">
        <f t="shared" ca="1" si="635"/>
        <v>0.05</v>
      </c>
      <c r="AX1109" s="180">
        <f t="shared" ca="1" si="636"/>
        <v>0.05</v>
      </c>
      <c r="AY1109" s="286">
        <f t="shared" ca="1" si="637"/>
        <v>0</v>
      </c>
      <c r="AZ1109" s="286">
        <f t="shared" ca="1" si="638"/>
        <v>0</v>
      </c>
      <c r="BA1109" s="286">
        <f t="shared" ca="1" si="639"/>
        <v>0</v>
      </c>
      <c r="BB1109" s="286">
        <f t="shared" ca="1" si="640"/>
        <v>0</v>
      </c>
      <c r="BC1109" s="286">
        <f t="shared" ca="1" si="641"/>
        <v>0</v>
      </c>
      <c r="BD1109" s="180">
        <f t="shared" ca="1" si="642"/>
        <v>0.05</v>
      </c>
      <c r="BE1109" s="180">
        <f t="shared" ca="1" si="643"/>
        <v>0.05</v>
      </c>
      <c r="BF1109" s="286">
        <f t="shared" ca="1" si="644"/>
        <v>0</v>
      </c>
      <c r="BG1109" s="286">
        <f t="shared" ca="1" si="645"/>
        <v>0</v>
      </c>
    </row>
    <row r="1110" spans="1:59">
      <c r="A1110" s="1">
        <f t="shared" ca="1" si="625"/>
        <v>93</v>
      </c>
      <c r="B1110" s="1">
        <f t="shared" ca="1" si="619"/>
        <v>198</v>
      </c>
      <c r="C1110" s="1">
        <f t="shared" ca="1" si="620"/>
        <v>8</v>
      </c>
      <c r="D1110" s="1">
        <f ca="1">MIN($D$3,VLOOKUP(C1110,OP!$S$30:$T$41,2))</f>
        <v>2</v>
      </c>
      <c r="E1110" s="1" t="str">
        <f t="shared" ca="1" si="616"/>
        <v/>
      </c>
      <c r="F1110" s="11" t="str">
        <f t="shared" ca="1" si="626"/>
        <v/>
      </c>
      <c r="G1110" s="8">
        <f t="shared" ca="1" si="650"/>
        <v>365</v>
      </c>
      <c r="H1110" s="8">
        <f t="shared" ca="1" si="627"/>
        <v>31</v>
      </c>
      <c r="I1110" s="8" t="str">
        <f t="shared" ca="1" si="624"/>
        <v>938</v>
      </c>
      <c r="J1110" s="13">
        <f>IF(繳費報酬率資料!$A$1=1,VALUE(OP!$C$121),VLOOKUP(A1110,MP,2,0))</f>
        <v>0.05</v>
      </c>
      <c r="K1110" s="14">
        <f ca="1">IF(SUM($K$4:K1109,IF(繳費報酬率資料!$A$1=1,$AU1110+$AV1110,$BB1110+$BC1110))&gt;OP!$L$58,0,IF(繳費報酬率資料!$A$1=1,$AU1110+$AV1110,$BB1110+$BC1110))</f>
        <v>0</v>
      </c>
      <c r="L1110" s="2"/>
      <c r="M1110" s="2"/>
      <c r="N1110" s="2"/>
      <c r="O1110" s="261">
        <f t="shared" ca="1" si="628"/>
        <v>0</v>
      </c>
      <c r="P1110" s="261">
        <f t="shared" ca="1" si="646"/>
        <v>0</v>
      </c>
      <c r="Q1110" s="3">
        <f ca="1">IF(A1110&gt;MAX(OP!$R$17:$R$26),0,VLOOKUP(A1110,fees,3,FALSE))</f>
        <v>0</v>
      </c>
      <c r="R1110" s="200" t="str">
        <f t="shared" ca="1" si="629"/>
        <v/>
      </c>
      <c r="S1110" s="9" t="str">
        <f ca="1">IF(COUNTIF(($T$4:T1109),"F")&gt;=1,"",IF(OR(C1111&lt;&gt;$C$3,E1110=""),"",A1110))</f>
        <v/>
      </c>
      <c r="T1110" s="20" t="str">
        <f t="shared" ca="1" si="617"/>
        <v/>
      </c>
      <c r="U1110" s="2">
        <f ca="1">IF(IF(OP!$C$83=1,$Z1109,IF(OP!$C$83=2,$AA1109,IF(OP!$C$83=3,$AB1109,)))+$K1110-$O1110-$P1110-$AS1110&lt;OP!$C$142,0,$AS1110)</f>
        <v>0</v>
      </c>
      <c r="V1110" s="9"/>
      <c r="W1110" s="19">
        <f ca="1">MAX(SUM($K$4:K1110),0)</f>
        <v>2000000</v>
      </c>
      <c r="X1110" s="19"/>
      <c r="Y1110" s="19">
        <f t="shared" ca="1" si="647"/>
        <v>1920000</v>
      </c>
      <c r="Z1110" s="2">
        <f ca="1">IF(MIN($Z$4:Z1109)=0,0,MAX(0,($Z1109+$K1110-$O1110-$P1110)*IF(AND(F1110="F",$D$3&lt;&gt;$G$3),((1+(-J1110))^(H1110/MIN(G1110,365))),((1+(-J1110))^(1/12)))-$U1110))</f>
        <v>16916.239162806498</v>
      </c>
      <c r="AA1110" s="2">
        <f ca="1">IF(MIN($AA$4:AA1109)=0,0,MAX(0,($AA1109+$K1110-$O1110-$P1110)*IF(AND(F1110="F",$D$3&lt;&gt;$G$3),((1+$AA$1)^(H1110/MIN(G1110,365))),((1+$AA$1)^(1/12)))-$U1110))</f>
        <v>1920000</v>
      </c>
      <c r="AB1110" s="2">
        <f ca="1">IF(MIN($AB$4:AB1109)=0,0,MAX(0,($AB1109+$K1110-$O1110-$P1110)*IF(AND(F1110="F",$D$3&lt;&gt;$G$3),((1+(J1110))^(H1110/MIN(G1110,365))),((1+(J1110))^(1/12)))-$U1110))</f>
        <v>172987239.32841152</v>
      </c>
      <c r="AC1110" s="5"/>
      <c r="AD1110" s="5"/>
      <c r="AE1110" s="5"/>
      <c r="AF1110" s="282">
        <f t="shared" ca="1" si="630"/>
        <v>16916</v>
      </c>
      <c r="AG1110" s="282">
        <f t="shared" ca="1" si="631"/>
        <v>1920000</v>
      </c>
      <c r="AH1110" s="282">
        <f t="shared" ca="1" si="632"/>
        <v>172987239</v>
      </c>
      <c r="AI1110" s="23" t="str">
        <f t="shared" ca="1" si="649"/>
        <v>93-4</v>
      </c>
      <c r="AJ1110" s="282">
        <f ca="1">IF(E1110&gt;111,,IF(AND(OP!$C$99=1,T1110="F"),Z1110,IF(AND(OP!$C$99=2,COUNTIF($T$4:T1110,"F")=1),OP!$C$97+IF(F1110="F",OP!$C$98,0),"")))</f>
        <v>0</v>
      </c>
      <c r="AK1110" s="282">
        <f ca="1">IF(E1110&gt;111,,IF(AND(OP!$D$99=1,T1110="F"),AA1110,IF(AND(OP!$D$99=2,COUNTIF($T$4:T1110,"F")=1),OP!$D$97+IF(F1110="F",OP!$D$98,0),"")))</f>
        <v>0</v>
      </c>
      <c r="AL1110" s="282">
        <f ca="1">IF(E1110&gt;111,,IF(AND(OP!$E$99=1,T1110="F"),AB1110,IF(AND(OP!$E$99=2,COUNTIF($T$4:T1110,"F")=1),OP!$E$97+IF(F1110="F",OP!$E$98,0),"")))</f>
        <v>0</v>
      </c>
      <c r="AM1110" s="1">
        <f t="shared" ca="1" si="618"/>
        <v>4</v>
      </c>
      <c r="AN1110" s="1" t="e">
        <f ca="1">IF(OR(VLOOKUP($A1110,MP,5,0)="月繳"),1,"")</f>
        <v>#N/A</v>
      </c>
      <c r="AO1110" s="1">
        <f t="shared" ca="1" si="633"/>
        <v>0</v>
      </c>
      <c r="AP1110" s="1" t="str">
        <f ca="1">IF(AND(A1110&lt;=OP!$C$120,COUNTIF(PAY,C1110)=1),1,"")</f>
        <v/>
      </c>
      <c r="AR1110" s="301">
        <f ca="1">IF(繳費報酬率資料!$A$1=1,$AY1110+$AZ1110,$BF1110+$BG1110)</f>
        <v>0</v>
      </c>
      <c r="AS1110" s="1">
        <f ca="1">IF(C1110&lt;&gt;IF($C$3=1,12,$C$3-1),0,IF(繳費報酬率資料!$A$1&lt;&gt;1,VLOOKUP($A1110,MP,8,0),IF(AND($A1110&gt;=OP!$C$79,$A1110&lt;=OP!$C$80),OP!$C$78,)))</f>
        <v>0</v>
      </c>
      <c r="AT1110" s="298">
        <f t="shared" ca="1" si="634"/>
        <v>0</v>
      </c>
      <c r="AU1110" s="298">
        <f ca="1">IF(AND(A1110&lt;=OP!$C$120,COUNTIF(PAY,C1110)=1),OP!$C$123,0)</f>
        <v>0</v>
      </c>
      <c r="AV1110" s="298">
        <f ca="1">IF(AND(A1110&gt;=OP!$C$132,A1110&lt;=OP!$C$133,$C$3=C1110),OP!$C$135,0)</f>
        <v>0</v>
      </c>
      <c r="AW1110" s="180">
        <f t="shared" ca="1" si="635"/>
        <v>0.05</v>
      </c>
      <c r="AX1110" s="180">
        <f t="shared" ca="1" si="636"/>
        <v>0.05</v>
      </c>
      <c r="AY1110" s="286">
        <f t="shared" ca="1" si="637"/>
        <v>0</v>
      </c>
      <c r="AZ1110" s="286">
        <f t="shared" ca="1" si="638"/>
        <v>0</v>
      </c>
      <c r="BA1110" s="286">
        <f t="shared" ca="1" si="639"/>
        <v>0</v>
      </c>
      <c r="BB1110" s="286">
        <f t="shared" ca="1" si="640"/>
        <v>0</v>
      </c>
      <c r="BC1110" s="286">
        <f t="shared" ca="1" si="641"/>
        <v>0</v>
      </c>
      <c r="BD1110" s="180">
        <f t="shared" ca="1" si="642"/>
        <v>0.05</v>
      </c>
      <c r="BE1110" s="180">
        <f t="shared" ca="1" si="643"/>
        <v>0.05</v>
      </c>
      <c r="BF1110" s="286">
        <f t="shared" ca="1" si="644"/>
        <v>0</v>
      </c>
      <c r="BG1110" s="286">
        <f t="shared" ca="1" si="645"/>
        <v>0</v>
      </c>
    </row>
    <row r="1111" spans="1:59">
      <c r="A1111" s="1">
        <f t="shared" ca="1" si="625"/>
        <v>93</v>
      </c>
      <c r="B1111" s="1">
        <f t="shared" ca="1" si="619"/>
        <v>198</v>
      </c>
      <c r="C1111" s="1">
        <f t="shared" ca="1" si="620"/>
        <v>9</v>
      </c>
      <c r="D1111" s="1">
        <f ca="1">MIN($D$3,VLOOKUP(C1111,OP!$S$30:$T$41,2))</f>
        <v>2</v>
      </c>
      <c r="E1111" s="1" t="str">
        <f t="shared" ca="1" si="616"/>
        <v/>
      </c>
      <c r="F1111" s="11" t="str">
        <f t="shared" ca="1" si="626"/>
        <v/>
      </c>
      <c r="G1111" s="8">
        <f t="shared" ca="1" si="650"/>
        <v>365</v>
      </c>
      <c r="H1111" s="8">
        <f t="shared" ca="1" si="627"/>
        <v>30</v>
      </c>
      <c r="I1111" s="8" t="str">
        <f t="shared" ca="1" si="624"/>
        <v>939</v>
      </c>
      <c r="J1111" s="13">
        <f>IF(繳費報酬率資料!$A$1=1,VALUE(OP!$C$121),VLOOKUP(A1111,MP,2,0))</f>
        <v>0.05</v>
      </c>
      <c r="K1111" s="14">
        <f ca="1">IF(SUM($K$4:K1110,IF(繳費報酬率資料!$A$1=1,$AU1111+$AV1111,$BB1111+$BC1111))&gt;OP!$L$58,0,IF(繳費報酬率資料!$A$1=1,$AU1111+$AV1111,$BB1111+$BC1111))</f>
        <v>0</v>
      </c>
      <c r="L1111" s="2"/>
      <c r="M1111" s="2"/>
      <c r="N1111" s="2"/>
      <c r="O1111" s="261">
        <f t="shared" ca="1" si="628"/>
        <v>0</v>
      </c>
      <c r="P1111" s="261">
        <f t="shared" ca="1" si="646"/>
        <v>0</v>
      </c>
      <c r="Q1111" s="3">
        <f ca="1">IF(A1111&gt;MAX(OP!$R$17:$R$26),0,VLOOKUP(A1111,fees,3,FALSE))</f>
        <v>0</v>
      </c>
      <c r="R1111" s="200" t="str">
        <f t="shared" ca="1" si="629"/>
        <v/>
      </c>
      <c r="S1111" s="9" t="str">
        <f ca="1">IF(COUNTIF(($T$4:T1110),"F")&gt;=1,"",IF(OR(C1112&lt;&gt;$C$3,E1111=""),"",A1111))</f>
        <v/>
      </c>
      <c r="T1111" s="20" t="str">
        <f t="shared" ca="1" si="617"/>
        <v/>
      </c>
      <c r="U1111" s="2">
        <f ca="1">IF(IF(OP!$C$83=1,$Z1110,IF(OP!$C$83=2,$AA1110,IF(OP!$C$83=3,$AB1110,)))+$K1111-$O1111-$P1111-$AS1111&lt;OP!$C$142,0,$AS1111)</f>
        <v>0</v>
      </c>
      <c r="V1111" s="9"/>
      <c r="W1111" s="19">
        <f ca="1">MAX(SUM($K$4:K1111),0)</f>
        <v>2000000</v>
      </c>
      <c r="X1111" s="19"/>
      <c r="Y1111" s="19">
        <f t="shared" ca="1" si="647"/>
        <v>1920000</v>
      </c>
      <c r="Z1111" s="2">
        <f ca="1">IF(MIN($Z$4:Z1110)=0,0,MAX(0,($Z1110+$K1111-$O1111-$P1111)*IF(AND(F1111="F",$D$3&lt;&gt;$G$3),((1+(-J1111))^(H1111/MIN(G1111,365))),((1+(-J1111))^(1/12)))-$U1111))</f>
        <v>16844.086010259674</v>
      </c>
      <c r="AA1111" s="2">
        <f ca="1">IF(MIN($AA$4:AA1110)=0,0,MAX(0,($AA1110+$K1111-$O1111-$P1111)*IF(AND(F1111="F",$D$3&lt;&gt;$G$3),((1+$AA$1)^(H1111/MIN(G1111,365))),((1+$AA$1)^(1/12)))-$U1111))</f>
        <v>1920000</v>
      </c>
      <c r="AB1111" s="2">
        <f ca="1">IF(MIN($AB$4:AB1110)=0,0,MAX(0,($AB1110+$K1111-$O1111-$P1111)*IF(AND(F1111="F",$D$3&lt;&gt;$G$3),((1+(J1111))^(H1111/MIN(G1111,365))),((1+(J1111))^(1/12)))-$U1111))</f>
        <v>173692010.75442708</v>
      </c>
      <c r="AC1111" s="5"/>
      <c r="AD1111" s="5"/>
      <c r="AE1111" s="5"/>
      <c r="AF1111" s="282">
        <f t="shared" ca="1" si="630"/>
        <v>16844</v>
      </c>
      <c r="AG1111" s="282">
        <f t="shared" ca="1" si="631"/>
        <v>1920000</v>
      </c>
      <c r="AH1111" s="282">
        <f t="shared" ca="1" si="632"/>
        <v>173692011</v>
      </c>
      <c r="AI1111" s="23" t="str">
        <f t="shared" ca="1" si="649"/>
        <v>93-5</v>
      </c>
      <c r="AJ1111" s="282">
        <f ca="1">IF(E1111&gt;111,,IF(AND(OP!$C$99=1,T1111="F"),Z1111,IF(AND(OP!$C$99=2,COUNTIF($T$4:T1111,"F")=1),OP!$C$97+IF(F1111="F",OP!$C$98,0),"")))</f>
        <v>0</v>
      </c>
      <c r="AK1111" s="282">
        <f ca="1">IF(E1111&gt;111,,IF(AND(OP!$D$99=1,T1111="F"),AA1111,IF(AND(OP!$D$99=2,COUNTIF($T$4:T1111,"F")=1),OP!$D$97+IF(F1111="F",OP!$D$98,0),"")))</f>
        <v>0</v>
      </c>
      <c r="AL1111" s="282">
        <f ca="1">IF(E1111&gt;111,,IF(AND(OP!$E$99=1,T1111="F"),AB1111,IF(AND(OP!$E$99=2,COUNTIF($T$4:T1111,"F")=1),OP!$E$97+IF(F1111="F",OP!$E$98,0),"")))</f>
        <v>0</v>
      </c>
      <c r="AM1111" s="1">
        <f t="shared" ca="1" si="618"/>
        <v>5</v>
      </c>
      <c r="AN1111" s="1" t="e">
        <f ca="1">IF(OR(VLOOKUP($A1111,MP,5,0)="季繳",VLOOKUP($A1111,MP,5,0)="月繳"),1,"")</f>
        <v>#N/A</v>
      </c>
      <c r="AO1111" s="1">
        <f t="shared" ca="1" si="633"/>
        <v>0</v>
      </c>
      <c r="AP1111" s="1" t="str">
        <f ca="1">IF(AND(A1111&lt;=OP!$C$120,COUNTIF(PAY,C1111)=1),1,"")</f>
        <v/>
      </c>
      <c r="AR1111" s="301">
        <f ca="1">IF(繳費報酬率資料!$A$1=1,$AY1111+$AZ1111,$BF1111+$BG1111)</f>
        <v>0</v>
      </c>
      <c r="AS1111" s="1">
        <f ca="1">IF(C1111&lt;&gt;IF($C$3=1,12,$C$3-1),0,IF(繳費報酬率資料!$A$1&lt;&gt;1,VLOOKUP($A1111,MP,8,0),IF(AND($A1111&gt;=OP!$C$79,$A1111&lt;=OP!$C$80),OP!$C$78,)))</f>
        <v>0</v>
      </c>
      <c r="AT1111" s="298">
        <f t="shared" ca="1" si="634"/>
        <v>0</v>
      </c>
      <c r="AU1111" s="298">
        <f ca="1">IF(AND(A1111&lt;=OP!$C$120,COUNTIF(PAY,C1111)=1),OP!$C$123,0)</f>
        <v>0</v>
      </c>
      <c r="AV1111" s="298">
        <f ca="1">IF(AND(A1111&gt;=OP!$C$132,A1111&lt;=OP!$C$133,$C$3=C1111),OP!$C$135,0)</f>
        <v>0</v>
      </c>
      <c r="AW1111" s="180">
        <f t="shared" ca="1" si="635"/>
        <v>0.05</v>
      </c>
      <c r="AX1111" s="180">
        <f t="shared" ca="1" si="636"/>
        <v>0.05</v>
      </c>
      <c r="AY1111" s="286">
        <f t="shared" ca="1" si="637"/>
        <v>0</v>
      </c>
      <c r="AZ1111" s="286">
        <f t="shared" ca="1" si="638"/>
        <v>0</v>
      </c>
      <c r="BA1111" s="286">
        <f t="shared" ca="1" si="639"/>
        <v>0</v>
      </c>
      <c r="BB1111" s="286">
        <f t="shared" ca="1" si="640"/>
        <v>0</v>
      </c>
      <c r="BC1111" s="286">
        <f t="shared" ca="1" si="641"/>
        <v>0</v>
      </c>
      <c r="BD1111" s="180">
        <f t="shared" ca="1" si="642"/>
        <v>0.05</v>
      </c>
      <c r="BE1111" s="180">
        <f t="shared" ca="1" si="643"/>
        <v>0.05</v>
      </c>
      <c r="BF1111" s="286">
        <f t="shared" ca="1" si="644"/>
        <v>0</v>
      </c>
      <c r="BG1111" s="286">
        <f t="shared" ca="1" si="645"/>
        <v>0</v>
      </c>
    </row>
    <row r="1112" spans="1:59">
      <c r="A1112" s="1">
        <f t="shared" ca="1" si="625"/>
        <v>93</v>
      </c>
      <c r="B1112" s="1">
        <f t="shared" ca="1" si="619"/>
        <v>198</v>
      </c>
      <c r="C1112" s="1">
        <f t="shared" ca="1" si="620"/>
        <v>10</v>
      </c>
      <c r="D1112" s="1">
        <f ca="1">MIN($D$3,VLOOKUP(C1112,OP!$S$30:$T$41,2))</f>
        <v>2</v>
      </c>
      <c r="E1112" s="1" t="str">
        <f t="shared" ca="1" si="616"/>
        <v/>
      </c>
      <c r="F1112" s="11" t="str">
        <f t="shared" ca="1" si="626"/>
        <v/>
      </c>
      <c r="G1112" s="8">
        <f t="shared" ca="1" si="650"/>
        <v>365</v>
      </c>
      <c r="H1112" s="8">
        <f t="shared" ca="1" si="627"/>
        <v>31</v>
      </c>
      <c r="I1112" s="8" t="str">
        <f t="shared" ca="1" si="624"/>
        <v>9310</v>
      </c>
      <c r="J1112" s="13">
        <f>IF(繳費報酬率資料!$A$1=1,VALUE(OP!$C$121),VLOOKUP(A1112,MP,2,0))</f>
        <v>0.05</v>
      </c>
      <c r="K1112" s="14">
        <f ca="1">IF(SUM($K$4:K1111,IF(繳費報酬率資料!$A$1=1,$AU1112+$AV1112,$BB1112+$BC1112))&gt;OP!$L$58,0,IF(繳費報酬率資料!$A$1=1,$AU1112+$AV1112,$BB1112+$BC1112))</f>
        <v>0</v>
      </c>
      <c r="L1112" s="2"/>
      <c r="M1112" s="2"/>
      <c r="N1112" s="2"/>
      <c r="O1112" s="261">
        <f t="shared" ca="1" si="628"/>
        <v>0</v>
      </c>
      <c r="P1112" s="261">
        <f t="shared" ca="1" si="646"/>
        <v>0</v>
      </c>
      <c r="Q1112" s="3">
        <f ca="1">IF(A1112&gt;MAX(OP!$R$17:$R$26),0,VLOOKUP(A1112,fees,3,FALSE))</f>
        <v>0</v>
      </c>
      <c r="R1112" s="200" t="str">
        <f t="shared" ca="1" si="629"/>
        <v/>
      </c>
      <c r="S1112" s="9" t="str">
        <f ca="1">IF(COUNTIF(($T$4:T1111),"F")&gt;=1,"",IF(OR(C1113&lt;&gt;$C$3,E1112=""),"",A1112))</f>
        <v/>
      </c>
      <c r="T1112" s="20" t="str">
        <f t="shared" ca="1" si="617"/>
        <v/>
      </c>
      <c r="U1112" s="2">
        <f ca="1">IF(IF(OP!$C$83=1,$Z1111,IF(OP!$C$83=2,$AA1111,IF(OP!$C$83=3,$AB1111,)))+$K1112-$O1112-$P1112-$AS1112&lt;OP!$C$142,0,$AS1112)</f>
        <v>0</v>
      </c>
      <c r="V1112" s="9"/>
      <c r="W1112" s="19">
        <f ca="1">MAX(SUM($K$4:K1112),0)</f>
        <v>2000000</v>
      </c>
      <c r="X1112" s="19"/>
      <c r="Y1112" s="19">
        <f t="shared" ca="1" si="647"/>
        <v>1920000</v>
      </c>
      <c r="Z1112" s="2">
        <f ca="1">IF(MIN($Z$4:Z1111)=0,0,MAX(0,($Z1111+$K1112-$O1112-$P1112)*IF(AND(F1112="F",$D$3&lt;&gt;$G$3),((1+(-J1112))^(H1112/MIN(G1112,365))),((1+(-J1112))^(1/12)))-$U1112))</f>
        <v>16772.240613909267</v>
      </c>
      <c r="AA1112" s="2">
        <f ca="1">IF(MIN($AA$4:AA1111)=0,0,MAX(0,($AA1111+$K1112-$O1112-$P1112)*IF(AND(F1112="F",$D$3&lt;&gt;$G$3),((1+$AA$1)^(H1112/MIN(G1112,365))),((1+$AA$1)^(1/12)))-$U1112))</f>
        <v>1920000</v>
      </c>
      <c r="AB1112" s="2">
        <f ca="1">IF(MIN($AB$4:AB1111)=0,0,MAX(0,($AB1111+$K1112-$O1112-$P1112)*IF(AND(F1112="F",$D$3&lt;&gt;$G$3),((1+(J1112))^(H1112/MIN(G1112,365))),((1+(J1112))^(1/12)))-$U1112))</f>
        <v>174399653.5064714</v>
      </c>
      <c r="AC1112" s="5"/>
      <c r="AD1112" s="5"/>
      <c r="AE1112" s="5"/>
      <c r="AF1112" s="282">
        <f t="shared" ca="1" si="630"/>
        <v>16772</v>
      </c>
      <c r="AG1112" s="282">
        <f t="shared" ca="1" si="631"/>
        <v>1920000</v>
      </c>
      <c r="AH1112" s="282">
        <f t="shared" ca="1" si="632"/>
        <v>174399654</v>
      </c>
      <c r="AI1112" s="23" t="str">
        <f t="shared" ca="1" si="649"/>
        <v>93-6</v>
      </c>
      <c r="AJ1112" s="282">
        <f ca="1">IF(E1112&gt;111,,IF(AND(OP!$C$99=1,T1112="F"),Z1112,IF(AND(OP!$C$99=2,COUNTIF($T$4:T1112,"F")=1),OP!$C$97+IF(F1112="F",OP!$C$98,0),"")))</f>
        <v>0</v>
      </c>
      <c r="AK1112" s="282">
        <f ca="1">IF(E1112&gt;111,,IF(AND(OP!$D$99=1,T1112="F"),AA1112,IF(AND(OP!$D$99=2,COUNTIF($T$4:T1112,"F")=1),OP!$D$97+IF(F1112="F",OP!$D$98,0),"")))</f>
        <v>0</v>
      </c>
      <c r="AL1112" s="282">
        <f ca="1">IF(E1112&gt;111,,IF(AND(OP!$E$99=1,T1112="F"),AB1112,IF(AND(OP!$E$99=2,COUNTIF($T$4:T1112,"F")=1),OP!$E$97+IF(F1112="F",OP!$E$98,0),"")))</f>
        <v>0</v>
      </c>
      <c r="AM1112" s="1">
        <f t="shared" ca="1" si="618"/>
        <v>6</v>
      </c>
      <c r="AN1112" s="1" t="e">
        <f ca="1">IF(OR(VLOOKUP($A1112,MP,5,0)="月繳"),1,"")</f>
        <v>#N/A</v>
      </c>
      <c r="AO1112" s="1">
        <f t="shared" ca="1" si="633"/>
        <v>0</v>
      </c>
      <c r="AP1112" s="1" t="str">
        <f ca="1">IF(AND(A1112&lt;=OP!$C$120,COUNTIF(PAY,C1112)=1),1,"")</f>
        <v/>
      </c>
      <c r="AR1112" s="301">
        <f ca="1">IF(繳費報酬率資料!$A$1=1,$AY1112+$AZ1112,$BF1112+$BG1112)</f>
        <v>0</v>
      </c>
      <c r="AS1112" s="1">
        <f ca="1">IF(C1112&lt;&gt;IF($C$3=1,12,$C$3-1),0,IF(繳費報酬率資料!$A$1&lt;&gt;1,VLOOKUP($A1112,MP,8,0),IF(AND($A1112&gt;=OP!$C$79,$A1112&lt;=OP!$C$80),OP!$C$78,)))</f>
        <v>0</v>
      </c>
      <c r="AT1112" s="298">
        <f t="shared" ca="1" si="634"/>
        <v>0</v>
      </c>
      <c r="AU1112" s="298">
        <f ca="1">IF(AND(A1112&lt;=OP!$C$120,COUNTIF(PAY,C1112)=1),OP!$C$123,0)</f>
        <v>0</v>
      </c>
      <c r="AV1112" s="298">
        <f ca="1">IF(AND(A1112&gt;=OP!$C$132,A1112&lt;=OP!$C$133,$C$3=C1112),OP!$C$135,0)</f>
        <v>0</v>
      </c>
      <c r="AW1112" s="180">
        <f t="shared" ca="1" si="635"/>
        <v>0.05</v>
      </c>
      <c r="AX1112" s="180">
        <f t="shared" ca="1" si="636"/>
        <v>0.05</v>
      </c>
      <c r="AY1112" s="286">
        <f t="shared" ca="1" si="637"/>
        <v>0</v>
      </c>
      <c r="AZ1112" s="286">
        <f t="shared" ca="1" si="638"/>
        <v>0</v>
      </c>
      <c r="BA1112" s="286">
        <f t="shared" ca="1" si="639"/>
        <v>0</v>
      </c>
      <c r="BB1112" s="286">
        <f t="shared" ca="1" si="640"/>
        <v>0</v>
      </c>
      <c r="BC1112" s="286">
        <f t="shared" ca="1" si="641"/>
        <v>0</v>
      </c>
      <c r="BD1112" s="180">
        <f t="shared" ca="1" si="642"/>
        <v>0.05</v>
      </c>
      <c r="BE1112" s="180">
        <f t="shared" ca="1" si="643"/>
        <v>0.05</v>
      </c>
      <c r="BF1112" s="286">
        <f t="shared" ca="1" si="644"/>
        <v>0</v>
      </c>
      <c r="BG1112" s="286">
        <f t="shared" ca="1" si="645"/>
        <v>0</v>
      </c>
    </row>
    <row r="1113" spans="1:59">
      <c r="A1113" s="1">
        <f t="shared" ca="1" si="625"/>
        <v>93</v>
      </c>
      <c r="B1113" s="1">
        <f t="shared" ca="1" si="619"/>
        <v>198</v>
      </c>
      <c r="C1113" s="1">
        <f t="shared" ca="1" si="620"/>
        <v>11</v>
      </c>
      <c r="D1113" s="1">
        <f ca="1">MIN($D$3,VLOOKUP(C1113,OP!$S$30:$T$41,2))</f>
        <v>2</v>
      </c>
      <c r="E1113" s="1" t="str">
        <f t="shared" ca="1" si="616"/>
        <v/>
      </c>
      <c r="F1113" s="11" t="str">
        <f t="shared" ca="1" si="626"/>
        <v/>
      </c>
      <c r="G1113" s="8">
        <f t="shared" ca="1" si="650"/>
        <v>365</v>
      </c>
      <c r="H1113" s="8">
        <f t="shared" ca="1" si="627"/>
        <v>30</v>
      </c>
      <c r="I1113" s="8" t="str">
        <f t="shared" ca="1" si="624"/>
        <v>9311</v>
      </c>
      <c r="J1113" s="13">
        <f>IF(繳費報酬率資料!$A$1=1,VALUE(OP!$C$121),VLOOKUP(A1113,MP,2,0))</f>
        <v>0.05</v>
      </c>
      <c r="K1113" s="14">
        <f ca="1">IF(SUM($K$4:K1112,IF(繳費報酬率資料!$A$1=1,$AU1113+$AV1113,$BB1113+$BC1113))&gt;OP!$L$58,0,IF(繳費報酬率資料!$A$1=1,$AU1113+$AV1113,$BB1113+$BC1113))</f>
        <v>0</v>
      </c>
      <c r="L1113" s="2"/>
      <c r="M1113" s="2"/>
      <c r="N1113" s="2"/>
      <c r="O1113" s="261">
        <f t="shared" ca="1" si="628"/>
        <v>0</v>
      </c>
      <c r="P1113" s="261">
        <f t="shared" ca="1" si="646"/>
        <v>0</v>
      </c>
      <c r="Q1113" s="3">
        <f ca="1">IF(A1113&gt;MAX(OP!$R$17:$R$26),0,VLOOKUP(A1113,fees,3,FALSE))</f>
        <v>0</v>
      </c>
      <c r="R1113" s="200" t="str">
        <f t="shared" ca="1" si="629"/>
        <v/>
      </c>
      <c r="S1113" s="9" t="str">
        <f ca="1">IF(COUNTIF(($T$4:T1112),"F")&gt;=1,"",IF(OR(C1114&lt;&gt;$C$3,E1113=""),"",A1113))</f>
        <v/>
      </c>
      <c r="T1113" s="20" t="str">
        <f t="shared" ca="1" si="617"/>
        <v/>
      </c>
      <c r="U1113" s="2">
        <f ca="1">IF(IF(OP!$C$83=1,$Z1112,IF(OP!$C$83=2,$AA1112,IF(OP!$C$83=3,$AB1112,)))+$K1113-$O1113-$P1113-$AS1113&lt;OP!$C$142,0,$AS1113)</f>
        <v>0</v>
      </c>
      <c r="V1113" s="9"/>
      <c r="W1113" s="19">
        <f ca="1">MAX(SUM($K$4:K1113),0)</f>
        <v>2000000</v>
      </c>
      <c r="X1113" s="19"/>
      <c r="Y1113" s="19">
        <f t="shared" ca="1" si="647"/>
        <v>1920000</v>
      </c>
      <c r="Z1113" s="2">
        <f ca="1">IF(MIN($Z$4:Z1112)=0,0,MAX(0,($Z1112+$K1113-$O1113-$P1113)*IF(AND(F1113="F",$D$3&lt;&gt;$G$3),((1+(-J1113))^(H1113/MIN(G1113,365))),((1+(-J1113))^(1/12)))-$U1113))</f>
        <v>16700.701661076993</v>
      </c>
      <c r="AA1113" s="2">
        <f ca="1">IF(MIN($AA$4:AA1112)=0,0,MAX(0,($AA1112+$K1113-$O1113-$P1113)*IF(AND(F1113="F",$D$3&lt;&gt;$G$3),((1+$AA$1)^(H1113/MIN(G1113,365))),((1+$AA$1)^(1/12)))-$U1113))</f>
        <v>1920000</v>
      </c>
      <c r="AB1113" s="2">
        <f ca="1">IF(MIN($AB$4:AB1112)=0,0,MAX(0,($AB1112+$K1113-$O1113-$P1113)*IF(AND(F1113="F",$D$3&lt;&gt;$G$3),((1+(J1113))^(H1113/MIN(G1113,365))),((1+(J1113))^(1/12)))-$U1113))</f>
        <v>175110179.28268215</v>
      </c>
      <c r="AC1113" s="5"/>
      <c r="AD1113" s="5"/>
      <c r="AE1113" s="5"/>
      <c r="AF1113" s="282">
        <f t="shared" ca="1" si="630"/>
        <v>16701</v>
      </c>
      <c r="AG1113" s="282">
        <f t="shared" ca="1" si="631"/>
        <v>1920000</v>
      </c>
      <c r="AH1113" s="282">
        <f t="shared" ca="1" si="632"/>
        <v>175110179</v>
      </c>
      <c r="AI1113" s="23" t="str">
        <f t="shared" ca="1" si="649"/>
        <v>93-7</v>
      </c>
      <c r="AJ1113" s="282">
        <f ca="1">IF(E1113&gt;111,,IF(AND(OP!$C$99=1,T1113="F"),Z1113,IF(AND(OP!$C$99=2,COUNTIF($T$4:T1113,"F")=1),OP!$C$97+IF(F1113="F",OP!$C$98,0),"")))</f>
        <v>0</v>
      </c>
      <c r="AK1113" s="282">
        <f ca="1">IF(E1113&gt;111,,IF(AND(OP!$D$99=1,T1113="F"),AA1113,IF(AND(OP!$D$99=2,COUNTIF($T$4:T1113,"F")=1),OP!$D$97+IF(F1113="F",OP!$D$98,0),"")))</f>
        <v>0</v>
      </c>
      <c r="AL1113" s="282">
        <f ca="1">IF(E1113&gt;111,,IF(AND(OP!$E$99=1,T1113="F"),AB1113,IF(AND(OP!$E$99=2,COUNTIF($T$4:T1113,"F")=1),OP!$E$97+IF(F1113="F",OP!$E$98,0),"")))</f>
        <v>0</v>
      </c>
      <c r="AM1113" s="1">
        <f t="shared" ca="1" si="618"/>
        <v>7</v>
      </c>
      <c r="AN1113" s="1" t="e">
        <f ca="1">IF(OR(VLOOKUP($A1113,MP,5,0)="月繳"),1,"")</f>
        <v>#N/A</v>
      </c>
      <c r="AO1113" s="1">
        <f t="shared" ca="1" si="633"/>
        <v>0</v>
      </c>
      <c r="AP1113" s="1" t="str">
        <f ca="1">IF(AND(A1113&lt;=OP!$C$120,COUNTIF(PAY,C1113)=1),1,"")</f>
        <v/>
      </c>
      <c r="AR1113" s="301">
        <f ca="1">IF(繳費報酬率資料!$A$1=1,$AY1113+$AZ1113,$BF1113+$BG1113)</f>
        <v>0</v>
      </c>
      <c r="AS1113" s="1">
        <f ca="1">IF(C1113&lt;&gt;IF($C$3=1,12,$C$3-1),0,IF(繳費報酬率資料!$A$1&lt;&gt;1,VLOOKUP($A1113,MP,8,0),IF(AND($A1113&gt;=OP!$C$79,$A1113&lt;=OP!$C$80),OP!$C$78,)))</f>
        <v>0</v>
      </c>
      <c r="AT1113" s="298">
        <f t="shared" ca="1" si="634"/>
        <v>0</v>
      </c>
      <c r="AU1113" s="298">
        <f ca="1">IF(AND(A1113&lt;=OP!$C$120,COUNTIF(PAY,C1113)=1),OP!$C$123,0)</f>
        <v>0</v>
      </c>
      <c r="AV1113" s="298">
        <f ca="1">IF(AND(A1113&gt;=OP!$C$132,A1113&lt;=OP!$C$133,$C$3=C1113),OP!$C$135,0)</f>
        <v>0</v>
      </c>
      <c r="AW1113" s="180">
        <f t="shared" ca="1" si="635"/>
        <v>0.05</v>
      </c>
      <c r="AX1113" s="180">
        <f t="shared" ca="1" si="636"/>
        <v>0.05</v>
      </c>
      <c r="AY1113" s="286">
        <f t="shared" ca="1" si="637"/>
        <v>0</v>
      </c>
      <c r="AZ1113" s="286">
        <f t="shared" ca="1" si="638"/>
        <v>0</v>
      </c>
      <c r="BA1113" s="286">
        <f t="shared" ca="1" si="639"/>
        <v>0</v>
      </c>
      <c r="BB1113" s="286">
        <f t="shared" ca="1" si="640"/>
        <v>0</v>
      </c>
      <c r="BC1113" s="286">
        <f t="shared" ca="1" si="641"/>
        <v>0</v>
      </c>
      <c r="BD1113" s="180">
        <f t="shared" ca="1" si="642"/>
        <v>0.05</v>
      </c>
      <c r="BE1113" s="180">
        <f t="shared" ca="1" si="643"/>
        <v>0.05</v>
      </c>
      <c r="BF1113" s="286">
        <f t="shared" ca="1" si="644"/>
        <v>0</v>
      </c>
      <c r="BG1113" s="286">
        <f t="shared" ca="1" si="645"/>
        <v>0</v>
      </c>
    </row>
    <row r="1114" spans="1:59">
      <c r="A1114" s="1">
        <f t="shared" ca="1" si="625"/>
        <v>93</v>
      </c>
      <c r="B1114" s="1">
        <f t="shared" ca="1" si="619"/>
        <v>198</v>
      </c>
      <c r="C1114" s="1">
        <f t="shared" ca="1" si="620"/>
        <v>12</v>
      </c>
      <c r="D1114" s="1">
        <f ca="1">MIN($D$3,VLOOKUP(C1114,OP!$S$30:$T$41,2))</f>
        <v>2</v>
      </c>
      <c r="E1114" s="1" t="str">
        <f t="shared" ca="1" si="616"/>
        <v/>
      </c>
      <c r="F1114" s="11" t="str">
        <f t="shared" ca="1" si="626"/>
        <v/>
      </c>
      <c r="G1114" s="8">
        <f t="shared" ca="1" si="650"/>
        <v>365</v>
      </c>
      <c r="H1114" s="8">
        <f t="shared" ca="1" si="627"/>
        <v>31</v>
      </c>
      <c r="I1114" s="8" t="str">
        <f t="shared" ca="1" si="624"/>
        <v>9312</v>
      </c>
      <c r="J1114" s="13">
        <f>IF(繳費報酬率資料!$A$1=1,VALUE(OP!$C$121),VLOOKUP(A1114,MP,2,0))</f>
        <v>0.05</v>
      </c>
      <c r="K1114" s="14">
        <f ca="1">IF(SUM($K$4:K1113,IF(繳費報酬率資料!$A$1=1,$AU1114+$AV1114,$BB1114+$BC1114))&gt;OP!$L$58,0,IF(繳費報酬率資料!$A$1=1,$AU1114+$AV1114,$BB1114+$BC1114))</f>
        <v>0</v>
      </c>
      <c r="L1114" s="2"/>
      <c r="M1114" s="2"/>
      <c r="N1114" s="2"/>
      <c r="O1114" s="261">
        <f t="shared" ca="1" si="628"/>
        <v>0</v>
      </c>
      <c r="P1114" s="261">
        <f t="shared" ca="1" si="646"/>
        <v>0</v>
      </c>
      <c r="Q1114" s="3">
        <f ca="1">IF(A1114&gt;MAX(OP!$R$17:$R$26),0,VLOOKUP(A1114,fees,3,FALSE))</f>
        <v>0</v>
      </c>
      <c r="R1114" s="200" t="str">
        <f t="shared" ca="1" si="629"/>
        <v/>
      </c>
      <c r="S1114" s="9" t="str">
        <f ca="1">IF(COUNTIF(($T$4:T1113),"F")&gt;=1,"",IF(OR(C1115&lt;&gt;$C$3,E1114=""),"",A1114))</f>
        <v/>
      </c>
      <c r="T1114" s="20" t="str">
        <f t="shared" ca="1" si="617"/>
        <v/>
      </c>
      <c r="U1114" s="2">
        <f ca="1">IF(IF(OP!$C$83=1,$Z1113,IF(OP!$C$83=2,$AA1113,IF(OP!$C$83=3,$AB1113,)))+$K1114-$O1114-$P1114-$AS1114&lt;OP!$C$142,0,$AS1114)</f>
        <v>0</v>
      </c>
      <c r="V1114" s="9"/>
      <c r="W1114" s="19">
        <f ca="1">MAX(SUM($K$4:K1114),0)</f>
        <v>2000000</v>
      </c>
      <c r="X1114" s="19"/>
      <c r="Y1114" s="19">
        <f t="shared" ca="1" si="647"/>
        <v>1920000</v>
      </c>
      <c r="Z1114" s="2">
        <f ca="1">IF(MIN($Z$4:Z1113)=0,0,MAX(0,($Z1113+$K1114-$O1114-$P1114)*IF(AND(F1114="F",$D$3&lt;&gt;$G$3),((1+(-J1114))^(H1114/MIN(G1114,365))),((1+(-J1114))^(1/12)))-$U1114))</f>
        <v>16629.467844683564</v>
      </c>
      <c r="AA1114" s="2">
        <f ca="1">IF(MIN($AA$4:AA1113)=0,0,MAX(0,($AA1113+$K1114-$O1114-$P1114)*IF(AND(F1114="F",$D$3&lt;&gt;$G$3),((1+$AA$1)^(H1114/MIN(G1114,365))),((1+$AA$1)^(1/12)))-$U1114))</f>
        <v>1920000</v>
      </c>
      <c r="AB1114" s="2">
        <f ca="1">IF(MIN($AB$4:AB1113)=0,0,MAX(0,($AB1113+$K1114-$O1114-$P1114)*IF(AND(F1114="F",$D$3&lt;&gt;$G$3),((1+(J1114))^(H1114/MIN(G1114,365))),((1+(J1114))^(1/12)))-$U1114))</f>
        <v>175823599.82885665</v>
      </c>
      <c r="AC1114" s="5"/>
      <c r="AD1114" s="5"/>
      <c r="AE1114" s="5"/>
      <c r="AF1114" s="282">
        <f t="shared" ca="1" si="630"/>
        <v>16629</v>
      </c>
      <c r="AG1114" s="282">
        <f t="shared" ca="1" si="631"/>
        <v>1920000</v>
      </c>
      <c r="AH1114" s="282">
        <f t="shared" ca="1" si="632"/>
        <v>175823600</v>
      </c>
      <c r="AI1114" s="23" t="str">
        <f t="shared" ca="1" si="649"/>
        <v>93-8</v>
      </c>
      <c r="AJ1114" s="282">
        <f ca="1">IF(E1114&gt;111,,IF(AND(OP!$C$99=1,T1114="F"),Z1114,IF(AND(OP!$C$99=2,COUNTIF($T$4:T1114,"F")=1),OP!$C$97+IF(F1114="F",OP!$C$98,0),"")))</f>
        <v>0</v>
      </c>
      <c r="AK1114" s="282">
        <f ca="1">IF(E1114&gt;111,,IF(AND(OP!$D$99=1,T1114="F"),AA1114,IF(AND(OP!$D$99=2,COUNTIF($T$4:T1114,"F")=1),OP!$D$97+IF(F1114="F",OP!$D$98,0),"")))</f>
        <v>0</v>
      </c>
      <c r="AL1114" s="282">
        <f ca="1">IF(E1114&gt;111,,IF(AND(OP!$E$99=1,T1114="F"),AB1114,IF(AND(OP!$E$99=2,COUNTIF($T$4:T1114,"F")=1),OP!$E$97+IF(F1114="F",OP!$E$98,0),"")))</f>
        <v>0</v>
      </c>
      <c r="AM1114" s="1">
        <f t="shared" ca="1" si="618"/>
        <v>8</v>
      </c>
      <c r="AN1114" s="1" t="e">
        <f ca="1">IF(OR(VLOOKUP($A1114,MP,5,0)="半年繳",VLOOKUP($A1114,MP,5,0)="季繳",VLOOKUP($A1114,MP,5,0)="月繳"),1,"")</f>
        <v>#N/A</v>
      </c>
      <c r="AO1114" s="1">
        <f t="shared" ca="1" si="633"/>
        <v>0</v>
      </c>
      <c r="AP1114" s="1" t="str">
        <f ca="1">IF(AND(A1114&lt;=OP!$C$120,COUNTIF(PAY,C1114)=1),1,"")</f>
        <v/>
      </c>
      <c r="AR1114" s="301">
        <f ca="1">IF(繳費報酬率資料!$A$1=1,$AY1114+$AZ1114,$BF1114+$BG1114)</f>
        <v>0</v>
      </c>
      <c r="AS1114" s="1">
        <f ca="1">IF(C1114&lt;&gt;IF($C$3=1,12,$C$3-1),0,IF(繳費報酬率資料!$A$1&lt;&gt;1,VLOOKUP($A1114,MP,8,0),IF(AND($A1114&gt;=OP!$C$79,$A1114&lt;=OP!$C$80),OP!$C$78,)))</f>
        <v>0</v>
      </c>
      <c r="AT1114" s="298">
        <f t="shared" ca="1" si="634"/>
        <v>0</v>
      </c>
      <c r="AU1114" s="298">
        <f ca="1">IF(AND(A1114&lt;=OP!$C$120,COUNTIF(PAY,C1114)=1),OP!$C$123,0)</f>
        <v>0</v>
      </c>
      <c r="AV1114" s="298">
        <f ca="1">IF(AND(A1114&gt;=OP!$C$132,A1114&lt;=OP!$C$133,$C$3=C1114),OP!$C$135,0)</f>
        <v>0</v>
      </c>
      <c r="AW1114" s="180">
        <f t="shared" ca="1" si="635"/>
        <v>0.05</v>
      </c>
      <c r="AX1114" s="180">
        <f t="shared" ca="1" si="636"/>
        <v>0.05</v>
      </c>
      <c r="AY1114" s="286">
        <f t="shared" ca="1" si="637"/>
        <v>0</v>
      </c>
      <c r="AZ1114" s="286">
        <f t="shared" ca="1" si="638"/>
        <v>0</v>
      </c>
      <c r="BA1114" s="286">
        <f t="shared" ca="1" si="639"/>
        <v>0</v>
      </c>
      <c r="BB1114" s="286">
        <f t="shared" ca="1" si="640"/>
        <v>0</v>
      </c>
      <c r="BC1114" s="286">
        <f t="shared" ca="1" si="641"/>
        <v>0</v>
      </c>
      <c r="BD1114" s="180">
        <f t="shared" ca="1" si="642"/>
        <v>0.05</v>
      </c>
      <c r="BE1114" s="180">
        <f t="shared" ca="1" si="643"/>
        <v>0.05</v>
      </c>
      <c r="BF1114" s="286">
        <f t="shared" ca="1" si="644"/>
        <v>0</v>
      </c>
      <c r="BG1114" s="286">
        <f t="shared" ca="1" si="645"/>
        <v>0</v>
      </c>
    </row>
    <row r="1115" spans="1:59">
      <c r="A1115" s="1">
        <f t="shared" ca="1" si="625"/>
        <v>93</v>
      </c>
      <c r="B1115" s="1">
        <f t="shared" ca="1" si="619"/>
        <v>199</v>
      </c>
      <c r="C1115" s="1">
        <f t="shared" ca="1" si="620"/>
        <v>1</v>
      </c>
      <c r="D1115" s="1">
        <f ca="1">MIN($D$3,VLOOKUP(C1115,OP!$S$30:$T$41,2))</f>
        <v>2</v>
      </c>
      <c r="E1115" s="1" t="str">
        <f t="shared" ca="1" si="616"/>
        <v/>
      </c>
      <c r="F1115" s="11" t="str">
        <f t="shared" ca="1" si="626"/>
        <v/>
      </c>
      <c r="G1115" s="8">
        <f t="shared" ca="1" si="650"/>
        <v>365</v>
      </c>
      <c r="H1115" s="8">
        <f t="shared" ca="1" si="627"/>
        <v>31</v>
      </c>
      <c r="I1115" s="8" t="str">
        <f t="shared" ca="1" si="624"/>
        <v>931</v>
      </c>
      <c r="J1115" s="13">
        <f>IF(繳費報酬率資料!$A$1=1,VALUE(OP!$C$121),VLOOKUP(A1115,MP,2,0))</f>
        <v>0.05</v>
      </c>
      <c r="K1115" s="14">
        <f ca="1">IF(SUM($K$4:K1114,IF(繳費報酬率資料!$A$1=1,$AU1115+$AV1115,$BB1115+$BC1115))&gt;OP!$L$58,0,IF(繳費報酬率資料!$A$1=1,$AU1115+$AV1115,$BB1115+$BC1115))</f>
        <v>0</v>
      </c>
      <c r="L1115" s="2"/>
      <c r="M1115" s="2"/>
      <c r="N1115" s="2"/>
      <c r="O1115" s="261">
        <f t="shared" ca="1" si="628"/>
        <v>0</v>
      </c>
      <c r="P1115" s="261">
        <f t="shared" ca="1" si="646"/>
        <v>0</v>
      </c>
      <c r="Q1115" s="3">
        <f ca="1">IF(A1115&gt;MAX(OP!$R$17:$R$26),0,VLOOKUP(A1115,fees,3,FALSE))</f>
        <v>0</v>
      </c>
      <c r="R1115" s="200" t="str">
        <f t="shared" ca="1" si="629"/>
        <v/>
      </c>
      <c r="S1115" s="9" t="str">
        <f ca="1">IF(COUNTIF(($T$4:T1114),"F")&gt;=1,"",IF(OR(C1116&lt;&gt;$C$3,E1115=""),"",A1115))</f>
        <v/>
      </c>
      <c r="T1115" s="20" t="str">
        <f t="shared" ca="1" si="617"/>
        <v/>
      </c>
      <c r="U1115" s="2">
        <f ca="1">IF(IF(OP!$C$83=1,$Z1114,IF(OP!$C$83=2,$AA1114,IF(OP!$C$83=3,$AB1114,)))+$K1115-$O1115-$P1115-$AS1115&lt;OP!$C$142,0,$AS1115)</f>
        <v>0</v>
      </c>
      <c r="V1115" s="9"/>
      <c r="W1115" s="19">
        <f ca="1">MAX(SUM($K$4:K1115),0)</f>
        <v>2000000</v>
      </c>
      <c r="X1115" s="19"/>
      <c r="Y1115" s="19">
        <f t="shared" ca="1" si="647"/>
        <v>1920000</v>
      </c>
      <c r="Z1115" s="2">
        <f ca="1">IF(MIN($Z$4:Z1114)=0,0,MAX(0,($Z1114+$K1115-$O1115-$P1115)*IF(AND(F1115="F",$D$3&lt;&gt;$G$3),((1+(-J1115))^(H1115/MIN(G1115,365))),((1+(-J1115))^(1/12)))-$U1115))</f>
        <v>16558.537863224796</v>
      </c>
      <c r="AA1115" s="2">
        <f ca="1">IF(MIN($AA$4:AA1114)=0,0,MAX(0,($AA1114+$K1115-$O1115-$P1115)*IF(AND(F1115="F",$D$3&lt;&gt;$G$3),((1+$AA$1)^(H1115/MIN(G1115,365))),((1+$AA$1)^(1/12)))-$U1115))</f>
        <v>1920000</v>
      </c>
      <c r="AB1115" s="2">
        <f ca="1">IF(MIN($AB$4:AB1114)=0,0,MAX(0,($AB1114+$K1115-$O1115-$P1115)*IF(AND(F1115="F",$D$3&lt;&gt;$G$3),((1+(J1115))^(H1115/MIN(G1115,365))),((1+(J1115))^(1/12)))-$U1115))</f>
        <v>176539926.93864605</v>
      </c>
      <c r="AC1115" s="5"/>
      <c r="AD1115" s="5"/>
      <c r="AE1115" s="5"/>
      <c r="AF1115" s="282">
        <f t="shared" ca="1" si="630"/>
        <v>16559</v>
      </c>
      <c r="AG1115" s="282">
        <f t="shared" ca="1" si="631"/>
        <v>1920000</v>
      </c>
      <c r="AH1115" s="282">
        <f t="shared" ca="1" si="632"/>
        <v>176539927</v>
      </c>
      <c r="AI1115" s="23" t="str">
        <f t="shared" ca="1" si="649"/>
        <v>93-9</v>
      </c>
      <c r="AJ1115" s="282">
        <f ca="1">IF(E1115&gt;111,,IF(AND(OP!$C$99=1,T1115="F"),Z1115,IF(AND(OP!$C$99=2,COUNTIF($T$4:T1115,"F")=1),OP!$C$97+IF(F1115="F",OP!$C$98,0),"")))</f>
        <v>0</v>
      </c>
      <c r="AK1115" s="282">
        <f ca="1">IF(E1115&gt;111,,IF(AND(OP!$D$99=1,T1115="F"),AA1115,IF(AND(OP!$D$99=2,COUNTIF($T$4:T1115,"F")=1),OP!$D$97+IF(F1115="F",OP!$D$98,0),"")))</f>
        <v>0</v>
      </c>
      <c r="AL1115" s="282">
        <f ca="1">IF(E1115&gt;111,,IF(AND(OP!$E$99=1,T1115="F"),AB1115,IF(AND(OP!$E$99=2,COUNTIF($T$4:T1115,"F")=1),OP!$E$97+IF(F1115="F",OP!$E$98,0),"")))</f>
        <v>0</v>
      </c>
      <c r="AM1115" s="1">
        <f t="shared" ca="1" si="618"/>
        <v>9</v>
      </c>
      <c r="AN1115" s="1" t="e">
        <f ca="1">IF(OR(VLOOKUP($A1115,MP,5,0)="月繳"),1,"")</f>
        <v>#N/A</v>
      </c>
      <c r="AO1115" s="1">
        <f t="shared" ca="1" si="633"/>
        <v>0</v>
      </c>
      <c r="AP1115" s="1" t="str">
        <f ca="1">IF(AND(A1115&lt;=OP!$C$120,COUNTIF(PAY,C1115)=1),1,"")</f>
        <v/>
      </c>
      <c r="AR1115" s="301">
        <f ca="1">IF(繳費報酬率資料!$A$1=1,$AY1115+$AZ1115,$BF1115+$BG1115)</f>
        <v>0</v>
      </c>
      <c r="AS1115" s="1">
        <f ca="1">IF(C1115&lt;&gt;IF($C$3=1,12,$C$3-1),0,IF(繳費報酬率資料!$A$1&lt;&gt;1,VLOOKUP($A1115,MP,8,0),IF(AND($A1115&gt;=OP!$C$79,$A1115&lt;=OP!$C$80),OP!$C$78,)))</f>
        <v>0</v>
      </c>
      <c r="AT1115" s="298">
        <f t="shared" ca="1" si="634"/>
        <v>0</v>
      </c>
      <c r="AU1115" s="298">
        <f ca="1">IF(AND(A1115&lt;=OP!$C$120,COUNTIF(PAY,C1115)=1),OP!$C$123,0)</f>
        <v>0</v>
      </c>
      <c r="AV1115" s="298">
        <f ca="1">IF(AND(A1115&gt;=OP!$C$132,A1115&lt;=OP!$C$133,$C$3=C1115),OP!$C$135,0)</f>
        <v>0</v>
      </c>
      <c r="AW1115" s="180">
        <f t="shared" ca="1" si="635"/>
        <v>0.05</v>
      </c>
      <c r="AX1115" s="180">
        <f t="shared" ca="1" si="636"/>
        <v>0.05</v>
      </c>
      <c r="AY1115" s="286">
        <f t="shared" ca="1" si="637"/>
        <v>0</v>
      </c>
      <c r="AZ1115" s="286">
        <f t="shared" ca="1" si="638"/>
        <v>0</v>
      </c>
      <c r="BA1115" s="286">
        <f t="shared" ca="1" si="639"/>
        <v>0</v>
      </c>
      <c r="BB1115" s="286">
        <f t="shared" ca="1" si="640"/>
        <v>0</v>
      </c>
      <c r="BC1115" s="286">
        <f t="shared" ca="1" si="641"/>
        <v>0</v>
      </c>
      <c r="BD1115" s="180">
        <f t="shared" ca="1" si="642"/>
        <v>0.05</v>
      </c>
      <c r="BE1115" s="180">
        <f t="shared" ca="1" si="643"/>
        <v>0.05</v>
      </c>
      <c r="BF1115" s="286">
        <f t="shared" ca="1" si="644"/>
        <v>0</v>
      </c>
      <c r="BG1115" s="286">
        <f t="shared" ca="1" si="645"/>
        <v>0</v>
      </c>
    </row>
    <row r="1116" spans="1:59">
      <c r="A1116" s="1">
        <f t="shared" ca="1" si="625"/>
        <v>93</v>
      </c>
      <c r="B1116" s="1">
        <f t="shared" ca="1" si="619"/>
        <v>199</v>
      </c>
      <c r="C1116" s="1">
        <f t="shared" ca="1" si="620"/>
        <v>2</v>
      </c>
      <c r="D1116" s="1">
        <f ca="1">MIN($D$3,VLOOKUP(C1116,OP!$S$30:$T$41,2))</f>
        <v>2</v>
      </c>
      <c r="E1116" s="1" t="str">
        <f t="shared" ref="E1116:E1167" ca="1" si="651">IF($K$1+A1116-1&gt;$D$1,"",$K$1+A1116-1)</f>
        <v/>
      </c>
      <c r="F1116" s="11" t="str">
        <f t="shared" ca="1" si="626"/>
        <v/>
      </c>
      <c r="G1116" s="8">
        <f t="shared" ca="1" si="650"/>
        <v>365</v>
      </c>
      <c r="H1116" s="8">
        <f t="shared" ca="1" si="627"/>
        <v>28</v>
      </c>
      <c r="I1116" s="8" t="str">
        <f t="shared" ca="1" si="624"/>
        <v>932</v>
      </c>
      <c r="J1116" s="13">
        <f>IF(繳費報酬率資料!$A$1=1,VALUE(OP!$C$121),VLOOKUP(A1116,MP,2,0))</f>
        <v>0.05</v>
      </c>
      <c r="K1116" s="14">
        <f ca="1">IF(SUM($K$4:K1115,IF(繳費報酬率資料!$A$1=1,$AU1116+$AV1116,$BB1116+$BC1116))&gt;OP!$L$58,0,IF(繳費報酬率資料!$A$1=1,$AU1116+$AV1116,$BB1116+$BC1116))</f>
        <v>0</v>
      </c>
      <c r="L1116" s="2"/>
      <c r="M1116" s="2"/>
      <c r="N1116" s="2"/>
      <c r="O1116" s="261">
        <f t="shared" ca="1" si="628"/>
        <v>0</v>
      </c>
      <c r="P1116" s="261">
        <f t="shared" ca="1" si="646"/>
        <v>0</v>
      </c>
      <c r="Q1116" s="3">
        <f ca="1">IF(A1116&gt;MAX(OP!$R$17:$R$26),0,VLOOKUP(A1116,fees,3,FALSE))</f>
        <v>0</v>
      </c>
      <c r="R1116" s="200" t="str">
        <f t="shared" ca="1" si="629"/>
        <v/>
      </c>
      <c r="S1116" s="9" t="str">
        <f ca="1">IF(COUNTIF(($T$4:T1115),"F")&gt;=1,"",IF(OR(C1117&lt;&gt;$C$3,E1116=""),"",A1116))</f>
        <v/>
      </c>
      <c r="T1116" s="20" t="str">
        <f t="shared" ref="T1116:T1167" ca="1" si="652">IF(F1116&lt;&gt;"","F","")</f>
        <v/>
      </c>
      <c r="U1116" s="2">
        <f ca="1">IF(IF(OP!$C$83=1,$Z1115,IF(OP!$C$83=2,$AA1115,IF(OP!$C$83=3,$AB1115,)))+$K1116-$O1116-$P1116-$AS1116&lt;OP!$C$142,0,$AS1116)</f>
        <v>0</v>
      </c>
      <c r="V1116" s="9"/>
      <c r="W1116" s="19">
        <f ca="1">MAX(SUM($K$4:K1116),0)</f>
        <v>2000000</v>
      </c>
      <c r="X1116" s="19"/>
      <c r="Y1116" s="19">
        <f t="shared" ca="1" si="647"/>
        <v>1920000</v>
      </c>
      <c r="Z1116" s="2">
        <f ca="1">IF(MIN($Z$4:Z1115)=0,0,MAX(0,($Z1115+$K1116-$O1116-$P1116)*IF(AND(F1116="F",$D$3&lt;&gt;$G$3),((1+(-J1116))^(H1116/MIN(G1116,365))),((1+(-J1116))^(1/12)))-$U1116))</f>
        <v>16487.910420747834</v>
      </c>
      <c r="AA1116" s="2">
        <f ca="1">IF(MIN($AA$4:AA1115)=0,0,MAX(0,($AA1115+$K1116-$O1116-$P1116)*IF(AND(F1116="F",$D$3&lt;&gt;$G$3),((1+$AA$1)^(H1116/MIN(G1116,365))),((1+$AA$1)^(1/12)))-$U1116))</f>
        <v>1920000</v>
      </c>
      <c r="AB1116" s="2">
        <f ca="1">IF(MIN($AB$4:AB1115)=0,0,MAX(0,($AB1115+$K1116-$O1116-$P1116)*IF(AND(F1116="F",$D$3&lt;&gt;$G$3),((1+(J1116))^(H1116/MIN(G1116,365))),((1+(J1116))^(1/12)))-$U1116))</f>
        <v>177259172.45375034</v>
      </c>
      <c r="AC1116" s="5"/>
      <c r="AD1116" s="5"/>
      <c r="AE1116" s="5"/>
      <c r="AF1116" s="282">
        <f t="shared" ca="1" si="630"/>
        <v>16488</v>
      </c>
      <c r="AG1116" s="282">
        <f t="shared" ca="1" si="631"/>
        <v>1920000</v>
      </c>
      <c r="AH1116" s="282">
        <f t="shared" ca="1" si="632"/>
        <v>177259172</v>
      </c>
      <c r="AI1116" s="23" t="str">
        <f t="shared" ca="1" si="649"/>
        <v>93-10</v>
      </c>
      <c r="AJ1116" s="282">
        <f ca="1">IF(E1116&gt;111,,IF(AND(OP!$C$99=1,T1116="F"),Z1116,IF(AND(OP!$C$99=2,COUNTIF($T$4:T1116,"F")=1),OP!$C$97+IF(F1116="F",OP!$C$98,0),"")))</f>
        <v>0</v>
      </c>
      <c r="AK1116" s="282">
        <f ca="1">IF(E1116&gt;111,,IF(AND(OP!$D$99=1,T1116="F"),AA1116,IF(AND(OP!$D$99=2,COUNTIF($T$4:T1116,"F")=1),OP!$D$97+IF(F1116="F",OP!$D$98,0),"")))</f>
        <v>0</v>
      </c>
      <c r="AL1116" s="282">
        <f ca="1">IF(E1116&gt;111,,IF(AND(OP!$E$99=1,T1116="F"),AB1116,IF(AND(OP!$E$99=2,COUNTIF($T$4:T1116,"F")=1),OP!$E$97+IF(F1116="F",OP!$E$98,0),"")))</f>
        <v>0</v>
      </c>
      <c r="AM1116" s="1">
        <f t="shared" ref="AM1116:AM1167" ca="1" si="653">IF(AND(AK1116&lt;&gt;"",AM1115=""),1,IF(AND(AK1116&lt;&gt;"",AM1115&gt;0),IF(AM1115=12,1,AM1115+1),""))</f>
        <v>10</v>
      </c>
      <c r="AN1116" s="1" t="e">
        <f ca="1">IF(OR(VLOOKUP($A1116,MP,5,0)="月繳"),1,"")</f>
        <v>#N/A</v>
      </c>
      <c r="AO1116" s="1">
        <f t="shared" ca="1" si="633"/>
        <v>0</v>
      </c>
      <c r="AP1116" s="1" t="str">
        <f ca="1">IF(AND(A1116&lt;=OP!$C$120,COUNTIF(PAY,C1116)=1),1,"")</f>
        <v/>
      </c>
      <c r="AR1116" s="301">
        <f ca="1">IF(繳費報酬率資料!$A$1=1,$AY1116+$AZ1116,$BF1116+$BG1116)</f>
        <v>0</v>
      </c>
      <c r="AS1116" s="1">
        <f ca="1">IF(C1116&lt;&gt;IF($C$3=1,12,$C$3-1),0,IF(繳費報酬率資料!$A$1&lt;&gt;1,VLOOKUP($A1116,MP,8,0),IF(AND($A1116&gt;=OP!$C$79,$A1116&lt;=OP!$C$80),OP!$C$78,)))</f>
        <v>0</v>
      </c>
      <c r="AT1116" s="298">
        <f t="shared" ca="1" si="634"/>
        <v>0</v>
      </c>
      <c r="AU1116" s="298">
        <f ca="1">IF(AND(A1116&lt;=OP!$C$120,COUNTIF(PAY,C1116)=1),OP!$C$123,0)</f>
        <v>0</v>
      </c>
      <c r="AV1116" s="298">
        <f ca="1">IF(AND(A1116&gt;=OP!$C$132,A1116&lt;=OP!$C$133,$C$3=C1116),OP!$C$135,0)</f>
        <v>0</v>
      </c>
      <c r="AW1116" s="180">
        <f t="shared" ca="1" si="635"/>
        <v>0.05</v>
      </c>
      <c r="AX1116" s="180">
        <f t="shared" ca="1" si="636"/>
        <v>0.05</v>
      </c>
      <c r="AY1116" s="286">
        <f t="shared" ca="1" si="637"/>
        <v>0</v>
      </c>
      <c r="AZ1116" s="286">
        <f t="shared" ca="1" si="638"/>
        <v>0</v>
      </c>
      <c r="BA1116" s="286">
        <f t="shared" ca="1" si="639"/>
        <v>0</v>
      </c>
      <c r="BB1116" s="286">
        <f t="shared" ca="1" si="640"/>
        <v>0</v>
      </c>
      <c r="BC1116" s="286">
        <f t="shared" ca="1" si="641"/>
        <v>0</v>
      </c>
      <c r="BD1116" s="180">
        <f t="shared" ca="1" si="642"/>
        <v>0.05</v>
      </c>
      <c r="BE1116" s="180">
        <f t="shared" ca="1" si="643"/>
        <v>0.05</v>
      </c>
      <c r="BF1116" s="286">
        <f t="shared" ca="1" si="644"/>
        <v>0</v>
      </c>
      <c r="BG1116" s="286">
        <f t="shared" ca="1" si="645"/>
        <v>0</v>
      </c>
    </row>
    <row r="1117" spans="1:59">
      <c r="A1117" s="1">
        <f t="shared" ca="1" si="625"/>
        <v>93</v>
      </c>
      <c r="B1117" s="1">
        <f t="shared" ref="B1117:B1168" ca="1" si="654">IF(C1117=1,B1116+1,B1116)</f>
        <v>199</v>
      </c>
      <c r="C1117" s="1">
        <f t="shared" ref="C1117:C1168" ca="1" si="655">IF(C1116=12,1,C1116+1)</f>
        <v>3</v>
      </c>
      <c r="D1117" s="1">
        <f ca="1">MIN($D$3,VLOOKUP(C1117,OP!$S$30:$T$41,2))</f>
        <v>2</v>
      </c>
      <c r="E1117" s="1" t="str">
        <f t="shared" ca="1" si="651"/>
        <v/>
      </c>
      <c r="F1117" s="11" t="str">
        <f t="shared" ca="1" si="626"/>
        <v/>
      </c>
      <c r="G1117" s="8">
        <f t="shared" ca="1" si="650"/>
        <v>365</v>
      </c>
      <c r="H1117" s="8">
        <f t="shared" ca="1" si="627"/>
        <v>31</v>
      </c>
      <c r="I1117" s="8" t="str">
        <f t="shared" ca="1" si="624"/>
        <v>933</v>
      </c>
      <c r="J1117" s="13">
        <f>IF(繳費報酬率資料!$A$1=1,VALUE(OP!$C$121),VLOOKUP(A1117,MP,2,0))</f>
        <v>0.05</v>
      </c>
      <c r="K1117" s="14">
        <f ca="1">IF(SUM($K$4:K1116,IF(繳費報酬率資料!$A$1=1,$AU1117+$AV1117,$BB1117+$BC1117))&gt;OP!$L$58,0,IF(繳費報酬率資料!$A$1=1,$AU1117+$AV1117,$BB1117+$BC1117))</f>
        <v>0</v>
      </c>
      <c r="L1117" s="2"/>
      <c r="M1117" s="2"/>
      <c r="N1117" s="2"/>
      <c r="O1117" s="261">
        <f t="shared" ca="1" si="628"/>
        <v>0</v>
      </c>
      <c r="P1117" s="261">
        <f t="shared" ca="1" si="646"/>
        <v>0</v>
      </c>
      <c r="Q1117" s="3">
        <f ca="1">IF(A1117&gt;MAX(OP!$R$17:$R$26),0,VLOOKUP(A1117,fees,3,FALSE))</f>
        <v>0</v>
      </c>
      <c r="R1117" s="200" t="str">
        <f t="shared" ca="1" si="629"/>
        <v/>
      </c>
      <c r="S1117" s="9" t="str">
        <f ca="1">IF(COUNTIF(($T$4:T1116),"F")&gt;=1,"",IF(OR(C1118&lt;&gt;$C$3,E1117=""),"",A1117))</f>
        <v/>
      </c>
      <c r="T1117" s="20" t="str">
        <f t="shared" ca="1" si="652"/>
        <v/>
      </c>
      <c r="U1117" s="2">
        <f ca="1">IF(IF(OP!$C$83=1,$Z1116,IF(OP!$C$83=2,$AA1116,IF(OP!$C$83=3,$AB1116,)))+$K1117-$O1117-$P1117-$AS1117&lt;OP!$C$142,0,$AS1117)</f>
        <v>0</v>
      </c>
      <c r="V1117" s="9"/>
      <c r="W1117" s="19">
        <f ca="1">MAX(SUM($K$4:K1117),0)</f>
        <v>2000000</v>
      </c>
      <c r="X1117" s="19"/>
      <c r="Y1117" s="19">
        <f t="shared" ca="1" si="647"/>
        <v>1920000</v>
      </c>
      <c r="Z1117" s="2">
        <f ca="1">IF(MIN($Z$4:Z1116)=0,0,MAX(0,($Z1116+$K1117-$O1117-$P1117)*IF(AND(F1117="F",$D$3&lt;&gt;$G$3),((1+(-J1117))^(H1117/MIN(G1117,365))),((1+(-J1117))^(1/12)))-$U1117))</f>
        <v>16417.584226827479</v>
      </c>
      <c r="AA1117" s="2">
        <f ca="1">IF(MIN($AA$4:AA1116)=0,0,MAX(0,($AA1116+$K1117-$O1117-$P1117)*IF(AND(F1117="F",$D$3&lt;&gt;$G$3),((1+$AA$1)^(H1117/MIN(G1117,365))),((1+$AA$1)^(1/12)))-$U1117))</f>
        <v>1920000</v>
      </c>
      <c r="AB1117" s="2">
        <f ca="1">IF(MIN($AB$4:AB1116)=0,0,MAX(0,($AB1116+$K1117-$O1117-$P1117)*IF(AND(F1117="F",$D$3&lt;&gt;$G$3),((1+(J1117))^(H1117/MIN(G1117,365))),((1+(J1117))^(1/12)))-$U1117))</f>
        <v>177981348.26411399</v>
      </c>
      <c r="AC1117" s="5"/>
      <c r="AD1117" s="5"/>
      <c r="AE1117" s="5"/>
      <c r="AF1117" s="282">
        <f t="shared" ca="1" si="630"/>
        <v>16418</v>
      </c>
      <c r="AG1117" s="282">
        <f t="shared" ca="1" si="631"/>
        <v>1920000</v>
      </c>
      <c r="AH1117" s="282">
        <f t="shared" ca="1" si="632"/>
        <v>177981348</v>
      </c>
      <c r="AI1117" s="23" t="str">
        <f t="shared" ca="1" si="649"/>
        <v>93-11</v>
      </c>
      <c r="AJ1117" s="282">
        <f ca="1">IF(E1117&gt;111,,IF(AND(OP!$C$99=1,T1117="F"),Z1117,IF(AND(OP!$C$99=2,COUNTIF($T$4:T1117,"F")=1),OP!$C$97+IF(F1117="F",OP!$C$98,0),"")))</f>
        <v>0</v>
      </c>
      <c r="AK1117" s="282">
        <f ca="1">IF(E1117&gt;111,,IF(AND(OP!$D$99=1,T1117="F"),AA1117,IF(AND(OP!$D$99=2,COUNTIF($T$4:T1117,"F")=1),OP!$D$97+IF(F1117="F",OP!$D$98,0),"")))</f>
        <v>0</v>
      </c>
      <c r="AL1117" s="282">
        <f ca="1">IF(E1117&gt;111,,IF(AND(OP!$E$99=1,T1117="F"),AB1117,IF(AND(OP!$E$99=2,COUNTIF($T$4:T1117,"F")=1),OP!$E$97+IF(F1117="F",OP!$E$98,0),"")))</f>
        <v>0</v>
      </c>
      <c r="AM1117" s="1">
        <f t="shared" ca="1" si="653"/>
        <v>11</v>
      </c>
      <c r="AN1117" s="1" t="e">
        <f ca="1">IF(OR(VLOOKUP($A1117,MP,5,0)="季繳",VLOOKUP($A1117,MP,5,0)="月繳"),1,"")</f>
        <v>#N/A</v>
      </c>
      <c r="AO1117" s="1">
        <f t="shared" ca="1" si="633"/>
        <v>0</v>
      </c>
      <c r="AP1117" s="1" t="str">
        <f ca="1">IF(AND(A1117&lt;=OP!$C$120,COUNTIF(PAY,C1117)=1),1,"")</f>
        <v/>
      </c>
      <c r="AR1117" s="301">
        <f ca="1">IF(繳費報酬率資料!$A$1=1,$AY1117+$AZ1117,$BF1117+$BG1117)</f>
        <v>0</v>
      </c>
      <c r="AS1117" s="1">
        <f ca="1">IF(C1117&lt;&gt;IF($C$3=1,12,$C$3-1),0,IF(繳費報酬率資料!$A$1&lt;&gt;1,VLOOKUP($A1117,MP,8,0),IF(AND($A1117&gt;=OP!$C$79,$A1117&lt;=OP!$C$80),OP!$C$78,)))</f>
        <v>0</v>
      </c>
      <c r="AT1117" s="298">
        <f t="shared" ca="1" si="634"/>
        <v>0</v>
      </c>
      <c r="AU1117" s="298">
        <f ca="1">IF(AND(A1117&lt;=OP!$C$120,COUNTIF(PAY,C1117)=1),OP!$C$123,0)</f>
        <v>0</v>
      </c>
      <c r="AV1117" s="298">
        <f ca="1">IF(AND(A1117&gt;=OP!$C$132,A1117&lt;=OP!$C$133,$C$3=C1117),OP!$C$135,0)</f>
        <v>0</v>
      </c>
      <c r="AW1117" s="180">
        <f t="shared" ca="1" si="635"/>
        <v>0.05</v>
      </c>
      <c r="AX1117" s="180">
        <f t="shared" ca="1" si="636"/>
        <v>0.05</v>
      </c>
      <c r="AY1117" s="286">
        <f t="shared" ca="1" si="637"/>
        <v>0</v>
      </c>
      <c r="AZ1117" s="286">
        <f t="shared" ca="1" si="638"/>
        <v>0</v>
      </c>
      <c r="BA1117" s="286">
        <f t="shared" ca="1" si="639"/>
        <v>0</v>
      </c>
      <c r="BB1117" s="286">
        <f t="shared" ca="1" si="640"/>
        <v>0</v>
      </c>
      <c r="BC1117" s="286">
        <f t="shared" ca="1" si="641"/>
        <v>0</v>
      </c>
      <c r="BD1117" s="180">
        <f t="shared" ca="1" si="642"/>
        <v>0.05</v>
      </c>
      <c r="BE1117" s="180">
        <f t="shared" ca="1" si="643"/>
        <v>0.05</v>
      </c>
      <c r="BF1117" s="286">
        <f t="shared" ca="1" si="644"/>
        <v>0</v>
      </c>
      <c r="BG1117" s="286">
        <f t="shared" ca="1" si="645"/>
        <v>0</v>
      </c>
    </row>
    <row r="1118" spans="1:59">
      <c r="A1118" s="1">
        <f t="shared" ca="1" si="625"/>
        <v>93</v>
      </c>
      <c r="B1118" s="1">
        <f t="shared" ca="1" si="654"/>
        <v>199</v>
      </c>
      <c r="C1118" s="1">
        <f t="shared" ca="1" si="655"/>
        <v>4</v>
      </c>
      <c r="D1118" s="1">
        <f ca="1">MIN($D$3,VLOOKUP(C1118,OP!$S$30:$T$41,2))</f>
        <v>2</v>
      </c>
      <c r="E1118" s="1" t="str">
        <f t="shared" ca="1" si="651"/>
        <v/>
      </c>
      <c r="F1118" s="11" t="str">
        <f t="shared" ca="1" si="626"/>
        <v/>
      </c>
      <c r="G1118" s="8">
        <f t="shared" ca="1" si="650"/>
        <v>365</v>
      </c>
      <c r="H1118" s="8">
        <f t="shared" ca="1" si="627"/>
        <v>30</v>
      </c>
      <c r="I1118" s="8" t="str">
        <f t="shared" ca="1" si="624"/>
        <v>934</v>
      </c>
      <c r="J1118" s="13">
        <f>IF(繳費報酬率資料!$A$1=1,VALUE(OP!$C$121),VLOOKUP(A1118,MP,2,0))</f>
        <v>0.05</v>
      </c>
      <c r="K1118" s="14">
        <f ca="1">IF(SUM($K$4:K1117,IF(繳費報酬率資料!$A$1=1,$AU1118+$AV1118,$BB1118+$BC1118))&gt;OP!$L$58,0,IF(繳費報酬率資料!$A$1=1,$AU1118+$AV1118,$BB1118+$BC1118))</f>
        <v>0</v>
      </c>
      <c r="L1118" s="2"/>
      <c r="M1118" s="2"/>
      <c r="N1118" s="2"/>
      <c r="O1118" s="261">
        <f t="shared" ca="1" si="628"/>
        <v>0</v>
      </c>
      <c r="P1118" s="261">
        <f t="shared" ca="1" si="646"/>
        <v>0</v>
      </c>
      <c r="Q1118" s="3">
        <f ca="1">IF(A1118&gt;MAX(OP!$R$17:$R$26),0,VLOOKUP(A1118,fees,3,FALSE))</f>
        <v>0</v>
      </c>
      <c r="R1118" s="200" t="str">
        <f t="shared" ca="1" si="629"/>
        <v/>
      </c>
      <c r="S1118" s="9" t="str">
        <f ca="1">IF(COUNTIF(($T$4:T1117),"F")&gt;=1,"",IF(OR(C1119&lt;&gt;$C$3,E1118=""),"",A1118))</f>
        <v/>
      </c>
      <c r="T1118" s="20" t="str">
        <f t="shared" ca="1" si="652"/>
        <v/>
      </c>
      <c r="U1118" s="2">
        <f ca="1">IF(IF(OP!$C$83=1,$Z1117,IF(OP!$C$83=2,$AA1117,IF(OP!$C$83=3,$AB1117,)))+$K1118-$O1118-$P1118-$AS1118&lt;OP!$C$142,0,$AS1118)</f>
        <v>0</v>
      </c>
      <c r="V1118" s="9"/>
      <c r="W1118" s="19">
        <f ca="1">MAX(SUM($K$4:K1118),0)</f>
        <v>2000000</v>
      </c>
      <c r="X1118" s="19"/>
      <c r="Y1118" s="19">
        <f t="shared" ca="1" si="647"/>
        <v>1920000</v>
      </c>
      <c r="Z1118" s="2">
        <f ca="1">IF(MIN($Z$4:Z1117)=0,0,MAX(0,($Z1117+$K1118-$O1118-$P1118)*IF(AND(F1118="F",$D$3&lt;&gt;$G$3),((1+(-J1118))^(H1118/MIN(G1118,365))),((1+(-J1118))^(1/12)))-$U1118))</f>
        <v>16347.557996542608</v>
      </c>
      <c r="AA1118" s="2">
        <f ca="1">IF(MIN($AA$4:AA1117)=0,0,MAX(0,($AA1117+$K1118-$O1118-$P1118)*IF(AND(F1118="F",$D$3&lt;&gt;$G$3),((1+$AA$1)^(H1118/MIN(G1118,365))),((1+$AA$1)^(1/12)))-$U1118))</f>
        <v>1920000</v>
      </c>
      <c r="AB1118" s="2">
        <f ca="1">IF(MIN($AB$4:AB1117)=0,0,MAX(0,($AB1117+$K1118-$O1118-$P1118)*IF(AND(F1118="F",$D$3&lt;&gt;$G$3),((1+(J1118))^(H1118/MIN(G1118,365))),((1+(J1118))^(1/12)))-$U1118))</f>
        <v>178706466.30812261</v>
      </c>
      <c r="AC1118" s="5"/>
      <c r="AD1118" s="5"/>
      <c r="AE1118" s="5"/>
      <c r="AF1118" s="282">
        <f t="shared" ca="1" si="630"/>
        <v>16348</v>
      </c>
      <c r="AG1118" s="282">
        <f t="shared" ca="1" si="631"/>
        <v>1920000</v>
      </c>
      <c r="AH1118" s="282">
        <f t="shared" ca="1" si="632"/>
        <v>178706466</v>
      </c>
      <c r="AI1118" s="23" t="str">
        <f t="shared" ca="1" si="649"/>
        <v>93-12</v>
      </c>
      <c r="AJ1118" s="282">
        <f ca="1">IF(E1118&gt;111,,IF(AND(OP!$C$99=1,T1118="F"),Z1118,IF(AND(OP!$C$99=2,COUNTIF($T$4:T1118,"F")=1),OP!$C$97+IF(F1118="F",OP!$C$98,0),"")))</f>
        <v>0</v>
      </c>
      <c r="AK1118" s="282">
        <f ca="1">IF(E1118&gt;111,,IF(AND(OP!$D$99=1,T1118="F"),AA1118,IF(AND(OP!$D$99=2,COUNTIF($T$4:T1118,"F")=1),OP!$D$97+IF(F1118="F",OP!$D$98,0),"")))</f>
        <v>0</v>
      </c>
      <c r="AL1118" s="282">
        <f ca="1">IF(E1118&gt;111,,IF(AND(OP!$E$99=1,T1118="F"),AB1118,IF(AND(OP!$E$99=2,COUNTIF($T$4:T1118,"F")=1),OP!$E$97+IF(F1118="F",OP!$E$98,0),"")))</f>
        <v>0</v>
      </c>
      <c r="AM1118" s="1">
        <f t="shared" ca="1" si="653"/>
        <v>12</v>
      </c>
      <c r="AN1118" s="1" t="e">
        <f ca="1">IF(OR(VLOOKUP($A1118,MP,5,0)="月繳"),1,"")</f>
        <v>#N/A</v>
      </c>
      <c r="AO1118" s="1">
        <f t="shared" ca="1" si="633"/>
        <v>0</v>
      </c>
      <c r="AP1118" s="1" t="str">
        <f ca="1">IF(AND(A1118&lt;=OP!$C$120,COUNTIF(PAY,C1118)=1),1,"")</f>
        <v/>
      </c>
      <c r="AR1118" s="301">
        <f ca="1">IF(繳費報酬率資料!$A$1=1,$AY1118+$AZ1118,$BF1118+$BG1118)</f>
        <v>0</v>
      </c>
      <c r="AS1118" s="1">
        <f ca="1">IF(C1118&lt;&gt;IF($C$3=1,12,$C$3-1),0,IF(繳費報酬率資料!$A$1&lt;&gt;1,VLOOKUP($A1118,MP,8,0),IF(AND($A1118&gt;=OP!$C$79,$A1118&lt;=OP!$C$80),OP!$C$78,)))</f>
        <v>0</v>
      </c>
      <c r="AT1118" s="298">
        <f t="shared" ca="1" si="634"/>
        <v>0</v>
      </c>
      <c r="AU1118" s="298">
        <f ca="1">IF(AND(A1118&lt;=OP!$C$120,COUNTIF(PAY,C1118)=1),OP!$C$123,0)</f>
        <v>0</v>
      </c>
      <c r="AV1118" s="298">
        <f ca="1">IF(AND(A1118&gt;=OP!$C$132,A1118&lt;=OP!$C$133,$C$3=C1118),OP!$C$135,0)</f>
        <v>0</v>
      </c>
      <c r="AW1118" s="180">
        <f t="shared" ca="1" si="635"/>
        <v>0.05</v>
      </c>
      <c r="AX1118" s="180">
        <f t="shared" ca="1" si="636"/>
        <v>0.05</v>
      </c>
      <c r="AY1118" s="286">
        <f t="shared" ca="1" si="637"/>
        <v>0</v>
      </c>
      <c r="AZ1118" s="286">
        <f t="shared" ca="1" si="638"/>
        <v>0</v>
      </c>
      <c r="BA1118" s="286">
        <f t="shared" ca="1" si="639"/>
        <v>0</v>
      </c>
      <c r="BB1118" s="286">
        <f t="shared" ca="1" si="640"/>
        <v>0</v>
      </c>
      <c r="BC1118" s="286">
        <f t="shared" ca="1" si="641"/>
        <v>0</v>
      </c>
      <c r="BD1118" s="180">
        <f t="shared" ca="1" si="642"/>
        <v>0.05</v>
      </c>
      <c r="BE1118" s="180">
        <f t="shared" ca="1" si="643"/>
        <v>0.05</v>
      </c>
      <c r="BF1118" s="286">
        <f t="shared" ca="1" si="644"/>
        <v>0</v>
      </c>
      <c r="BG1118" s="286">
        <f t="shared" ca="1" si="645"/>
        <v>0</v>
      </c>
    </row>
    <row r="1119" spans="1:59">
      <c r="A1119" s="1">
        <f t="shared" ca="1" si="625"/>
        <v>93</v>
      </c>
      <c r="B1119" s="1">
        <f t="shared" ca="1" si="654"/>
        <v>199</v>
      </c>
      <c r="C1119" s="1">
        <f t="shared" ca="1" si="655"/>
        <v>5</v>
      </c>
      <c r="D1119" s="1">
        <f ca="1">MIN($D$3,VLOOKUP(C1119,OP!$S$30:$T$41,2))</f>
        <v>2</v>
      </c>
      <c r="E1119" s="1" t="str">
        <f t="shared" ca="1" si="651"/>
        <v/>
      </c>
      <c r="F1119" s="11" t="str">
        <f t="shared" ca="1" si="626"/>
        <v/>
      </c>
      <c r="G1119" s="8">
        <f t="shared" ca="1" si="650"/>
        <v>365</v>
      </c>
      <c r="H1119" s="8">
        <f t="shared" ca="1" si="627"/>
        <v>31</v>
      </c>
      <c r="I1119" s="8" t="str">
        <f t="shared" ca="1" si="624"/>
        <v>935</v>
      </c>
      <c r="J1119" s="13">
        <f>IF(繳費報酬率資料!$A$1=1,VALUE(OP!$C$121),VLOOKUP(A1119,MP,2,0))</f>
        <v>0.05</v>
      </c>
      <c r="K1119" s="14">
        <f ca="1">IF(SUM($K$4:K1118,IF(繳費報酬率資料!$A$1=1,$AU1119+$AV1119,$BB1119+$BC1119))&gt;OP!$L$58,0,IF(繳費報酬率資料!$A$1=1,$AU1119+$AV1119,$BB1119+$BC1119))</f>
        <v>0</v>
      </c>
      <c r="L1119" s="2">
        <f ca="1">ROUND(IF(OP!$C$78&lt;(IF(OR($T1119="F",$E1119&gt;=111),0,Z1118+$K1119-$O1119+IF($C$1=1,OP!$C$78,IF($C1120=$C$3,SUM(AC1108:AC1119,0)))))*5%,0,(OP!$C$78-((IF(OR($T1119="F",$E1119&gt;=111),0,Z1118+$K1119-$O1119+IF($C$1=1,AC1119,IF($C1120=$C$3,SUM(AC1108:AC1119,0)))))*5%))*$Q1119),0)</f>
        <v>0</v>
      </c>
      <c r="M1119" s="2">
        <f ca="1">ROUND(IF(OP!$C$78&lt;(IF(OR($T1119="F",$E1119&gt;=111),0,AA1118+$K1119-$O1119+IF($C$1=1,AD1119,IF($C1120=$C$3,SUM(AD1108:AD1119,0)))))*5%,0,(OP!$C$78-((IF(OR($T1119="F",$E1119&gt;=111),0,AA1118+$K1119-$O1119+IF($C$1=1,AD1119,IF($C1120=$C$3,SUM(AD1108:AD1119,0)))))*5%))*$Q1119),0)</f>
        <v>0</v>
      </c>
      <c r="N1119" s="2">
        <f ca="1">ROUND(IF(OP!$C$78&lt;(IF(OR($T1119="F",$E1119&gt;=111),0,AB1118+$K1119-$O1119+IF($C$1=1,AE1119,IF($C1120=$C$3,SUM(AE1108:AE1119,0)))))*5%,0,(OP!$C$78-((IF(OR($T1119="F",$E1119&gt;=111),0,AB1118+$K1119-$O1119+IF($C$1=1,AE1119,IF($C1120=$C$3,SUM(AE1108:AE1119,0)))))*5%))*$Q1119),0)</f>
        <v>0</v>
      </c>
      <c r="O1119" s="261">
        <f t="shared" ca="1" si="628"/>
        <v>0</v>
      </c>
      <c r="P1119" s="261">
        <f t="shared" ca="1" si="646"/>
        <v>0</v>
      </c>
      <c r="Q1119" s="3">
        <f ca="1">IF(A1119&gt;MAX(OP!$R$17:$R$26),0,VLOOKUP(A1119,fees,3,FALSE))</f>
        <v>0</v>
      </c>
      <c r="R1119" s="200" t="str">
        <f t="shared" ca="1" si="629"/>
        <v/>
      </c>
      <c r="S1119" s="9" t="str">
        <f ca="1">IF(COUNTIF(($T$4:T1118),"F")&gt;=1,"",IF(OR(C1120&lt;&gt;$C$3,E1119=""),"",A1119))</f>
        <v/>
      </c>
      <c r="T1119" s="20" t="str">
        <f t="shared" ca="1" si="652"/>
        <v/>
      </c>
      <c r="U1119" s="2">
        <f ca="1">IF(IF(OP!$C$83=1,$Z1118,IF(OP!$C$83=2,$AA1118,IF(OP!$C$83=3,$AB1118,)))+$K1119-$O1119-$P1119-$AS1119&lt;OP!$C$142,0,$AS1119)</f>
        <v>0</v>
      </c>
      <c r="V1119" s="19">
        <f ca="1">SUM(K1108:K1119)</f>
        <v>0</v>
      </c>
      <c r="W1119" s="19">
        <f ca="1">MAX(SUM($K$4:K1119),0)</f>
        <v>2000000</v>
      </c>
      <c r="X1119" s="19">
        <f ca="1">SUM(O1108:P1119)</f>
        <v>0</v>
      </c>
      <c r="Y1119" s="19">
        <f t="shared" ca="1" si="647"/>
        <v>1920000</v>
      </c>
      <c r="Z1119" s="2">
        <f ca="1">IF(MIN($Z$4:Z1118)=0,0,MAX(0,($Z1118+$K1119-$O1119-$P1119)*IF(AND(F1119="F",$D$3&lt;&gt;$G$3),((1+(-J1119))^(H1119/MIN(G1119,365))),((1+(-J1119))^(1/12)))-$U1119))</f>
        <v>16277.830450452693</v>
      </c>
      <c r="AA1119" s="2">
        <f ca="1">IF(MIN($AA$4:AA1118)=0,0,MAX(0,($AA1118+$K1119-$O1119-$P1119)*IF(AND(F1119="F",$D$3&lt;&gt;$G$3),((1+$AA$1)^(H1119/MIN(G1119,365))),((1+$AA$1)^(1/12)))-$U1119))</f>
        <v>1920000</v>
      </c>
      <c r="AB1119" s="2">
        <f ca="1">IF(MIN($AB$4:AB1118)=0,0,MAX(0,($AB1118+$K1119-$O1119-$P1119)*IF(AND(F1119="F",$D$3&lt;&gt;$G$3),((1+(J1119))^(H1119/MIN(G1119,365))),((1+(J1119))^(1/12)))-$U1119))</f>
        <v>179434538.57280028</v>
      </c>
      <c r="AC1119" s="5"/>
      <c r="AD1119" s="5"/>
      <c r="AE1119" s="5"/>
      <c r="AF1119" s="282">
        <f t="shared" ca="1" si="630"/>
        <v>16278</v>
      </c>
      <c r="AG1119" s="282">
        <f t="shared" ca="1" si="631"/>
        <v>1920000</v>
      </c>
      <c r="AH1119" s="282">
        <f t="shared" ca="1" si="632"/>
        <v>179434539</v>
      </c>
      <c r="AI1119" s="23" t="str">
        <f t="shared" ca="1" si="649"/>
        <v>94-1</v>
      </c>
      <c r="AJ1119" s="282">
        <f ca="1">IF(E1119&gt;111,,IF(AND(OP!$C$99=1,T1119="F"),Z1119,IF(AND(OP!$C$99=2,COUNTIF($T$4:T1119,"F")=1),OP!$C$97+IF(F1119="F",OP!$C$98,0),"")))</f>
        <v>0</v>
      </c>
      <c r="AK1119" s="282">
        <f ca="1">IF(E1119&gt;111,,IF(AND(OP!$D$99=1,T1119="F"),AA1119,IF(AND(OP!$D$99=2,COUNTIF($T$4:T1119,"F")=1),OP!$D$97+IF(F1119="F",OP!$D$98,0),"")))</f>
        <v>0</v>
      </c>
      <c r="AL1119" s="282">
        <f ca="1">IF(E1119&gt;111,,IF(AND(OP!$E$99=1,T1119="F"),AB1119,IF(AND(OP!$E$99=2,COUNTIF($T$4:T1119,"F")=1),OP!$E$97+IF(F1119="F",OP!$E$98,0),"")))</f>
        <v>0</v>
      </c>
      <c r="AM1119" s="1">
        <f t="shared" ca="1" si="653"/>
        <v>1</v>
      </c>
      <c r="AN1119" s="1" t="e">
        <f ca="1">IF(OR(VLOOKUP($A1119,MP,5,0)="月繳"),1,"")</f>
        <v>#N/A</v>
      </c>
      <c r="AO1119" s="1">
        <f t="shared" ca="1" si="633"/>
        <v>0</v>
      </c>
      <c r="AP1119" s="1" t="str">
        <f ca="1">IF(AND(A1119&lt;=OP!$C$120,COUNTIF(PAY,C1119)=1),1,"")</f>
        <v/>
      </c>
      <c r="AR1119" s="301">
        <f ca="1">IF(繳費報酬率資料!$A$1=1,$AY1119+$AZ1119,$BF1119+$BG1119)</f>
        <v>0</v>
      </c>
      <c r="AS1119" s="1">
        <f ca="1">IF(C1119&lt;&gt;IF($C$3=1,12,$C$3-1),0,IF(繳費報酬率資料!$A$1&lt;&gt;1,VLOOKUP($A1119,MP,8,0),IF(AND($A1119&gt;=OP!$C$79,$A1119&lt;=OP!$C$80),OP!$C$78,)))</f>
        <v>0</v>
      </c>
      <c r="AT1119" s="298">
        <f t="shared" ca="1" si="634"/>
        <v>0</v>
      </c>
      <c r="AU1119" s="298">
        <f ca="1">IF(AND(A1119&lt;=OP!$C$120,COUNTIF(PAY,C1119)=1),OP!$C$123,0)</f>
        <v>0</v>
      </c>
      <c r="AV1119" s="298">
        <f ca="1">IF(AND(A1119&gt;=OP!$C$132,A1119&lt;=OP!$C$133,$C$3=C1119),OP!$C$135,0)</f>
        <v>0</v>
      </c>
      <c r="AW1119" s="180">
        <f t="shared" ca="1" si="635"/>
        <v>0.05</v>
      </c>
      <c r="AX1119" s="180">
        <f t="shared" ca="1" si="636"/>
        <v>0.05</v>
      </c>
      <c r="AY1119" s="286">
        <f t="shared" ca="1" si="637"/>
        <v>0</v>
      </c>
      <c r="AZ1119" s="286">
        <f t="shared" ca="1" si="638"/>
        <v>0</v>
      </c>
      <c r="BA1119" s="286">
        <f t="shared" ca="1" si="639"/>
        <v>0</v>
      </c>
      <c r="BB1119" s="286">
        <f t="shared" ca="1" si="640"/>
        <v>0</v>
      </c>
      <c r="BC1119" s="286">
        <f t="shared" ca="1" si="641"/>
        <v>0</v>
      </c>
      <c r="BD1119" s="180">
        <f t="shared" ca="1" si="642"/>
        <v>0.05</v>
      </c>
      <c r="BE1119" s="180">
        <f t="shared" ca="1" si="643"/>
        <v>0.05</v>
      </c>
      <c r="BF1119" s="286">
        <f t="shared" ca="1" si="644"/>
        <v>0</v>
      </c>
      <c r="BG1119" s="286">
        <f t="shared" ca="1" si="645"/>
        <v>0</v>
      </c>
    </row>
    <row r="1120" spans="1:59">
      <c r="A1120" s="1">
        <f t="shared" ca="1" si="625"/>
        <v>94</v>
      </c>
      <c r="B1120" s="1">
        <f t="shared" ca="1" si="654"/>
        <v>199</v>
      </c>
      <c r="C1120" s="1">
        <f t="shared" ca="1" si="655"/>
        <v>6</v>
      </c>
      <c r="D1120" s="1">
        <f ca="1">MIN($D$3,VLOOKUP(C1120,OP!$S$30:$T$41,2))</f>
        <v>2</v>
      </c>
      <c r="E1120" s="1" t="str">
        <f t="shared" ca="1" si="651"/>
        <v/>
      </c>
      <c r="F1120" s="11" t="str">
        <f t="shared" ca="1" si="626"/>
        <v/>
      </c>
      <c r="G1120" s="6">
        <f ca="1">DATEDIF(DATE(B1120+1911,C1120,D1120),DATE(B1132+1911,C1132,D1132),"d")</f>
        <v>365</v>
      </c>
      <c r="H1120" s="8">
        <f t="shared" ca="1" si="627"/>
        <v>30</v>
      </c>
      <c r="I1120" s="8" t="str">
        <f t="shared" ca="1" si="624"/>
        <v>946</v>
      </c>
      <c r="J1120" s="13">
        <f>IF(繳費報酬率資料!$A$1=1,VALUE(OP!$C$121),VLOOKUP(A1120,MP,2,0))</f>
        <v>0.05</v>
      </c>
      <c r="K1120" s="14">
        <f ca="1">IF(SUM($K$4:K1119,IF(繳費報酬率資料!$A$1=1,$AU1120+$AV1120,$BB1120+$BC1120))&gt;OP!$L$58,0,IF(繳費報酬率資料!$A$1=1,$AU1120+$AV1120,$BB1120+$BC1120))</f>
        <v>0</v>
      </c>
      <c r="L1120" s="2"/>
      <c r="M1120" s="2"/>
      <c r="N1120" s="2"/>
      <c r="O1120" s="261">
        <f t="shared" ca="1" si="628"/>
        <v>0</v>
      </c>
      <c r="P1120" s="261">
        <f t="shared" ca="1" si="646"/>
        <v>0</v>
      </c>
      <c r="Q1120" s="3">
        <f ca="1">IF(A1120&gt;MAX(OP!$R$17:$R$26),0,VLOOKUP(A1120,fees,3,FALSE))</f>
        <v>0</v>
      </c>
      <c r="R1120" s="200" t="str">
        <f t="shared" ca="1" si="629"/>
        <v/>
      </c>
      <c r="S1120" s="9" t="str">
        <f ca="1">IF(COUNTIF(($T$4:T1119),"F")&gt;=1,"",IF(OR(C1121&lt;&gt;$C$3,E1120=""),"",A1120))</f>
        <v/>
      </c>
      <c r="T1120" s="20" t="str">
        <f t="shared" ca="1" si="652"/>
        <v/>
      </c>
      <c r="U1120" s="2">
        <f ca="1">IF(IF(OP!$C$83=1,$Z1119,IF(OP!$C$83=2,$AA1119,IF(OP!$C$83=3,$AB1119,)))+$K1120-$O1120-$P1120-$AS1120&lt;OP!$C$142,0,$AS1120)</f>
        <v>0</v>
      </c>
      <c r="V1120" s="9"/>
      <c r="W1120" s="19">
        <f ca="1">MAX(SUM($K$4:K1120),0)</f>
        <v>2000000</v>
      </c>
      <c r="X1120" s="19"/>
      <c r="Y1120" s="19">
        <f t="shared" ca="1" si="647"/>
        <v>1920000</v>
      </c>
      <c r="Z1120" s="2">
        <f ca="1">IF(MIN($Z$4:Z1119)=0,0,MAX(0,($Z1119+$K1120-$O1120-$P1120)*IF(AND(F1120="F",$D$3&lt;&gt;$G$3),((1+(-J1120))^(H1120/MIN(G1120,365))),((1+(-J1120))^(1/12)))-$U1120))</f>
        <v>16208.400314574428</v>
      </c>
      <c r="AA1120" s="2">
        <f ca="1">IF(MIN($AA$4:AA1119)=0,0,MAX(0,($AA1119+$K1120-$O1120-$P1120)*IF(AND(F1120="F",$D$3&lt;&gt;$G$3),((1+$AA$1)^(H1120/MIN(G1120,365))),((1+$AA$1)^(1/12)))-$U1120))</f>
        <v>1920000</v>
      </c>
      <c r="AB1120" s="2">
        <f ca="1">IF(MIN($AB$4:AB1119)=0,0,MAX(0,($AB1119+$K1120-$O1120-$P1120)*IF(AND(F1120="F",$D$3&lt;&gt;$G$3),((1+(J1120))^(H1120/MIN(G1120,365))),((1+(J1120))^(1/12)))-$U1120))</f>
        <v>180165577.0940077</v>
      </c>
      <c r="AC1120" s="21"/>
      <c r="AD1120" s="21"/>
      <c r="AE1120" s="21"/>
      <c r="AF1120" s="282">
        <f t="shared" ca="1" si="630"/>
        <v>16208</v>
      </c>
      <c r="AG1120" s="282">
        <f t="shared" ca="1" si="631"/>
        <v>1920000</v>
      </c>
      <c r="AH1120" s="282">
        <f t="shared" ca="1" si="632"/>
        <v>180165577</v>
      </c>
      <c r="AI1120" s="23" t="str">
        <f t="shared" ca="1" si="649"/>
        <v>94-2</v>
      </c>
      <c r="AJ1120" s="281">
        <f ca="1">IF(E1120&gt;111,,IF(AND(OP!$C$99=1,T1120="F"),Z1120,IF(AND(OP!$C$99=2,COUNTIF($T$4:T1120,"F")=1),OP!$C$97+IF(F1120="F",OP!$C$98,0),"")))</f>
        <v>0</v>
      </c>
      <c r="AK1120" s="281">
        <f ca="1">IF(E1120&gt;111,,IF(AND(OP!$D$99=1,T1120="F"),AA1120,IF(AND(OP!$D$99=2,COUNTIF($T$4:T1120,"F")=1),OP!$D$97+IF(F1120="F",OP!$D$98,0),"")))</f>
        <v>0</v>
      </c>
      <c r="AL1120" s="281">
        <f ca="1">IF(E1120&gt;111,,IF(AND(OP!$E$99=1,T1120="F"),AB1120,IF(AND(OP!$E$99=2,COUNTIF($T$4:T1120,"F")=1),OP!$E$97+IF(F1120="F",OP!$E$98,0),"")))</f>
        <v>0</v>
      </c>
      <c r="AM1120" s="1">
        <f t="shared" ca="1" si="653"/>
        <v>2</v>
      </c>
      <c r="AN1120" s="1" t="e">
        <f ca="1">IF(OR(VLOOKUP($A1120,MP,5,0)="年繳",VLOOKUP($A1120,MP,5,0)="半年繳",VLOOKUP($A1120,MP,5,0)="季繳",VLOOKUP($A1120,MP,5,0)="月繳"),1,"")</f>
        <v>#N/A</v>
      </c>
      <c r="AO1120" s="1">
        <f t="shared" ca="1" si="633"/>
        <v>0</v>
      </c>
      <c r="AP1120" s="1" t="str">
        <f ca="1">IF(AND(A1120&lt;=OP!$C$120,COUNTIF(PAY,C1120)=1),1,"")</f>
        <v/>
      </c>
      <c r="AR1120" s="301">
        <f ca="1">IF(繳費報酬率資料!$A$1=1,$AY1120+$AZ1120,$BF1120+$BG1120)</f>
        <v>0</v>
      </c>
      <c r="AS1120" s="1">
        <f ca="1">IF(C1120&lt;&gt;IF($C$3=1,12,$C$3-1),0,IF(繳費報酬率資料!$A$1&lt;&gt;1,VLOOKUP($A1120,MP,8,0),IF(AND($A1120&gt;=OP!$C$79,$A1120&lt;=OP!$C$80),OP!$C$78,)))</f>
        <v>0</v>
      </c>
      <c r="AT1120" s="298">
        <f t="shared" ca="1" si="634"/>
        <v>0</v>
      </c>
      <c r="AU1120" s="298">
        <f ca="1">IF(AND(A1120&lt;=OP!$C$120,COUNTIF(PAY,C1120)=1),OP!$C$123,0)</f>
        <v>0</v>
      </c>
      <c r="AV1120" s="298">
        <f ca="1">IF(AND(A1120&gt;=OP!$C$132,A1120&lt;=OP!$C$133,$C$3=C1120),OP!$C$135,0)</f>
        <v>0</v>
      </c>
      <c r="AW1120" s="180">
        <f t="shared" ca="1" si="635"/>
        <v>0.05</v>
      </c>
      <c r="AX1120" s="180">
        <f t="shared" ca="1" si="636"/>
        <v>0.05</v>
      </c>
      <c r="AY1120" s="286">
        <f t="shared" ca="1" si="637"/>
        <v>0</v>
      </c>
      <c r="AZ1120" s="286">
        <f t="shared" ca="1" si="638"/>
        <v>0</v>
      </c>
      <c r="BA1120" s="286">
        <f t="shared" ca="1" si="639"/>
        <v>0</v>
      </c>
      <c r="BB1120" s="286">
        <f t="shared" ca="1" si="640"/>
        <v>0</v>
      </c>
      <c r="BC1120" s="286">
        <f t="shared" ca="1" si="641"/>
        <v>0</v>
      </c>
      <c r="BD1120" s="180">
        <f t="shared" ca="1" si="642"/>
        <v>0.05</v>
      </c>
      <c r="BE1120" s="180">
        <f t="shared" ca="1" si="643"/>
        <v>0.05</v>
      </c>
      <c r="BF1120" s="286">
        <f t="shared" ca="1" si="644"/>
        <v>0</v>
      </c>
      <c r="BG1120" s="286">
        <f t="shared" ca="1" si="645"/>
        <v>0</v>
      </c>
    </row>
    <row r="1121" spans="1:59">
      <c r="A1121" s="1">
        <f t="shared" ca="1" si="625"/>
        <v>94</v>
      </c>
      <c r="B1121" s="1">
        <f t="shared" ca="1" si="654"/>
        <v>199</v>
      </c>
      <c r="C1121" s="1">
        <f t="shared" ca="1" si="655"/>
        <v>7</v>
      </c>
      <c r="D1121" s="1">
        <f ca="1">MIN($D$3,VLOOKUP(C1121,OP!$S$30:$T$41,2))</f>
        <v>2</v>
      </c>
      <c r="E1121" s="1" t="str">
        <f t="shared" ca="1" si="651"/>
        <v/>
      </c>
      <c r="F1121" s="11" t="str">
        <f t="shared" ca="1" si="626"/>
        <v/>
      </c>
      <c r="G1121" s="8">
        <f t="shared" ref="G1121:G1131" ca="1" si="656">G1120</f>
        <v>365</v>
      </c>
      <c r="H1121" s="8">
        <f t="shared" ca="1" si="627"/>
        <v>31</v>
      </c>
      <c r="I1121" s="8" t="str">
        <f t="shared" ca="1" si="624"/>
        <v>947</v>
      </c>
      <c r="J1121" s="13">
        <f>IF(繳費報酬率資料!$A$1=1,VALUE(OP!$C$121),VLOOKUP(A1121,MP,2,0))</f>
        <v>0.05</v>
      </c>
      <c r="K1121" s="14">
        <f ca="1">IF(SUM($K$4:K1120,IF(繳費報酬率資料!$A$1=1,$AU1121+$AV1121,$BB1121+$BC1121))&gt;OP!$L$58,0,IF(繳費報酬率資料!$A$1=1,$AU1121+$AV1121,$BB1121+$BC1121))</f>
        <v>0</v>
      </c>
      <c r="L1121" s="2"/>
      <c r="M1121" s="2"/>
      <c r="N1121" s="2"/>
      <c r="O1121" s="261">
        <f t="shared" ca="1" si="628"/>
        <v>0</v>
      </c>
      <c r="P1121" s="261">
        <f t="shared" ca="1" si="646"/>
        <v>0</v>
      </c>
      <c r="Q1121" s="3">
        <f ca="1">IF(A1121&gt;MAX(OP!$R$17:$R$26),0,VLOOKUP(A1121,fees,3,FALSE))</f>
        <v>0</v>
      </c>
      <c r="R1121" s="200" t="str">
        <f t="shared" ca="1" si="629"/>
        <v/>
      </c>
      <c r="S1121" s="9" t="str">
        <f ca="1">IF(COUNTIF(($T$4:T1120),"F")&gt;=1,"",IF(OR(C1122&lt;&gt;$C$3,E1121=""),"",A1121))</f>
        <v/>
      </c>
      <c r="T1121" s="20" t="str">
        <f t="shared" ca="1" si="652"/>
        <v/>
      </c>
      <c r="U1121" s="2">
        <f ca="1">IF(IF(OP!$C$83=1,$Z1120,IF(OP!$C$83=2,$AA1120,IF(OP!$C$83=3,$AB1120,)))+$K1121-$O1121-$P1121-$AS1121&lt;OP!$C$142,0,$AS1121)</f>
        <v>0</v>
      </c>
      <c r="V1121" s="9"/>
      <c r="W1121" s="19">
        <f ca="1">MAX(SUM($K$4:K1121),0)</f>
        <v>2000000</v>
      </c>
      <c r="X1121" s="19"/>
      <c r="Y1121" s="19">
        <f t="shared" ca="1" si="647"/>
        <v>1920000</v>
      </c>
      <c r="Z1121" s="2">
        <f ca="1">IF(MIN($Z$4:Z1120)=0,0,MAX(0,($Z1120+$K1121-$O1121-$P1121)*IF(AND(F1121="F",$D$3&lt;&gt;$G$3),((1+(-J1121))^(H1121/MIN(G1121,365))),((1+(-J1121))^(1/12)))-$U1121))</f>
        <v>16139.266320358454</v>
      </c>
      <c r="AA1121" s="2">
        <f ca="1">IF(MIN($AA$4:AA1120)=0,0,MAX(0,($AA1120+$K1121-$O1121-$P1121)*IF(AND(F1121="F",$D$3&lt;&gt;$G$3),((1+$AA$1)^(H1121/MIN(G1121,365))),((1+$AA$1)^(1/12)))-$U1121))</f>
        <v>1920000</v>
      </c>
      <c r="AB1121" s="2">
        <f ca="1">IF(MIN($AB$4:AB1120)=0,0,MAX(0,($AB1120+$K1121-$O1121-$P1121)*IF(AND(F1121="F",$D$3&lt;&gt;$G$3),((1+(J1121))^(H1121/MIN(G1121,365))),((1+(J1121))^(1/12)))-$U1121))</f>
        <v>180899593.95664114</v>
      </c>
      <c r="AC1121" s="5"/>
      <c r="AD1121" s="5"/>
      <c r="AE1121" s="5"/>
      <c r="AF1121" s="282">
        <f t="shared" ca="1" si="630"/>
        <v>16139</v>
      </c>
      <c r="AG1121" s="282">
        <f t="shared" ca="1" si="631"/>
        <v>1920000</v>
      </c>
      <c r="AH1121" s="282">
        <f t="shared" ca="1" si="632"/>
        <v>180899594</v>
      </c>
      <c r="AI1121" s="23" t="str">
        <f t="shared" ca="1" si="649"/>
        <v>94-3</v>
      </c>
      <c r="AJ1121" s="282">
        <f ca="1">IF(E1121&gt;111,,IF(AND(OP!$C$99=1,T1121="F"),Z1121,IF(AND(OP!$C$99=2,COUNTIF($T$4:T1121,"F")=1),OP!$C$97+IF(F1121="F",OP!$C$98,0),"")))</f>
        <v>0</v>
      </c>
      <c r="AK1121" s="282">
        <f ca="1">IF(E1121&gt;111,,IF(AND(OP!$D$99=1,T1121="F"),AA1121,IF(AND(OP!$D$99=2,COUNTIF($T$4:T1121,"F")=1),OP!$D$97+IF(F1121="F",OP!$D$98,0),"")))</f>
        <v>0</v>
      </c>
      <c r="AL1121" s="282">
        <f ca="1">IF(E1121&gt;111,,IF(AND(OP!$E$99=1,T1121="F"),AB1121,IF(AND(OP!$E$99=2,COUNTIF($T$4:T1121,"F")=1),OP!$E$97+IF(F1121="F",OP!$E$98,0),"")))</f>
        <v>0</v>
      </c>
      <c r="AM1121" s="1">
        <f t="shared" ca="1" si="653"/>
        <v>3</v>
      </c>
      <c r="AN1121" s="1" t="e">
        <f ca="1">IF(OR(VLOOKUP($A1121,MP,5,0)="月繳"),1,"")</f>
        <v>#N/A</v>
      </c>
      <c r="AO1121" s="1">
        <f t="shared" ca="1" si="633"/>
        <v>0</v>
      </c>
      <c r="AP1121" s="1" t="str">
        <f ca="1">IF(AND(A1121&lt;=OP!$C$120,COUNTIF(PAY,C1121)=1),1,"")</f>
        <v/>
      </c>
      <c r="AR1121" s="301">
        <f ca="1">IF(繳費報酬率資料!$A$1=1,$AY1121+$AZ1121,$BF1121+$BG1121)</f>
        <v>0</v>
      </c>
      <c r="AS1121" s="1">
        <f ca="1">IF(C1121&lt;&gt;IF($C$3=1,12,$C$3-1),0,IF(繳費報酬率資料!$A$1&lt;&gt;1,VLOOKUP($A1121,MP,8,0),IF(AND($A1121&gt;=OP!$C$79,$A1121&lt;=OP!$C$80),OP!$C$78,)))</f>
        <v>0</v>
      </c>
      <c r="AT1121" s="298">
        <f t="shared" ca="1" si="634"/>
        <v>0</v>
      </c>
      <c r="AU1121" s="298">
        <f ca="1">IF(AND(A1121&lt;=OP!$C$120,COUNTIF(PAY,C1121)=1),OP!$C$123,0)</f>
        <v>0</v>
      </c>
      <c r="AV1121" s="298">
        <f ca="1">IF(AND(A1121&gt;=OP!$C$132,A1121&lt;=OP!$C$133,$C$3=C1121),OP!$C$135,0)</f>
        <v>0</v>
      </c>
      <c r="AW1121" s="180">
        <f t="shared" ca="1" si="635"/>
        <v>0.05</v>
      </c>
      <c r="AX1121" s="180">
        <f t="shared" ca="1" si="636"/>
        <v>0.05</v>
      </c>
      <c r="AY1121" s="286">
        <f t="shared" ca="1" si="637"/>
        <v>0</v>
      </c>
      <c r="AZ1121" s="286">
        <f t="shared" ca="1" si="638"/>
        <v>0</v>
      </c>
      <c r="BA1121" s="286">
        <f t="shared" ca="1" si="639"/>
        <v>0</v>
      </c>
      <c r="BB1121" s="286">
        <f t="shared" ca="1" si="640"/>
        <v>0</v>
      </c>
      <c r="BC1121" s="286">
        <f t="shared" ca="1" si="641"/>
        <v>0</v>
      </c>
      <c r="BD1121" s="180">
        <f t="shared" ca="1" si="642"/>
        <v>0.05</v>
      </c>
      <c r="BE1121" s="180">
        <f t="shared" ca="1" si="643"/>
        <v>0.05</v>
      </c>
      <c r="BF1121" s="286">
        <f t="shared" ca="1" si="644"/>
        <v>0</v>
      </c>
      <c r="BG1121" s="286">
        <f t="shared" ca="1" si="645"/>
        <v>0</v>
      </c>
    </row>
    <row r="1122" spans="1:59">
      <c r="A1122" s="1">
        <f t="shared" ca="1" si="625"/>
        <v>94</v>
      </c>
      <c r="B1122" s="1">
        <f t="shared" ca="1" si="654"/>
        <v>199</v>
      </c>
      <c r="C1122" s="1">
        <f t="shared" ca="1" si="655"/>
        <v>8</v>
      </c>
      <c r="D1122" s="1">
        <f ca="1">MIN($D$3,VLOOKUP(C1122,OP!$S$30:$T$41,2))</f>
        <v>2</v>
      </c>
      <c r="E1122" s="1" t="str">
        <f t="shared" ca="1" si="651"/>
        <v/>
      </c>
      <c r="F1122" s="11" t="str">
        <f t="shared" ca="1" si="626"/>
        <v/>
      </c>
      <c r="G1122" s="8">
        <f t="shared" ca="1" si="656"/>
        <v>365</v>
      </c>
      <c r="H1122" s="8">
        <f t="shared" ca="1" si="627"/>
        <v>31</v>
      </c>
      <c r="I1122" s="8" t="str">
        <f t="shared" ca="1" si="624"/>
        <v>948</v>
      </c>
      <c r="J1122" s="13">
        <f>IF(繳費報酬率資料!$A$1=1,VALUE(OP!$C$121),VLOOKUP(A1122,MP,2,0))</f>
        <v>0.05</v>
      </c>
      <c r="K1122" s="14">
        <f ca="1">IF(SUM($K$4:K1121,IF(繳費報酬率資料!$A$1=1,$AU1122+$AV1122,$BB1122+$BC1122))&gt;OP!$L$58,0,IF(繳費報酬率資料!$A$1=1,$AU1122+$AV1122,$BB1122+$BC1122))</f>
        <v>0</v>
      </c>
      <c r="L1122" s="2"/>
      <c r="M1122" s="2"/>
      <c r="N1122" s="2"/>
      <c r="O1122" s="261">
        <f t="shared" ca="1" si="628"/>
        <v>0</v>
      </c>
      <c r="P1122" s="261">
        <f t="shared" ca="1" si="646"/>
        <v>0</v>
      </c>
      <c r="Q1122" s="3">
        <f ca="1">IF(A1122&gt;MAX(OP!$R$17:$R$26),0,VLOOKUP(A1122,fees,3,FALSE))</f>
        <v>0</v>
      </c>
      <c r="R1122" s="200" t="str">
        <f t="shared" ca="1" si="629"/>
        <v/>
      </c>
      <c r="S1122" s="9" t="str">
        <f ca="1">IF(COUNTIF(($T$4:T1121),"F")&gt;=1,"",IF(OR(C1123&lt;&gt;$C$3,E1122=""),"",A1122))</f>
        <v/>
      </c>
      <c r="T1122" s="20" t="str">
        <f t="shared" ca="1" si="652"/>
        <v/>
      </c>
      <c r="U1122" s="2">
        <f ca="1">IF(IF(OP!$C$83=1,$Z1121,IF(OP!$C$83=2,$AA1121,IF(OP!$C$83=3,$AB1121,)))+$K1122-$O1122-$P1122-$AS1122&lt;OP!$C$142,0,$AS1122)</f>
        <v>0</v>
      </c>
      <c r="V1122" s="9"/>
      <c r="W1122" s="19">
        <f ca="1">MAX(SUM($K$4:K1122),0)</f>
        <v>2000000</v>
      </c>
      <c r="X1122" s="19"/>
      <c r="Y1122" s="19">
        <f t="shared" ca="1" si="647"/>
        <v>1920000</v>
      </c>
      <c r="Z1122" s="2">
        <f ca="1">IF(MIN($Z$4:Z1121)=0,0,MAX(0,($Z1121+$K1122-$O1122-$P1122)*IF(AND(F1122="F",$D$3&lt;&gt;$G$3),((1+(-J1122))^(H1122/MIN(G1122,365))),((1+(-J1122))^(1/12)))-$U1122))</f>
        <v>16070.427204666177</v>
      </c>
      <c r="AA1122" s="2">
        <f ca="1">IF(MIN($AA$4:AA1121)=0,0,MAX(0,($AA1121+$K1122-$O1122-$P1122)*IF(AND(F1122="F",$D$3&lt;&gt;$G$3),((1+$AA$1)^(H1122/MIN(G1122,365))),((1+$AA$1)^(1/12)))-$U1122))</f>
        <v>1920000</v>
      </c>
      <c r="AB1122" s="2">
        <f ca="1">IF(MIN($AB$4:AB1121)=0,0,MAX(0,($AB1121+$K1122-$O1122-$P1122)*IF(AND(F1122="F",$D$3&lt;&gt;$G$3),((1+(J1122))^(H1122/MIN(G1122,365))),((1+(J1122))^(1/12)))-$U1122))</f>
        <v>181636601.29483223</v>
      </c>
      <c r="AC1122" s="5"/>
      <c r="AD1122" s="5"/>
      <c r="AE1122" s="5"/>
      <c r="AF1122" s="282">
        <f t="shared" ca="1" si="630"/>
        <v>16070</v>
      </c>
      <c r="AG1122" s="282">
        <f t="shared" ca="1" si="631"/>
        <v>1920000</v>
      </c>
      <c r="AH1122" s="282">
        <f t="shared" ca="1" si="632"/>
        <v>181636601</v>
      </c>
      <c r="AI1122" s="23" t="str">
        <f t="shared" ca="1" si="649"/>
        <v>94-4</v>
      </c>
      <c r="AJ1122" s="282">
        <f ca="1">IF(E1122&gt;111,,IF(AND(OP!$C$99=1,T1122="F"),Z1122,IF(AND(OP!$C$99=2,COUNTIF($T$4:T1122,"F")=1),OP!$C$97+IF(F1122="F",OP!$C$98,0),"")))</f>
        <v>0</v>
      </c>
      <c r="AK1122" s="282">
        <f ca="1">IF(E1122&gt;111,,IF(AND(OP!$D$99=1,T1122="F"),AA1122,IF(AND(OP!$D$99=2,COUNTIF($T$4:T1122,"F")=1),OP!$D$97+IF(F1122="F",OP!$D$98,0),"")))</f>
        <v>0</v>
      </c>
      <c r="AL1122" s="282">
        <f ca="1">IF(E1122&gt;111,,IF(AND(OP!$E$99=1,T1122="F"),AB1122,IF(AND(OP!$E$99=2,COUNTIF($T$4:T1122,"F")=1),OP!$E$97+IF(F1122="F",OP!$E$98,0),"")))</f>
        <v>0</v>
      </c>
      <c r="AM1122" s="1">
        <f t="shared" ca="1" si="653"/>
        <v>4</v>
      </c>
      <c r="AN1122" s="1" t="e">
        <f ca="1">IF(OR(VLOOKUP($A1122,MP,5,0)="月繳"),1,"")</f>
        <v>#N/A</v>
      </c>
      <c r="AO1122" s="1">
        <f t="shared" ca="1" si="633"/>
        <v>0</v>
      </c>
      <c r="AP1122" s="1" t="str">
        <f ca="1">IF(AND(A1122&lt;=OP!$C$120,COUNTIF(PAY,C1122)=1),1,"")</f>
        <v/>
      </c>
      <c r="AR1122" s="301">
        <f ca="1">IF(繳費報酬率資料!$A$1=1,$AY1122+$AZ1122,$BF1122+$BG1122)</f>
        <v>0</v>
      </c>
      <c r="AS1122" s="1">
        <f ca="1">IF(C1122&lt;&gt;IF($C$3=1,12,$C$3-1),0,IF(繳費報酬率資料!$A$1&lt;&gt;1,VLOOKUP($A1122,MP,8,0),IF(AND($A1122&gt;=OP!$C$79,$A1122&lt;=OP!$C$80),OP!$C$78,)))</f>
        <v>0</v>
      </c>
      <c r="AT1122" s="298">
        <f t="shared" ca="1" si="634"/>
        <v>0</v>
      </c>
      <c r="AU1122" s="298">
        <f ca="1">IF(AND(A1122&lt;=OP!$C$120,COUNTIF(PAY,C1122)=1),OP!$C$123,0)</f>
        <v>0</v>
      </c>
      <c r="AV1122" s="298">
        <f ca="1">IF(AND(A1122&gt;=OP!$C$132,A1122&lt;=OP!$C$133,$C$3=C1122),OP!$C$135,0)</f>
        <v>0</v>
      </c>
      <c r="AW1122" s="180">
        <f t="shared" ca="1" si="635"/>
        <v>0.05</v>
      </c>
      <c r="AX1122" s="180">
        <f t="shared" ca="1" si="636"/>
        <v>0.05</v>
      </c>
      <c r="AY1122" s="286">
        <f t="shared" ca="1" si="637"/>
        <v>0</v>
      </c>
      <c r="AZ1122" s="286">
        <f t="shared" ca="1" si="638"/>
        <v>0</v>
      </c>
      <c r="BA1122" s="286">
        <f t="shared" ca="1" si="639"/>
        <v>0</v>
      </c>
      <c r="BB1122" s="286">
        <f t="shared" ca="1" si="640"/>
        <v>0</v>
      </c>
      <c r="BC1122" s="286">
        <f t="shared" ca="1" si="641"/>
        <v>0</v>
      </c>
      <c r="BD1122" s="180">
        <f t="shared" ca="1" si="642"/>
        <v>0.05</v>
      </c>
      <c r="BE1122" s="180">
        <f t="shared" ca="1" si="643"/>
        <v>0.05</v>
      </c>
      <c r="BF1122" s="286">
        <f t="shared" ca="1" si="644"/>
        <v>0</v>
      </c>
      <c r="BG1122" s="286">
        <f t="shared" ca="1" si="645"/>
        <v>0</v>
      </c>
    </row>
    <row r="1123" spans="1:59">
      <c r="A1123" s="1">
        <f t="shared" ca="1" si="625"/>
        <v>94</v>
      </c>
      <c r="B1123" s="1">
        <f t="shared" ca="1" si="654"/>
        <v>199</v>
      </c>
      <c r="C1123" s="1">
        <f t="shared" ca="1" si="655"/>
        <v>9</v>
      </c>
      <c r="D1123" s="1">
        <f ca="1">MIN($D$3,VLOOKUP(C1123,OP!$S$30:$T$41,2))</f>
        <v>2</v>
      </c>
      <c r="E1123" s="1" t="str">
        <f t="shared" ca="1" si="651"/>
        <v/>
      </c>
      <c r="F1123" s="11" t="str">
        <f t="shared" ca="1" si="626"/>
        <v/>
      </c>
      <c r="G1123" s="8">
        <f t="shared" ca="1" si="656"/>
        <v>365</v>
      </c>
      <c r="H1123" s="8">
        <f t="shared" ca="1" si="627"/>
        <v>30</v>
      </c>
      <c r="I1123" s="8" t="str">
        <f t="shared" ca="1" si="624"/>
        <v>949</v>
      </c>
      <c r="J1123" s="13">
        <f>IF(繳費報酬率資料!$A$1=1,VALUE(OP!$C$121),VLOOKUP(A1123,MP,2,0))</f>
        <v>0.05</v>
      </c>
      <c r="K1123" s="14">
        <f ca="1">IF(SUM($K$4:K1122,IF(繳費報酬率資料!$A$1=1,$AU1123+$AV1123,$BB1123+$BC1123))&gt;OP!$L$58,0,IF(繳費報酬率資料!$A$1=1,$AU1123+$AV1123,$BB1123+$BC1123))</f>
        <v>0</v>
      </c>
      <c r="L1123" s="2"/>
      <c r="M1123" s="2"/>
      <c r="N1123" s="2"/>
      <c r="O1123" s="261">
        <f t="shared" ca="1" si="628"/>
        <v>0</v>
      </c>
      <c r="P1123" s="261">
        <f t="shared" ca="1" si="646"/>
        <v>0</v>
      </c>
      <c r="Q1123" s="3">
        <f ca="1">IF(A1123&gt;MAX(OP!$R$17:$R$26),0,VLOOKUP(A1123,fees,3,FALSE))</f>
        <v>0</v>
      </c>
      <c r="R1123" s="200" t="str">
        <f t="shared" ca="1" si="629"/>
        <v/>
      </c>
      <c r="S1123" s="9" t="str">
        <f ca="1">IF(COUNTIF(($T$4:T1122),"F")&gt;=1,"",IF(OR(C1124&lt;&gt;$C$3,E1123=""),"",A1123))</f>
        <v/>
      </c>
      <c r="T1123" s="20" t="str">
        <f t="shared" ca="1" si="652"/>
        <v/>
      </c>
      <c r="U1123" s="2">
        <f ca="1">IF(IF(OP!$C$83=1,$Z1122,IF(OP!$C$83=2,$AA1122,IF(OP!$C$83=3,$AB1122,)))+$K1123-$O1123-$P1123-$AS1123&lt;OP!$C$142,0,$AS1123)</f>
        <v>0</v>
      </c>
      <c r="V1123" s="9"/>
      <c r="W1123" s="19">
        <f ca="1">MAX(SUM($K$4:K1123),0)</f>
        <v>2000000</v>
      </c>
      <c r="X1123" s="19"/>
      <c r="Y1123" s="19">
        <f t="shared" ca="1" si="647"/>
        <v>1920000</v>
      </c>
      <c r="Z1123" s="2">
        <f ca="1">IF(MIN($Z$4:Z1122)=0,0,MAX(0,($Z1122+$K1123-$O1123-$P1123)*IF(AND(F1123="F",$D$3&lt;&gt;$G$3),((1+(-J1123))^(H1123/MIN(G1123,365))),((1+(-J1123))^(1/12)))-$U1123))</f>
        <v>16001.881709746693</v>
      </c>
      <c r="AA1123" s="2">
        <f ca="1">IF(MIN($AA$4:AA1122)=0,0,MAX(0,($AA1122+$K1123-$O1123-$P1123)*IF(AND(F1123="F",$D$3&lt;&gt;$G$3),((1+$AA$1)^(H1123/MIN(G1123,365))),((1+$AA$1)^(1/12)))-$U1123))</f>
        <v>1920000</v>
      </c>
      <c r="AB1123" s="2">
        <f ca="1">IF(MIN($AB$4:AB1122)=0,0,MAX(0,($AB1122+$K1123-$O1123-$P1123)*IF(AND(F1123="F",$D$3&lt;&gt;$G$3),((1+(J1123))^(H1123/MIN(G1123,365))),((1+(J1123))^(1/12)))-$U1123))</f>
        <v>182376611.29214856</v>
      </c>
      <c r="AC1123" s="5"/>
      <c r="AD1123" s="5"/>
      <c r="AE1123" s="5"/>
      <c r="AF1123" s="282">
        <f t="shared" ca="1" si="630"/>
        <v>16002</v>
      </c>
      <c r="AG1123" s="282">
        <f t="shared" ca="1" si="631"/>
        <v>1920000</v>
      </c>
      <c r="AH1123" s="282">
        <f t="shared" ca="1" si="632"/>
        <v>182376611</v>
      </c>
      <c r="AI1123" s="23" t="str">
        <f t="shared" ca="1" si="649"/>
        <v>94-5</v>
      </c>
      <c r="AJ1123" s="282">
        <f ca="1">IF(E1123&gt;111,,IF(AND(OP!$C$99=1,T1123="F"),Z1123,IF(AND(OP!$C$99=2,COUNTIF($T$4:T1123,"F")=1),OP!$C$97+IF(F1123="F",OP!$C$98,0),"")))</f>
        <v>0</v>
      </c>
      <c r="AK1123" s="282">
        <f ca="1">IF(E1123&gt;111,,IF(AND(OP!$D$99=1,T1123="F"),AA1123,IF(AND(OP!$D$99=2,COUNTIF($T$4:T1123,"F")=1),OP!$D$97+IF(F1123="F",OP!$D$98,0),"")))</f>
        <v>0</v>
      </c>
      <c r="AL1123" s="282">
        <f ca="1">IF(E1123&gt;111,,IF(AND(OP!$E$99=1,T1123="F"),AB1123,IF(AND(OP!$E$99=2,COUNTIF($T$4:T1123,"F")=1),OP!$E$97+IF(F1123="F",OP!$E$98,0),"")))</f>
        <v>0</v>
      </c>
      <c r="AM1123" s="1">
        <f t="shared" ca="1" si="653"/>
        <v>5</v>
      </c>
      <c r="AN1123" s="1" t="e">
        <f ca="1">IF(OR(VLOOKUP($A1123,MP,5,0)="季繳",VLOOKUP($A1123,MP,5,0)="月繳"),1,"")</f>
        <v>#N/A</v>
      </c>
      <c r="AO1123" s="1">
        <f t="shared" ca="1" si="633"/>
        <v>0</v>
      </c>
      <c r="AP1123" s="1" t="str">
        <f ca="1">IF(AND(A1123&lt;=OP!$C$120,COUNTIF(PAY,C1123)=1),1,"")</f>
        <v/>
      </c>
      <c r="AR1123" s="301">
        <f ca="1">IF(繳費報酬率資料!$A$1=1,$AY1123+$AZ1123,$BF1123+$BG1123)</f>
        <v>0</v>
      </c>
      <c r="AS1123" s="1">
        <f ca="1">IF(C1123&lt;&gt;IF($C$3=1,12,$C$3-1),0,IF(繳費報酬率資料!$A$1&lt;&gt;1,VLOOKUP($A1123,MP,8,0),IF(AND($A1123&gt;=OP!$C$79,$A1123&lt;=OP!$C$80),OP!$C$78,)))</f>
        <v>0</v>
      </c>
      <c r="AT1123" s="298">
        <f t="shared" ca="1" si="634"/>
        <v>0</v>
      </c>
      <c r="AU1123" s="298">
        <f ca="1">IF(AND(A1123&lt;=OP!$C$120,COUNTIF(PAY,C1123)=1),OP!$C$123,0)</f>
        <v>0</v>
      </c>
      <c r="AV1123" s="298">
        <f ca="1">IF(AND(A1123&gt;=OP!$C$132,A1123&lt;=OP!$C$133,$C$3=C1123),OP!$C$135,0)</f>
        <v>0</v>
      </c>
      <c r="AW1123" s="180">
        <f t="shared" ca="1" si="635"/>
        <v>0.05</v>
      </c>
      <c r="AX1123" s="180">
        <f t="shared" ca="1" si="636"/>
        <v>0.05</v>
      </c>
      <c r="AY1123" s="286">
        <f t="shared" ca="1" si="637"/>
        <v>0</v>
      </c>
      <c r="AZ1123" s="286">
        <f t="shared" ca="1" si="638"/>
        <v>0</v>
      </c>
      <c r="BA1123" s="286">
        <f t="shared" ca="1" si="639"/>
        <v>0</v>
      </c>
      <c r="BB1123" s="286">
        <f t="shared" ca="1" si="640"/>
        <v>0</v>
      </c>
      <c r="BC1123" s="286">
        <f t="shared" ca="1" si="641"/>
        <v>0</v>
      </c>
      <c r="BD1123" s="180">
        <f t="shared" ca="1" si="642"/>
        <v>0.05</v>
      </c>
      <c r="BE1123" s="180">
        <f t="shared" ca="1" si="643"/>
        <v>0.05</v>
      </c>
      <c r="BF1123" s="286">
        <f t="shared" ca="1" si="644"/>
        <v>0</v>
      </c>
      <c r="BG1123" s="286">
        <f t="shared" ca="1" si="645"/>
        <v>0</v>
      </c>
    </row>
    <row r="1124" spans="1:59">
      <c r="A1124" s="1">
        <f t="shared" ca="1" si="625"/>
        <v>94</v>
      </c>
      <c r="B1124" s="1">
        <f t="shared" ca="1" si="654"/>
        <v>199</v>
      </c>
      <c r="C1124" s="1">
        <f t="shared" ca="1" si="655"/>
        <v>10</v>
      </c>
      <c r="D1124" s="1">
        <f ca="1">MIN($D$3,VLOOKUP(C1124,OP!$S$30:$T$41,2))</f>
        <v>2</v>
      </c>
      <c r="E1124" s="1" t="str">
        <f t="shared" ca="1" si="651"/>
        <v/>
      </c>
      <c r="F1124" s="11" t="str">
        <f t="shared" ca="1" si="626"/>
        <v/>
      </c>
      <c r="G1124" s="8">
        <f t="shared" ca="1" si="656"/>
        <v>365</v>
      </c>
      <c r="H1124" s="8">
        <f t="shared" ca="1" si="627"/>
        <v>31</v>
      </c>
      <c r="I1124" s="8" t="str">
        <f t="shared" ca="1" si="624"/>
        <v>9410</v>
      </c>
      <c r="J1124" s="13">
        <f>IF(繳費報酬率資料!$A$1=1,VALUE(OP!$C$121),VLOOKUP(A1124,MP,2,0))</f>
        <v>0.05</v>
      </c>
      <c r="K1124" s="14">
        <f ca="1">IF(SUM($K$4:K1123,IF(繳費報酬率資料!$A$1=1,$AU1124+$AV1124,$BB1124+$BC1124))&gt;OP!$L$58,0,IF(繳費報酬率資料!$A$1=1,$AU1124+$AV1124,$BB1124+$BC1124))</f>
        <v>0</v>
      </c>
      <c r="L1124" s="2"/>
      <c r="M1124" s="2"/>
      <c r="N1124" s="2"/>
      <c r="O1124" s="261">
        <f t="shared" ca="1" si="628"/>
        <v>0</v>
      </c>
      <c r="P1124" s="261">
        <f t="shared" ca="1" si="646"/>
        <v>0</v>
      </c>
      <c r="Q1124" s="3">
        <f ca="1">IF(A1124&gt;MAX(OP!$R$17:$R$26),0,VLOOKUP(A1124,fees,3,FALSE))</f>
        <v>0</v>
      </c>
      <c r="R1124" s="200" t="str">
        <f t="shared" ca="1" si="629"/>
        <v/>
      </c>
      <c r="S1124" s="9" t="str">
        <f ca="1">IF(COUNTIF(($T$4:T1123),"F")&gt;=1,"",IF(OR(C1125&lt;&gt;$C$3,E1124=""),"",A1124))</f>
        <v/>
      </c>
      <c r="T1124" s="20" t="str">
        <f t="shared" ca="1" si="652"/>
        <v/>
      </c>
      <c r="U1124" s="2">
        <f ca="1">IF(IF(OP!$C$83=1,$Z1123,IF(OP!$C$83=2,$AA1123,IF(OP!$C$83=3,$AB1123,)))+$K1124-$O1124-$P1124-$AS1124&lt;OP!$C$142,0,$AS1124)</f>
        <v>0</v>
      </c>
      <c r="V1124" s="9"/>
      <c r="W1124" s="19">
        <f ca="1">MAX(SUM($K$4:K1124),0)</f>
        <v>2000000</v>
      </c>
      <c r="X1124" s="19"/>
      <c r="Y1124" s="19">
        <f t="shared" ca="1" si="647"/>
        <v>1920000</v>
      </c>
      <c r="Z1124" s="2">
        <f ca="1">IF(MIN($Z$4:Z1123)=0,0,MAX(0,($Z1123+$K1124-$O1124-$P1124)*IF(AND(F1124="F",$D$3&lt;&gt;$G$3),((1+(-J1124))^(H1124/MIN(G1124,365))),((1+(-J1124))^(1/12)))-$U1124))</f>
        <v>15933.628583213806</v>
      </c>
      <c r="AA1124" s="2">
        <f ca="1">IF(MIN($AA$4:AA1123)=0,0,MAX(0,($AA1123+$K1124-$O1124-$P1124)*IF(AND(F1124="F",$D$3&lt;&gt;$G$3),((1+$AA$1)^(H1124/MIN(G1124,365))),((1+$AA$1)^(1/12)))-$U1124))</f>
        <v>1920000</v>
      </c>
      <c r="AB1124" s="2">
        <f ca="1">IF(MIN($AB$4:AB1123)=0,0,MAX(0,($AB1123+$K1124-$O1124-$P1124)*IF(AND(F1124="F",$D$3&lt;&gt;$G$3),((1+(J1124))^(H1124/MIN(G1124,365))),((1+(J1124))^(1/12)))-$U1124))</f>
        <v>183119636.18179509</v>
      </c>
      <c r="AC1124" s="5"/>
      <c r="AD1124" s="5"/>
      <c r="AE1124" s="5"/>
      <c r="AF1124" s="282">
        <f t="shared" ca="1" si="630"/>
        <v>15934</v>
      </c>
      <c r="AG1124" s="282">
        <f t="shared" ca="1" si="631"/>
        <v>1920000</v>
      </c>
      <c r="AH1124" s="282">
        <f t="shared" ca="1" si="632"/>
        <v>183119636</v>
      </c>
      <c r="AI1124" s="23" t="str">
        <f t="shared" ca="1" si="649"/>
        <v>94-6</v>
      </c>
      <c r="AJ1124" s="282">
        <f ca="1">IF(E1124&gt;111,,IF(AND(OP!$C$99=1,T1124="F"),Z1124,IF(AND(OP!$C$99=2,COUNTIF($T$4:T1124,"F")=1),OP!$C$97+IF(F1124="F",OP!$C$98,0),"")))</f>
        <v>0</v>
      </c>
      <c r="AK1124" s="282">
        <f ca="1">IF(E1124&gt;111,,IF(AND(OP!$D$99=1,T1124="F"),AA1124,IF(AND(OP!$D$99=2,COUNTIF($T$4:T1124,"F")=1),OP!$D$97+IF(F1124="F",OP!$D$98,0),"")))</f>
        <v>0</v>
      </c>
      <c r="AL1124" s="282">
        <f ca="1">IF(E1124&gt;111,,IF(AND(OP!$E$99=1,T1124="F"),AB1124,IF(AND(OP!$E$99=2,COUNTIF($T$4:T1124,"F")=1),OP!$E$97+IF(F1124="F",OP!$E$98,0),"")))</f>
        <v>0</v>
      </c>
      <c r="AM1124" s="1">
        <f t="shared" ca="1" si="653"/>
        <v>6</v>
      </c>
      <c r="AN1124" s="1" t="e">
        <f ca="1">IF(OR(VLOOKUP($A1124,MP,5,0)="月繳"),1,"")</f>
        <v>#N/A</v>
      </c>
      <c r="AO1124" s="1">
        <f t="shared" ca="1" si="633"/>
        <v>0</v>
      </c>
      <c r="AP1124" s="1" t="str">
        <f ca="1">IF(AND(A1124&lt;=OP!$C$120,COUNTIF(PAY,C1124)=1),1,"")</f>
        <v/>
      </c>
      <c r="AR1124" s="301">
        <f ca="1">IF(繳費報酬率資料!$A$1=1,$AY1124+$AZ1124,$BF1124+$BG1124)</f>
        <v>0</v>
      </c>
      <c r="AS1124" s="1">
        <f ca="1">IF(C1124&lt;&gt;IF($C$3=1,12,$C$3-1),0,IF(繳費報酬率資料!$A$1&lt;&gt;1,VLOOKUP($A1124,MP,8,0),IF(AND($A1124&gt;=OP!$C$79,$A1124&lt;=OP!$C$80),OP!$C$78,)))</f>
        <v>0</v>
      </c>
      <c r="AT1124" s="298">
        <f t="shared" ca="1" si="634"/>
        <v>0</v>
      </c>
      <c r="AU1124" s="298">
        <f ca="1">IF(AND(A1124&lt;=OP!$C$120,COUNTIF(PAY,C1124)=1),OP!$C$123,0)</f>
        <v>0</v>
      </c>
      <c r="AV1124" s="298">
        <f ca="1">IF(AND(A1124&gt;=OP!$C$132,A1124&lt;=OP!$C$133,$C$3=C1124),OP!$C$135,0)</f>
        <v>0</v>
      </c>
      <c r="AW1124" s="180">
        <f t="shared" ca="1" si="635"/>
        <v>0.05</v>
      </c>
      <c r="AX1124" s="180">
        <f t="shared" ca="1" si="636"/>
        <v>0.05</v>
      </c>
      <c r="AY1124" s="286">
        <f t="shared" ca="1" si="637"/>
        <v>0</v>
      </c>
      <c r="AZ1124" s="286">
        <f t="shared" ca="1" si="638"/>
        <v>0</v>
      </c>
      <c r="BA1124" s="286">
        <f t="shared" ca="1" si="639"/>
        <v>0</v>
      </c>
      <c r="BB1124" s="286">
        <f t="shared" ca="1" si="640"/>
        <v>0</v>
      </c>
      <c r="BC1124" s="286">
        <f t="shared" ca="1" si="641"/>
        <v>0</v>
      </c>
      <c r="BD1124" s="180">
        <f t="shared" ca="1" si="642"/>
        <v>0.05</v>
      </c>
      <c r="BE1124" s="180">
        <f t="shared" ca="1" si="643"/>
        <v>0.05</v>
      </c>
      <c r="BF1124" s="286">
        <f t="shared" ca="1" si="644"/>
        <v>0</v>
      </c>
      <c r="BG1124" s="286">
        <f t="shared" ca="1" si="645"/>
        <v>0</v>
      </c>
    </row>
    <row r="1125" spans="1:59">
      <c r="A1125" s="1">
        <f t="shared" ca="1" si="625"/>
        <v>94</v>
      </c>
      <c r="B1125" s="1">
        <f t="shared" ca="1" si="654"/>
        <v>199</v>
      </c>
      <c r="C1125" s="1">
        <f t="shared" ca="1" si="655"/>
        <v>11</v>
      </c>
      <c r="D1125" s="1">
        <f ca="1">MIN($D$3,VLOOKUP(C1125,OP!$S$30:$T$41,2))</f>
        <v>2</v>
      </c>
      <c r="E1125" s="1" t="str">
        <f t="shared" ca="1" si="651"/>
        <v/>
      </c>
      <c r="F1125" s="11" t="str">
        <f t="shared" ca="1" si="626"/>
        <v/>
      </c>
      <c r="G1125" s="8">
        <f t="shared" ca="1" si="656"/>
        <v>365</v>
      </c>
      <c r="H1125" s="8">
        <f t="shared" ca="1" si="627"/>
        <v>30</v>
      </c>
      <c r="I1125" s="8" t="str">
        <f t="shared" ca="1" si="624"/>
        <v>9411</v>
      </c>
      <c r="J1125" s="13">
        <f>IF(繳費報酬率資料!$A$1=1,VALUE(OP!$C$121),VLOOKUP(A1125,MP,2,0))</f>
        <v>0.05</v>
      </c>
      <c r="K1125" s="14">
        <f ca="1">IF(SUM($K$4:K1124,IF(繳費報酬率資料!$A$1=1,$AU1125+$AV1125,$BB1125+$BC1125))&gt;OP!$L$58,0,IF(繳費報酬率資料!$A$1=1,$AU1125+$AV1125,$BB1125+$BC1125))</f>
        <v>0</v>
      </c>
      <c r="L1125" s="2"/>
      <c r="M1125" s="2"/>
      <c r="N1125" s="2"/>
      <c r="O1125" s="261">
        <f t="shared" ca="1" si="628"/>
        <v>0</v>
      </c>
      <c r="P1125" s="261">
        <f t="shared" ca="1" si="646"/>
        <v>0</v>
      </c>
      <c r="Q1125" s="3">
        <f ca="1">IF(A1125&gt;MAX(OP!$R$17:$R$26),0,VLOOKUP(A1125,fees,3,FALSE))</f>
        <v>0</v>
      </c>
      <c r="R1125" s="200" t="str">
        <f t="shared" ca="1" si="629"/>
        <v/>
      </c>
      <c r="S1125" s="9" t="str">
        <f ca="1">IF(COUNTIF(($T$4:T1124),"F")&gt;=1,"",IF(OR(C1126&lt;&gt;$C$3,E1125=""),"",A1125))</f>
        <v/>
      </c>
      <c r="T1125" s="20" t="str">
        <f t="shared" ca="1" si="652"/>
        <v/>
      </c>
      <c r="U1125" s="2">
        <f ca="1">IF(IF(OP!$C$83=1,$Z1124,IF(OP!$C$83=2,$AA1124,IF(OP!$C$83=3,$AB1124,)))+$K1125-$O1125-$P1125-$AS1125&lt;OP!$C$142,0,$AS1125)</f>
        <v>0</v>
      </c>
      <c r="V1125" s="9"/>
      <c r="W1125" s="19">
        <f ca="1">MAX(SUM($K$4:K1125),0)</f>
        <v>2000000</v>
      </c>
      <c r="X1125" s="19"/>
      <c r="Y1125" s="19">
        <f t="shared" ca="1" si="647"/>
        <v>1920000</v>
      </c>
      <c r="Z1125" s="2">
        <f ca="1">IF(MIN($Z$4:Z1124)=0,0,MAX(0,($Z1124+$K1125-$O1125-$P1125)*IF(AND(F1125="F",$D$3&lt;&gt;$G$3),((1+(-J1125))^(H1125/MIN(G1125,365))),((1+(-J1125))^(1/12)))-$U1125))</f>
        <v>15865.666578023147</v>
      </c>
      <c r="AA1125" s="2">
        <f ca="1">IF(MIN($AA$4:AA1124)=0,0,MAX(0,($AA1124+$K1125-$O1125-$P1125)*IF(AND(F1125="F",$D$3&lt;&gt;$G$3),((1+$AA$1)^(H1125/MIN(G1125,365))),((1+$AA$1)^(1/12)))-$U1125))</f>
        <v>1920000</v>
      </c>
      <c r="AB1125" s="2">
        <f ca="1">IF(MIN($AB$4:AB1124)=0,0,MAX(0,($AB1124+$K1125-$O1125-$P1125)*IF(AND(F1125="F",$D$3&lt;&gt;$G$3),((1+(J1125))^(H1125/MIN(G1125,365))),((1+(J1125))^(1/12)))-$U1125))</f>
        <v>183865688.24681637</v>
      </c>
      <c r="AC1125" s="5"/>
      <c r="AD1125" s="5"/>
      <c r="AE1125" s="5"/>
      <c r="AF1125" s="282">
        <f t="shared" ca="1" si="630"/>
        <v>15866</v>
      </c>
      <c r="AG1125" s="282">
        <f t="shared" ca="1" si="631"/>
        <v>1920000</v>
      </c>
      <c r="AH1125" s="282">
        <f t="shared" ca="1" si="632"/>
        <v>183865688</v>
      </c>
      <c r="AI1125" s="23" t="str">
        <f t="shared" ca="1" si="649"/>
        <v>94-7</v>
      </c>
      <c r="AJ1125" s="282">
        <f ca="1">IF(E1125&gt;111,,IF(AND(OP!$C$99=1,T1125="F"),Z1125,IF(AND(OP!$C$99=2,COUNTIF($T$4:T1125,"F")=1),OP!$C$97+IF(F1125="F",OP!$C$98,0),"")))</f>
        <v>0</v>
      </c>
      <c r="AK1125" s="282">
        <f ca="1">IF(E1125&gt;111,,IF(AND(OP!$D$99=1,T1125="F"),AA1125,IF(AND(OP!$D$99=2,COUNTIF($T$4:T1125,"F")=1),OP!$D$97+IF(F1125="F",OP!$D$98,0),"")))</f>
        <v>0</v>
      </c>
      <c r="AL1125" s="282">
        <f ca="1">IF(E1125&gt;111,,IF(AND(OP!$E$99=1,T1125="F"),AB1125,IF(AND(OP!$E$99=2,COUNTIF($T$4:T1125,"F")=1),OP!$E$97+IF(F1125="F",OP!$E$98,0),"")))</f>
        <v>0</v>
      </c>
      <c r="AM1125" s="1">
        <f t="shared" ca="1" si="653"/>
        <v>7</v>
      </c>
      <c r="AN1125" s="1" t="e">
        <f ca="1">IF(OR(VLOOKUP($A1125,MP,5,0)="月繳"),1,"")</f>
        <v>#N/A</v>
      </c>
      <c r="AO1125" s="1">
        <f t="shared" ca="1" si="633"/>
        <v>0</v>
      </c>
      <c r="AP1125" s="1" t="str">
        <f ca="1">IF(AND(A1125&lt;=OP!$C$120,COUNTIF(PAY,C1125)=1),1,"")</f>
        <v/>
      </c>
      <c r="AR1125" s="301">
        <f ca="1">IF(繳費報酬率資料!$A$1=1,$AY1125+$AZ1125,$BF1125+$BG1125)</f>
        <v>0</v>
      </c>
      <c r="AS1125" s="1">
        <f ca="1">IF(C1125&lt;&gt;IF($C$3=1,12,$C$3-1),0,IF(繳費報酬率資料!$A$1&lt;&gt;1,VLOOKUP($A1125,MP,8,0),IF(AND($A1125&gt;=OP!$C$79,$A1125&lt;=OP!$C$80),OP!$C$78,)))</f>
        <v>0</v>
      </c>
      <c r="AT1125" s="298">
        <f t="shared" ca="1" si="634"/>
        <v>0</v>
      </c>
      <c r="AU1125" s="298">
        <f ca="1">IF(AND(A1125&lt;=OP!$C$120,COUNTIF(PAY,C1125)=1),OP!$C$123,0)</f>
        <v>0</v>
      </c>
      <c r="AV1125" s="298">
        <f ca="1">IF(AND(A1125&gt;=OP!$C$132,A1125&lt;=OP!$C$133,$C$3=C1125),OP!$C$135,0)</f>
        <v>0</v>
      </c>
      <c r="AW1125" s="180">
        <f t="shared" ca="1" si="635"/>
        <v>0.05</v>
      </c>
      <c r="AX1125" s="180">
        <f t="shared" ca="1" si="636"/>
        <v>0.05</v>
      </c>
      <c r="AY1125" s="286">
        <f t="shared" ca="1" si="637"/>
        <v>0</v>
      </c>
      <c r="AZ1125" s="286">
        <f t="shared" ca="1" si="638"/>
        <v>0</v>
      </c>
      <c r="BA1125" s="286">
        <f t="shared" ca="1" si="639"/>
        <v>0</v>
      </c>
      <c r="BB1125" s="286">
        <f t="shared" ca="1" si="640"/>
        <v>0</v>
      </c>
      <c r="BC1125" s="286">
        <f t="shared" ca="1" si="641"/>
        <v>0</v>
      </c>
      <c r="BD1125" s="180">
        <f t="shared" ca="1" si="642"/>
        <v>0.05</v>
      </c>
      <c r="BE1125" s="180">
        <f t="shared" ca="1" si="643"/>
        <v>0.05</v>
      </c>
      <c r="BF1125" s="286">
        <f t="shared" ca="1" si="644"/>
        <v>0</v>
      </c>
      <c r="BG1125" s="286">
        <f t="shared" ca="1" si="645"/>
        <v>0</v>
      </c>
    </row>
    <row r="1126" spans="1:59">
      <c r="A1126" s="1">
        <f t="shared" ca="1" si="625"/>
        <v>94</v>
      </c>
      <c r="B1126" s="1">
        <f t="shared" ca="1" si="654"/>
        <v>199</v>
      </c>
      <c r="C1126" s="1">
        <f t="shared" ca="1" si="655"/>
        <v>12</v>
      </c>
      <c r="D1126" s="1">
        <f ca="1">MIN($D$3,VLOOKUP(C1126,OP!$S$30:$T$41,2))</f>
        <v>2</v>
      </c>
      <c r="E1126" s="1" t="str">
        <f t="shared" ca="1" si="651"/>
        <v/>
      </c>
      <c r="F1126" s="11" t="str">
        <f t="shared" ca="1" si="626"/>
        <v/>
      </c>
      <c r="G1126" s="8">
        <f t="shared" ca="1" si="656"/>
        <v>365</v>
      </c>
      <c r="H1126" s="8">
        <f t="shared" ca="1" si="627"/>
        <v>31</v>
      </c>
      <c r="I1126" s="8" t="str">
        <f t="shared" ca="1" si="624"/>
        <v>9412</v>
      </c>
      <c r="J1126" s="13">
        <f>IF(繳費報酬率資料!$A$1=1,VALUE(OP!$C$121),VLOOKUP(A1126,MP,2,0))</f>
        <v>0.05</v>
      </c>
      <c r="K1126" s="14">
        <f ca="1">IF(SUM($K$4:K1125,IF(繳費報酬率資料!$A$1=1,$AU1126+$AV1126,$BB1126+$BC1126))&gt;OP!$L$58,0,IF(繳費報酬率資料!$A$1=1,$AU1126+$AV1126,$BB1126+$BC1126))</f>
        <v>0</v>
      </c>
      <c r="L1126" s="2"/>
      <c r="M1126" s="2"/>
      <c r="N1126" s="2"/>
      <c r="O1126" s="261">
        <f t="shared" ca="1" si="628"/>
        <v>0</v>
      </c>
      <c r="P1126" s="261">
        <f t="shared" ca="1" si="646"/>
        <v>0</v>
      </c>
      <c r="Q1126" s="3">
        <f ca="1">IF(A1126&gt;MAX(OP!$R$17:$R$26),0,VLOOKUP(A1126,fees,3,FALSE))</f>
        <v>0</v>
      </c>
      <c r="R1126" s="200" t="str">
        <f t="shared" ca="1" si="629"/>
        <v/>
      </c>
      <c r="S1126" s="9" t="str">
        <f ca="1">IF(COUNTIF(($T$4:T1125),"F")&gt;=1,"",IF(OR(C1127&lt;&gt;$C$3,E1126=""),"",A1126))</f>
        <v/>
      </c>
      <c r="T1126" s="20" t="str">
        <f t="shared" ca="1" si="652"/>
        <v/>
      </c>
      <c r="U1126" s="2">
        <f ca="1">IF(IF(OP!$C$83=1,$Z1125,IF(OP!$C$83=2,$AA1125,IF(OP!$C$83=3,$AB1125,)))+$K1126-$O1126-$P1126-$AS1126&lt;OP!$C$142,0,$AS1126)</f>
        <v>0</v>
      </c>
      <c r="V1126" s="9"/>
      <c r="W1126" s="19">
        <f ca="1">MAX(SUM($K$4:K1126),0)</f>
        <v>2000000</v>
      </c>
      <c r="X1126" s="19"/>
      <c r="Y1126" s="19">
        <f t="shared" ca="1" si="647"/>
        <v>1920000</v>
      </c>
      <c r="Z1126" s="2">
        <f ca="1">IF(MIN($Z$4:Z1125)=0,0,MAX(0,($Z1125+$K1126-$O1126-$P1126)*IF(AND(F1126="F",$D$3&lt;&gt;$G$3),((1+(-J1126))^(H1126/MIN(G1126,365))),((1+(-J1126))^(1/12)))-$U1126))</f>
        <v>15797.994452449388</v>
      </c>
      <c r="AA1126" s="2">
        <f ca="1">IF(MIN($AA$4:AA1125)=0,0,MAX(0,($AA1125+$K1126-$O1126-$P1126)*IF(AND(F1126="F",$D$3&lt;&gt;$G$3),((1+$AA$1)^(H1126/MIN(G1126,365))),((1+$AA$1)^(1/12)))-$U1126))</f>
        <v>1920000</v>
      </c>
      <c r="AB1126" s="2">
        <f ca="1">IF(MIN($AB$4:AB1125)=0,0,MAX(0,($AB1125+$K1126-$O1126-$P1126)*IF(AND(F1126="F",$D$3&lt;&gt;$G$3),((1+(J1126))^(H1126/MIN(G1126,365))),((1+(J1126))^(1/12)))-$U1126))</f>
        <v>184614779.8202996</v>
      </c>
      <c r="AC1126" s="5"/>
      <c r="AD1126" s="5"/>
      <c r="AE1126" s="5"/>
      <c r="AF1126" s="282">
        <f t="shared" ca="1" si="630"/>
        <v>15798</v>
      </c>
      <c r="AG1126" s="282">
        <f t="shared" ca="1" si="631"/>
        <v>1920000</v>
      </c>
      <c r="AH1126" s="282">
        <f t="shared" ca="1" si="632"/>
        <v>184614780</v>
      </c>
      <c r="AI1126" s="23" t="str">
        <f t="shared" ca="1" si="649"/>
        <v>94-8</v>
      </c>
      <c r="AJ1126" s="282">
        <f ca="1">IF(E1126&gt;111,,IF(AND(OP!$C$99=1,T1126="F"),Z1126,IF(AND(OP!$C$99=2,COUNTIF($T$4:T1126,"F")=1),OP!$C$97+IF(F1126="F",OP!$C$98,0),"")))</f>
        <v>0</v>
      </c>
      <c r="AK1126" s="282">
        <f ca="1">IF(E1126&gt;111,,IF(AND(OP!$D$99=1,T1126="F"),AA1126,IF(AND(OP!$D$99=2,COUNTIF($T$4:T1126,"F")=1),OP!$D$97+IF(F1126="F",OP!$D$98,0),"")))</f>
        <v>0</v>
      </c>
      <c r="AL1126" s="282">
        <f ca="1">IF(E1126&gt;111,,IF(AND(OP!$E$99=1,T1126="F"),AB1126,IF(AND(OP!$E$99=2,COUNTIF($T$4:T1126,"F")=1),OP!$E$97+IF(F1126="F",OP!$E$98,0),"")))</f>
        <v>0</v>
      </c>
      <c r="AM1126" s="1">
        <f t="shared" ca="1" si="653"/>
        <v>8</v>
      </c>
      <c r="AN1126" s="1" t="e">
        <f ca="1">IF(OR(VLOOKUP($A1126,MP,5,0)="半年繳",VLOOKUP($A1126,MP,5,0)="季繳",VLOOKUP($A1126,MP,5,0)="月繳"),1,"")</f>
        <v>#N/A</v>
      </c>
      <c r="AO1126" s="1">
        <f t="shared" ca="1" si="633"/>
        <v>0</v>
      </c>
      <c r="AP1126" s="1" t="str">
        <f ca="1">IF(AND(A1126&lt;=OP!$C$120,COUNTIF(PAY,C1126)=1),1,"")</f>
        <v/>
      </c>
      <c r="AR1126" s="301">
        <f ca="1">IF(繳費報酬率資料!$A$1=1,$AY1126+$AZ1126,$BF1126+$BG1126)</f>
        <v>0</v>
      </c>
      <c r="AS1126" s="1">
        <f ca="1">IF(C1126&lt;&gt;IF($C$3=1,12,$C$3-1),0,IF(繳費報酬率資料!$A$1&lt;&gt;1,VLOOKUP($A1126,MP,8,0),IF(AND($A1126&gt;=OP!$C$79,$A1126&lt;=OP!$C$80),OP!$C$78,)))</f>
        <v>0</v>
      </c>
      <c r="AT1126" s="298">
        <f t="shared" ca="1" si="634"/>
        <v>0</v>
      </c>
      <c r="AU1126" s="298">
        <f ca="1">IF(AND(A1126&lt;=OP!$C$120,COUNTIF(PAY,C1126)=1),OP!$C$123,0)</f>
        <v>0</v>
      </c>
      <c r="AV1126" s="298">
        <f ca="1">IF(AND(A1126&gt;=OP!$C$132,A1126&lt;=OP!$C$133,$C$3=C1126),OP!$C$135,0)</f>
        <v>0</v>
      </c>
      <c r="AW1126" s="180">
        <f t="shared" ca="1" si="635"/>
        <v>0.05</v>
      </c>
      <c r="AX1126" s="180">
        <f t="shared" ca="1" si="636"/>
        <v>0.05</v>
      </c>
      <c r="AY1126" s="286">
        <f t="shared" ca="1" si="637"/>
        <v>0</v>
      </c>
      <c r="AZ1126" s="286">
        <f t="shared" ca="1" si="638"/>
        <v>0</v>
      </c>
      <c r="BA1126" s="286">
        <f t="shared" ca="1" si="639"/>
        <v>0</v>
      </c>
      <c r="BB1126" s="286">
        <f t="shared" ca="1" si="640"/>
        <v>0</v>
      </c>
      <c r="BC1126" s="286">
        <f t="shared" ca="1" si="641"/>
        <v>0</v>
      </c>
      <c r="BD1126" s="180">
        <f t="shared" ca="1" si="642"/>
        <v>0.05</v>
      </c>
      <c r="BE1126" s="180">
        <f t="shared" ca="1" si="643"/>
        <v>0.05</v>
      </c>
      <c r="BF1126" s="286">
        <f t="shared" ca="1" si="644"/>
        <v>0</v>
      </c>
      <c r="BG1126" s="286">
        <f t="shared" ca="1" si="645"/>
        <v>0</v>
      </c>
    </row>
    <row r="1127" spans="1:59">
      <c r="A1127" s="1">
        <f t="shared" ca="1" si="625"/>
        <v>94</v>
      </c>
      <c r="B1127" s="1">
        <f t="shared" ca="1" si="654"/>
        <v>200</v>
      </c>
      <c r="C1127" s="1">
        <f t="shared" ca="1" si="655"/>
        <v>1</v>
      </c>
      <c r="D1127" s="1">
        <f ca="1">MIN($D$3,VLOOKUP(C1127,OP!$S$30:$T$41,2))</f>
        <v>2</v>
      </c>
      <c r="E1127" s="1" t="str">
        <f t="shared" ca="1" si="651"/>
        <v/>
      </c>
      <c r="F1127" s="11" t="str">
        <f t="shared" ca="1" si="626"/>
        <v/>
      </c>
      <c r="G1127" s="8">
        <f t="shared" ca="1" si="656"/>
        <v>365</v>
      </c>
      <c r="H1127" s="8">
        <f t="shared" ca="1" si="627"/>
        <v>31</v>
      </c>
      <c r="I1127" s="8" t="str">
        <f t="shared" ca="1" si="624"/>
        <v>941</v>
      </c>
      <c r="J1127" s="13">
        <f>IF(繳費報酬率資料!$A$1=1,VALUE(OP!$C$121),VLOOKUP(A1127,MP,2,0))</f>
        <v>0.05</v>
      </c>
      <c r="K1127" s="14">
        <f ca="1">IF(SUM($K$4:K1126,IF(繳費報酬率資料!$A$1=1,$AU1127+$AV1127,$BB1127+$BC1127))&gt;OP!$L$58,0,IF(繳費報酬率資料!$A$1=1,$AU1127+$AV1127,$BB1127+$BC1127))</f>
        <v>0</v>
      </c>
      <c r="L1127" s="2"/>
      <c r="M1127" s="2"/>
      <c r="N1127" s="2"/>
      <c r="O1127" s="261">
        <f t="shared" ca="1" si="628"/>
        <v>0</v>
      </c>
      <c r="P1127" s="261">
        <f t="shared" ca="1" si="646"/>
        <v>0</v>
      </c>
      <c r="Q1127" s="3">
        <f ca="1">IF(A1127&gt;MAX(OP!$R$17:$R$26),0,VLOOKUP(A1127,fees,3,FALSE))</f>
        <v>0</v>
      </c>
      <c r="R1127" s="200" t="str">
        <f t="shared" ca="1" si="629"/>
        <v/>
      </c>
      <c r="S1127" s="9" t="str">
        <f ca="1">IF(COUNTIF(($T$4:T1126),"F")&gt;=1,"",IF(OR(C1128&lt;&gt;$C$3,E1127=""),"",A1127))</f>
        <v/>
      </c>
      <c r="T1127" s="20" t="str">
        <f t="shared" ca="1" si="652"/>
        <v/>
      </c>
      <c r="U1127" s="2">
        <f ca="1">IF(IF(OP!$C$83=1,$Z1126,IF(OP!$C$83=2,$AA1126,IF(OP!$C$83=3,$AB1126,)))+$K1127-$O1127-$P1127-$AS1127&lt;OP!$C$142,0,$AS1127)</f>
        <v>0</v>
      </c>
      <c r="V1127" s="9"/>
      <c r="W1127" s="19">
        <f ca="1">MAX(SUM($K$4:K1127),0)</f>
        <v>2000000</v>
      </c>
      <c r="X1127" s="19"/>
      <c r="Y1127" s="19">
        <f t="shared" ca="1" si="647"/>
        <v>1920000</v>
      </c>
      <c r="Z1127" s="2">
        <f ca="1">IF(MIN($Z$4:Z1126)=0,0,MAX(0,($Z1126+$K1127-$O1127-$P1127)*IF(AND(F1127="F",$D$3&lt;&gt;$G$3),((1+(-J1127))^(H1127/MIN(G1127,365))),((1+(-J1127))^(1/12)))-$U1127))</f>
        <v>15730.610970063557</v>
      </c>
      <c r="AA1127" s="2">
        <f ca="1">IF(MIN($AA$4:AA1126)=0,0,MAX(0,($AA1126+$K1127-$O1127-$P1127)*IF(AND(F1127="F",$D$3&lt;&gt;$G$3),((1+$AA$1)^(H1127/MIN(G1127,365))),((1+$AA$1)^(1/12)))-$U1127))</f>
        <v>1920000</v>
      </c>
      <c r="AB1127" s="2">
        <f ca="1">IF(MIN($AB$4:AB1126)=0,0,MAX(0,($AB1126+$K1127-$O1127-$P1127)*IF(AND(F1127="F",$D$3&lt;&gt;$G$3),((1+(J1127))^(H1127/MIN(G1127,365))),((1+(J1127))^(1/12)))-$U1127))</f>
        <v>185366923.28557849</v>
      </c>
      <c r="AC1127" s="5"/>
      <c r="AD1127" s="5"/>
      <c r="AE1127" s="5"/>
      <c r="AF1127" s="282">
        <f t="shared" ca="1" si="630"/>
        <v>15731</v>
      </c>
      <c r="AG1127" s="282">
        <f t="shared" ca="1" si="631"/>
        <v>1920000</v>
      </c>
      <c r="AH1127" s="282">
        <f t="shared" ca="1" si="632"/>
        <v>185366923</v>
      </c>
      <c r="AI1127" s="23" t="str">
        <f t="shared" ca="1" si="649"/>
        <v>94-9</v>
      </c>
      <c r="AJ1127" s="282">
        <f ca="1">IF(E1127&gt;111,,IF(AND(OP!$C$99=1,T1127="F"),Z1127,IF(AND(OP!$C$99=2,COUNTIF($T$4:T1127,"F")=1),OP!$C$97+IF(F1127="F",OP!$C$98,0),"")))</f>
        <v>0</v>
      </c>
      <c r="AK1127" s="282">
        <f ca="1">IF(E1127&gt;111,,IF(AND(OP!$D$99=1,T1127="F"),AA1127,IF(AND(OP!$D$99=2,COUNTIF($T$4:T1127,"F")=1),OP!$D$97+IF(F1127="F",OP!$D$98,0),"")))</f>
        <v>0</v>
      </c>
      <c r="AL1127" s="282">
        <f ca="1">IF(E1127&gt;111,,IF(AND(OP!$E$99=1,T1127="F"),AB1127,IF(AND(OP!$E$99=2,COUNTIF($T$4:T1127,"F")=1),OP!$E$97+IF(F1127="F",OP!$E$98,0),"")))</f>
        <v>0</v>
      </c>
      <c r="AM1127" s="1">
        <f t="shared" ca="1" si="653"/>
        <v>9</v>
      </c>
      <c r="AN1127" s="1" t="e">
        <f ca="1">IF(OR(VLOOKUP($A1127,MP,5,0)="月繳"),1,"")</f>
        <v>#N/A</v>
      </c>
      <c r="AO1127" s="1">
        <f t="shared" ca="1" si="633"/>
        <v>0</v>
      </c>
      <c r="AP1127" s="1" t="str">
        <f ca="1">IF(AND(A1127&lt;=OP!$C$120,COUNTIF(PAY,C1127)=1),1,"")</f>
        <v/>
      </c>
      <c r="AR1127" s="301">
        <f ca="1">IF(繳費報酬率資料!$A$1=1,$AY1127+$AZ1127,$BF1127+$BG1127)</f>
        <v>0</v>
      </c>
      <c r="AS1127" s="1">
        <f ca="1">IF(C1127&lt;&gt;IF($C$3=1,12,$C$3-1),0,IF(繳費報酬率資料!$A$1&lt;&gt;1,VLOOKUP($A1127,MP,8,0),IF(AND($A1127&gt;=OP!$C$79,$A1127&lt;=OP!$C$80),OP!$C$78,)))</f>
        <v>0</v>
      </c>
      <c r="AT1127" s="298">
        <f t="shared" ca="1" si="634"/>
        <v>0</v>
      </c>
      <c r="AU1127" s="298">
        <f ca="1">IF(AND(A1127&lt;=OP!$C$120,COUNTIF(PAY,C1127)=1),OP!$C$123,0)</f>
        <v>0</v>
      </c>
      <c r="AV1127" s="298">
        <f ca="1">IF(AND(A1127&gt;=OP!$C$132,A1127&lt;=OP!$C$133,$C$3=C1127),OP!$C$135,0)</f>
        <v>0</v>
      </c>
      <c r="AW1127" s="180">
        <f t="shared" ca="1" si="635"/>
        <v>0.05</v>
      </c>
      <c r="AX1127" s="180">
        <f t="shared" ca="1" si="636"/>
        <v>0.05</v>
      </c>
      <c r="AY1127" s="286">
        <f t="shared" ca="1" si="637"/>
        <v>0</v>
      </c>
      <c r="AZ1127" s="286">
        <f t="shared" ca="1" si="638"/>
        <v>0</v>
      </c>
      <c r="BA1127" s="286">
        <f t="shared" ca="1" si="639"/>
        <v>0</v>
      </c>
      <c r="BB1127" s="286">
        <f t="shared" ca="1" si="640"/>
        <v>0</v>
      </c>
      <c r="BC1127" s="286">
        <f t="shared" ca="1" si="641"/>
        <v>0</v>
      </c>
      <c r="BD1127" s="180">
        <f t="shared" ca="1" si="642"/>
        <v>0.05</v>
      </c>
      <c r="BE1127" s="180">
        <f t="shared" ca="1" si="643"/>
        <v>0.05</v>
      </c>
      <c r="BF1127" s="286">
        <f t="shared" ca="1" si="644"/>
        <v>0</v>
      </c>
      <c r="BG1127" s="286">
        <f t="shared" ca="1" si="645"/>
        <v>0</v>
      </c>
    </row>
    <row r="1128" spans="1:59">
      <c r="A1128" s="1">
        <f t="shared" ca="1" si="625"/>
        <v>94</v>
      </c>
      <c r="B1128" s="1">
        <f t="shared" ca="1" si="654"/>
        <v>200</v>
      </c>
      <c r="C1128" s="1">
        <f t="shared" ca="1" si="655"/>
        <v>2</v>
      </c>
      <c r="D1128" s="1">
        <f ca="1">MIN($D$3,VLOOKUP(C1128,OP!$S$30:$T$41,2))</f>
        <v>2</v>
      </c>
      <c r="E1128" s="1" t="str">
        <f t="shared" ca="1" si="651"/>
        <v/>
      </c>
      <c r="F1128" s="11" t="str">
        <f t="shared" ca="1" si="626"/>
        <v/>
      </c>
      <c r="G1128" s="8">
        <f t="shared" ca="1" si="656"/>
        <v>365</v>
      </c>
      <c r="H1128" s="8">
        <f t="shared" ca="1" si="627"/>
        <v>28</v>
      </c>
      <c r="I1128" s="8" t="str">
        <f t="shared" ca="1" si="624"/>
        <v>942</v>
      </c>
      <c r="J1128" s="13">
        <f>IF(繳費報酬率資料!$A$1=1,VALUE(OP!$C$121),VLOOKUP(A1128,MP,2,0))</f>
        <v>0.05</v>
      </c>
      <c r="K1128" s="14">
        <f ca="1">IF(SUM($K$4:K1127,IF(繳費報酬率資料!$A$1=1,$AU1128+$AV1128,$BB1128+$BC1128))&gt;OP!$L$58,0,IF(繳費報酬率資料!$A$1=1,$AU1128+$AV1128,$BB1128+$BC1128))</f>
        <v>0</v>
      </c>
      <c r="L1128" s="2"/>
      <c r="M1128" s="2"/>
      <c r="N1128" s="2"/>
      <c r="O1128" s="261">
        <f t="shared" ca="1" si="628"/>
        <v>0</v>
      </c>
      <c r="P1128" s="261">
        <f t="shared" ca="1" si="646"/>
        <v>0</v>
      </c>
      <c r="Q1128" s="3">
        <f ca="1">IF(A1128&gt;MAX(OP!$R$17:$R$26),0,VLOOKUP(A1128,fees,3,FALSE))</f>
        <v>0</v>
      </c>
      <c r="R1128" s="200" t="str">
        <f t="shared" ca="1" si="629"/>
        <v/>
      </c>
      <c r="S1128" s="9" t="str">
        <f ca="1">IF(COUNTIF(($T$4:T1127),"F")&gt;=1,"",IF(OR(C1129&lt;&gt;$C$3,E1128=""),"",A1128))</f>
        <v/>
      </c>
      <c r="T1128" s="20" t="str">
        <f t="shared" ca="1" si="652"/>
        <v/>
      </c>
      <c r="U1128" s="2">
        <f ca="1">IF(IF(OP!$C$83=1,$Z1127,IF(OP!$C$83=2,$AA1127,IF(OP!$C$83=3,$AB1127,)))+$K1128-$O1128-$P1128-$AS1128&lt;OP!$C$142,0,$AS1128)</f>
        <v>0</v>
      </c>
      <c r="V1128" s="9"/>
      <c r="W1128" s="19">
        <f ca="1">MAX(SUM($K$4:K1128),0)</f>
        <v>2000000</v>
      </c>
      <c r="X1128" s="19"/>
      <c r="Y1128" s="19">
        <f t="shared" ca="1" si="647"/>
        <v>1920000</v>
      </c>
      <c r="Z1128" s="2">
        <f ca="1">IF(MIN($Z$4:Z1127)=0,0,MAX(0,($Z1127+$K1128-$O1128-$P1128)*IF(AND(F1128="F",$D$3&lt;&gt;$G$3),((1+(-J1128))^(H1128/MIN(G1128,365))),((1+(-J1128))^(1/12)))-$U1128))</f>
        <v>15663.514899710444</v>
      </c>
      <c r="AA1128" s="2">
        <f ca="1">IF(MIN($AA$4:AA1127)=0,0,MAX(0,($AA1127+$K1128-$O1128-$P1128)*IF(AND(F1128="F",$D$3&lt;&gt;$G$3),((1+$AA$1)^(H1128/MIN(G1128,365))),((1+$AA$1)^(1/12)))-$U1128))</f>
        <v>1920000</v>
      </c>
      <c r="AB1128" s="2">
        <f ca="1">IF(MIN($AB$4:AB1127)=0,0,MAX(0,($AB1127+$K1128-$O1128-$P1128)*IF(AND(F1128="F",$D$3&lt;&gt;$G$3),((1+(J1128))^(H1128/MIN(G1128,365))),((1+(J1128))^(1/12)))-$U1128))</f>
        <v>186122131.07643798</v>
      </c>
      <c r="AC1128" s="5"/>
      <c r="AD1128" s="5"/>
      <c r="AE1128" s="5"/>
      <c r="AF1128" s="282">
        <f t="shared" ca="1" si="630"/>
        <v>15664</v>
      </c>
      <c r="AG1128" s="282">
        <f t="shared" ca="1" si="631"/>
        <v>1920000</v>
      </c>
      <c r="AH1128" s="282">
        <f t="shared" ca="1" si="632"/>
        <v>186122131</v>
      </c>
      <c r="AI1128" s="23" t="str">
        <f t="shared" ca="1" si="649"/>
        <v>94-10</v>
      </c>
      <c r="AJ1128" s="282">
        <f ca="1">IF(E1128&gt;111,,IF(AND(OP!$C$99=1,T1128="F"),Z1128,IF(AND(OP!$C$99=2,COUNTIF($T$4:T1128,"F")=1),OP!$C$97+IF(F1128="F",OP!$C$98,0),"")))</f>
        <v>0</v>
      </c>
      <c r="AK1128" s="282">
        <f ca="1">IF(E1128&gt;111,,IF(AND(OP!$D$99=1,T1128="F"),AA1128,IF(AND(OP!$D$99=2,COUNTIF($T$4:T1128,"F")=1),OP!$D$97+IF(F1128="F",OP!$D$98,0),"")))</f>
        <v>0</v>
      </c>
      <c r="AL1128" s="282">
        <f ca="1">IF(E1128&gt;111,,IF(AND(OP!$E$99=1,T1128="F"),AB1128,IF(AND(OP!$E$99=2,COUNTIF($T$4:T1128,"F")=1),OP!$E$97+IF(F1128="F",OP!$E$98,0),"")))</f>
        <v>0</v>
      </c>
      <c r="AM1128" s="1">
        <f t="shared" ca="1" si="653"/>
        <v>10</v>
      </c>
      <c r="AN1128" s="1" t="e">
        <f ca="1">IF(OR(VLOOKUP($A1128,MP,5,0)="月繳"),1,"")</f>
        <v>#N/A</v>
      </c>
      <c r="AO1128" s="1">
        <f t="shared" ca="1" si="633"/>
        <v>0</v>
      </c>
      <c r="AP1128" s="1" t="str">
        <f ca="1">IF(AND(A1128&lt;=OP!$C$120,COUNTIF(PAY,C1128)=1),1,"")</f>
        <v/>
      </c>
      <c r="AR1128" s="301">
        <f ca="1">IF(繳費報酬率資料!$A$1=1,$AY1128+$AZ1128,$BF1128+$BG1128)</f>
        <v>0</v>
      </c>
      <c r="AS1128" s="1">
        <f ca="1">IF(C1128&lt;&gt;IF($C$3=1,12,$C$3-1),0,IF(繳費報酬率資料!$A$1&lt;&gt;1,VLOOKUP($A1128,MP,8,0),IF(AND($A1128&gt;=OP!$C$79,$A1128&lt;=OP!$C$80),OP!$C$78,)))</f>
        <v>0</v>
      </c>
      <c r="AT1128" s="298">
        <f t="shared" ca="1" si="634"/>
        <v>0</v>
      </c>
      <c r="AU1128" s="298">
        <f ca="1">IF(AND(A1128&lt;=OP!$C$120,COUNTIF(PAY,C1128)=1),OP!$C$123,0)</f>
        <v>0</v>
      </c>
      <c r="AV1128" s="298">
        <f ca="1">IF(AND(A1128&gt;=OP!$C$132,A1128&lt;=OP!$C$133,$C$3=C1128),OP!$C$135,0)</f>
        <v>0</v>
      </c>
      <c r="AW1128" s="180">
        <f t="shared" ca="1" si="635"/>
        <v>0.05</v>
      </c>
      <c r="AX1128" s="180">
        <f t="shared" ca="1" si="636"/>
        <v>0.05</v>
      </c>
      <c r="AY1128" s="286">
        <f t="shared" ca="1" si="637"/>
        <v>0</v>
      </c>
      <c r="AZ1128" s="286">
        <f t="shared" ca="1" si="638"/>
        <v>0</v>
      </c>
      <c r="BA1128" s="286">
        <f t="shared" ca="1" si="639"/>
        <v>0</v>
      </c>
      <c r="BB1128" s="286">
        <f t="shared" ca="1" si="640"/>
        <v>0</v>
      </c>
      <c r="BC1128" s="286">
        <f t="shared" ca="1" si="641"/>
        <v>0</v>
      </c>
      <c r="BD1128" s="180">
        <f t="shared" ca="1" si="642"/>
        <v>0.05</v>
      </c>
      <c r="BE1128" s="180">
        <f t="shared" ca="1" si="643"/>
        <v>0.05</v>
      </c>
      <c r="BF1128" s="286">
        <f t="shared" ca="1" si="644"/>
        <v>0</v>
      </c>
      <c r="BG1128" s="286">
        <f t="shared" ca="1" si="645"/>
        <v>0</v>
      </c>
    </row>
    <row r="1129" spans="1:59">
      <c r="A1129" s="1">
        <f t="shared" ca="1" si="625"/>
        <v>94</v>
      </c>
      <c r="B1129" s="1">
        <f t="shared" ca="1" si="654"/>
        <v>200</v>
      </c>
      <c r="C1129" s="1">
        <f t="shared" ca="1" si="655"/>
        <v>3</v>
      </c>
      <c r="D1129" s="1">
        <f ca="1">MIN($D$3,VLOOKUP(C1129,OP!$S$30:$T$41,2))</f>
        <v>2</v>
      </c>
      <c r="E1129" s="1" t="str">
        <f t="shared" ca="1" si="651"/>
        <v/>
      </c>
      <c r="F1129" s="11" t="str">
        <f t="shared" ca="1" si="626"/>
        <v/>
      </c>
      <c r="G1129" s="8">
        <f t="shared" ca="1" si="656"/>
        <v>365</v>
      </c>
      <c r="H1129" s="8">
        <f t="shared" ca="1" si="627"/>
        <v>31</v>
      </c>
      <c r="I1129" s="8" t="str">
        <f t="shared" ca="1" si="624"/>
        <v>943</v>
      </c>
      <c r="J1129" s="13">
        <f>IF(繳費報酬率資料!$A$1=1,VALUE(OP!$C$121),VLOOKUP(A1129,MP,2,0))</f>
        <v>0.05</v>
      </c>
      <c r="K1129" s="14">
        <f ca="1">IF(SUM($K$4:K1128,IF(繳費報酬率資料!$A$1=1,$AU1129+$AV1129,$BB1129+$BC1129))&gt;OP!$L$58,0,IF(繳費報酬率資料!$A$1=1,$AU1129+$AV1129,$BB1129+$BC1129))</f>
        <v>0</v>
      </c>
      <c r="L1129" s="2"/>
      <c r="M1129" s="2"/>
      <c r="N1129" s="2"/>
      <c r="O1129" s="261">
        <f t="shared" ca="1" si="628"/>
        <v>0</v>
      </c>
      <c r="P1129" s="261">
        <f t="shared" ca="1" si="646"/>
        <v>0</v>
      </c>
      <c r="Q1129" s="3">
        <f ca="1">IF(A1129&gt;MAX(OP!$R$17:$R$26),0,VLOOKUP(A1129,fees,3,FALSE))</f>
        <v>0</v>
      </c>
      <c r="R1129" s="200" t="str">
        <f t="shared" ca="1" si="629"/>
        <v/>
      </c>
      <c r="S1129" s="9" t="str">
        <f ca="1">IF(COUNTIF(($T$4:T1128),"F")&gt;=1,"",IF(OR(C1130&lt;&gt;$C$3,E1129=""),"",A1129))</f>
        <v/>
      </c>
      <c r="T1129" s="20" t="str">
        <f t="shared" ca="1" si="652"/>
        <v/>
      </c>
      <c r="U1129" s="2">
        <f ca="1">IF(IF(OP!$C$83=1,$Z1128,IF(OP!$C$83=2,$AA1128,IF(OP!$C$83=3,$AB1128,)))+$K1129-$O1129-$P1129-$AS1129&lt;OP!$C$142,0,$AS1129)</f>
        <v>0</v>
      </c>
      <c r="V1129" s="9"/>
      <c r="W1129" s="19">
        <f ca="1">MAX(SUM($K$4:K1129),0)</f>
        <v>2000000</v>
      </c>
      <c r="X1129" s="19"/>
      <c r="Y1129" s="19">
        <f t="shared" ca="1" si="647"/>
        <v>1920000</v>
      </c>
      <c r="Z1129" s="2">
        <f ca="1">IF(MIN($Z$4:Z1128)=0,0,MAX(0,($Z1128+$K1129-$O1129-$P1129)*IF(AND(F1129="F",$D$3&lt;&gt;$G$3),((1+(-J1129))^(H1129/MIN(G1129,365))),((1+(-J1129))^(1/12)))-$U1129))</f>
        <v>15596.705015486108</v>
      </c>
      <c r="AA1129" s="2">
        <f ca="1">IF(MIN($AA$4:AA1128)=0,0,MAX(0,($AA1128+$K1129-$O1129-$P1129)*IF(AND(F1129="F",$D$3&lt;&gt;$G$3),((1+$AA$1)^(H1129/MIN(G1129,365))),((1+$AA$1)^(1/12)))-$U1129))</f>
        <v>1920000</v>
      </c>
      <c r="AB1129" s="2">
        <f ca="1">IF(MIN($AB$4:AB1128)=0,0,MAX(0,($AB1128+$K1129-$O1129-$P1129)*IF(AND(F1129="F",$D$3&lt;&gt;$G$3),((1+(J1129))^(H1129/MIN(G1129,365))),((1+(J1129))^(1/12)))-$U1129))</f>
        <v>186880415.67731982</v>
      </c>
      <c r="AC1129" s="5"/>
      <c r="AD1129" s="5"/>
      <c r="AE1129" s="5"/>
      <c r="AF1129" s="282">
        <f t="shared" ca="1" si="630"/>
        <v>15597</v>
      </c>
      <c r="AG1129" s="282">
        <f t="shared" ca="1" si="631"/>
        <v>1920000</v>
      </c>
      <c r="AH1129" s="282">
        <f t="shared" ca="1" si="632"/>
        <v>186880416</v>
      </c>
      <c r="AI1129" s="23" t="str">
        <f t="shared" ca="1" si="649"/>
        <v>94-11</v>
      </c>
      <c r="AJ1129" s="282">
        <f ca="1">IF(E1129&gt;111,,IF(AND(OP!$C$99=1,T1129="F"),Z1129,IF(AND(OP!$C$99=2,COUNTIF($T$4:T1129,"F")=1),OP!$C$97+IF(F1129="F",OP!$C$98,0),"")))</f>
        <v>0</v>
      </c>
      <c r="AK1129" s="282">
        <f ca="1">IF(E1129&gt;111,,IF(AND(OP!$D$99=1,T1129="F"),AA1129,IF(AND(OP!$D$99=2,COUNTIF($T$4:T1129,"F")=1),OP!$D$97+IF(F1129="F",OP!$D$98,0),"")))</f>
        <v>0</v>
      </c>
      <c r="AL1129" s="282">
        <f ca="1">IF(E1129&gt;111,,IF(AND(OP!$E$99=1,T1129="F"),AB1129,IF(AND(OP!$E$99=2,COUNTIF($T$4:T1129,"F")=1),OP!$E$97+IF(F1129="F",OP!$E$98,0),"")))</f>
        <v>0</v>
      </c>
      <c r="AM1129" s="1">
        <f t="shared" ca="1" si="653"/>
        <v>11</v>
      </c>
      <c r="AN1129" s="1" t="e">
        <f ca="1">IF(OR(VLOOKUP($A1129,MP,5,0)="季繳",VLOOKUP($A1129,MP,5,0)="月繳"),1,"")</f>
        <v>#N/A</v>
      </c>
      <c r="AO1129" s="1">
        <f t="shared" ca="1" si="633"/>
        <v>0</v>
      </c>
      <c r="AP1129" s="1" t="str">
        <f ca="1">IF(AND(A1129&lt;=OP!$C$120,COUNTIF(PAY,C1129)=1),1,"")</f>
        <v/>
      </c>
      <c r="AR1129" s="301">
        <f ca="1">IF(繳費報酬率資料!$A$1=1,$AY1129+$AZ1129,$BF1129+$BG1129)</f>
        <v>0</v>
      </c>
      <c r="AS1129" s="1">
        <f ca="1">IF(C1129&lt;&gt;IF($C$3=1,12,$C$3-1),0,IF(繳費報酬率資料!$A$1&lt;&gt;1,VLOOKUP($A1129,MP,8,0),IF(AND($A1129&gt;=OP!$C$79,$A1129&lt;=OP!$C$80),OP!$C$78,)))</f>
        <v>0</v>
      </c>
      <c r="AT1129" s="298">
        <f t="shared" ca="1" si="634"/>
        <v>0</v>
      </c>
      <c r="AU1129" s="298">
        <f ca="1">IF(AND(A1129&lt;=OP!$C$120,COUNTIF(PAY,C1129)=1),OP!$C$123,0)</f>
        <v>0</v>
      </c>
      <c r="AV1129" s="298">
        <f ca="1">IF(AND(A1129&gt;=OP!$C$132,A1129&lt;=OP!$C$133,$C$3=C1129),OP!$C$135,0)</f>
        <v>0</v>
      </c>
      <c r="AW1129" s="180">
        <f t="shared" ca="1" si="635"/>
        <v>0.05</v>
      </c>
      <c r="AX1129" s="180">
        <f t="shared" ca="1" si="636"/>
        <v>0.05</v>
      </c>
      <c r="AY1129" s="286">
        <f t="shared" ca="1" si="637"/>
        <v>0</v>
      </c>
      <c r="AZ1129" s="286">
        <f t="shared" ca="1" si="638"/>
        <v>0</v>
      </c>
      <c r="BA1129" s="286">
        <f t="shared" ca="1" si="639"/>
        <v>0</v>
      </c>
      <c r="BB1129" s="286">
        <f t="shared" ca="1" si="640"/>
        <v>0</v>
      </c>
      <c r="BC1129" s="286">
        <f t="shared" ca="1" si="641"/>
        <v>0</v>
      </c>
      <c r="BD1129" s="180">
        <f t="shared" ca="1" si="642"/>
        <v>0.05</v>
      </c>
      <c r="BE1129" s="180">
        <f t="shared" ca="1" si="643"/>
        <v>0.05</v>
      </c>
      <c r="BF1129" s="286">
        <f t="shared" ca="1" si="644"/>
        <v>0</v>
      </c>
      <c r="BG1129" s="286">
        <f t="shared" ca="1" si="645"/>
        <v>0</v>
      </c>
    </row>
    <row r="1130" spans="1:59">
      <c r="A1130" s="1">
        <f t="shared" ca="1" si="625"/>
        <v>94</v>
      </c>
      <c r="B1130" s="1">
        <f t="shared" ca="1" si="654"/>
        <v>200</v>
      </c>
      <c r="C1130" s="1">
        <f t="shared" ca="1" si="655"/>
        <v>4</v>
      </c>
      <c r="D1130" s="1">
        <f ca="1">MIN($D$3,VLOOKUP(C1130,OP!$S$30:$T$41,2))</f>
        <v>2</v>
      </c>
      <c r="E1130" s="1" t="str">
        <f t="shared" ca="1" si="651"/>
        <v/>
      </c>
      <c r="F1130" s="11" t="str">
        <f t="shared" ca="1" si="626"/>
        <v/>
      </c>
      <c r="G1130" s="8">
        <f t="shared" ca="1" si="656"/>
        <v>365</v>
      </c>
      <c r="H1130" s="8">
        <f t="shared" ca="1" si="627"/>
        <v>30</v>
      </c>
      <c r="I1130" s="8" t="str">
        <f t="shared" ca="1" si="624"/>
        <v>944</v>
      </c>
      <c r="J1130" s="13">
        <f>IF(繳費報酬率資料!$A$1=1,VALUE(OP!$C$121),VLOOKUP(A1130,MP,2,0))</f>
        <v>0.05</v>
      </c>
      <c r="K1130" s="14">
        <f ca="1">IF(SUM($K$4:K1129,IF(繳費報酬率資料!$A$1=1,$AU1130+$AV1130,$BB1130+$BC1130))&gt;OP!$L$58,0,IF(繳費報酬率資料!$A$1=1,$AU1130+$AV1130,$BB1130+$BC1130))</f>
        <v>0</v>
      </c>
      <c r="L1130" s="2"/>
      <c r="M1130" s="2"/>
      <c r="N1130" s="2"/>
      <c r="O1130" s="261">
        <f t="shared" ca="1" si="628"/>
        <v>0</v>
      </c>
      <c r="P1130" s="261">
        <f t="shared" ca="1" si="646"/>
        <v>0</v>
      </c>
      <c r="Q1130" s="3">
        <f ca="1">IF(A1130&gt;MAX(OP!$R$17:$R$26),0,VLOOKUP(A1130,fees,3,FALSE))</f>
        <v>0</v>
      </c>
      <c r="R1130" s="200" t="str">
        <f t="shared" ca="1" si="629"/>
        <v/>
      </c>
      <c r="S1130" s="9" t="str">
        <f ca="1">IF(COUNTIF(($T$4:T1129),"F")&gt;=1,"",IF(OR(C1131&lt;&gt;$C$3,E1130=""),"",A1130))</f>
        <v/>
      </c>
      <c r="T1130" s="20" t="str">
        <f t="shared" ca="1" si="652"/>
        <v/>
      </c>
      <c r="U1130" s="2">
        <f ca="1">IF(IF(OP!$C$83=1,$Z1129,IF(OP!$C$83=2,$AA1129,IF(OP!$C$83=3,$AB1129,)))+$K1130-$O1130-$P1130-$AS1130&lt;OP!$C$142,0,$AS1130)</f>
        <v>0</v>
      </c>
      <c r="V1130" s="9"/>
      <c r="W1130" s="19">
        <f ca="1">MAX(SUM($K$4:K1130),0)</f>
        <v>2000000</v>
      </c>
      <c r="X1130" s="19"/>
      <c r="Y1130" s="19">
        <f t="shared" ca="1" si="647"/>
        <v>1920000</v>
      </c>
      <c r="Z1130" s="2">
        <f ca="1">IF(MIN($Z$4:Z1129)=0,0,MAX(0,($Z1129+$K1130-$O1130-$P1130)*IF(AND(F1130="F",$D$3&lt;&gt;$G$3),((1+(-J1130))^(H1130/MIN(G1130,365))),((1+(-J1130))^(1/12)))-$U1130))</f>
        <v>15530.180096715481</v>
      </c>
      <c r="AA1130" s="2">
        <f ca="1">IF(MIN($AA$4:AA1129)=0,0,MAX(0,($AA1129+$K1130-$O1130-$P1130)*IF(AND(F1130="F",$D$3&lt;&gt;$G$3),((1+$AA$1)^(H1130/MIN(G1130,365))),((1+$AA$1)^(1/12)))-$U1130))</f>
        <v>1920000</v>
      </c>
      <c r="AB1130" s="2">
        <f ca="1">IF(MIN($AB$4:AB1129)=0,0,MAX(0,($AB1129+$K1130-$O1130-$P1130)*IF(AND(F1130="F",$D$3&lt;&gt;$G$3),((1+(J1130))^(H1130/MIN(G1130,365))),((1+(J1130))^(1/12)))-$U1130))</f>
        <v>187641789.6235289</v>
      </c>
      <c r="AC1130" s="5"/>
      <c r="AD1130" s="5"/>
      <c r="AE1130" s="5"/>
      <c r="AF1130" s="282">
        <f t="shared" ca="1" si="630"/>
        <v>15530</v>
      </c>
      <c r="AG1130" s="282">
        <f t="shared" ca="1" si="631"/>
        <v>1920000</v>
      </c>
      <c r="AH1130" s="282">
        <f t="shared" ca="1" si="632"/>
        <v>187641790</v>
      </c>
      <c r="AI1130" s="23" t="str">
        <f t="shared" ca="1" si="649"/>
        <v>94-12</v>
      </c>
      <c r="AJ1130" s="282">
        <f ca="1">IF(E1130&gt;111,,IF(AND(OP!$C$99=1,T1130="F"),Z1130,IF(AND(OP!$C$99=2,COUNTIF($T$4:T1130,"F")=1),OP!$C$97+IF(F1130="F",OP!$C$98,0),"")))</f>
        <v>0</v>
      </c>
      <c r="AK1130" s="282">
        <f ca="1">IF(E1130&gt;111,,IF(AND(OP!$D$99=1,T1130="F"),AA1130,IF(AND(OP!$D$99=2,COUNTIF($T$4:T1130,"F")=1),OP!$D$97+IF(F1130="F",OP!$D$98,0),"")))</f>
        <v>0</v>
      </c>
      <c r="AL1130" s="282">
        <f ca="1">IF(E1130&gt;111,,IF(AND(OP!$E$99=1,T1130="F"),AB1130,IF(AND(OP!$E$99=2,COUNTIF($T$4:T1130,"F")=1),OP!$E$97+IF(F1130="F",OP!$E$98,0),"")))</f>
        <v>0</v>
      </c>
      <c r="AM1130" s="1">
        <f t="shared" ca="1" si="653"/>
        <v>12</v>
      </c>
      <c r="AN1130" s="1" t="e">
        <f ca="1">IF(OR(VLOOKUP($A1130,MP,5,0)="月繳"),1,"")</f>
        <v>#N/A</v>
      </c>
      <c r="AO1130" s="1">
        <f t="shared" ca="1" si="633"/>
        <v>0</v>
      </c>
      <c r="AP1130" s="1" t="str">
        <f ca="1">IF(AND(A1130&lt;=OP!$C$120,COUNTIF(PAY,C1130)=1),1,"")</f>
        <v/>
      </c>
      <c r="AR1130" s="301">
        <f ca="1">IF(繳費報酬率資料!$A$1=1,$AY1130+$AZ1130,$BF1130+$BG1130)</f>
        <v>0</v>
      </c>
      <c r="AS1130" s="1">
        <f ca="1">IF(C1130&lt;&gt;IF($C$3=1,12,$C$3-1),0,IF(繳費報酬率資料!$A$1&lt;&gt;1,VLOOKUP($A1130,MP,8,0),IF(AND($A1130&gt;=OP!$C$79,$A1130&lt;=OP!$C$80),OP!$C$78,)))</f>
        <v>0</v>
      </c>
      <c r="AT1130" s="298">
        <f t="shared" ca="1" si="634"/>
        <v>0</v>
      </c>
      <c r="AU1130" s="298">
        <f ca="1">IF(AND(A1130&lt;=OP!$C$120,COUNTIF(PAY,C1130)=1),OP!$C$123,0)</f>
        <v>0</v>
      </c>
      <c r="AV1130" s="298">
        <f ca="1">IF(AND(A1130&gt;=OP!$C$132,A1130&lt;=OP!$C$133,$C$3=C1130),OP!$C$135,0)</f>
        <v>0</v>
      </c>
      <c r="AW1130" s="180">
        <f t="shared" ca="1" si="635"/>
        <v>0.05</v>
      </c>
      <c r="AX1130" s="180">
        <f t="shared" ca="1" si="636"/>
        <v>0.05</v>
      </c>
      <c r="AY1130" s="286">
        <f t="shared" ca="1" si="637"/>
        <v>0</v>
      </c>
      <c r="AZ1130" s="286">
        <f t="shared" ca="1" si="638"/>
        <v>0</v>
      </c>
      <c r="BA1130" s="286">
        <f t="shared" ca="1" si="639"/>
        <v>0</v>
      </c>
      <c r="BB1130" s="286">
        <f t="shared" ca="1" si="640"/>
        <v>0</v>
      </c>
      <c r="BC1130" s="286">
        <f t="shared" ca="1" si="641"/>
        <v>0</v>
      </c>
      <c r="BD1130" s="180">
        <f t="shared" ca="1" si="642"/>
        <v>0.05</v>
      </c>
      <c r="BE1130" s="180">
        <f t="shared" ca="1" si="643"/>
        <v>0.05</v>
      </c>
      <c r="BF1130" s="286">
        <f t="shared" ca="1" si="644"/>
        <v>0</v>
      </c>
      <c r="BG1130" s="286">
        <f t="shared" ca="1" si="645"/>
        <v>0</v>
      </c>
    </row>
    <row r="1131" spans="1:59">
      <c r="A1131" s="1">
        <f t="shared" ca="1" si="625"/>
        <v>94</v>
      </c>
      <c r="B1131" s="1">
        <f t="shared" ca="1" si="654"/>
        <v>200</v>
      </c>
      <c r="C1131" s="1">
        <f t="shared" ca="1" si="655"/>
        <v>5</v>
      </c>
      <c r="D1131" s="1">
        <f ca="1">MIN($D$3,VLOOKUP(C1131,OP!$S$30:$T$41,2))</f>
        <v>2</v>
      </c>
      <c r="E1131" s="1" t="str">
        <f t="shared" ca="1" si="651"/>
        <v/>
      </c>
      <c r="F1131" s="11" t="str">
        <f t="shared" ca="1" si="626"/>
        <v/>
      </c>
      <c r="G1131" s="8">
        <f t="shared" ca="1" si="656"/>
        <v>365</v>
      </c>
      <c r="H1131" s="8">
        <f t="shared" ca="1" si="627"/>
        <v>31</v>
      </c>
      <c r="I1131" s="8" t="str">
        <f t="shared" ca="1" si="624"/>
        <v>945</v>
      </c>
      <c r="J1131" s="13">
        <f>IF(繳費報酬率資料!$A$1=1,VALUE(OP!$C$121),VLOOKUP(A1131,MP,2,0))</f>
        <v>0.05</v>
      </c>
      <c r="K1131" s="14">
        <f ca="1">IF(SUM($K$4:K1130,IF(繳費報酬率資料!$A$1=1,$AU1131+$AV1131,$BB1131+$BC1131))&gt;OP!$L$58,0,IF(繳費報酬率資料!$A$1=1,$AU1131+$AV1131,$BB1131+$BC1131))</f>
        <v>0</v>
      </c>
      <c r="L1131" s="2">
        <f ca="1">ROUND(IF(OP!$C$78&lt;(IF(OR($T1131="F",$E1131&gt;=111),0,Z1130+$K1131-$O1131+IF($C$1=1,OP!$C$78,IF($C1132=$C$3,SUM(AC1120:AC1131,0)))))*5%,0,(OP!$C$78-((IF(OR($T1131="F",$E1131&gt;=111),0,Z1130+$K1131-$O1131+IF($C$1=1,AC1131,IF($C1132=$C$3,SUM(AC1120:AC1131,0)))))*5%))*$Q1131),0)</f>
        <v>0</v>
      </c>
      <c r="M1131" s="2">
        <f ca="1">ROUND(IF(OP!$C$78&lt;(IF(OR($T1131="F",$E1131&gt;=111),0,AA1130+$K1131-$O1131+IF($C$1=1,AD1131,IF($C1132=$C$3,SUM(AD1120:AD1131,0)))))*5%,0,(OP!$C$78-((IF(OR($T1131="F",$E1131&gt;=111),0,AA1130+$K1131-$O1131+IF($C$1=1,AD1131,IF($C1132=$C$3,SUM(AD1120:AD1131,0)))))*5%))*$Q1131),0)</f>
        <v>0</v>
      </c>
      <c r="N1131" s="2">
        <f ca="1">ROUND(IF(OP!$C$78&lt;(IF(OR($T1131="F",$E1131&gt;=111),0,AB1130+$K1131-$O1131+IF($C$1=1,AE1131,IF($C1132=$C$3,SUM(AE1120:AE1131,0)))))*5%,0,(OP!$C$78-((IF(OR($T1131="F",$E1131&gt;=111),0,AB1130+$K1131-$O1131+IF($C$1=1,AE1131,IF($C1132=$C$3,SUM(AE1120:AE1131,0)))))*5%))*$Q1131),0)</f>
        <v>0</v>
      </c>
      <c r="O1131" s="261">
        <f t="shared" ca="1" si="628"/>
        <v>0</v>
      </c>
      <c r="P1131" s="261">
        <f t="shared" ca="1" si="646"/>
        <v>0</v>
      </c>
      <c r="Q1131" s="3">
        <f ca="1">IF(A1131&gt;MAX(OP!$R$17:$R$26),0,VLOOKUP(A1131,fees,3,FALSE))</f>
        <v>0</v>
      </c>
      <c r="R1131" s="200" t="str">
        <f t="shared" ca="1" si="629"/>
        <v/>
      </c>
      <c r="S1131" s="9" t="str">
        <f ca="1">IF(COUNTIF(($T$4:T1130),"F")&gt;=1,"",IF(OR(C1132&lt;&gt;$C$3,E1131=""),"",A1131))</f>
        <v/>
      </c>
      <c r="T1131" s="20" t="str">
        <f t="shared" ca="1" si="652"/>
        <v/>
      </c>
      <c r="U1131" s="2">
        <f ca="1">IF(IF(OP!$C$83=1,$Z1130,IF(OP!$C$83=2,$AA1130,IF(OP!$C$83=3,$AB1130,)))+$K1131-$O1131-$P1131-$AS1131&lt;OP!$C$142,0,$AS1131)</f>
        <v>0</v>
      </c>
      <c r="V1131" s="19">
        <f ca="1">SUM(K1120:K1131)</f>
        <v>0</v>
      </c>
      <c r="W1131" s="19">
        <f ca="1">MAX(SUM($K$4:K1131),0)</f>
        <v>2000000</v>
      </c>
      <c r="X1131" s="19">
        <f ca="1">SUM(O1120:P1131)</f>
        <v>0</v>
      </c>
      <c r="Y1131" s="19">
        <f t="shared" ca="1" si="647"/>
        <v>1920000</v>
      </c>
      <c r="Z1131" s="2">
        <f ca="1">IF(MIN($Z$4:Z1130)=0,0,MAX(0,($Z1130+$K1131-$O1131-$P1131)*IF(AND(F1131="F",$D$3&lt;&gt;$G$3),((1+(-J1131))^(H1131/MIN(G1131,365))),((1+(-J1131))^(1/12)))-$U1131))</f>
        <v>15463.938927930063</v>
      </c>
      <c r="AA1131" s="2">
        <f ca="1">IF(MIN($AA$4:AA1130)=0,0,MAX(0,($AA1130+$K1131-$O1131-$P1131)*IF(AND(F1131="F",$D$3&lt;&gt;$G$3),((1+$AA$1)^(H1131/MIN(G1131,365))),((1+$AA$1)^(1/12)))-$U1131))</f>
        <v>1920000</v>
      </c>
      <c r="AB1131" s="2">
        <f ca="1">IF(MIN($AB$4:AB1130)=0,0,MAX(0,($AB1130+$K1131-$O1131-$P1131)*IF(AND(F1131="F",$D$3&lt;&gt;$G$3),((1+(J1131))^(H1131/MIN(G1131,365))),((1+(J1131))^(1/12)))-$U1131))</f>
        <v>188406265.50144047</v>
      </c>
      <c r="AC1131" s="5"/>
      <c r="AD1131" s="5"/>
      <c r="AE1131" s="5"/>
      <c r="AF1131" s="282">
        <f t="shared" ca="1" si="630"/>
        <v>15464</v>
      </c>
      <c r="AG1131" s="282">
        <f t="shared" ca="1" si="631"/>
        <v>1920000</v>
      </c>
      <c r="AH1131" s="282">
        <f t="shared" ca="1" si="632"/>
        <v>188406266</v>
      </c>
      <c r="AI1131" s="23" t="str">
        <f t="shared" ca="1" si="649"/>
        <v>95-1</v>
      </c>
      <c r="AJ1131" s="282">
        <f ca="1">IF(E1131&gt;111,,IF(AND(OP!$C$99=1,T1131="F"),Z1131,IF(AND(OP!$C$99=2,COUNTIF($T$4:T1131,"F")=1),OP!$C$97+IF(F1131="F",OP!$C$98,0),"")))</f>
        <v>0</v>
      </c>
      <c r="AK1131" s="282">
        <f ca="1">IF(E1131&gt;111,,IF(AND(OP!$D$99=1,T1131="F"),AA1131,IF(AND(OP!$D$99=2,COUNTIF($T$4:T1131,"F")=1),OP!$D$97+IF(F1131="F",OP!$D$98,0),"")))</f>
        <v>0</v>
      </c>
      <c r="AL1131" s="282">
        <f ca="1">IF(E1131&gt;111,,IF(AND(OP!$E$99=1,T1131="F"),AB1131,IF(AND(OP!$E$99=2,COUNTIF($T$4:T1131,"F")=1),OP!$E$97+IF(F1131="F",OP!$E$98,0),"")))</f>
        <v>0</v>
      </c>
      <c r="AM1131" s="1">
        <f t="shared" ca="1" si="653"/>
        <v>1</v>
      </c>
      <c r="AN1131" s="1" t="e">
        <f ca="1">IF(OR(VLOOKUP($A1131,MP,5,0)="月繳"),1,"")</f>
        <v>#N/A</v>
      </c>
      <c r="AO1131" s="1">
        <f t="shared" ca="1" si="633"/>
        <v>0</v>
      </c>
      <c r="AP1131" s="1" t="str">
        <f ca="1">IF(AND(A1131&lt;=OP!$C$120,COUNTIF(PAY,C1131)=1),1,"")</f>
        <v/>
      </c>
      <c r="AR1131" s="301">
        <f ca="1">IF(繳費報酬率資料!$A$1=1,$AY1131+$AZ1131,$BF1131+$BG1131)</f>
        <v>0</v>
      </c>
      <c r="AS1131" s="1">
        <f ca="1">IF(C1131&lt;&gt;IF($C$3=1,12,$C$3-1),0,IF(繳費報酬率資料!$A$1&lt;&gt;1,VLOOKUP($A1131,MP,8,0),IF(AND($A1131&gt;=OP!$C$79,$A1131&lt;=OP!$C$80),OP!$C$78,)))</f>
        <v>0</v>
      </c>
      <c r="AT1131" s="298">
        <f t="shared" ca="1" si="634"/>
        <v>0</v>
      </c>
      <c r="AU1131" s="298">
        <f ca="1">IF(AND(A1131&lt;=OP!$C$120,COUNTIF(PAY,C1131)=1),OP!$C$123,0)</f>
        <v>0</v>
      </c>
      <c r="AV1131" s="298">
        <f ca="1">IF(AND(A1131&gt;=OP!$C$132,A1131&lt;=OP!$C$133,$C$3=C1131),OP!$C$135,0)</f>
        <v>0</v>
      </c>
      <c r="AW1131" s="180">
        <f t="shared" ca="1" si="635"/>
        <v>0.05</v>
      </c>
      <c r="AX1131" s="180">
        <f t="shared" ca="1" si="636"/>
        <v>0.05</v>
      </c>
      <c r="AY1131" s="286">
        <f t="shared" ca="1" si="637"/>
        <v>0</v>
      </c>
      <c r="AZ1131" s="286">
        <f t="shared" ca="1" si="638"/>
        <v>0</v>
      </c>
      <c r="BA1131" s="286">
        <f t="shared" ca="1" si="639"/>
        <v>0</v>
      </c>
      <c r="BB1131" s="286">
        <f t="shared" ca="1" si="640"/>
        <v>0</v>
      </c>
      <c r="BC1131" s="286">
        <f t="shared" ca="1" si="641"/>
        <v>0</v>
      </c>
      <c r="BD1131" s="180">
        <f t="shared" ca="1" si="642"/>
        <v>0.05</v>
      </c>
      <c r="BE1131" s="180">
        <f t="shared" ca="1" si="643"/>
        <v>0.05</v>
      </c>
      <c r="BF1131" s="286">
        <f t="shared" ca="1" si="644"/>
        <v>0</v>
      </c>
      <c r="BG1131" s="286">
        <f t="shared" ca="1" si="645"/>
        <v>0</v>
      </c>
    </row>
    <row r="1132" spans="1:59">
      <c r="A1132" s="1">
        <f t="shared" ca="1" si="625"/>
        <v>95</v>
      </c>
      <c r="B1132" s="1">
        <f t="shared" ca="1" si="654"/>
        <v>200</v>
      </c>
      <c r="C1132" s="1">
        <f t="shared" ca="1" si="655"/>
        <v>6</v>
      </c>
      <c r="D1132" s="1">
        <f ca="1">MIN($D$3,VLOOKUP(C1132,OP!$S$30:$T$41,2))</f>
        <v>2</v>
      </c>
      <c r="E1132" s="1" t="str">
        <f t="shared" ca="1" si="651"/>
        <v/>
      </c>
      <c r="F1132" s="11" t="str">
        <f t="shared" ca="1" si="626"/>
        <v/>
      </c>
      <c r="G1132" s="6">
        <f ca="1">DATEDIF(DATE(B1132+1911,C1132,D1132),DATE(B1144+1911,C1144,D1144),"d")</f>
        <v>366</v>
      </c>
      <c r="H1132" s="8">
        <f t="shared" ca="1" si="627"/>
        <v>30</v>
      </c>
      <c r="I1132" s="8" t="str">
        <f t="shared" ca="1" si="624"/>
        <v>956</v>
      </c>
      <c r="J1132" s="13">
        <f>IF(繳費報酬率資料!$A$1=1,VALUE(OP!$C$121),VLOOKUP(A1132,MP,2,0))</f>
        <v>0.05</v>
      </c>
      <c r="K1132" s="14">
        <f ca="1">IF(SUM($K$4:K1131,IF(繳費報酬率資料!$A$1=1,$AU1132+$AV1132,$BB1132+$BC1132))&gt;OP!$L$58,0,IF(繳費報酬率資料!$A$1=1,$AU1132+$AV1132,$BB1132+$BC1132))</f>
        <v>0</v>
      </c>
      <c r="L1132" s="2"/>
      <c r="M1132" s="2"/>
      <c r="N1132" s="2"/>
      <c r="O1132" s="261">
        <f t="shared" ca="1" si="628"/>
        <v>0</v>
      </c>
      <c r="P1132" s="261">
        <f t="shared" ca="1" si="646"/>
        <v>0</v>
      </c>
      <c r="Q1132" s="3">
        <f ca="1">IF(A1132&gt;MAX(OP!$R$17:$R$26),0,VLOOKUP(A1132,fees,3,FALSE))</f>
        <v>0</v>
      </c>
      <c r="R1132" s="200" t="str">
        <f t="shared" ca="1" si="629"/>
        <v/>
      </c>
      <c r="S1132" s="9" t="str">
        <f ca="1">IF(COUNTIF(($T$4:T1131),"F")&gt;=1,"",IF(OR(C1133&lt;&gt;$C$3,E1132=""),"",A1132))</f>
        <v/>
      </c>
      <c r="T1132" s="20" t="str">
        <f t="shared" ca="1" si="652"/>
        <v/>
      </c>
      <c r="U1132" s="2">
        <f ca="1">IF(IF(OP!$C$83=1,$Z1131,IF(OP!$C$83=2,$AA1131,IF(OP!$C$83=3,$AB1131,)))+$K1132-$O1132-$P1132-$AS1132&lt;OP!$C$142,0,$AS1132)</f>
        <v>0</v>
      </c>
      <c r="V1132" s="9"/>
      <c r="W1132" s="19">
        <f ca="1">MAX(SUM($K$4:K1132),0)</f>
        <v>2000000</v>
      </c>
      <c r="X1132" s="19"/>
      <c r="Y1132" s="19">
        <f t="shared" ca="1" si="647"/>
        <v>1920000</v>
      </c>
      <c r="Z1132" s="2">
        <f ca="1">IF(MIN($Z$4:Z1131)=0,0,MAX(0,($Z1131+$K1132-$O1132-$P1132)*IF(AND(F1132="F",$D$3&lt;&gt;$G$3),((1+(-J1132))^(H1132/MIN(G1132,365))),((1+(-J1132))^(1/12)))-$U1132))</f>
        <v>15397.980298845712</v>
      </c>
      <c r="AA1132" s="2">
        <f ca="1">IF(MIN($AA$4:AA1131)=0,0,MAX(0,($AA1131+$K1132-$O1132-$P1132)*IF(AND(F1132="F",$D$3&lt;&gt;$G$3),((1+$AA$1)^(H1132/MIN(G1132,365))),((1+$AA$1)^(1/12)))-$U1132))</f>
        <v>1920000</v>
      </c>
      <c r="AB1132" s="2">
        <f ca="1">IF(MIN($AB$4:AB1131)=0,0,MAX(0,($AB1131+$K1132-$O1132-$P1132)*IF(AND(F1132="F",$D$3&lt;&gt;$G$3),((1+(J1132))^(H1132/MIN(G1132,365))),((1+(J1132))^(1/12)))-$U1132))</f>
        <v>189173855.94870824</v>
      </c>
      <c r="AC1132" s="21"/>
      <c r="AD1132" s="21"/>
      <c r="AE1132" s="21"/>
      <c r="AF1132" s="282">
        <f t="shared" ca="1" si="630"/>
        <v>15398</v>
      </c>
      <c r="AG1132" s="282">
        <f t="shared" ca="1" si="631"/>
        <v>1920000</v>
      </c>
      <c r="AH1132" s="282">
        <f t="shared" ca="1" si="632"/>
        <v>189173856</v>
      </c>
      <c r="AI1132" s="23" t="str">
        <f t="shared" ca="1" si="649"/>
        <v>95-2</v>
      </c>
      <c r="AJ1132" s="281">
        <f ca="1">IF(E1132&gt;111,,IF(AND(OP!$C$99=1,T1132="F"),Z1132,IF(AND(OP!$C$99=2,COUNTIF($T$4:T1132,"F")=1),OP!$C$97+IF(F1132="F",OP!$C$98,0),"")))</f>
        <v>0</v>
      </c>
      <c r="AK1132" s="281">
        <f ca="1">IF(E1132&gt;111,,IF(AND(OP!$D$99=1,T1132="F"),AA1132,IF(AND(OP!$D$99=2,COUNTIF($T$4:T1132,"F")=1),OP!$D$97+IF(F1132="F",OP!$D$98,0),"")))</f>
        <v>0</v>
      </c>
      <c r="AL1132" s="281">
        <f ca="1">IF(E1132&gt;111,,IF(AND(OP!$E$99=1,T1132="F"),AB1132,IF(AND(OP!$E$99=2,COUNTIF($T$4:T1132,"F")=1),OP!$E$97+IF(F1132="F",OP!$E$98,0),"")))</f>
        <v>0</v>
      </c>
      <c r="AM1132" s="1">
        <f t="shared" ca="1" si="653"/>
        <v>2</v>
      </c>
      <c r="AN1132" s="1" t="e">
        <f ca="1">IF(OR(VLOOKUP($A1132,MP,5,0)="年繳",VLOOKUP($A1132,MP,5,0)="半年繳",VLOOKUP($A1132,MP,5,0)="季繳",VLOOKUP($A1132,MP,5,0)="月繳"),1,"")</f>
        <v>#N/A</v>
      </c>
      <c r="AO1132" s="1">
        <f t="shared" ca="1" si="633"/>
        <v>0</v>
      </c>
      <c r="AP1132" s="1" t="str">
        <f ca="1">IF(AND(A1132&lt;=OP!$C$120,COUNTIF(PAY,C1132)=1),1,"")</f>
        <v/>
      </c>
      <c r="AR1132" s="301">
        <f ca="1">IF(繳費報酬率資料!$A$1=1,$AY1132+$AZ1132,$BF1132+$BG1132)</f>
        <v>0</v>
      </c>
      <c r="AS1132" s="1">
        <f ca="1">IF(C1132&lt;&gt;IF($C$3=1,12,$C$3-1),0,IF(繳費報酬率資料!$A$1&lt;&gt;1,VLOOKUP($A1132,MP,8,0),IF(AND($A1132&gt;=OP!$C$79,$A1132&lt;=OP!$C$80),OP!$C$78,)))</f>
        <v>0</v>
      </c>
      <c r="AT1132" s="298">
        <f t="shared" ca="1" si="634"/>
        <v>0</v>
      </c>
      <c r="AU1132" s="298">
        <f ca="1">IF(AND(A1132&lt;=OP!$C$120,COUNTIF(PAY,C1132)=1),OP!$C$123,0)</f>
        <v>0</v>
      </c>
      <c r="AV1132" s="298">
        <f ca="1">IF(AND(A1132&gt;=OP!$C$132,A1132&lt;=OP!$C$133,$C$3=C1132),OP!$C$135,0)</f>
        <v>0</v>
      </c>
      <c r="AW1132" s="180">
        <f t="shared" ca="1" si="635"/>
        <v>0.05</v>
      </c>
      <c r="AX1132" s="180">
        <f t="shared" ca="1" si="636"/>
        <v>0.05</v>
      </c>
      <c r="AY1132" s="286">
        <f t="shared" ca="1" si="637"/>
        <v>0</v>
      </c>
      <c r="AZ1132" s="286">
        <f t="shared" ca="1" si="638"/>
        <v>0</v>
      </c>
      <c r="BA1132" s="286">
        <f t="shared" ca="1" si="639"/>
        <v>0</v>
      </c>
      <c r="BB1132" s="286">
        <f t="shared" ca="1" si="640"/>
        <v>0</v>
      </c>
      <c r="BC1132" s="286">
        <f t="shared" ca="1" si="641"/>
        <v>0</v>
      </c>
      <c r="BD1132" s="180">
        <f t="shared" ca="1" si="642"/>
        <v>0.05</v>
      </c>
      <c r="BE1132" s="180">
        <f t="shared" ca="1" si="643"/>
        <v>0.05</v>
      </c>
      <c r="BF1132" s="286">
        <f t="shared" ca="1" si="644"/>
        <v>0</v>
      </c>
      <c r="BG1132" s="286">
        <f t="shared" ca="1" si="645"/>
        <v>0</v>
      </c>
    </row>
    <row r="1133" spans="1:59">
      <c r="A1133" s="1">
        <f t="shared" ca="1" si="625"/>
        <v>95</v>
      </c>
      <c r="B1133" s="1">
        <f t="shared" ca="1" si="654"/>
        <v>200</v>
      </c>
      <c r="C1133" s="1">
        <f t="shared" ca="1" si="655"/>
        <v>7</v>
      </c>
      <c r="D1133" s="1">
        <f ca="1">MIN($D$3,VLOOKUP(C1133,OP!$S$30:$T$41,2))</f>
        <v>2</v>
      </c>
      <c r="E1133" s="1" t="str">
        <f t="shared" ca="1" si="651"/>
        <v/>
      </c>
      <c r="F1133" s="11" t="str">
        <f t="shared" ca="1" si="626"/>
        <v/>
      </c>
      <c r="G1133" s="8">
        <f t="shared" ref="G1133:G1143" ca="1" si="657">G1132</f>
        <v>366</v>
      </c>
      <c r="H1133" s="8">
        <f t="shared" ca="1" si="627"/>
        <v>31</v>
      </c>
      <c r="I1133" s="8" t="str">
        <f t="shared" ca="1" si="624"/>
        <v>957</v>
      </c>
      <c r="J1133" s="13">
        <f>IF(繳費報酬率資料!$A$1=1,VALUE(OP!$C$121),VLOOKUP(A1133,MP,2,0))</f>
        <v>0.05</v>
      </c>
      <c r="K1133" s="14">
        <f ca="1">IF(SUM($K$4:K1132,IF(繳費報酬率資料!$A$1=1,$AU1133+$AV1133,$BB1133+$BC1133))&gt;OP!$L$58,0,IF(繳費報酬率資料!$A$1=1,$AU1133+$AV1133,$BB1133+$BC1133))</f>
        <v>0</v>
      </c>
      <c r="L1133" s="2"/>
      <c r="M1133" s="2"/>
      <c r="N1133" s="2"/>
      <c r="O1133" s="261">
        <f t="shared" ca="1" si="628"/>
        <v>0</v>
      </c>
      <c r="P1133" s="261">
        <f t="shared" ca="1" si="646"/>
        <v>0</v>
      </c>
      <c r="Q1133" s="3">
        <f ca="1">IF(A1133&gt;MAX(OP!$R$17:$R$26),0,VLOOKUP(A1133,fees,3,FALSE))</f>
        <v>0</v>
      </c>
      <c r="R1133" s="200" t="str">
        <f t="shared" ca="1" si="629"/>
        <v/>
      </c>
      <c r="S1133" s="9" t="str">
        <f ca="1">IF(COUNTIF(($T$4:T1132),"F")&gt;=1,"",IF(OR(C1134&lt;&gt;$C$3,E1133=""),"",A1133))</f>
        <v/>
      </c>
      <c r="T1133" s="20" t="str">
        <f t="shared" ca="1" si="652"/>
        <v/>
      </c>
      <c r="U1133" s="2">
        <f ca="1">IF(IF(OP!$C$83=1,$Z1132,IF(OP!$C$83=2,$AA1132,IF(OP!$C$83=3,$AB1132,)))+$K1133-$O1133-$P1133-$AS1133&lt;OP!$C$142,0,$AS1133)</f>
        <v>0</v>
      </c>
      <c r="V1133" s="9"/>
      <c r="W1133" s="19">
        <f ca="1">MAX(SUM($K$4:K1133),0)</f>
        <v>2000000</v>
      </c>
      <c r="X1133" s="19"/>
      <c r="Y1133" s="19">
        <f t="shared" ca="1" si="647"/>
        <v>1920000</v>
      </c>
      <c r="Z1133" s="2">
        <f ca="1">IF(MIN($Z$4:Z1132)=0,0,MAX(0,($Z1132+$K1133-$O1133-$P1133)*IF(AND(F1133="F",$D$3&lt;&gt;$G$3),((1+(-J1133))^(H1133/MIN(G1133,365))),((1+(-J1133))^(1/12)))-$U1133))</f>
        <v>15332.303004340536</v>
      </c>
      <c r="AA1133" s="2">
        <f ca="1">IF(MIN($AA$4:AA1132)=0,0,MAX(0,($AA1132+$K1133-$O1133-$P1133)*IF(AND(F1133="F",$D$3&lt;&gt;$G$3),((1+$AA$1)^(H1133/MIN(G1133,365))),((1+$AA$1)^(1/12)))-$U1133))</f>
        <v>1920000</v>
      </c>
      <c r="AB1133" s="2">
        <f ca="1">IF(MIN($AB$4:AB1132)=0,0,MAX(0,($AB1132+$K1133-$O1133-$P1133)*IF(AND(F1133="F",$D$3&lt;&gt;$G$3),((1+(J1133))^(H1133/MIN(G1133,365))),((1+(J1133))^(1/12)))-$U1133))</f>
        <v>189944573.65447333</v>
      </c>
      <c r="AC1133" s="5"/>
      <c r="AD1133" s="5"/>
      <c r="AE1133" s="5"/>
      <c r="AF1133" s="282">
        <f t="shared" ca="1" si="630"/>
        <v>15332</v>
      </c>
      <c r="AG1133" s="282">
        <f t="shared" ca="1" si="631"/>
        <v>1920000</v>
      </c>
      <c r="AH1133" s="282">
        <f t="shared" ca="1" si="632"/>
        <v>189944574</v>
      </c>
      <c r="AI1133" s="23" t="str">
        <f t="shared" ca="1" si="649"/>
        <v>95-3</v>
      </c>
      <c r="AJ1133" s="282">
        <f ca="1">IF(E1133&gt;111,,IF(AND(OP!$C$99=1,T1133="F"),Z1133,IF(AND(OP!$C$99=2,COUNTIF($T$4:T1133,"F")=1),OP!$C$97+IF(F1133="F",OP!$C$98,0),"")))</f>
        <v>0</v>
      </c>
      <c r="AK1133" s="282">
        <f ca="1">IF(E1133&gt;111,,IF(AND(OP!$D$99=1,T1133="F"),AA1133,IF(AND(OP!$D$99=2,COUNTIF($T$4:T1133,"F")=1),OP!$D$97+IF(F1133="F",OP!$D$98,0),"")))</f>
        <v>0</v>
      </c>
      <c r="AL1133" s="282">
        <f ca="1">IF(E1133&gt;111,,IF(AND(OP!$E$99=1,T1133="F"),AB1133,IF(AND(OP!$E$99=2,COUNTIF($T$4:T1133,"F")=1),OP!$E$97+IF(F1133="F",OP!$E$98,0),"")))</f>
        <v>0</v>
      </c>
      <c r="AM1133" s="1">
        <f t="shared" ca="1" si="653"/>
        <v>3</v>
      </c>
      <c r="AN1133" s="1" t="e">
        <f ca="1">IF(OR(VLOOKUP($A1133,MP,5,0)="月繳"),1,"")</f>
        <v>#N/A</v>
      </c>
      <c r="AO1133" s="1">
        <f t="shared" ca="1" si="633"/>
        <v>0</v>
      </c>
      <c r="AP1133" s="1" t="str">
        <f ca="1">IF(AND(A1133&lt;=OP!$C$120,COUNTIF(PAY,C1133)=1),1,"")</f>
        <v/>
      </c>
      <c r="AR1133" s="301">
        <f ca="1">IF(繳費報酬率資料!$A$1=1,$AY1133+$AZ1133,$BF1133+$BG1133)</f>
        <v>0</v>
      </c>
      <c r="AS1133" s="1">
        <f ca="1">IF(C1133&lt;&gt;IF($C$3=1,12,$C$3-1),0,IF(繳費報酬率資料!$A$1&lt;&gt;1,VLOOKUP($A1133,MP,8,0),IF(AND($A1133&gt;=OP!$C$79,$A1133&lt;=OP!$C$80),OP!$C$78,)))</f>
        <v>0</v>
      </c>
      <c r="AT1133" s="298">
        <f t="shared" ca="1" si="634"/>
        <v>0</v>
      </c>
      <c r="AU1133" s="298">
        <f ca="1">IF(AND(A1133&lt;=OP!$C$120,COUNTIF(PAY,C1133)=1),OP!$C$123,0)</f>
        <v>0</v>
      </c>
      <c r="AV1133" s="298">
        <f ca="1">IF(AND(A1133&gt;=OP!$C$132,A1133&lt;=OP!$C$133,$C$3=C1133),OP!$C$135,0)</f>
        <v>0</v>
      </c>
      <c r="AW1133" s="180">
        <f t="shared" ca="1" si="635"/>
        <v>0.05</v>
      </c>
      <c r="AX1133" s="180">
        <f t="shared" ca="1" si="636"/>
        <v>0.05</v>
      </c>
      <c r="AY1133" s="286">
        <f t="shared" ca="1" si="637"/>
        <v>0</v>
      </c>
      <c r="AZ1133" s="286">
        <f t="shared" ca="1" si="638"/>
        <v>0</v>
      </c>
      <c r="BA1133" s="286">
        <f t="shared" ca="1" si="639"/>
        <v>0</v>
      </c>
      <c r="BB1133" s="286">
        <f t="shared" ca="1" si="640"/>
        <v>0</v>
      </c>
      <c r="BC1133" s="286">
        <f t="shared" ca="1" si="641"/>
        <v>0</v>
      </c>
      <c r="BD1133" s="180">
        <f t="shared" ca="1" si="642"/>
        <v>0.05</v>
      </c>
      <c r="BE1133" s="180">
        <f t="shared" ca="1" si="643"/>
        <v>0.05</v>
      </c>
      <c r="BF1133" s="286">
        <f t="shared" ca="1" si="644"/>
        <v>0</v>
      </c>
      <c r="BG1133" s="286">
        <f t="shared" ca="1" si="645"/>
        <v>0</v>
      </c>
    </row>
    <row r="1134" spans="1:59">
      <c r="A1134" s="1">
        <f t="shared" ca="1" si="625"/>
        <v>95</v>
      </c>
      <c r="B1134" s="1">
        <f t="shared" ca="1" si="654"/>
        <v>200</v>
      </c>
      <c r="C1134" s="1">
        <f t="shared" ca="1" si="655"/>
        <v>8</v>
      </c>
      <c r="D1134" s="1">
        <f ca="1">MIN($D$3,VLOOKUP(C1134,OP!$S$30:$T$41,2))</f>
        <v>2</v>
      </c>
      <c r="E1134" s="1" t="str">
        <f t="shared" ca="1" si="651"/>
        <v/>
      </c>
      <c r="F1134" s="11" t="str">
        <f t="shared" ca="1" si="626"/>
        <v/>
      </c>
      <c r="G1134" s="8">
        <f t="shared" ca="1" si="657"/>
        <v>366</v>
      </c>
      <c r="H1134" s="8">
        <f t="shared" ca="1" si="627"/>
        <v>31</v>
      </c>
      <c r="I1134" s="8" t="str">
        <f t="shared" ca="1" si="624"/>
        <v>958</v>
      </c>
      <c r="J1134" s="13">
        <f>IF(繳費報酬率資料!$A$1=1,VALUE(OP!$C$121),VLOOKUP(A1134,MP,2,0))</f>
        <v>0.05</v>
      </c>
      <c r="K1134" s="14">
        <f ca="1">IF(SUM($K$4:K1133,IF(繳費報酬率資料!$A$1=1,$AU1134+$AV1134,$BB1134+$BC1134))&gt;OP!$L$58,0,IF(繳費報酬率資料!$A$1=1,$AU1134+$AV1134,$BB1134+$BC1134))</f>
        <v>0</v>
      </c>
      <c r="L1134" s="2"/>
      <c r="M1134" s="2"/>
      <c r="N1134" s="2"/>
      <c r="O1134" s="261">
        <f t="shared" ca="1" si="628"/>
        <v>0</v>
      </c>
      <c r="P1134" s="261">
        <f t="shared" ca="1" si="646"/>
        <v>0</v>
      </c>
      <c r="Q1134" s="3">
        <f ca="1">IF(A1134&gt;MAX(OP!$R$17:$R$26),0,VLOOKUP(A1134,fees,3,FALSE))</f>
        <v>0</v>
      </c>
      <c r="R1134" s="200" t="str">
        <f t="shared" ca="1" si="629"/>
        <v/>
      </c>
      <c r="S1134" s="9" t="str">
        <f ca="1">IF(COUNTIF(($T$4:T1133),"F")&gt;=1,"",IF(OR(C1135&lt;&gt;$C$3,E1134=""),"",A1134))</f>
        <v/>
      </c>
      <c r="T1134" s="20" t="str">
        <f t="shared" ca="1" si="652"/>
        <v/>
      </c>
      <c r="U1134" s="2">
        <f ca="1">IF(IF(OP!$C$83=1,$Z1133,IF(OP!$C$83=2,$AA1133,IF(OP!$C$83=3,$AB1133,)))+$K1134-$O1134-$P1134-$AS1134&lt;OP!$C$142,0,$AS1134)</f>
        <v>0</v>
      </c>
      <c r="V1134" s="9"/>
      <c r="W1134" s="19">
        <f ca="1">MAX(SUM($K$4:K1134),0)</f>
        <v>2000000</v>
      </c>
      <c r="X1134" s="19"/>
      <c r="Y1134" s="19">
        <f t="shared" ca="1" si="647"/>
        <v>1920000</v>
      </c>
      <c r="Z1134" s="2">
        <f ca="1">IF(MIN($Z$4:Z1133)=0,0,MAX(0,($Z1133+$K1134-$O1134-$P1134)*IF(AND(F1134="F",$D$3&lt;&gt;$G$3),((1+(-J1134))^(H1134/MIN(G1134,365))),((1+(-J1134))^(1/12)))-$U1134))</f>
        <v>15266.905844432873</v>
      </c>
      <c r="AA1134" s="2">
        <f ca="1">IF(MIN($AA$4:AA1133)=0,0,MAX(0,($AA1133+$K1134-$O1134-$P1134)*IF(AND(F1134="F",$D$3&lt;&gt;$G$3),((1+$AA$1)^(H1134/MIN(G1134,365))),((1+$AA$1)^(1/12)))-$U1134))</f>
        <v>1920000</v>
      </c>
      <c r="AB1134" s="2">
        <f ca="1">IF(MIN($AB$4:AB1133)=0,0,MAX(0,($AB1133+$K1134-$O1134-$P1134)*IF(AND(F1134="F",$D$3&lt;&gt;$G$3),((1+(J1134))^(H1134/MIN(G1134,365))),((1+(J1134))^(1/12)))-$U1134))</f>
        <v>190718431.35957396</v>
      </c>
      <c r="AC1134" s="5"/>
      <c r="AD1134" s="5"/>
      <c r="AE1134" s="5"/>
      <c r="AF1134" s="282">
        <f t="shared" ca="1" si="630"/>
        <v>15267</v>
      </c>
      <c r="AG1134" s="282">
        <f t="shared" ca="1" si="631"/>
        <v>1920000</v>
      </c>
      <c r="AH1134" s="282">
        <f t="shared" ca="1" si="632"/>
        <v>190718431</v>
      </c>
      <c r="AI1134" s="23" t="str">
        <f t="shared" ca="1" si="649"/>
        <v>95-4</v>
      </c>
      <c r="AJ1134" s="282">
        <f ca="1">IF(E1134&gt;111,,IF(AND(OP!$C$99=1,T1134="F"),Z1134,IF(AND(OP!$C$99=2,COUNTIF($T$4:T1134,"F")=1),OP!$C$97+IF(F1134="F",OP!$C$98,0),"")))</f>
        <v>0</v>
      </c>
      <c r="AK1134" s="282">
        <f ca="1">IF(E1134&gt;111,,IF(AND(OP!$D$99=1,T1134="F"),AA1134,IF(AND(OP!$D$99=2,COUNTIF($T$4:T1134,"F")=1),OP!$D$97+IF(F1134="F",OP!$D$98,0),"")))</f>
        <v>0</v>
      </c>
      <c r="AL1134" s="282">
        <f ca="1">IF(E1134&gt;111,,IF(AND(OP!$E$99=1,T1134="F"),AB1134,IF(AND(OP!$E$99=2,COUNTIF($T$4:T1134,"F")=1),OP!$E$97+IF(F1134="F",OP!$E$98,0),"")))</f>
        <v>0</v>
      </c>
      <c r="AM1134" s="1">
        <f t="shared" ca="1" si="653"/>
        <v>4</v>
      </c>
      <c r="AN1134" s="1" t="e">
        <f ca="1">IF(OR(VLOOKUP($A1134,MP,5,0)="月繳"),1,"")</f>
        <v>#N/A</v>
      </c>
      <c r="AO1134" s="1">
        <f t="shared" ca="1" si="633"/>
        <v>0</v>
      </c>
      <c r="AP1134" s="1" t="str">
        <f ca="1">IF(AND(A1134&lt;=OP!$C$120,COUNTIF(PAY,C1134)=1),1,"")</f>
        <v/>
      </c>
      <c r="AR1134" s="301">
        <f ca="1">IF(繳費報酬率資料!$A$1=1,$AY1134+$AZ1134,$BF1134+$BG1134)</f>
        <v>0</v>
      </c>
      <c r="AS1134" s="1">
        <f ca="1">IF(C1134&lt;&gt;IF($C$3=1,12,$C$3-1),0,IF(繳費報酬率資料!$A$1&lt;&gt;1,VLOOKUP($A1134,MP,8,0),IF(AND($A1134&gt;=OP!$C$79,$A1134&lt;=OP!$C$80),OP!$C$78,)))</f>
        <v>0</v>
      </c>
      <c r="AT1134" s="298">
        <f t="shared" ca="1" si="634"/>
        <v>0</v>
      </c>
      <c r="AU1134" s="298">
        <f ca="1">IF(AND(A1134&lt;=OP!$C$120,COUNTIF(PAY,C1134)=1),OP!$C$123,0)</f>
        <v>0</v>
      </c>
      <c r="AV1134" s="298">
        <f ca="1">IF(AND(A1134&gt;=OP!$C$132,A1134&lt;=OP!$C$133,$C$3=C1134),OP!$C$135,0)</f>
        <v>0</v>
      </c>
      <c r="AW1134" s="180">
        <f t="shared" ca="1" si="635"/>
        <v>0.05</v>
      </c>
      <c r="AX1134" s="180">
        <f t="shared" ca="1" si="636"/>
        <v>0.05</v>
      </c>
      <c r="AY1134" s="286">
        <f t="shared" ca="1" si="637"/>
        <v>0</v>
      </c>
      <c r="AZ1134" s="286">
        <f t="shared" ca="1" si="638"/>
        <v>0</v>
      </c>
      <c r="BA1134" s="286">
        <f t="shared" ca="1" si="639"/>
        <v>0</v>
      </c>
      <c r="BB1134" s="286">
        <f t="shared" ca="1" si="640"/>
        <v>0</v>
      </c>
      <c r="BC1134" s="286">
        <f t="shared" ca="1" si="641"/>
        <v>0</v>
      </c>
      <c r="BD1134" s="180">
        <f t="shared" ca="1" si="642"/>
        <v>0.05</v>
      </c>
      <c r="BE1134" s="180">
        <f t="shared" ca="1" si="643"/>
        <v>0.05</v>
      </c>
      <c r="BF1134" s="286">
        <f t="shared" ca="1" si="644"/>
        <v>0</v>
      </c>
      <c r="BG1134" s="286">
        <f t="shared" ca="1" si="645"/>
        <v>0</v>
      </c>
    </row>
    <row r="1135" spans="1:59">
      <c r="A1135" s="1">
        <f t="shared" ca="1" si="625"/>
        <v>95</v>
      </c>
      <c r="B1135" s="1">
        <f t="shared" ca="1" si="654"/>
        <v>200</v>
      </c>
      <c r="C1135" s="1">
        <f t="shared" ca="1" si="655"/>
        <v>9</v>
      </c>
      <c r="D1135" s="1">
        <f ca="1">MIN($D$3,VLOOKUP(C1135,OP!$S$30:$T$41,2))</f>
        <v>2</v>
      </c>
      <c r="E1135" s="1" t="str">
        <f t="shared" ca="1" si="651"/>
        <v/>
      </c>
      <c r="F1135" s="11" t="str">
        <f t="shared" ca="1" si="626"/>
        <v/>
      </c>
      <c r="G1135" s="8">
        <f t="shared" ca="1" si="657"/>
        <v>366</v>
      </c>
      <c r="H1135" s="8">
        <f t="shared" ca="1" si="627"/>
        <v>30</v>
      </c>
      <c r="I1135" s="8" t="str">
        <f t="shared" ca="1" si="624"/>
        <v>959</v>
      </c>
      <c r="J1135" s="13">
        <f>IF(繳費報酬率資料!$A$1=1,VALUE(OP!$C$121),VLOOKUP(A1135,MP,2,0))</f>
        <v>0.05</v>
      </c>
      <c r="K1135" s="14">
        <f ca="1">IF(SUM($K$4:K1134,IF(繳費報酬率資料!$A$1=1,$AU1135+$AV1135,$BB1135+$BC1135))&gt;OP!$L$58,0,IF(繳費報酬率資料!$A$1=1,$AU1135+$AV1135,$BB1135+$BC1135))</f>
        <v>0</v>
      </c>
      <c r="L1135" s="2"/>
      <c r="M1135" s="2"/>
      <c r="N1135" s="2"/>
      <c r="O1135" s="261">
        <f t="shared" ca="1" si="628"/>
        <v>0</v>
      </c>
      <c r="P1135" s="261">
        <f t="shared" ca="1" si="646"/>
        <v>0</v>
      </c>
      <c r="Q1135" s="3">
        <f ca="1">IF(A1135&gt;MAX(OP!$R$17:$R$26),0,VLOOKUP(A1135,fees,3,FALSE))</f>
        <v>0</v>
      </c>
      <c r="R1135" s="200" t="str">
        <f t="shared" ca="1" si="629"/>
        <v/>
      </c>
      <c r="S1135" s="9" t="str">
        <f ca="1">IF(COUNTIF(($T$4:T1134),"F")&gt;=1,"",IF(OR(C1136&lt;&gt;$C$3,E1135=""),"",A1135))</f>
        <v/>
      </c>
      <c r="T1135" s="20" t="str">
        <f t="shared" ca="1" si="652"/>
        <v/>
      </c>
      <c r="U1135" s="2">
        <f ca="1">IF(IF(OP!$C$83=1,$Z1134,IF(OP!$C$83=2,$AA1134,IF(OP!$C$83=3,$AB1134,)))+$K1135-$O1135-$P1135-$AS1135&lt;OP!$C$142,0,$AS1135)</f>
        <v>0</v>
      </c>
      <c r="V1135" s="9"/>
      <c r="W1135" s="19">
        <f ca="1">MAX(SUM($K$4:K1135),0)</f>
        <v>2000000</v>
      </c>
      <c r="X1135" s="19"/>
      <c r="Y1135" s="19">
        <f t="shared" ca="1" si="647"/>
        <v>1920000</v>
      </c>
      <c r="Z1135" s="2">
        <f ca="1">IF(MIN($Z$4:Z1134)=0,0,MAX(0,($Z1134+$K1135-$O1135-$P1135)*IF(AND(F1135="F",$D$3&lt;&gt;$G$3),((1+(-J1135))^(H1135/MIN(G1135,365))),((1+(-J1135))^(1/12)))-$U1135))</f>
        <v>15201.787624259363</v>
      </c>
      <c r="AA1135" s="2">
        <f ca="1">IF(MIN($AA$4:AA1134)=0,0,MAX(0,($AA1134+$K1135-$O1135-$P1135)*IF(AND(F1135="F",$D$3&lt;&gt;$G$3),((1+$AA$1)^(H1135/MIN(G1135,365))),((1+$AA$1)^(1/12)))-$U1135))</f>
        <v>1920000</v>
      </c>
      <c r="AB1135" s="2">
        <f ca="1">IF(MIN($AB$4:AB1134)=0,0,MAX(0,($AB1134+$K1135-$O1135-$P1135)*IF(AND(F1135="F",$D$3&lt;&gt;$G$3),((1+(J1135))^(H1135/MIN(G1135,365))),((1+(J1135))^(1/12)))-$U1135))</f>
        <v>191495441.85675612</v>
      </c>
      <c r="AC1135" s="5"/>
      <c r="AD1135" s="5"/>
      <c r="AE1135" s="5"/>
      <c r="AF1135" s="282">
        <f t="shared" ca="1" si="630"/>
        <v>15202</v>
      </c>
      <c r="AG1135" s="282">
        <f t="shared" ca="1" si="631"/>
        <v>1920000</v>
      </c>
      <c r="AH1135" s="282">
        <f t="shared" ca="1" si="632"/>
        <v>191495442</v>
      </c>
      <c r="AI1135" s="23" t="str">
        <f t="shared" ca="1" si="649"/>
        <v>95-5</v>
      </c>
      <c r="AJ1135" s="282">
        <f ca="1">IF(E1135&gt;111,,IF(AND(OP!$C$99=1,T1135="F"),Z1135,IF(AND(OP!$C$99=2,COUNTIF($T$4:T1135,"F")=1),OP!$C$97+IF(F1135="F",OP!$C$98,0),"")))</f>
        <v>0</v>
      </c>
      <c r="AK1135" s="282">
        <f ca="1">IF(E1135&gt;111,,IF(AND(OP!$D$99=1,T1135="F"),AA1135,IF(AND(OP!$D$99=2,COUNTIF($T$4:T1135,"F")=1),OP!$D$97+IF(F1135="F",OP!$D$98,0),"")))</f>
        <v>0</v>
      </c>
      <c r="AL1135" s="282">
        <f ca="1">IF(E1135&gt;111,,IF(AND(OP!$E$99=1,T1135="F"),AB1135,IF(AND(OP!$E$99=2,COUNTIF($T$4:T1135,"F")=1),OP!$E$97+IF(F1135="F",OP!$E$98,0),"")))</f>
        <v>0</v>
      </c>
      <c r="AM1135" s="1">
        <f t="shared" ca="1" si="653"/>
        <v>5</v>
      </c>
      <c r="AN1135" s="1" t="e">
        <f ca="1">IF(OR(VLOOKUP($A1135,MP,5,0)="季繳",VLOOKUP($A1135,MP,5,0)="月繳"),1,"")</f>
        <v>#N/A</v>
      </c>
      <c r="AO1135" s="1">
        <f t="shared" ca="1" si="633"/>
        <v>0</v>
      </c>
      <c r="AP1135" s="1" t="str">
        <f ca="1">IF(AND(A1135&lt;=OP!$C$120,COUNTIF(PAY,C1135)=1),1,"")</f>
        <v/>
      </c>
      <c r="AR1135" s="301">
        <f ca="1">IF(繳費報酬率資料!$A$1=1,$AY1135+$AZ1135,$BF1135+$BG1135)</f>
        <v>0</v>
      </c>
      <c r="AS1135" s="1">
        <f ca="1">IF(C1135&lt;&gt;IF($C$3=1,12,$C$3-1),0,IF(繳費報酬率資料!$A$1&lt;&gt;1,VLOOKUP($A1135,MP,8,0),IF(AND($A1135&gt;=OP!$C$79,$A1135&lt;=OP!$C$80),OP!$C$78,)))</f>
        <v>0</v>
      </c>
      <c r="AT1135" s="298">
        <f t="shared" ca="1" si="634"/>
        <v>0</v>
      </c>
      <c r="AU1135" s="298">
        <f ca="1">IF(AND(A1135&lt;=OP!$C$120,COUNTIF(PAY,C1135)=1),OP!$C$123,0)</f>
        <v>0</v>
      </c>
      <c r="AV1135" s="298">
        <f ca="1">IF(AND(A1135&gt;=OP!$C$132,A1135&lt;=OP!$C$133,$C$3=C1135),OP!$C$135,0)</f>
        <v>0</v>
      </c>
      <c r="AW1135" s="180">
        <f t="shared" ca="1" si="635"/>
        <v>0.05</v>
      </c>
      <c r="AX1135" s="180">
        <f t="shared" ca="1" si="636"/>
        <v>0.05</v>
      </c>
      <c r="AY1135" s="286">
        <f t="shared" ca="1" si="637"/>
        <v>0</v>
      </c>
      <c r="AZ1135" s="286">
        <f t="shared" ca="1" si="638"/>
        <v>0</v>
      </c>
      <c r="BA1135" s="286">
        <f t="shared" ca="1" si="639"/>
        <v>0</v>
      </c>
      <c r="BB1135" s="286">
        <f t="shared" ca="1" si="640"/>
        <v>0</v>
      </c>
      <c r="BC1135" s="286">
        <f t="shared" ca="1" si="641"/>
        <v>0</v>
      </c>
      <c r="BD1135" s="180">
        <f t="shared" ca="1" si="642"/>
        <v>0.05</v>
      </c>
      <c r="BE1135" s="180">
        <f t="shared" ca="1" si="643"/>
        <v>0.05</v>
      </c>
      <c r="BF1135" s="286">
        <f t="shared" ca="1" si="644"/>
        <v>0</v>
      </c>
      <c r="BG1135" s="286">
        <f t="shared" ca="1" si="645"/>
        <v>0</v>
      </c>
    </row>
    <row r="1136" spans="1:59">
      <c r="A1136" s="1">
        <f t="shared" ca="1" si="625"/>
        <v>95</v>
      </c>
      <c r="B1136" s="1">
        <f t="shared" ca="1" si="654"/>
        <v>200</v>
      </c>
      <c r="C1136" s="1">
        <f t="shared" ca="1" si="655"/>
        <v>10</v>
      </c>
      <c r="D1136" s="1">
        <f ca="1">MIN($D$3,VLOOKUP(C1136,OP!$S$30:$T$41,2))</f>
        <v>2</v>
      </c>
      <c r="E1136" s="1" t="str">
        <f t="shared" ca="1" si="651"/>
        <v/>
      </c>
      <c r="F1136" s="11" t="str">
        <f t="shared" ca="1" si="626"/>
        <v/>
      </c>
      <c r="G1136" s="8">
        <f t="shared" ca="1" si="657"/>
        <v>366</v>
      </c>
      <c r="H1136" s="8">
        <f t="shared" ca="1" si="627"/>
        <v>31</v>
      </c>
      <c r="I1136" s="8" t="str">
        <f t="shared" ca="1" si="624"/>
        <v>9510</v>
      </c>
      <c r="J1136" s="13">
        <f>IF(繳費報酬率資料!$A$1=1,VALUE(OP!$C$121),VLOOKUP(A1136,MP,2,0))</f>
        <v>0.05</v>
      </c>
      <c r="K1136" s="14">
        <f ca="1">IF(SUM($K$4:K1135,IF(繳費報酬率資料!$A$1=1,$AU1136+$AV1136,$BB1136+$BC1136))&gt;OP!$L$58,0,IF(繳費報酬率資料!$A$1=1,$AU1136+$AV1136,$BB1136+$BC1136))</f>
        <v>0</v>
      </c>
      <c r="L1136" s="2"/>
      <c r="M1136" s="2"/>
      <c r="N1136" s="2"/>
      <c r="O1136" s="261">
        <f t="shared" ca="1" si="628"/>
        <v>0</v>
      </c>
      <c r="P1136" s="261">
        <f t="shared" ca="1" si="646"/>
        <v>0</v>
      </c>
      <c r="Q1136" s="3">
        <f ca="1">IF(A1136&gt;MAX(OP!$R$17:$R$26),0,VLOOKUP(A1136,fees,3,FALSE))</f>
        <v>0</v>
      </c>
      <c r="R1136" s="200" t="str">
        <f t="shared" ca="1" si="629"/>
        <v/>
      </c>
      <c r="S1136" s="9" t="str">
        <f ca="1">IF(COUNTIF(($T$4:T1135),"F")&gt;=1,"",IF(OR(C1137&lt;&gt;$C$3,E1136=""),"",A1136))</f>
        <v/>
      </c>
      <c r="T1136" s="20" t="str">
        <f t="shared" ca="1" si="652"/>
        <v/>
      </c>
      <c r="U1136" s="2">
        <f ca="1">IF(IF(OP!$C$83=1,$Z1135,IF(OP!$C$83=2,$AA1135,IF(OP!$C$83=3,$AB1135,)))+$K1136-$O1136-$P1136-$AS1136&lt;OP!$C$142,0,$AS1136)</f>
        <v>0</v>
      </c>
      <c r="V1136" s="9"/>
      <c r="W1136" s="19">
        <f ca="1">MAX(SUM($K$4:K1136),0)</f>
        <v>2000000</v>
      </c>
      <c r="X1136" s="19"/>
      <c r="Y1136" s="19">
        <f t="shared" ca="1" si="647"/>
        <v>1920000</v>
      </c>
      <c r="Z1136" s="2">
        <f ca="1">IF(MIN($Z$4:Z1135)=0,0,MAX(0,($Z1135+$K1136-$O1136-$P1136)*IF(AND(F1136="F",$D$3&lt;&gt;$G$3),((1+(-J1136))^(H1136/MIN(G1136,365))),((1+(-J1136))^(1/12)))-$U1136))</f>
        <v>15136.947154053121</v>
      </c>
      <c r="AA1136" s="2">
        <f ca="1">IF(MIN($AA$4:AA1135)=0,0,MAX(0,($AA1135+$K1136-$O1136-$P1136)*IF(AND(F1136="F",$D$3&lt;&gt;$G$3),((1+$AA$1)^(H1136/MIN(G1136,365))),((1+$AA$1)^(1/12)))-$U1136))</f>
        <v>1920000</v>
      </c>
      <c r="AB1136" s="2">
        <f ca="1">IF(MIN($AB$4:AB1135)=0,0,MAX(0,($AB1135+$K1136-$O1136-$P1136)*IF(AND(F1136="F",$D$3&lt;&gt;$G$3),((1+(J1136))^(H1136/MIN(G1136,365))),((1+(J1136))^(1/12)))-$U1136))</f>
        <v>192275617.99088499</v>
      </c>
      <c r="AC1136" s="5"/>
      <c r="AD1136" s="5"/>
      <c r="AE1136" s="5"/>
      <c r="AF1136" s="282">
        <f t="shared" ca="1" si="630"/>
        <v>15137</v>
      </c>
      <c r="AG1136" s="282">
        <f t="shared" ca="1" si="631"/>
        <v>1920000</v>
      </c>
      <c r="AH1136" s="282">
        <f t="shared" ca="1" si="632"/>
        <v>192275618</v>
      </c>
      <c r="AI1136" s="23" t="str">
        <f t="shared" ca="1" si="649"/>
        <v>95-6</v>
      </c>
      <c r="AJ1136" s="282">
        <f ca="1">IF(E1136&gt;111,,IF(AND(OP!$C$99=1,T1136="F"),Z1136,IF(AND(OP!$C$99=2,COUNTIF($T$4:T1136,"F")=1),OP!$C$97+IF(F1136="F",OP!$C$98,0),"")))</f>
        <v>0</v>
      </c>
      <c r="AK1136" s="282">
        <f ca="1">IF(E1136&gt;111,,IF(AND(OP!$D$99=1,T1136="F"),AA1136,IF(AND(OP!$D$99=2,COUNTIF($T$4:T1136,"F")=1),OP!$D$97+IF(F1136="F",OP!$D$98,0),"")))</f>
        <v>0</v>
      </c>
      <c r="AL1136" s="282">
        <f ca="1">IF(E1136&gt;111,,IF(AND(OP!$E$99=1,T1136="F"),AB1136,IF(AND(OP!$E$99=2,COUNTIF($T$4:T1136,"F")=1),OP!$E$97+IF(F1136="F",OP!$E$98,0),"")))</f>
        <v>0</v>
      </c>
      <c r="AM1136" s="1">
        <f t="shared" ca="1" si="653"/>
        <v>6</v>
      </c>
      <c r="AN1136" s="1" t="e">
        <f ca="1">IF(OR(VLOOKUP($A1136,MP,5,0)="月繳"),1,"")</f>
        <v>#N/A</v>
      </c>
      <c r="AO1136" s="1">
        <f t="shared" ca="1" si="633"/>
        <v>0</v>
      </c>
      <c r="AP1136" s="1" t="str">
        <f ca="1">IF(AND(A1136&lt;=OP!$C$120,COUNTIF(PAY,C1136)=1),1,"")</f>
        <v/>
      </c>
      <c r="AR1136" s="301">
        <f ca="1">IF(繳費報酬率資料!$A$1=1,$AY1136+$AZ1136,$BF1136+$BG1136)</f>
        <v>0</v>
      </c>
      <c r="AS1136" s="1">
        <f ca="1">IF(C1136&lt;&gt;IF($C$3=1,12,$C$3-1),0,IF(繳費報酬率資料!$A$1&lt;&gt;1,VLOOKUP($A1136,MP,8,0),IF(AND($A1136&gt;=OP!$C$79,$A1136&lt;=OP!$C$80),OP!$C$78,)))</f>
        <v>0</v>
      </c>
      <c r="AT1136" s="298">
        <f t="shared" ca="1" si="634"/>
        <v>0</v>
      </c>
      <c r="AU1136" s="298">
        <f ca="1">IF(AND(A1136&lt;=OP!$C$120,COUNTIF(PAY,C1136)=1),OP!$C$123,0)</f>
        <v>0</v>
      </c>
      <c r="AV1136" s="298">
        <f ca="1">IF(AND(A1136&gt;=OP!$C$132,A1136&lt;=OP!$C$133,$C$3=C1136),OP!$C$135,0)</f>
        <v>0</v>
      </c>
      <c r="AW1136" s="180">
        <f t="shared" ca="1" si="635"/>
        <v>0.05</v>
      </c>
      <c r="AX1136" s="180">
        <f t="shared" ca="1" si="636"/>
        <v>0.05</v>
      </c>
      <c r="AY1136" s="286">
        <f t="shared" ca="1" si="637"/>
        <v>0</v>
      </c>
      <c r="AZ1136" s="286">
        <f t="shared" ca="1" si="638"/>
        <v>0</v>
      </c>
      <c r="BA1136" s="286">
        <f t="shared" ca="1" si="639"/>
        <v>0</v>
      </c>
      <c r="BB1136" s="286">
        <f t="shared" ca="1" si="640"/>
        <v>0</v>
      </c>
      <c r="BC1136" s="286">
        <f t="shared" ca="1" si="641"/>
        <v>0</v>
      </c>
      <c r="BD1136" s="180">
        <f t="shared" ca="1" si="642"/>
        <v>0.05</v>
      </c>
      <c r="BE1136" s="180">
        <f t="shared" ca="1" si="643"/>
        <v>0.05</v>
      </c>
      <c r="BF1136" s="286">
        <f t="shared" ca="1" si="644"/>
        <v>0</v>
      </c>
      <c r="BG1136" s="286">
        <f t="shared" ca="1" si="645"/>
        <v>0</v>
      </c>
    </row>
    <row r="1137" spans="1:59">
      <c r="A1137" s="1">
        <f t="shared" ca="1" si="625"/>
        <v>95</v>
      </c>
      <c r="B1137" s="1">
        <f t="shared" ca="1" si="654"/>
        <v>200</v>
      </c>
      <c r="C1137" s="1">
        <f t="shared" ca="1" si="655"/>
        <v>11</v>
      </c>
      <c r="D1137" s="1">
        <f ca="1">MIN($D$3,VLOOKUP(C1137,OP!$S$30:$T$41,2))</f>
        <v>2</v>
      </c>
      <c r="E1137" s="1" t="str">
        <f t="shared" ca="1" si="651"/>
        <v/>
      </c>
      <c r="F1137" s="11" t="str">
        <f t="shared" ca="1" si="626"/>
        <v/>
      </c>
      <c r="G1137" s="8">
        <f t="shared" ca="1" si="657"/>
        <v>366</v>
      </c>
      <c r="H1137" s="8">
        <f t="shared" ca="1" si="627"/>
        <v>30</v>
      </c>
      <c r="I1137" s="8" t="str">
        <f t="shared" ca="1" si="624"/>
        <v>9511</v>
      </c>
      <c r="J1137" s="13">
        <f>IF(繳費報酬率資料!$A$1=1,VALUE(OP!$C$121),VLOOKUP(A1137,MP,2,0))</f>
        <v>0.05</v>
      </c>
      <c r="K1137" s="14">
        <f ca="1">IF(SUM($K$4:K1136,IF(繳費報酬率資料!$A$1=1,$AU1137+$AV1137,$BB1137+$BC1137))&gt;OP!$L$58,0,IF(繳費報酬率資料!$A$1=1,$AU1137+$AV1137,$BB1137+$BC1137))</f>
        <v>0</v>
      </c>
      <c r="L1137" s="2"/>
      <c r="M1137" s="2"/>
      <c r="N1137" s="2"/>
      <c r="O1137" s="261">
        <f t="shared" ca="1" si="628"/>
        <v>0</v>
      </c>
      <c r="P1137" s="261">
        <f t="shared" ca="1" si="646"/>
        <v>0</v>
      </c>
      <c r="Q1137" s="3">
        <f ca="1">IF(A1137&gt;MAX(OP!$R$17:$R$26),0,VLOOKUP(A1137,fees,3,FALSE))</f>
        <v>0</v>
      </c>
      <c r="R1137" s="200" t="str">
        <f t="shared" ca="1" si="629"/>
        <v/>
      </c>
      <c r="S1137" s="9" t="str">
        <f ca="1">IF(COUNTIF(($T$4:T1136),"F")&gt;=1,"",IF(OR(C1138&lt;&gt;$C$3,E1137=""),"",A1137))</f>
        <v/>
      </c>
      <c r="T1137" s="20" t="str">
        <f t="shared" ca="1" si="652"/>
        <v/>
      </c>
      <c r="U1137" s="2">
        <f ca="1">IF(IF(OP!$C$83=1,$Z1136,IF(OP!$C$83=2,$AA1136,IF(OP!$C$83=3,$AB1136,)))+$K1137-$O1137-$P1137-$AS1137&lt;OP!$C$142,0,$AS1137)</f>
        <v>0</v>
      </c>
      <c r="V1137" s="9"/>
      <c r="W1137" s="19">
        <f ca="1">MAX(SUM($K$4:K1137),0)</f>
        <v>2000000</v>
      </c>
      <c r="X1137" s="19"/>
      <c r="Y1137" s="19">
        <f t="shared" ca="1" si="647"/>
        <v>1920000</v>
      </c>
      <c r="Z1137" s="2">
        <f ca="1">IF(MIN($Z$4:Z1136)=0,0,MAX(0,($Z1136+$K1137-$O1137-$P1137)*IF(AND(F1137="F",$D$3&lt;&gt;$G$3),((1+(-J1137))^(H1137/MIN(G1137,365))),((1+(-J1137))^(1/12)))-$U1137))</f>
        <v>15072.383249121995</v>
      </c>
      <c r="AA1137" s="2">
        <f ca="1">IF(MIN($AA$4:AA1136)=0,0,MAX(0,($AA1136+$K1137-$O1137-$P1137)*IF(AND(F1137="F",$D$3&lt;&gt;$G$3),((1+$AA$1)^(H1137/MIN(G1137,365))),((1+$AA$1)^(1/12)))-$U1137))</f>
        <v>1920000</v>
      </c>
      <c r="AB1137" s="2">
        <f ca="1">IF(MIN($AB$4:AB1136)=0,0,MAX(0,($AB1136+$K1137-$O1137-$P1137)*IF(AND(F1137="F",$D$3&lt;&gt;$G$3),((1+(J1137))^(H1137/MIN(G1137,365))),((1+(J1137))^(1/12)))-$U1137))</f>
        <v>193058972.65915734</v>
      </c>
      <c r="AC1137" s="5"/>
      <c r="AD1137" s="5"/>
      <c r="AE1137" s="5"/>
      <c r="AF1137" s="282">
        <f t="shared" ca="1" si="630"/>
        <v>15072</v>
      </c>
      <c r="AG1137" s="282">
        <f t="shared" ca="1" si="631"/>
        <v>1920000</v>
      </c>
      <c r="AH1137" s="282">
        <f t="shared" ca="1" si="632"/>
        <v>193058973</v>
      </c>
      <c r="AI1137" s="23" t="str">
        <f t="shared" ca="1" si="649"/>
        <v>95-7</v>
      </c>
      <c r="AJ1137" s="282">
        <f ca="1">IF(E1137&gt;111,,IF(AND(OP!$C$99=1,T1137="F"),Z1137,IF(AND(OP!$C$99=2,COUNTIF($T$4:T1137,"F")=1),OP!$C$97+IF(F1137="F",OP!$C$98,0),"")))</f>
        <v>0</v>
      </c>
      <c r="AK1137" s="282">
        <f ca="1">IF(E1137&gt;111,,IF(AND(OP!$D$99=1,T1137="F"),AA1137,IF(AND(OP!$D$99=2,COUNTIF($T$4:T1137,"F")=1),OP!$D$97+IF(F1137="F",OP!$D$98,0),"")))</f>
        <v>0</v>
      </c>
      <c r="AL1137" s="282">
        <f ca="1">IF(E1137&gt;111,,IF(AND(OP!$E$99=1,T1137="F"),AB1137,IF(AND(OP!$E$99=2,COUNTIF($T$4:T1137,"F")=1),OP!$E$97+IF(F1137="F",OP!$E$98,0),"")))</f>
        <v>0</v>
      </c>
      <c r="AM1137" s="1">
        <f t="shared" ca="1" si="653"/>
        <v>7</v>
      </c>
      <c r="AN1137" s="1" t="e">
        <f ca="1">IF(OR(VLOOKUP($A1137,MP,5,0)="月繳"),1,"")</f>
        <v>#N/A</v>
      </c>
      <c r="AO1137" s="1">
        <f t="shared" ca="1" si="633"/>
        <v>0</v>
      </c>
      <c r="AP1137" s="1" t="str">
        <f ca="1">IF(AND(A1137&lt;=OP!$C$120,COUNTIF(PAY,C1137)=1),1,"")</f>
        <v/>
      </c>
      <c r="AR1137" s="301">
        <f ca="1">IF(繳費報酬率資料!$A$1=1,$AY1137+$AZ1137,$BF1137+$BG1137)</f>
        <v>0</v>
      </c>
      <c r="AS1137" s="1">
        <f ca="1">IF(C1137&lt;&gt;IF($C$3=1,12,$C$3-1),0,IF(繳費報酬率資料!$A$1&lt;&gt;1,VLOOKUP($A1137,MP,8,0),IF(AND($A1137&gt;=OP!$C$79,$A1137&lt;=OP!$C$80),OP!$C$78,)))</f>
        <v>0</v>
      </c>
      <c r="AT1137" s="298">
        <f t="shared" ca="1" si="634"/>
        <v>0</v>
      </c>
      <c r="AU1137" s="298">
        <f ca="1">IF(AND(A1137&lt;=OP!$C$120,COUNTIF(PAY,C1137)=1),OP!$C$123,0)</f>
        <v>0</v>
      </c>
      <c r="AV1137" s="298">
        <f ca="1">IF(AND(A1137&gt;=OP!$C$132,A1137&lt;=OP!$C$133,$C$3=C1137),OP!$C$135,0)</f>
        <v>0</v>
      </c>
      <c r="AW1137" s="180">
        <f t="shared" ca="1" si="635"/>
        <v>0.05</v>
      </c>
      <c r="AX1137" s="180">
        <f t="shared" ca="1" si="636"/>
        <v>0.05</v>
      </c>
      <c r="AY1137" s="286">
        <f t="shared" ca="1" si="637"/>
        <v>0</v>
      </c>
      <c r="AZ1137" s="286">
        <f t="shared" ca="1" si="638"/>
        <v>0</v>
      </c>
      <c r="BA1137" s="286">
        <f t="shared" ca="1" si="639"/>
        <v>0</v>
      </c>
      <c r="BB1137" s="286">
        <f t="shared" ca="1" si="640"/>
        <v>0</v>
      </c>
      <c r="BC1137" s="286">
        <f t="shared" ca="1" si="641"/>
        <v>0</v>
      </c>
      <c r="BD1137" s="180">
        <f t="shared" ca="1" si="642"/>
        <v>0.05</v>
      </c>
      <c r="BE1137" s="180">
        <f t="shared" ca="1" si="643"/>
        <v>0.05</v>
      </c>
      <c r="BF1137" s="286">
        <f t="shared" ca="1" si="644"/>
        <v>0</v>
      </c>
      <c r="BG1137" s="286">
        <f t="shared" ca="1" si="645"/>
        <v>0</v>
      </c>
    </row>
    <row r="1138" spans="1:59">
      <c r="A1138" s="1">
        <f t="shared" ca="1" si="625"/>
        <v>95</v>
      </c>
      <c r="B1138" s="1">
        <f t="shared" ca="1" si="654"/>
        <v>200</v>
      </c>
      <c r="C1138" s="1">
        <f t="shared" ca="1" si="655"/>
        <v>12</v>
      </c>
      <c r="D1138" s="1">
        <f ca="1">MIN($D$3,VLOOKUP(C1138,OP!$S$30:$T$41,2))</f>
        <v>2</v>
      </c>
      <c r="E1138" s="1" t="str">
        <f t="shared" ca="1" si="651"/>
        <v/>
      </c>
      <c r="F1138" s="11" t="str">
        <f t="shared" ca="1" si="626"/>
        <v/>
      </c>
      <c r="G1138" s="8">
        <f t="shared" ca="1" si="657"/>
        <v>366</v>
      </c>
      <c r="H1138" s="8">
        <f t="shared" ca="1" si="627"/>
        <v>31</v>
      </c>
      <c r="I1138" s="8" t="str">
        <f t="shared" ca="1" si="624"/>
        <v>9512</v>
      </c>
      <c r="J1138" s="13">
        <f>IF(繳費報酬率資料!$A$1=1,VALUE(OP!$C$121),VLOOKUP(A1138,MP,2,0))</f>
        <v>0.05</v>
      </c>
      <c r="K1138" s="14">
        <f ca="1">IF(SUM($K$4:K1137,IF(繳費報酬率資料!$A$1=1,$AU1138+$AV1138,$BB1138+$BC1138))&gt;OP!$L$58,0,IF(繳費報酬率資料!$A$1=1,$AU1138+$AV1138,$BB1138+$BC1138))</f>
        <v>0</v>
      </c>
      <c r="L1138" s="2"/>
      <c r="M1138" s="2"/>
      <c r="N1138" s="2"/>
      <c r="O1138" s="261">
        <f t="shared" ca="1" si="628"/>
        <v>0</v>
      </c>
      <c r="P1138" s="261">
        <f t="shared" ca="1" si="646"/>
        <v>0</v>
      </c>
      <c r="Q1138" s="3">
        <f ca="1">IF(A1138&gt;MAX(OP!$R$17:$R$26),0,VLOOKUP(A1138,fees,3,FALSE))</f>
        <v>0</v>
      </c>
      <c r="R1138" s="200" t="str">
        <f t="shared" ca="1" si="629"/>
        <v/>
      </c>
      <c r="S1138" s="9" t="str">
        <f ca="1">IF(COUNTIF(($T$4:T1137),"F")&gt;=1,"",IF(OR(C1139&lt;&gt;$C$3,E1138=""),"",A1138))</f>
        <v/>
      </c>
      <c r="T1138" s="20" t="str">
        <f t="shared" ca="1" si="652"/>
        <v/>
      </c>
      <c r="U1138" s="2">
        <f ca="1">IF(IF(OP!$C$83=1,$Z1137,IF(OP!$C$83=2,$AA1137,IF(OP!$C$83=3,$AB1137,)))+$K1138-$O1138-$P1138-$AS1138&lt;OP!$C$142,0,$AS1138)</f>
        <v>0</v>
      </c>
      <c r="V1138" s="9"/>
      <c r="W1138" s="19">
        <f ca="1">MAX(SUM($K$4:K1138),0)</f>
        <v>2000000</v>
      </c>
      <c r="X1138" s="19"/>
      <c r="Y1138" s="19">
        <f t="shared" ca="1" si="647"/>
        <v>1920000</v>
      </c>
      <c r="Z1138" s="2">
        <f ca="1">IF(MIN($Z$4:Z1137)=0,0,MAX(0,($Z1137+$K1138-$O1138-$P1138)*IF(AND(F1138="F",$D$3&lt;&gt;$G$3),((1+(-J1138))^(H1138/MIN(G1138,365))),((1+(-J1138))^(1/12)))-$U1138))</f>
        <v>15008.094729826924</v>
      </c>
      <c r="AA1138" s="2">
        <f ca="1">IF(MIN($AA$4:AA1137)=0,0,MAX(0,($AA1137+$K1138-$O1138-$P1138)*IF(AND(F1138="F",$D$3&lt;&gt;$G$3),((1+$AA$1)^(H1138/MIN(G1138,365))),((1+$AA$1)^(1/12)))-$U1138))</f>
        <v>1920000</v>
      </c>
      <c r="AB1138" s="2">
        <f ca="1">IF(MIN($AB$4:AB1137)=0,0,MAX(0,($AB1137+$K1138-$O1138-$P1138)*IF(AND(F1138="F",$D$3&lt;&gt;$G$3),((1+(J1138))^(H1138/MIN(G1138,365))),((1+(J1138))^(1/12)))-$U1138))</f>
        <v>193845518.81131473</v>
      </c>
      <c r="AC1138" s="5"/>
      <c r="AD1138" s="5"/>
      <c r="AE1138" s="5"/>
      <c r="AF1138" s="282">
        <f t="shared" ca="1" si="630"/>
        <v>15008</v>
      </c>
      <c r="AG1138" s="282">
        <f t="shared" ca="1" si="631"/>
        <v>1920000</v>
      </c>
      <c r="AH1138" s="282">
        <f t="shared" ca="1" si="632"/>
        <v>193845519</v>
      </c>
      <c r="AI1138" s="23" t="str">
        <f t="shared" ca="1" si="649"/>
        <v>95-8</v>
      </c>
      <c r="AJ1138" s="282">
        <f ca="1">IF(E1138&gt;111,,IF(AND(OP!$C$99=1,T1138="F"),Z1138,IF(AND(OP!$C$99=2,COUNTIF($T$4:T1138,"F")=1),OP!$C$97+IF(F1138="F",OP!$C$98,0),"")))</f>
        <v>0</v>
      </c>
      <c r="AK1138" s="282">
        <f ca="1">IF(E1138&gt;111,,IF(AND(OP!$D$99=1,T1138="F"),AA1138,IF(AND(OP!$D$99=2,COUNTIF($T$4:T1138,"F")=1),OP!$D$97+IF(F1138="F",OP!$D$98,0),"")))</f>
        <v>0</v>
      </c>
      <c r="AL1138" s="282">
        <f ca="1">IF(E1138&gt;111,,IF(AND(OP!$E$99=1,T1138="F"),AB1138,IF(AND(OP!$E$99=2,COUNTIF($T$4:T1138,"F")=1),OP!$E$97+IF(F1138="F",OP!$E$98,0),"")))</f>
        <v>0</v>
      </c>
      <c r="AM1138" s="1">
        <f t="shared" ca="1" si="653"/>
        <v>8</v>
      </c>
      <c r="AN1138" s="1" t="e">
        <f ca="1">IF(OR(VLOOKUP($A1138,MP,5,0)="半年繳",VLOOKUP($A1138,MP,5,0)="季繳",VLOOKUP($A1138,MP,5,0)="月繳"),1,"")</f>
        <v>#N/A</v>
      </c>
      <c r="AO1138" s="1">
        <f t="shared" ca="1" si="633"/>
        <v>0</v>
      </c>
      <c r="AP1138" s="1" t="str">
        <f ca="1">IF(AND(A1138&lt;=OP!$C$120,COUNTIF(PAY,C1138)=1),1,"")</f>
        <v/>
      </c>
      <c r="AR1138" s="301">
        <f ca="1">IF(繳費報酬率資料!$A$1=1,$AY1138+$AZ1138,$BF1138+$BG1138)</f>
        <v>0</v>
      </c>
      <c r="AS1138" s="1">
        <f ca="1">IF(C1138&lt;&gt;IF($C$3=1,12,$C$3-1),0,IF(繳費報酬率資料!$A$1&lt;&gt;1,VLOOKUP($A1138,MP,8,0),IF(AND($A1138&gt;=OP!$C$79,$A1138&lt;=OP!$C$80),OP!$C$78,)))</f>
        <v>0</v>
      </c>
      <c r="AT1138" s="298">
        <f t="shared" ca="1" si="634"/>
        <v>0</v>
      </c>
      <c r="AU1138" s="298">
        <f ca="1">IF(AND(A1138&lt;=OP!$C$120,COUNTIF(PAY,C1138)=1),OP!$C$123,0)</f>
        <v>0</v>
      </c>
      <c r="AV1138" s="298">
        <f ca="1">IF(AND(A1138&gt;=OP!$C$132,A1138&lt;=OP!$C$133,$C$3=C1138),OP!$C$135,0)</f>
        <v>0</v>
      </c>
      <c r="AW1138" s="180">
        <f t="shared" ca="1" si="635"/>
        <v>0.05</v>
      </c>
      <c r="AX1138" s="180">
        <f t="shared" ca="1" si="636"/>
        <v>0.05</v>
      </c>
      <c r="AY1138" s="286">
        <f t="shared" ca="1" si="637"/>
        <v>0</v>
      </c>
      <c r="AZ1138" s="286">
        <f t="shared" ca="1" si="638"/>
        <v>0</v>
      </c>
      <c r="BA1138" s="286">
        <f t="shared" ca="1" si="639"/>
        <v>0</v>
      </c>
      <c r="BB1138" s="286">
        <f t="shared" ca="1" si="640"/>
        <v>0</v>
      </c>
      <c r="BC1138" s="286">
        <f t="shared" ca="1" si="641"/>
        <v>0</v>
      </c>
      <c r="BD1138" s="180">
        <f t="shared" ca="1" si="642"/>
        <v>0.05</v>
      </c>
      <c r="BE1138" s="180">
        <f t="shared" ca="1" si="643"/>
        <v>0.05</v>
      </c>
      <c r="BF1138" s="286">
        <f t="shared" ca="1" si="644"/>
        <v>0</v>
      </c>
      <c r="BG1138" s="286">
        <f t="shared" ca="1" si="645"/>
        <v>0</v>
      </c>
    </row>
    <row r="1139" spans="1:59">
      <c r="A1139" s="1">
        <f t="shared" ca="1" si="625"/>
        <v>95</v>
      </c>
      <c r="B1139" s="1">
        <f t="shared" ca="1" si="654"/>
        <v>201</v>
      </c>
      <c r="C1139" s="1">
        <f t="shared" ca="1" si="655"/>
        <v>1</v>
      </c>
      <c r="D1139" s="1">
        <f ca="1">MIN($D$3,VLOOKUP(C1139,OP!$S$30:$T$41,2))</f>
        <v>2</v>
      </c>
      <c r="E1139" s="1" t="str">
        <f t="shared" ca="1" si="651"/>
        <v/>
      </c>
      <c r="F1139" s="11" t="str">
        <f t="shared" ca="1" si="626"/>
        <v/>
      </c>
      <c r="G1139" s="8">
        <f t="shared" ca="1" si="657"/>
        <v>366</v>
      </c>
      <c r="H1139" s="8">
        <f t="shared" ca="1" si="627"/>
        <v>31</v>
      </c>
      <c r="I1139" s="8" t="str">
        <f t="shared" ca="1" si="624"/>
        <v>951</v>
      </c>
      <c r="J1139" s="13">
        <f>IF(繳費報酬率資料!$A$1=1,VALUE(OP!$C$121),VLOOKUP(A1139,MP,2,0))</f>
        <v>0.05</v>
      </c>
      <c r="K1139" s="14">
        <f ca="1">IF(SUM($K$4:K1138,IF(繳費報酬率資料!$A$1=1,$AU1139+$AV1139,$BB1139+$BC1139))&gt;OP!$L$58,0,IF(繳費報酬率資料!$A$1=1,$AU1139+$AV1139,$BB1139+$BC1139))</f>
        <v>0</v>
      </c>
      <c r="L1139" s="2"/>
      <c r="M1139" s="2"/>
      <c r="N1139" s="2"/>
      <c r="O1139" s="261">
        <f t="shared" ca="1" si="628"/>
        <v>0</v>
      </c>
      <c r="P1139" s="261">
        <f t="shared" ca="1" si="646"/>
        <v>0</v>
      </c>
      <c r="Q1139" s="3">
        <f ca="1">IF(A1139&gt;MAX(OP!$R$17:$R$26),0,VLOOKUP(A1139,fees,3,FALSE))</f>
        <v>0</v>
      </c>
      <c r="R1139" s="200" t="str">
        <f t="shared" ca="1" si="629"/>
        <v/>
      </c>
      <c r="S1139" s="9" t="str">
        <f ca="1">IF(COUNTIF(($T$4:T1138),"F")&gt;=1,"",IF(OR(C1140&lt;&gt;$C$3,E1139=""),"",A1139))</f>
        <v/>
      </c>
      <c r="T1139" s="20" t="str">
        <f t="shared" ca="1" si="652"/>
        <v/>
      </c>
      <c r="U1139" s="2">
        <f ca="1">IF(IF(OP!$C$83=1,$Z1138,IF(OP!$C$83=2,$AA1138,IF(OP!$C$83=3,$AB1138,)))+$K1139-$O1139-$P1139-$AS1139&lt;OP!$C$142,0,$AS1139)</f>
        <v>0</v>
      </c>
      <c r="V1139" s="9"/>
      <c r="W1139" s="19">
        <f ca="1">MAX(SUM($K$4:K1139),0)</f>
        <v>2000000</v>
      </c>
      <c r="X1139" s="19"/>
      <c r="Y1139" s="19">
        <f t="shared" ca="1" si="647"/>
        <v>1920000</v>
      </c>
      <c r="Z1139" s="2">
        <f ca="1">IF(MIN($Z$4:Z1138)=0,0,MAX(0,($Z1138+$K1139-$O1139-$P1139)*IF(AND(F1139="F",$D$3&lt;&gt;$G$3),((1+(-J1139))^(H1139/MIN(G1139,365))),((1+(-J1139))^(1/12)))-$U1139))</f>
        <v>14944.080421560384</v>
      </c>
      <c r="AA1139" s="2">
        <f ca="1">IF(MIN($AA$4:AA1138)=0,0,MAX(0,($AA1138+$K1139-$O1139-$P1139)*IF(AND(F1139="F",$D$3&lt;&gt;$G$3),((1+$AA$1)^(H1139/MIN(G1139,365))),((1+$AA$1)^(1/12)))-$U1139))</f>
        <v>1920000</v>
      </c>
      <c r="AB1139" s="2">
        <f ca="1">IF(MIN($AB$4:AB1138)=0,0,MAX(0,($AB1138+$K1139-$O1139-$P1139)*IF(AND(F1139="F",$D$3&lt;&gt;$G$3),((1+(J1139))^(H1139/MIN(G1139,365))),((1+(J1139))^(1/12)))-$U1139))</f>
        <v>194635269.44985756</v>
      </c>
      <c r="AC1139" s="5"/>
      <c r="AD1139" s="5"/>
      <c r="AE1139" s="5"/>
      <c r="AF1139" s="282">
        <f t="shared" ca="1" si="630"/>
        <v>14944</v>
      </c>
      <c r="AG1139" s="282">
        <f t="shared" ca="1" si="631"/>
        <v>1920000</v>
      </c>
      <c r="AH1139" s="282">
        <f t="shared" ca="1" si="632"/>
        <v>194635269</v>
      </c>
      <c r="AI1139" s="23" t="str">
        <f t="shared" ca="1" si="649"/>
        <v>95-9</v>
      </c>
      <c r="AJ1139" s="282">
        <f ca="1">IF(E1139&gt;111,,IF(AND(OP!$C$99=1,T1139="F"),Z1139,IF(AND(OP!$C$99=2,COUNTIF($T$4:T1139,"F")=1),OP!$C$97+IF(F1139="F",OP!$C$98,0),"")))</f>
        <v>0</v>
      </c>
      <c r="AK1139" s="282">
        <f ca="1">IF(E1139&gt;111,,IF(AND(OP!$D$99=1,T1139="F"),AA1139,IF(AND(OP!$D$99=2,COUNTIF($T$4:T1139,"F")=1),OP!$D$97+IF(F1139="F",OP!$D$98,0),"")))</f>
        <v>0</v>
      </c>
      <c r="AL1139" s="282">
        <f ca="1">IF(E1139&gt;111,,IF(AND(OP!$E$99=1,T1139="F"),AB1139,IF(AND(OP!$E$99=2,COUNTIF($T$4:T1139,"F")=1),OP!$E$97+IF(F1139="F",OP!$E$98,0),"")))</f>
        <v>0</v>
      </c>
      <c r="AM1139" s="1">
        <f t="shared" ca="1" si="653"/>
        <v>9</v>
      </c>
      <c r="AN1139" s="1" t="e">
        <f ca="1">IF(OR(VLOOKUP($A1139,MP,5,0)="月繳"),1,"")</f>
        <v>#N/A</v>
      </c>
      <c r="AO1139" s="1">
        <f t="shared" ca="1" si="633"/>
        <v>0</v>
      </c>
      <c r="AP1139" s="1" t="str">
        <f ca="1">IF(AND(A1139&lt;=OP!$C$120,COUNTIF(PAY,C1139)=1),1,"")</f>
        <v/>
      </c>
      <c r="AR1139" s="301">
        <f ca="1">IF(繳費報酬率資料!$A$1=1,$AY1139+$AZ1139,$BF1139+$BG1139)</f>
        <v>0</v>
      </c>
      <c r="AS1139" s="1">
        <f ca="1">IF(C1139&lt;&gt;IF($C$3=1,12,$C$3-1),0,IF(繳費報酬率資料!$A$1&lt;&gt;1,VLOOKUP($A1139,MP,8,0),IF(AND($A1139&gt;=OP!$C$79,$A1139&lt;=OP!$C$80),OP!$C$78,)))</f>
        <v>0</v>
      </c>
      <c r="AT1139" s="298">
        <f t="shared" ca="1" si="634"/>
        <v>0</v>
      </c>
      <c r="AU1139" s="298">
        <f ca="1">IF(AND(A1139&lt;=OP!$C$120,COUNTIF(PAY,C1139)=1),OP!$C$123,0)</f>
        <v>0</v>
      </c>
      <c r="AV1139" s="298">
        <f ca="1">IF(AND(A1139&gt;=OP!$C$132,A1139&lt;=OP!$C$133,$C$3=C1139),OP!$C$135,0)</f>
        <v>0</v>
      </c>
      <c r="AW1139" s="180">
        <f t="shared" ca="1" si="635"/>
        <v>0.05</v>
      </c>
      <c r="AX1139" s="180">
        <f t="shared" ca="1" si="636"/>
        <v>0.05</v>
      </c>
      <c r="AY1139" s="286">
        <f t="shared" ca="1" si="637"/>
        <v>0</v>
      </c>
      <c r="AZ1139" s="286">
        <f t="shared" ca="1" si="638"/>
        <v>0</v>
      </c>
      <c r="BA1139" s="286">
        <f t="shared" ca="1" si="639"/>
        <v>0</v>
      </c>
      <c r="BB1139" s="286">
        <f t="shared" ca="1" si="640"/>
        <v>0</v>
      </c>
      <c r="BC1139" s="286">
        <f t="shared" ca="1" si="641"/>
        <v>0</v>
      </c>
      <c r="BD1139" s="180">
        <f t="shared" ca="1" si="642"/>
        <v>0.05</v>
      </c>
      <c r="BE1139" s="180">
        <f t="shared" ca="1" si="643"/>
        <v>0.05</v>
      </c>
      <c r="BF1139" s="286">
        <f t="shared" ca="1" si="644"/>
        <v>0</v>
      </c>
      <c r="BG1139" s="286">
        <f t="shared" ca="1" si="645"/>
        <v>0</v>
      </c>
    </row>
    <row r="1140" spans="1:59">
      <c r="A1140" s="1">
        <f t="shared" ca="1" si="625"/>
        <v>95</v>
      </c>
      <c r="B1140" s="1">
        <f t="shared" ca="1" si="654"/>
        <v>201</v>
      </c>
      <c r="C1140" s="1">
        <f t="shared" ca="1" si="655"/>
        <v>2</v>
      </c>
      <c r="D1140" s="1">
        <f ca="1">MIN($D$3,VLOOKUP(C1140,OP!$S$30:$T$41,2))</f>
        <v>2</v>
      </c>
      <c r="E1140" s="1" t="str">
        <f t="shared" ca="1" si="651"/>
        <v/>
      </c>
      <c r="F1140" s="11" t="str">
        <f t="shared" ca="1" si="626"/>
        <v/>
      </c>
      <c r="G1140" s="8">
        <f t="shared" ca="1" si="657"/>
        <v>366</v>
      </c>
      <c r="H1140" s="8">
        <f t="shared" ca="1" si="627"/>
        <v>29</v>
      </c>
      <c r="I1140" s="8" t="str">
        <f t="shared" ca="1" si="624"/>
        <v>952</v>
      </c>
      <c r="J1140" s="13">
        <f>IF(繳費報酬率資料!$A$1=1,VALUE(OP!$C$121),VLOOKUP(A1140,MP,2,0))</f>
        <v>0.05</v>
      </c>
      <c r="K1140" s="14">
        <f ca="1">IF(SUM($K$4:K1139,IF(繳費報酬率資料!$A$1=1,$AU1140+$AV1140,$BB1140+$BC1140))&gt;OP!$L$58,0,IF(繳費報酬率資料!$A$1=1,$AU1140+$AV1140,$BB1140+$BC1140))</f>
        <v>0</v>
      </c>
      <c r="L1140" s="2"/>
      <c r="M1140" s="2"/>
      <c r="N1140" s="2"/>
      <c r="O1140" s="261">
        <f t="shared" ca="1" si="628"/>
        <v>0</v>
      </c>
      <c r="P1140" s="261">
        <f t="shared" ca="1" si="646"/>
        <v>0</v>
      </c>
      <c r="Q1140" s="3">
        <f ca="1">IF(A1140&gt;MAX(OP!$R$17:$R$26),0,VLOOKUP(A1140,fees,3,FALSE))</f>
        <v>0</v>
      </c>
      <c r="R1140" s="200" t="str">
        <f t="shared" ca="1" si="629"/>
        <v/>
      </c>
      <c r="S1140" s="9" t="str">
        <f ca="1">IF(COUNTIF(($T$4:T1139),"F")&gt;=1,"",IF(OR(C1141&lt;&gt;$C$3,E1140=""),"",A1140))</f>
        <v/>
      </c>
      <c r="T1140" s="20" t="str">
        <f t="shared" ca="1" si="652"/>
        <v/>
      </c>
      <c r="U1140" s="2">
        <f ca="1">IF(IF(OP!$C$83=1,$Z1139,IF(OP!$C$83=2,$AA1139,IF(OP!$C$83=3,$AB1139,)))+$K1140-$O1140-$P1140-$AS1140&lt;OP!$C$142,0,$AS1140)</f>
        <v>0</v>
      </c>
      <c r="V1140" s="9"/>
      <c r="W1140" s="19">
        <f ca="1">MAX(SUM($K$4:K1140),0)</f>
        <v>2000000</v>
      </c>
      <c r="X1140" s="19"/>
      <c r="Y1140" s="19">
        <f t="shared" ca="1" si="647"/>
        <v>1920000</v>
      </c>
      <c r="Z1140" s="2">
        <f ca="1">IF(MIN($Z$4:Z1139)=0,0,MAX(0,($Z1139+$K1140-$O1140-$P1140)*IF(AND(F1140="F",$D$3&lt;&gt;$G$3),((1+(-J1140))^(H1140/MIN(G1140,365))),((1+(-J1140))^(1/12)))-$U1140))</f>
        <v>14880.339154724927</v>
      </c>
      <c r="AA1140" s="2">
        <f ca="1">IF(MIN($AA$4:AA1139)=0,0,MAX(0,($AA1139+$K1140-$O1140-$P1140)*IF(AND(F1140="F",$D$3&lt;&gt;$G$3),((1+$AA$1)^(H1140/MIN(G1140,365))),((1+$AA$1)^(1/12)))-$U1140))</f>
        <v>1920000</v>
      </c>
      <c r="AB1140" s="2">
        <f ca="1">IF(MIN($AB$4:AB1139)=0,0,MAX(0,($AB1139+$K1140-$O1140-$P1140)*IF(AND(F1140="F",$D$3&lt;&gt;$G$3),((1+(J1140))^(H1140/MIN(G1140,365))),((1+(J1140))^(1/12)))-$U1140))</f>
        <v>195428237.63026002</v>
      </c>
      <c r="AC1140" s="5"/>
      <c r="AD1140" s="5"/>
      <c r="AE1140" s="5"/>
      <c r="AF1140" s="282">
        <f t="shared" ca="1" si="630"/>
        <v>14880</v>
      </c>
      <c r="AG1140" s="282">
        <f t="shared" ca="1" si="631"/>
        <v>1920000</v>
      </c>
      <c r="AH1140" s="282">
        <f t="shared" ca="1" si="632"/>
        <v>195428238</v>
      </c>
      <c r="AI1140" s="23" t="str">
        <f t="shared" ca="1" si="649"/>
        <v>95-10</v>
      </c>
      <c r="AJ1140" s="282">
        <f ca="1">IF(E1140&gt;111,,IF(AND(OP!$C$99=1,T1140="F"),Z1140,IF(AND(OP!$C$99=2,COUNTIF($T$4:T1140,"F")=1),OP!$C$97+IF(F1140="F",OP!$C$98,0),"")))</f>
        <v>0</v>
      </c>
      <c r="AK1140" s="282">
        <f ca="1">IF(E1140&gt;111,,IF(AND(OP!$D$99=1,T1140="F"),AA1140,IF(AND(OP!$D$99=2,COUNTIF($T$4:T1140,"F")=1),OP!$D$97+IF(F1140="F",OP!$D$98,0),"")))</f>
        <v>0</v>
      </c>
      <c r="AL1140" s="282">
        <f ca="1">IF(E1140&gt;111,,IF(AND(OP!$E$99=1,T1140="F"),AB1140,IF(AND(OP!$E$99=2,COUNTIF($T$4:T1140,"F")=1),OP!$E$97+IF(F1140="F",OP!$E$98,0),"")))</f>
        <v>0</v>
      </c>
      <c r="AM1140" s="1">
        <f t="shared" ca="1" si="653"/>
        <v>10</v>
      </c>
      <c r="AN1140" s="1" t="e">
        <f ca="1">IF(OR(VLOOKUP($A1140,MP,5,0)="月繳"),1,"")</f>
        <v>#N/A</v>
      </c>
      <c r="AO1140" s="1">
        <f t="shared" ca="1" si="633"/>
        <v>0</v>
      </c>
      <c r="AP1140" s="1" t="str">
        <f ca="1">IF(AND(A1140&lt;=OP!$C$120,COUNTIF(PAY,C1140)=1),1,"")</f>
        <v/>
      </c>
      <c r="AR1140" s="301">
        <f ca="1">IF(繳費報酬率資料!$A$1=1,$AY1140+$AZ1140,$BF1140+$BG1140)</f>
        <v>0</v>
      </c>
      <c r="AS1140" s="1">
        <f ca="1">IF(C1140&lt;&gt;IF($C$3=1,12,$C$3-1),0,IF(繳費報酬率資料!$A$1&lt;&gt;1,VLOOKUP($A1140,MP,8,0),IF(AND($A1140&gt;=OP!$C$79,$A1140&lt;=OP!$C$80),OP!$C$78,)))</f>
        <v>0</v>
      </c>
      <c r="AT1140" s="298">
        <f t="shared" ca="1" si="634"/>
        <v>0</v>
      </c>
      <c r="AU1140" s="298">
        <f ca="1">IF(AND(A1140&lt;=OP!$C$120,COUNTIF(PAY,C1140)=1),OP!$C$123,0)</f>
        <v>0</v>
      </c>
      <c r="AV1140" s="298">
        <f ca="1">IF(AND(A1140&gt;=OP!$C$132,A1140&lt;=OP!$C$133,$C$3=C1140),OP!$C$135,0)</f>
        <v>0</v>
      </c>
      <c r="AW1140" s="180">
        <f t="shared" ca="1" si="635"/>
        <v>0.05</v>
      </c>
      <c r="AX1140" s="180">
        <f t="shared" ca="1" si="636"/>
        <v>0.05</v>
      </c>
      <c r="AY1140" s="286">
        <f t="shared" ca="1" si="637"/>
        <v>0</v>
      </c>
      <c r="AZ1140" s="286">
        <f t="shared" ca="1" si="638"/>
        <v>0</v>
      </c>
      <c r="BA1140" s="286">
        <f t="shared" ca="1" si="639"/>
        <v>0</v>
      </c>
      <c r="BB1140" s="286">
        <f t="shared" ca="1" si="640"/>
        <v>0</v>
      </c>
      <c r="BC1140" s="286">
        <f t="shared" ca="1" si="641"/>
        <v>0</v>
      </c>
      <c r="BD1140" s="180">
        <f t="shared" ca="1" si="642"/>
        <v>0.05</v>
      </c>
      <c r="BE1140" s="180">
        <f t="shared" ca="1" si="643"/>
        <v>0.05</v>
      </c>
      <c r="BF1140" s="286">
        <f t="shared" ca="1" si="644"/>
        <v>0</v>
      </c>
      <c r="BG1140" s="286">
        <f t="shared" ca="1" si="645"/>
        <v>0</v>
      </c>
    </row>
    <row r="1141" spans="1:59">
      <c r="A1141" s="1">
        <f t="shared" ca="1" si="625"/>
        <v>95</v>
      </c>
      <c r="B1141" s="1">
        <f t="shared" ca="1" si="654"/>
        <v>201</v>
      </c>
      <c r="C1141" s="1">
        <f t="shared" ca="1" si="655"/>
        <v>3</v>
      </c>
      <c r="D1141" s="1">
        <f ca="1">MIN($D$3,VLOOKUP(C1141,OP!$S$30:$T$41,2))</f>
        <v>2</v>
      </c>
      <c r="E1141" s="1" t="str">
        <f t="shared" ca="1" si="651"/>
        <v/>
      </c>
      <c r="F1141" s="11" t="str">
        <f t="shared" ca="1" si="626"/>
        <v/>
      </c>
      <c r="G1141" s="8">
        <f t="shared" ca="1" si="657"/>
        <v>366</v>
      </c>
      <c r="H1141" s="8">
        <f t="shared" ca="1" si="627"/>
        <v>31</v>
      </c>
      <c r="I1141" s="8" t="str">
        <f t="shared" ca="1" si="624"/>
        <v>953</v>
      </c>
      <c r="J1141" s="13">
        <f>IF(繳費報酬率資料!$A$1=1,VALUE(OP!$C$121),VLOOKUP(A1141,MP,2,0))</f>
        <v>0.05</v>
      </c>
      <c r="K1141" s="14">
        <f ca="1">IF(SUM($K$4:K1140,IF(繳費報酬率資料!$A$1=1,$AU1141+$AV1141,$BB1141+$BC1141))&gt;OP!$L$58,0,IF(繳費報酬率資料!$A$1=1,$AU1141+$AV1141,$BB1141+$BC1141))</f>
        <v>0</v>
      </c>
      <c r="L1141" s="2"/>
      <c r="M1141" s="2"/>
      <c r="N1141" s="2"/>
      <c r="O1141" s="261">
        <f t="shared" ca="1" si="628"/>
        <v>0</v>
      </c>
      <c r="P1141" s="261">
        <f t="shared" ca="1" si="646"/>
        <v>0</v>
      </c>
      <c r="Q1141" s="3">
        <f ca="1">IF(A1141&gt;MAX(OP!$R$17:$R$26),0,VLOOKUP(A1141,fees,3,FALSE))</f>
        <v>0</v>
      </c>
      <c r="R1141" s="200" t="str">
        <f t="shared" ca="1" si="629"/>
        <v/>
      </c>
      <c r="S1141" s="9" t="str">
        <f ca="1">IF(COUNTIF(($T$4:T1140),"F")&gt;=1,"",IF(OR(C1142&lt;&gt;$C$3,E1141=""),"",A1141))</f>
        <v/>
      </c>
      <c r="T1141" s="20" t="str">
        <f t="shared" ca="1" si="652"/>
        <v/>
      </c>
      <c r="U1141" s="2">
        <f ca="1">IF(IF(OP!$C$83=1,$Z1140,IF(OP!$C$83=2,$AA1140,IF(OP!$C$83=3,$AB1140,)))+$K1141-$O1141-$P1141-$AS1141&lt;OP!$C$142,0,$AS1141)</f>
        <v>0</v>
      </c>
      <c r="V1141" s="9"/>
      <c r="W1141" s="19">
        <f ca="1">MAX(SUM($K$4:K1141),0)</f>
        <v>2000000</v>
      </c>
      <c r="X1141" s="19"/>
      <c r="Y1141" s="19">
        <f t="shared" ca="1" si="647"/>
        <v>1920000</v>
      </c>
      <c r="Z1141" s="2">
        <f ca="1">IF(MIN($Z$4:Z1140)=0,0,MAX(0,($Z1140+$K1141-$O1141-$P1141)*IF(AND(F1141="F",$D$3&lt;&gt;$G$3),((1+(-J1141))^(H1141/MIN(G1141,365))),((1+(-J1141))^(1/12)))-$U1141))</f>
        <v>14816.869764711808</v>
      </c>
      <c r="AA1141" s="2">
        <f ca="1">IF(MIN($AA$4:AA1140)=0,0,MAX(0,($AA1140+$K1141-$O1141-$P1141)*IF(AND(F1141="F",$D$3&lt;&gt;$G$3),((1+$AA$1)^(H1141/MIN(G1141,365))),((1+$AA$1)^(1/12)))-$U1141))</f>
        <v>1920000</v>
      </c>
      <c r="AB1141" s="2">
        <f ca="1">IF(MIN($AB$4:AB1140)=0,0,MAX(0,($AB1140+$K1141-$O1141-$P1141)*IF(AND(F1141="F",$D$3&lt;&gt;$G$3),((1+(J1141))^(H1141/MIN(G1141,365))),((1+(J1141))^(1/12)))-$U1141))</f>
        <v>196224436.46118593</v>
      </c>
      <c r="AC1141" s="5"/>
      <c r="AD1141" s="5"/>
      <c r="AE1141" s="5"/>
      <c r="AF1141" s="282">
        <f t="shared" ca="1" si="630"/>
        <v>14817</v>
      </c>
      <c r="AG1141" s="282">
        <f t="shared" ca="1" si="631"/>
        <v>1920000</v>
      </c>
      <c r="AH1141" s="282">
        <f t="shared" ca="1" si="632"/>
        <v>196224436</v>
      </c>
      <c r="AI1141" s="23" t="str">
        <f t="shared" ca="1" si="649"/>
        <v>95-11</v>
      </c>
      <c r="AJ1141" s="282">
        <f ca="1">IF(E1141&gt;111,,IF(AND(OP!$C$99=1,T1141="F"),Z1141,IF(AND(OP!$C$99=2,COUNTIF($T$4:T1141,"F")=1),OP!$C$97+IF(F1141="F",OP!$C$98,0),"")))</f>
        <v>0</v>
      </c>
      <c r="AK1141" s="282">
        <f ca="1">IF(E1141&gt;111,,IF(AND(OP!$D$99=1,T1141="F"),AA1141,IF(AND(OP!$D$99=2,COUNTIF($T$4:T1141,"F")=1),OP!$D$97+IF(F1141="F",OP!$D$98,0),"")))</f>
        <v>0</v>
      </c>
      <c r="AL1141" s="282">
        <f ca="1">IF(E1141&gt;111,,IF(AND(OP!$E$99=1,T1141="F"),AB1141,IF(AND(OP!$E$99=2,COUNTIF($T$4:T1141,"F")=1),OP!$E$97+IF(F1141="F",OP!$E$98,0),"")))</f>
        <v>0</v>
      </c>
      <c r="AM1141" s="1">
        <f t="shared" ca="1" si="653"/>
        <v>11</v>
      </c>
      <c r="AN1141" s="1" t="e">
        <f ca="1">IF(OR(VLOOKUP($A1141,MP,5,0)="季繳",VLOOKUP($A1141,MP,5,0)="月繳"),1,"")</f>
        <v>#N/A</v>
      </c>
      <c r="AO1141" s="1">
        <f t="shared" ca="1" si="633"/>
        <v>0</v>
      </c>
      <c r="AP1141" s="1" t="str">
        <f ca="1">IF(AND(A1141&lt;=OP!$C$120,COUNTIF(PAY,C1141)=1),1,"")</f>
        <v/>
      </c>
      <c r="AR1141" s="301">
        <f ca="1">IF(繳費報酬率資料!$A$1=1,$AY1141+$AZ1141,$BF1141+$BG1141)</f>
        <v>0</v>
      </c>
      <c r="AS1141" s="1">
        <f ca="1">IF(C1141&lt;&gt;IF($C$3=1,12,$C$3-1),0,IF(繳費報酬率資料!$A$1&lt;&gt;1,VLOOKUP($A1141,MP,8,0),IF(AND($A1141&gt;=OP!$C$79,$A1141&lt;=OP!$C$80),OP!$C$78,)))</f>
        <v>0</v>
      </c>
      <c r="AT1141" s="298">
        <f t="shared" ca="1" si="634"/>
        <v>0</v>
      </c>
      <c r="AU1141" s="298">
        <f ca="1">IF(AND(A1141&lt;=OP!$C$120,COUNTIF(PAY,C1141)=1),OP!$C$123,0)</f>
        <v>0</v>
      </c>
      <c r="AV1141" s="298">
        <f ca="1">IF(AND(A1141&gt;=OP!$C$132,A1141&lt;=OP!$C$133,$C$3=C1141),OP!$C$135,0)</f>
        <v>0</v>
      </c>
      <c r="AW1141" s="180">
        <f t="shared" ca="1" si="635"/>
        <v>0.05</v>
      </c>
      <c r="AX1141" s="180">
        <f t="shared" ca="1" si="636"/>
        <v>0.05</v>
      </c>
      <c r="AY1141" s="286">
        <f t="shared" ca="1" si="637"/>
        <v>0</v>
      </c>
      <c r="AZ1141" s="286">
        <f t="shared" ca="1" si="638"/>
        <v>0</v>
      </c>
      <c r="BA1141" s="286">
        <f t="shared" ca="1" si="639"/>
        <v>0</v>
      </c>
      <c r="BB1141" s="286">
        <f t="shared" ca="1" si="640"/>
        <v>0</v>
      </c>
      <c r="BC1141" s="286">
        <f t="shared" ca="1" si="641"/>
        <v>0</v>
      </c>
      <c r="BD1141" s="180">
        <f t="shared" ca="1" si="642"/>
        <v>0.05</v>
      </c>
      <c r="BE1141" s="180">
        <f t="shared" ca="1" si="643"/>
        <v>0.05</v>
      </c>
      <c r="BF1141" s="286">
        <f t="shared" ca="1" si="644"/>
        <v>0</v>
      </c>
      <c r="BG1141" s="286">
        <f t="shared" ca="1" si="645"/>
        <v>0</v>
      </c>
    </row>
    <row r="1142" spans="1:59">
      <c r="A1142" s="1">
        <f t="shared" ca="1" si="625"/>
        <v>95</v>
      </c>
      <c r="B1142" s="1">
        <f t="shared" ca="1" si="654"/>
        <v>201</v>
      </c>
      <c r="C1142" s="1">
        <f t="shared" ca="1" si="655"/>
        <v>4</v>
      </c>
      <c r="D1142" s="1">
        <f ca="1">MIN($D$3,VLOOKUP(C1142,OP!$S$30:$T$41,2))</f>
        <v>2</v>
      </c>
      <c r="E1142" s="1" t="str">
        <f t="shared" ca="1" si="651"/>
        <v/>
      </c>
      <c r="F1142" s="11" t="str">
        <f t="shared" ca="1" si="626"/>
        <v/>
      </c>
      <c r="G1142" s="8">
        <f t="shared" ca="1" si="657"/>
        <v>366</v>
      </c>
      <c r="H1142" s="8">
        <f t="shared" ca="1" si="627"/>
        <v>30</v>
      </c>
      <c r="I1142" s="8" t="str">
        <f t="shared" ca="1" si="624"/>
        <v>954</v>
      </c>
      <c r="J1142" s="13">
        <f>IF(繳費報酬率資料!$A$1=1,VALUE(OP!$C$121),VLOOKUP(A1142,MP,2,0))</f>
        <v>0.05</v>
      </c>
      <c r="K1142" s="14">
        <f ca="1">IF(SUM($K$4:K1141,IF(繳費報酬率資料!$A$1=1,$AU1142+$AV1142,$BB1142+$BC1142))&gt;OP!$L$58,0,IF(繳費報酬率資料!$A$1=1,$AU1142+$AV1142,$BB1142+$BC1142))</f>
        <v>0</v>
      </c>
      <c r="L1142" s="2"/>
      <c r="M1142" s="2"/>
      <c r="N1142" s="2"/>
      <c r="O1142" s="261">
        <f t="shared" ca="1" si="628"/>
        <v>0</v>
      </c>
      <c r="P1142" s="261">
        <f t="shared" ca="1" si="646"/>
        <v>0</v>
      </c>
      <c r="Q1142" s="3">
        <f ca="1">IF(A1142&gt;MAX(OP!$R$17:$R$26),0,VLOOKUP(A1142,fees,3,FALSE))</f>
        <v>0</v>
      </c>
      <c r="R1142" s="200" t="str">
        <f t="shared" ca="1" si="629"/>
        <v/>
      </c>
      <c r="S1142" s="9" t="str">
        <f ca="1">IF(COUNTIF(($T$4:T1141),"F")&gt;=1,"",IF(OR(C1143&lt;&gt;$C$3,E1142=""),"",A1142))</f>
        <v/>
      </c>
      <c r="T1142" s="20" t="str">
        <f t="shared" ca="1" si="652"/>
        <v/>
      </c>
      <c r="U1142" s="2">
        <f ca="1">IF(IF(OP!$C$83=1,$Z1141,IF(OP!$C$83=2,$AA1141,IF(OP!$C$83=3,$AB1141,)))+$K1142-$O1142-$P1142-$AS1142&lt;OP!$C$142,0,$AS1142)</f>
        <v>0</v>
      </c>
      <c r="V1142" s="9"/>
      <c r="W1142" s="19">
        <f ca="1">MAX(SUM($K$4:K1142),0)</f>
        <v>2000000</v>
      </c>
      <c r="X1142" s="19"/>
      <c r="Y1142" s="19">
        <f t="shared" ca="1" si="647"/>
        <v>1920000</v>
      </c>
      <c r="Z1142" s="2">
        <f ca="1">IF(MIN($Z$4:Z1141)=0,0,MAX(0,($Z1141+$K1142-$O1142-$P1142)*IF(AND(F1142="F",$D$3&lt;&gt;$G$3),((1+(-J1142))^(H1142/MIN(G1142,365))),((1+(-J1142))^(1/12)))-$U1142))</f>
        <v>14753.671091879713</v>
      </c>
      <c r="AA1142" s="2">
        <f ca="1">IF(MIN($AA$4:AA1141)=0,0,MAX(0,($AA1141+$K1142-$O1142-$P1142)*IF(AND(F1142="F",$D$3&lt;&gt;$G$3),((1+$AA$1)^(H1142/MIN(G1142,365))),((1+$AA$1)^(1/12)))-$U1142))</f>
        <v>1920000</v>
      </c>
      <c r="AB1142" s="2">
        <f ca="1">IF(MIN($AB$4:AB1141)=0,0,MAX(0,($AB1141+$K1142-$O1142-$P1142)*IF(AND(F1142="F",$D$3&lt;&gt;$G$3),((1+(J1142))^(H1142/MIN(G1142,365))),((1+(J1142))^(1/12)))-$U1142))</f>
        <v>197023879.10470545</v>
      </c>
      <c r="AC1142" s="5"/>
      <c r="AD1142" s="5"/>
      <c r="AE1142" s="5"/>
      <c r="AF1142" s="282">
        <f t="shared" ca="1" si="630"/>
        <v>14754</v>
      </c>
      <c r="AG1142" s="282">
        <f t="shared" ca="1" si="631"/>
        <v>1920000</v>
      </c>
      <c r="AH1142" s="282">
        <f t="shared" ca="1" si="632"/>
        <v>197023879</v>
      </c>
      <c r="AI1142" s="23" t="str">
        <f t="shared" ca="1" si="649"/>
        <v>95-12</v>
      </c>
      <c r="AJ1142" s="282">
        <f ca="1">IF(E1142&gt;111,,IF(AND(OP!$C$99=1,T1142="F"),Z1142,IF(AND(OP!$C$99=2,COUNTIF($T$4:T1142,"F")=1),OP!$C$97+IF(F1142="F",OP!$C$98,0),"")))</f>
        <v>0</v>
      </c>
      <c r="AK1142" s="282">
        <f ca="1">IF(E1142&gt;111,,IF(AND(OP!$D$99=1,T1142="F"),AA1142,IF(AND(OP!$D$99=2,COUNTIF($T$4:T1142,"F")=1),OP!$D$97+IF(F1142="F",OP!$D$98,0),"")))</f>
        <v>0</v>
      </c>
      <c r="AL1142" s="282">
        <f ca="1">IF(E1142&gt;111,,IF(AND(OP!$E$99=1,T1142="F"),AB1142,IF(AND(OP!$E$99=2,COUNTIF($T$4:T1142,"F")=1),OP!$E$97+IF(F1142="F",OP!$E$98,0),"")))</f>
        <v>0</v>
      </c>
      <c r="AM1142" s="1">
        <f t="shared" ca="1" si="653"/>
        <v>12</v>
      </c>
      <c r="AN1142" s="1" t="e">
        <f ca="1">IF(OR(VLOOKUP($A1142,MP,5,0)="月繳"),1,"")</f>
        <v>#N/A</v>
      </c>
      <c r="AO1142" s="1">
        <f t="shared" ca="1" si="633"/>
        <v>0</v>
      </c>
      <c r="AP1142" s="1" t="str">
        <f ca="1">IF(AND(A1142&lt;=OP!$C$120,COUNTIF(PAY,C1142)=1),1,"")</f>
        <v/>
      </c>
      <c r="AR1142" s="301">
        <f ca="1">IF(繳費報酬率資料!$A$1=1,$AY1142+$AZ1142,$BF1142+$BG1142)</f>
        <v>0</v>
      </c>
      <c r="AS1142" s="1">
        <f ca="1">IF(C1142&lt;&gt;IF($C$3=1,12,$C$3-1),0,IF(繳費報酬率資料!$A$1&lt;&gt;1,VLOOKUP($A1142,MP,8,0),IF(AND($A1142&gt;=OP!$C$79,$A1142&lt;=OP!$C$80),OP!$C$78,)))</f>
        <v>0</v>
      </c>
      <c r="AT1142" s="298">
        <f t="shared" ca="1" si="634"/>
        <v>0</v>
      </c>
      <c r="AU1142" s="298">
        <f ca="1">IF(AND(A1142&lt;=OP!$C$120,COUNTIF(PAY,C1142)=1),OP!$C$123,0)</f>
        <v>0</v>
      </c>
      <c r="AV1142" s="298">
        <f ca="1">IF(AND(A1142&gt;=OP!$C$132,A1142&lt;=OP!$C$133,$C$3=C1142),OP!$C$135,0)</f>
        <v>0</v>
      </c>
      <c r="AW1142" s="180">
        <f t="shared" ca="1" si="635"/>
        <v>0.05</v>
      </c>
      <c r="AX1142" s="180">
        <f t="shared" ca="1" si="636"/>
        <v>0.05</v>
      </c>
      <c r="AY1142" s="286">
        <f t="shared" ca="1" si="637"/>
        <v>0</v>
      </c>
      <c r="AZ1142" s="286">
        <f t="shared" ca="1" si="638"/>
        <v>0</v>
      </c>
      <c r="BA1142" s="286">
        <f t="shared" ca="1" si="639"/>
        <v>0</v>
      </c>
      <c r="BB1142" s="286">
        <f t="shared" ca="1" si="640"/>
        <v>0</v>
      </c>
      <c r="BC1142" s="286">
        <f t="shared" ca="1" si="641"/>
        <v>0</v>
      </c>
      <c r="BD1142" s="180">
        <f t="shared" ca="1" si="642"/>
        <v>0.05</v>
      </c>
      <c r="BE1142" s="180">
        <f t="shared" ca="1" si="643"/>
        <v>0.05</v>
      </c>
      <c r="BF1142" s="286">
        <f t="shared" ca="1" si="644"/>
        <v>0</v>
      </c>
      <c r="BG1142" s="286">
        <f t="shared" ca="1" si="645"/>
        <v>0</v>
      </c>
    </row>
    <row r="1143" spans="1:59">
      <c r="A1143" s="1">
        <f t="shared" ca="1" si="625"/>
        <v>95</v>
      </c>
      <c r="B1143" s="1">
        <f t="shared" ca="1" si="654"/>
        <v>201</v>
      </c>
      <c r="C1143" s="1">
        <f t="shared" ca="1" si="655"/>
        <v>5</v>
      </c>
      <c r="D1143" s="1">
        <f ca="1">MIN($D$3,VLOOKUP(C1143,OP!$S$30:$T$41,2))</f>
        <v>2</v>
      </c>
      <c r="E1143" s="1" t="str">
        <f t="shared" ca="1" si="651"/>
        <v/>
      </c>
      <c r="F1143" s="11" t="str">
        <f t="shared" ca="1" si="626"/>
        <v/>
      </c>
      <c r="G1143" s="8">
        <f t="shared" ca="1" si="657"/>
        <v>366</v>
      </c>
      <c r="H1143" s="8">
        <f t="shared" ca="1" si="627"/>
        <v>31</v>
      </c>
      <c r="I1143" s="8" t="str">
        <f t="shared" ca="1" si="624"/>
        <v>955</v>
      </c>
      <c r="J1143" s="13">
        <f>IF(繳費報酬率資料!$A$1=1,VALUE(OP!$C$121),VLOOKUP(A1143,MP,2,0))</f>
        <v>0.05</v>
      </c>
      <c r="K1143" s="14">
        <f ca="1">IF(SUM($K$4:K1142,IF(繳費報酬率資料!$A$1=1,$AU1143+$AV1143,$BB1143+$BC1143))&gt;OP!$L$58,0,IF(繳費報酬率資料!$A$1=1,$AU1143+$AV1143,$BB1143+$BC1143))</f>
        <v>0</v>
      </c>
      <c r="L1143" s="2">
        <f ca="1">ROUND(IF(OP!$C$78&lt;(IF(OR($T1143="F",$E1143&gt;=111),0,Z1142+$K1143-$O1143+IF($C$1=1,OP!$C$78,IF($C1144=$C$3,SUM(AC1132:AC1143,0)))))*5%,0,(OP!$C$78-((IF(OR($T1143="F",$E1143&gt;=111),0,Z1142+$K1143-$O1143+IF($C$1=1,AC1143,IF($C1144=$C$3,SUM(AC1132:AC1143,0)))))*5%))*$Q1143),0)</f>
        <v>0</v>
      </c>
      <c r="M1143" s="2">
        <f ca="1">ROUND(IF(OP!$C$78&lt;(IF(OR($T1143="F",$E1143&gt;=111),0,AA1142+$K1143-$O1143+IF($C$1=1,AD1143,IF($C1144=$C$3,SUM(AD1132:AD1143,0)))))*5%,0,(OP!$C$78-((IF(OR($T1143="F",$E1143&gt;=111),0,AA1142+$K1143-$O1143+IF($C$1=1,AD1143,IF($C1144=$C$3,SUM(AD1132:AD1143,0)))))*5%))*$Q1143),0)</f>
        <v>0</v>
      </c>
      <c r="N1143" s="2">
        <f ca="1">ROUND(IF(OP!$C$78&lt;(IF(OR($T1143="F",$E1143&gt;=111),0,AB1142+$K1143-$O1143+IF($C$1=1,AE1143,IF($C1144=$C$3,SUM(AE1132:AE1143,0)))))*5%,0,(OP!$C$78-((IF(OR($T1143="F",$E1143&gt;=111),0,AB1142+$K1143-$O1143+IF($C$1=1,AE1143,IF($C1144=$C$3,SUM(AE1132:AE1143,0)))))*5%))*$Q1143),0)</f>
        <v>0</v>
      </c>
      <c r="O1143" s="261">
        <f t="shared" ca="1" si="628"/>
        <v>0</v>
      </c>
      <c r="P1143" s="261">
        <f t="shared" ca="1" si="646"/>
        <v>0</v>
      </c>
      <c r="Q1143" s="3">
        <f ca="1">IF(A1143&gt;MAX(OP!$R$17:$R$26),0,VLOOKUP(A1143,fees,3,FALSE))</f>
        <v>0</v>
      </c>
      <c r="R1143" s="200" t="str">
        <f t="shared" ca="1" si="629"/>
        <v/>
      </c>
      <c r="S1143" s="9" t="str">
        <f ca="1">IF(COUNTIF(($T$4:T1142),"F")&gt;=1,"",IF(OR(C1144&lt;&gt;$C$3,E1143=""),"",A1143))</f>
        <v/>
      </c>
      <c r="T1143" s="20" t="str">
        <f t="shared" ca="1" si="652"/>
        <v/>
      </c>
      <c r="U1143" s="2">
        <f ca="1">IF(IF(OP!$C$83=1,$Z1142,IF(OP!$C$83=2,$AA1142,IF(OP!$C$83=3,$AB1142,)))+$K1143-$O1143-$P1143-$AS1143&lt;OP!$C$142,0,$AS1143)</f>
        <v>0</v>
      </c>
      <c r="V1143" s="19">
        <f ca="1">SUM(K1132:K1143)</f>
        <v>0</v>
      </c>
      <c r="W1143" s="19">
        <f ca="1">MAX(SUM($K$4:K1143),0)</f>
        <v>2000000</v>
      </c>
      <c r="X1143" s="19">
        <f ca="1">SUM(O1132:P1143)</f>
        <v>0</v>
      </c>
      <c r="Y1143" s="19">
        <f t="shared" ca="1" si="647"/>
        <v>1920000</v>
      </c>
      <c r="Z1143" s="2">
        <f ca="1">IF(MIN($Z$4:Z1142)=0,0,MAX(0,($Z1142+$K1143-$O1143-$P1143)*IF(AND(F1143="F",$D$3&lt;&gt;$G$3),((1+(-J1143))^(H1143/MIN(G1143,365))),((1+(-J1143))^(1/12)))-$U1143))</f>
        <v>14690.741981533565</v>
      </c>
      <c r="AA1143" s="2">
        <f ca="1">IF(MIN($AA$4:AA1142)=0,0,MAX(0,($AA1142+$K1143-$O1143-$P1143)*IF(AND(F1143="F",$D$3&lt;&gt;$G$3),((1+$AA$1)^(H1143/MIN(G1143,365))),((1+$AA$1)^(1/12)))-$U1143))</f>
        <v>1920000</v>
      </c>
      <c r="AB1143" s="2">
        <f ca="1">IF(MIN($AB$4:AB1142)=0,0,MAX(0,($AB1142+$K1143-$O1143-$P1143)*IF(AND(F1143="F",$D$3&lt;&gt;$G$3),((1+(J1143))^(H1143/MIN(G1143,365))),((1+(J1143))^(1/12)))-$U1143))</f>
        <v>197826578.77651259</v>
      </c>
      <c r="AC1143" s="5"/>
      <c r="AD1143" s="5"/>
      <c r="AE1143" s="5"/>
      <c r="AF1143" s="282">
        <f t="shared" ca="1" si="630"/>
        <v>14691</v>
      </c>
      <c r="AG1143" s="282">
        <f t="shared" ca="1" si="631"/>
        <v>1920000</v>
      </c>
      <c r="AH1143" s="282">
        <f t="shared" ca="1" si="632"/>
        <v>197826579</v>
      </c>
      <c r="AI1143" s="23" t="str">
        <f t="shared" ca="1" si="649"/>
        <v>96-1</v>
      </c>
      <c r="AJ1143" s="282">
        <f ca="1">IF(E1143&gt;111,,IF(AND(OP!$C$99=1,T1143="F"),Z1143,IF(AND(OP!$C$99=2,COUNTIF($T$4:T1143,"F")=1),OP!$C$97+IF(F1143="F",OP!$C$98,0),"")))</f>
        <v>0</v>
      </c>
      <c r="AK1143" s="282">
        <f ca="1">IF(E1143&gt;111,,IF(AND(OP!$D$99=1,T1143="F"),AA1143,IF(AND(OP!$D$99=2,COUNTIF($T$4:T1143,"F")=1),OP!$D$97+IF(F1143="F",OP!$D$98,0),"")))</f>
        <v>0</v>
      </c>
      <c r="AL1143" s="282">
        <f ca="1">IF(E1143&gt;111,,IF(AND(OP!$E$99=1,T1143="F"),AB1143,IF(AND(OP!$E$99=2,COUNTIF($T$4:T1143,"F")=1),OP!$E$97+IF(F1143="F",OP!$E$98,0),"")))</f>
        <v>0</v>
      </c>
      <c r="AM1143" s="1">
        <f t="shared" ca="1" si="653"/>
        <v>1</v>
      </c>
      <c r="AN1143" s="1" t="e">
        <f ca="1">IF(OR(VLOOKUP($A1143,MP,5,0)="月繳"),1,"")</f>
        <v>#N/A</v>
      </c>
      <c r="AO1143" s="1">
        <f t="shared" ca="1" si="633"/>
        <v>0</v>
      </c>
      <c r="AP1143" s="1" t="str">
        <f ca="1">IF(AND(A1143&lt;=OP!$C$120,COUNTIF(PAY,C1143)=1),1,"")</f>
        <v/>
      </c>
      <c r="AR1143" s="301">
        <f ca="1">IF(繳費報酬率資料!$A$1=1,$AY1143+$AZ1143,$BF1143+$BG1143)</f>
        <v>0</v>
      </c>
      <c r="AS1143" s="1">
        <f ca="1">IF(C1143&lt;&gt;IF($C$3=1,12,$C$3-1),0,IF(繳費報酬率資料!$A$1&lt;&gt;1,VLOOKUP($A1143,MP,8,0),IF(AND($A1143&gt;=OP!$C$79,$A1143&lt;=OP!$C$80),OP!$C$78,)))</f>
        <v>0</v>
      </c>
      <c r="AT1143" s="298">
        <f t="shared" ca="1" si="634"/>
        <v>0</v>
      </c>
      <c r="AU1143" s="298">
        <f ca="1">IF(AND(A1143&lt;=OP!$C$120,COUNTIF(PAY,C1143)=1),OP!$C$123,0)</f>
        <v>0</v>
      </c>
      <c r="AV1143" s="298">
        <f ca="1">IF(AND(A1143&gt;=OP!$C$132,A1143&lt;=OP!$C$133,$C$3=C1143),OP!$C$135,0)</f>
        <v>0</v>
      </c>
      <c r="AW1143" s="180">
        <f t="shared" ca="1" si="635"/>
        <v>0.05</v>
      </c>
      <c r="AX1143" s="180">
        <f t="shared" ca="1" si="636"/>
        <v>0.05</v>
      </c>
      <c r="AY1143" s="286">
        <f t="shared" ca="1" si="637"/>
        <v>0</v>
      </c>
      <c r="AZ1143" s="286">
        <f t="shared" ca="1" si="638"/>
        <v>0</v>
      </c>
      <c r="BA1143" s="286">
        <f t="shared" ca="1" si="639"/>
        <v>0</v>
      </c>
      <c r="BB1143" s="286">
        <f t="shared" ca="1" si="640"/>
        <v>0</v>
      </c>
      <c r="BC1143" s="286">
        <f t="shared" ca="1" si="641"/>
        <v>0</v>
      </c>
      <c r="BD1143" s="180">
        <f t="shared" ca="1" si="642"/>
        <v>0.05</v>
      </c>
      <c r="BE1143" s="180">
        <f t="shared" ca="1" si="643"/>
        <v>0.05</v>
      </c>
      <c r="BF1143" s="286">
        <f t="shared" ca="1" si="644"/>
        <v>0</v>
      </c>
      <c r="BG1143" s="286">
        <f t="shared" ca="1" si="645"/>
        <v>0</v>
      </c>
    </row>
    <row r="1144" spans="1:59">
      <c r="A1144" s="1">
        <f t="shared" ca="1" si="625"/>
        <v>96</v>
      </c>
      <c r="B1144" s="1">
        <f t="shared" ca="1" si="654"/>
        <v>201</v>
      </c>
      <c r="C1144" s="1">
        <f t="shared" ca="1" si="655"/>
        <v>6</v>
      </c>
      <c r="D1144" s="1">
        <f ca="1">MIN($D$3,VLOOKUP(C1144,OP!$S$30:$T$41,2))</f>
        <v>2</v>
      </c>
      <c r="E1144" s="1" t="str">
        <f t="shared" ca="1" si="651"/>
        <v/>
      </c>
      <c r="F1144" s="11" t="str">
        <f t="shared" ca="1" si="626"/>
        <v/>
      </c>
      <c r="G1144" s="6">
        <f ca="1">DATEDIF(DATE(B1144+1911,C1144,D1144),DATE(B1156+1911,C1156,D1156),"d")</f>
        <v>365</v>
      </c>
      <c r="H1144" s="8">
        <f t="shared" ca="1" si="627"/>
        <v>30</v>
      </c>
      <c r="I1144" s="8" t="str">
        <f t="shared" ca="1" si="624"/>
        <v>966</v>
      </c>
      <c r="J1144" s="13">
        <f>IF(繳費報酬率資料!$A$1=1,VALUE(OP!$C$121),VLOOKUP(A1144,MP,2,0))</f>
        <v>0.05</v>
      </c>
      <c r="K1144" s="14">
        <f ca="1">IF(SUM($K$4:K1143,IF(繳費報酬率資料!$A$1=1,$AU1144+$AV1144,$BB1144+$BC1144))&gt;OP!$L$58,0,IF(繳費報酬率資料!$A$1=1,$AU1144+$AV1144,$BB1144+$BC1144))</f>
        <v>0</v>
      </c>
      <c r="L1144" s="2"/>
      <c r="M1144" s="2"/>
      <c r="N1144" s="2"/>
      <c r="O1144" s="261">
        <f t="shared" ca="1" si="628"/>
        <v>0</v>
      </c>
      <c r="P1144" s="261">
        <f t="shared" ca="1" si="646"/>
        <v>0</v>
      </c>
      <c r="Q1144" s="3">
        <f ca="1">IF(A1144&gt;MAX(OP!$R$17:$R$26),0,VLOOKUP(A1144,fees,3,FALSE))</f>
        <v>0</v>
      </c>
      <c r="R1144" s="200" t="str">
        <f t="shared" ca="1" si="629"/>
        <v/>
      </c>
      <c r="S1144" s="9" t="str">
        <f ca="1">IF(COUNTIF(($T$4:T1143),"F")&gt;=1,"",IF(OR(C1145&lt;&gt;$C$3,E1144=""),"",A1144))</f>
        <v/>
      </c>
      <c r="T1144" s="20" t="str">
        <f t="shared" ca="1" si="652"/>
        <v/>
      </c>
      <c r="U1144" s="2">
        <f ca="1">IF(IF(OP!$C$83=1,$Z1143,IF(OP!$C$83=2,$AA1143,IF(OP!$C$83=3,$AB1143,)))+$K1144-$O1144-$P1144-$AS1144&lt;OP!$C$142,0,$AS1144)</f>
        <v>0</v>
      </c>
      <c r="V1144" s="9"/>
      <c r="W1144" s="19">
        <f ca="1">MAX(SUM($K$4:K1144),0)</f>
        <v>2000000</v>
      </c>
      <c r="X1144" s="19"/>
      <c r="Y1144" s="19">
        <f t="shared" ca="1" si="647"/>
        <v>1920000</v>
      </c>
      <c r="Z1144" s="2">
        <f ca="1">IF(MIN($Z$4:Z1143)=0,0,MAX(0,($Z1143+$K1144-$O1144-$P1144)*IF(AND(F1144="F",$D$3&lt;&gt;$G$3),((1+(-J1144))^(H1144/MIN(G1144,365))),((1+(-J1144))^(1/12)))-$U1144))</f>
        <v>14628.081283903432</v>
      </c>
      <c r="AA1144" s="2">
        <f ca="1">IF(MIN($AA$4:AA1143)=0,0,MAX(0,($AA1143+$K1144-$O1144-$P1144)*IF(AND(F1144="F",$D$3&lt;&gt;$G$3),((1+$AA$1)^(H1144/MIN(G1144,365))),((1+$AA$1)^(1/12)))-$U1144))</f>
        <v>1920000</v>
      </c>
      <c r="AB1144" s="2">
        <f ca="1">IF(MIN($AB$4:AB1143)=0,0,MAX(0,($AB1143+$K1144-$O1144-$P1144)*IF(AND(F1144="F",$D$3&lt;&gt;$G$3),((1+(J1144))^(H1144/MIN(G1144,365))),((1+(J1144))^(1/12)))-$U1144))</f>
        <v>198632548.74614376</v>
      </c>
      <c r="AC1144" s="21"/>
      <c r="AD1144" s="21"/>
      <c r="AE1144" s="21"/>
      <c r="AF1144" s="282">
        <f t="shared" ca="1" si="630"/>
        <v>14628</v>
      </c>
      <c r="AG1144" s="282">
        <f t="shared" ca="1" si="631"/>
        <v>1920000</v>
      </c>
      <c r="AH1144" s="282">
        <f t="shared" ca="1" si="632"/>
        <v>198632549</v>
      </c>
      <c r="AI1144" s="23" t="str">
        <f t="shared" ca="1" si="649"/>
        <v>96-2</v>
      </c>
      <c r="AJ1144" s="281">
        <f ca="1">IF(E1144&gt;111,,IF(AND(OP!$C$99=1,T1144="F"),Z1144,IF(AND(OP!$C$99=2,COUNTIF($T$4:T1144,"F")=1),OP!$C$97+IF(F1144="F",OP!$C$98,0),"")))</f>
        <v>0</v>
      </c>
      <c r="AK1144" s="281">
        <f ca="1">IF(E1144&gt;111,,IF(AND(OP!$D$99=1,T1144="F"),AA1144,IF(AND(OP!$D$99=2,COUNTIF($T$4:T1144,"F")=1),OP!$D$97+IF(F1144="F",OP!$D$98,0),"")))</f>
        <v>0</v>
      </c>
      <c r="AL1144" s="281">
        <f ca="1">IF(E1144&gt;111,,IF(AND(OP!$E$99=1,T1144="F"),AB1144,IF(AND(OP!$E$99=2,COUNTIF($T$4:T1144,"F")=1),OP!$E$97+IF(F1144="F",OP!$E$98,0),"")))</f>
        <v>0</v>
      </c>
      <c r="AM1144" s="1">
        <f t="shared" ca="1" si="653"/>
        <v>2</v>
      </c>
      <c r="AN1144" s="1" t="e">
        <f ca="1">IF(OR(VLOOKUP($A1144,MP,5,0)="年繳",VLOOKUP($A1144,MP,5,0)="半年繳",VLOOKUP($A1144,MP,5,0)="季繳",VLOOKUP($A1144,MP,5,0)="月繳"),1,"")</f>
        <v>#N/A</v>
      </c>
      <c r="AO1144" s="1">
        <f t="shared" ca="1" si="633"/>
        <v>0</v>
      </c>
      <c r="AP1144" s="1" t="str">
        <f ca="1">IF(AND(A1144&lt;=OP!$C$120,COUNTIF(PAY,C1144)=1),1,"")</f>
        <v/>
      </c>
      <c r="AR1144" s="301">
        <f ca="1">IF(繳費報酬率資料!$A$1=1,$AY1144+$AZ1144,$BF1144+$BG1144)</f>
        <v>0</v>
      </c>
      <c r="AS1144" s="1">
        <f ca="1">IF(C1144&lt;&gt;IF($C$3=1,12,$C$3-1),0,IF(繳費報酬率資料!$A$1&lt;&gt;1,VLOOKUP($A1144,MP,8,0),IF(AND($A1144&gt;=OP!$C$79,$A1144&lt;=OP!$C$80),OP!$C$78,)))</f>
        <v>0</v>
      </c>
      <c r="AT1144" s="298">
        <f t="shared" ca="1" si="634"/>
        <v>0</v>
      </c>
      <c r="AU1144" s="298">
        <f ca="1">IF(AND(A1144&lt;=OP!$C$120,COUNTIF(PAY,C1144)=1),OP!$C$123,0)</f>
        <v>0</v>
      </c>
      <c r="AV1144" s="298">
        <f ca="1">IF(AND(A1144&gt;=OP!$C$132,A1144&lt;=OP!$C$133,$C$3=C1144),OP!$C$135,0)</f>
        <v>0</v>
      </c>
      <c r="AW1144" s="180">
        <f t="shared" ca="1" si="635"/>
        <v>0.05</v>
      </c>
      <c r="AX1144" s="180">
        <f t="shared" ca="1" si="636"/>
        <v>0.05</v>
      </c>
      <c r="AY1144" s="286">
        <f t="shared" ca="1" si="637"/>
        <v>0</v>
      </c>
      <c r="AZ1144" s="286">
        <f t="shared" ca="1" si="638"/>
        <v>0</v>
      </c>
      <c r="BA1144" s="286">
        <f t="shared" ca="1" si="639"/>
        <v>0</v>
      </c>
      <c r="BB1144" s="286">
        <f t="shared" ca="1" si="640"/>
        <v>0</v>
      </c>
      <c r="BC1144" s="286">
        <f t="shared" ca="1" si="641"/>
        <v>0</v>
      </c>
      <c r="BD1144" s="180">
        <f t="shared" ca="1" si="642"/>
        <v>0.05</v>
      </c>
      <c r="BE1144" s="180">
        <f t="shared" ca="1" si="643"/>
        <v>0.05</v>
      </c>
      <c r="BF1144" s="286">
        <f t="shared" ca="1" si="644"/>
        <v>0</v>
      </c>
      <c r="BG1144" s="286">
        <f t="shared" ca="1" si="645"/>
        <v>0</v>
      </c>
    </row>
    <row r="1145" spans="1:59">
      <c r="A1145" s="1">
        <f t="shared" ca="1" si="625"/>
        <v>96</v>
      </c>
      <c r="B1145" s="1">
        <f t="shared" ca="1" si="654"/>
        <v>201</v>
      </c>
      <c r="C1145" s="1">
        <f t="shared" ca="1" si="655"/>
        <v>7</v>
      </c>
      <c r="D1145" s="1">
        <f ca="1">MIN($D$3,VLOOKUP(C1145,OP!$S$30:$T$41,2))</f>
        <v>2</v>
      </c>
      <c r="E1145" s="1" t="str">
        <f t="shared" ca="1" si="651"/>
        <v/>
      </c>
      <c r="F1145" s="11" t="str">
        <f t="shared" ca="1" si="626"/>
        <v/>
      </c>
      <c r="G1145" s="8">
        <f t="shared" ref="G1145:G1155" ca="1" si="658">G1144</f>
        <v>365</v>
      </c>
      <c r="H1145" s="8">
        <f t="shared" ca="1" si="627"/>
        <v>31</v>
      </c>
      <c r="I1145" s="8" t="str">
        <f t="shared" ca="1" si="624"/>
        <v>967</v>
      </c>
      <c r="J1145" s="13">
        <f>IF(繳費報酬率資料!$A$1=1,VALUE(OP!$C$121),VLOOKUP(A1145,MP,2,0))</f>
        <v>0.05</v>
      </c>
      <c r="K1145" s="14">
        <f ca="1">IF(SUM($K$4:K1144,IF(繳費報酬率資料!$A$1=1,$AU1145+$AV1145,$BB1145+$BC1145))&gt;OP!$L$58,0,IF(繳費報酬率資料!$A$1=1,$AU1145+$AV1145,$BB1145+$BC1145))</f>
        <v>0</v>
      </c>
      <c r="L1145" s="2"/>
      <c r="M1145" s="2"/>
      <c r="N1145" s="2"/>
      <c r="O1145" s="261">
        <f t="shared" ca="1" si="628"/>
        <v>0</v>
      </c>
      <c r="P1145" s="261">
        <f t="shared" ca="1" si="646"/>
        <v>0</v>
      </c>
      <c r="Q1145" s="3">
        <f ca="1">IF(A1145&gt;MAX(OP!$R$17:$R$26),0,VLOOKUP(A1145,fees,3,FALSE))</f>
        <v>0</v>
      </c>
      <c r="R1145" s="200" t="str">
        <f t="shared" ca="1" si="629"/>
        <v/>
      </c>
      <c r="S1145" s="9" t="str">
        <f ca="1">IF(COUNTIF(($T$4:T1144),"F")&gt;=1,"",IF(OR(C1146&lt;&gt;$C$3,E1145=""),"",A1145))</f>
        <v/>
      </c>
      <c r="T1145" s="20" t="str">
        <f t="shared" ca="1" si="652"/>
        <v/>
      </c>
      <c r="U1145" s="2">
        <f ca="1">IF(IF(OP!$C$83=1,$Z1144,IF(OP!$C$83=2,$AA1144,IF(OP!$C$83=3,$AB1144,)))+$K1145-$O1145-$P1145-$AS1145&lt;OP!$C$142,0,$AS1145)</f>
        <v>0</v>
      </c>
      <c r="V1145" s="9"/>
      <c r="W1145" s="19">
        <f ca="1">MAX(SUM($K$4:K1145),0)</f>
        <v>2000000</v>
      </c>
      <c r="X1145" s="19"/>
      <c r="Y1145" s="19">
        <f t="shared" ca="1" si="647"/>
        <v>1920000</v>
      </c>
      <c r="Z1145" s="2">
        <f ca="1">IF(MIN($Z$4:Z1144)=0,0,MAX(0,($Z1144+$K1145-$O1145-$P1145)*IF(AND(F1145="F",$D$3&lt;&gt;$G$3),((1+(-J1145))^(H1145/MIN(G1145,365))),((1+(-J1145))^(1/12)))-$U1145))</f>
        <v>14565.687854123515</v>
      </c>
      <c r="AA1145" s="2">
        <f ca="1">IF(MIN($AA$4:AA1144)=0,0,MAX(0,($AA1144+$K1145-$O1145-$P1145)*IF(AND(F1145="F",$D$3&lt;&gt;$G$3),((1+$AA$1)^(H1145/MIN(G1145,365))),((1+$AA$1)^(1/12)))-$U1145))</f>
        <v>1920000</v>
      </c>
      <c r="AB1145" s="2">
        <f ca="1">IF(MIN($AB$4:AB1144)=0,0,MAX(0,($AB1144+$K1145-$O1145-$P1145)*IF(AND(F1145="F",$D$3&lt;&gt;$G$3),((1+(J1145))^(H1145/MIN(G1145,365))),((1+(J1145))^(1/12)))-$U1145))</f>
        <v>199441802.33719712</v>
      </c>
      <c r="AC1145" s="5"/>
      <c r="AD1145" s="5"/>
      <c r="AE1145" s="5"/>
      <c r="AF1145" s="282">
        <f t="shared" ca="1" si="630"/>
        <v>14566</v>
      </c>
      <c r="AG1145" s="282">
        <f t="shared" ca="1" si="631"/>
        <v>1920000</v>
      </c>
      <c r="AH1145" s="282">
        <f t="shared" ca="1" si="632"/>
        <v>199441802</v>
      </c>
      <c r="AI1145" s="23" t="str">
        <f t="shared" ca="1" si="649"/>
        <v>96-3</v>
      </c>
      <c r="AJ1145" s="282">
        <f ca="1">IF(E1145&gt;111,,IF(AND(OP!$C$99=1,T1145="F"),Z1145,IF(AND(OP!$C$99=2,COUNTIF($T$4:T1145,"F")=1),OP!$C$97+IF(F1145="F",OP!$C$98,0),"")))</f>
        <v>0</v>
      </c>
      <c r="AK1145" s="282">
        <f ca="1">IF(E1145&gt;111,,IF(AND(OP!$D$99=1,T1145="F"),AA1145,IF(AND(OP!$D$99=2,COUNTIF($T$4:T1145,"F")=1),OP!$D$97+IF(F1145="F",OP!$D$98,0),"")))</f>
        <v>0</v>
      </c>
      <c r="AL1145" s="282">
        <f ca="1">IF(E1145&gt;111,,IF(AND(OP!$E$99=1,T1145="F"),AB1145,IF(AND(OP!$E$99=2,COUNTIF($T$4:T1145,"F")=1),OP!$E$97+IF(F1145="F",OP!$E$98,0),"")))</f>
        <v>0</v>
      </c>
      <c r="AM1145" s="1">
        <f t="shared" ca="1" si="653"/>
        <v>3</v>
      </c>
      <c r="AN1145" s="1" t="e">
        <f ca="1">IF(OR(VLOOKUP($A1145,MP,5,0)="月繳"),1,"")</f>
        <v>#N/A</v>
      </c>
      <c r="AO1145" s="1">
        <f t="shared" ca="1" si="633"/>
        <v>0</v>
      </c>
      <c r="AP1145" s="1" t="str">
        <f ca="1">IF(AND(A1145&lt;=OP!$C$120,COUNTIF(PAY,C1145)=1),1,"")</f>
        <v/>
      </c>
      <c r="AR1145" s="301">
        <f ca="1">IF(繳費報酬率資料!$A$1=1,$AY1145+$AZ1145,$BF1145+$BG1145)</f>
        <v>0</v>
      </c>
      <c r="AS1145" s="1">
        <f ca="1">IF(C1145&lt;&gt;IF($C$3=1,12,$C$3-1),0,IF(繳費報酬率資料!$A$1&lt;&gt;1,VLOOKUP($A1145,MP,8,0),IF(AND($A1145&gt;=OP!$C$79,$A1145&lt;=OP!$C$80),OP!$C$78,)))</f>
        <v>0</v>
      </c>
      <c r="AT1145" s="298">
        <f t="shared" ca="1" si="634"/>
        <v>0</v>
      </c>
      <c r="AU1145" s="298">
        <f ca="1">IF(AND(A1145&lt;=OP!$C$120,COUNTIF(PAY,C1145)=1),OP!$C$123,0)</f>
        <v>0</v>
      </c>
      <c r="AV1145" s="298">
        <f ca="1">IF(AND(A1145&gt;=OP!$C$132,A1145&lt;=OP!$C$133,$C$3=C1145),OP!$C$135,0)</f>
        <v>0</v>
      </c>
      <c r="AW1145" s="180">
        <f t="shared" ca="1" si="635"/>
        <v>0.05</v>
      </c>
      <c r="AX1145" s="180">
        <f t="shared" ca="1" si="636"/>
        <v>0.05</v>
      </c>
      <c r="AY1145" s="286">
        <f t="shared" ca="1" si="637"/>
        <v>0</v>
      </c>
      <c r="AZ1145" s="286">
        <f t="shared" ca="1" si="638"/>
        <v>0</v>
      </c>
      <c r="BA1145" s="286">
        <f t="shared" ca="1" si="639"/>
        <v>0</v>
      </c>
      <c r="BB1145" s="286">
        <f t="shared" ca="1" si="640"/>
        <v>0</v>
      </c>
      <c r="BC1145" s="286">
        <f t="shared" ca="1" si="641"/>
        <v>0</v>
      </c>
      <c r="BD1145" s="180">
        <f t="shared" ca="1" si="642"/>
        <v>0.05</v>
      </c>
      <c r="BE1145" s="180">
        <f t="shared" ca="1" si="643"/>
        <v>0.05</v>
      </c>
      <c r="BF1145" s="286">
        <f t="shared" ca="1" si="644"/>
        <v>0</v>
      </c>
      <c r="BG1145" s="286">
        <f t="shared" ca="1" si="645"/>
        <v>0</v>
      </c>
    </row>
    <row r="1146" spans="1:59">
      <c r="A1146" s="1">
        <f t="shared" ca="1" si="625"/>
        <v>96</v>
      </c>
      <c r="B1146" s="1">
        <f t="shared" ca="1" si="654"/>
        <v>201</v>
      </c>
      <c r="C1146" s="1">
        <f t="shared" ca="1" si="655"/>
        <v>8</v>
      </c>
      <c r="D1146" s="1">
        <f ca="1">MIN($D$3,VLOOKUP(C1146,OP!$S$30:$T$41,2))</f>
        <v>2</v>
      </c>
      <c r="E1146" s="1" t="str">
        <f t="shared" ca="1" si="651"/>
        <v/>
      </c>
      <c r="F1146" s="11" t="str">
        <f t="shared" ca="1" si="626"/>
        <v/>
      </c>
      <c r="G1146" s="8">
        <f t="shared" ca="1" si="658"/>
        <v>365</v>
      </c>
      <c r="H1146" s="8">
        <f t="shared" ca="1" si="627"/>
        <v>31</v>
      </c>
      <c r="I1146" s="8" t="str">
        <f t="shared" ca="1" si="624"/>
        <v>968</v>
      </c>
      <c r="J1146" s="13">
        <f>IF(繳費報酬率資料!$A$1=1,VALUE(OP!$C$121),VLOOKUP(A1146,MP,2,0))</f>
        <v>0.05</v>
      </c>
      <c r="K1146" s="14">
        <f ca="1">IF(SUM($K$4:K1145,IF(繳費報酬率資料!$A$1=1,$AU1146+$AV1146,$BB1146+$BC1146))&gt;OP!$L$58,0,IF(繳費報酬率資料!$A$1=1,$AU1146+$AV1146,$BB1146+$BC1146))</f>
        <v>0</v>
      </c>
      <c r="L1146" s="2"/>
      <c r="M1146" s="2"/>
      <c r="N1146" s="2"/>
      <c r="O1146" s="261">
        <f t="shared" ca="1" si="628"/>
        <v>0</v>
      </c>
      <c r="P1146" s="261">
        <f t="shared" ca="1" si="646"/>
        <v>0</v>
      </c>
      <c r="Q1146" s="3">
        <f ca="1">IF(A1146&gt;MAX(OP!$R$17:$R$26),0,VLOOKUP(A1146,fees,3,FALSE))</f>
        <v>0</v>
      </c>
      <c r="R1146" s="200" t="str">
        <f t="shared" ca="1" si="629"/>
        <v/>
      </c>
      <c r="S1146" s="9" t="str">
        <f ca="1">IF(COUNTIF(($T$4:T1145),"F")&gt;=1,"",IF(OR(C1147&lt;&gt;$C$3,E1146=""),"",A1146))</f>
        <v/>
      </c>
      <c r="T1146" s="20" t="str">
        <f t="shared" ca="1" si="652"/>
        <v/>
      </c>
      <c r="U1146" s="2">
        <f ca="1">IF(IF(OP!$C$83=1,$Z1145,IF(OP!$C$83=2,$AA1145,IF(OP!$C$83=3,$AB1145,)))+$K1146-$O1146-$P1146-$AS1146&lt;OP!$C$142,0,$AS1146)</f>
        <v>0</v>
      </c>
      <c r="V1146" s="9"/>
      <c r="W1146" s="19">
        <f ca="1">MAX(SUM($K$4:K1146),0)</f>
        <v>2000000</v>
      </c>
      <c r="X1146" s="19"/>
      <c r="Y1146" s="19">
        <f t="shared" ca="1" si="647"/>
        <v>1920000</v>
      </c>
      <c r="Z1146" s="2">
        <f ca="1">IF(MIN($Z$4:Z1145)=0,0,MAX(0,($Z1145+$K1146-$O1146-$P1146)*IF(AND(F1146="F",$D$3&lt;&gt;$G$3),((1+(-J1146))^(H1146/MIN(G1146,365))),((1+(-J1146))^(1/12)))-$U1146))</f>
        <v>14503.560552211235</v>
      </c>
      <c r="AA1146" s="2">
        <f ca="1">IF(MIN($AA$4:AA1145)=0,0,MAX(0,($AA1145+$K1146-$O1146-$P1146)*IF(AND(F1146="F",$D$3&lt;&gt;$G$3),((1+$AA$1)^(H1146/MIN(G1146,365))),((1+$AA$1)^(1/12)))-$U1146))</f>
        <v>1920000</v>
      </c>
      <c r="AB1146" s="2">
        <f ca="1">IF(MIN($AB$4:AB1145)=0,0,MAX(0,($AB1145+$K1146-$O1146-$P1146)*IF(AND(F1146="F",$D$3&lt;&gt;$G$3),((1+(J1146))^(H1146/MIN(G1146,365))),((1+(J1146))^(1/12)))-$U1146))</f>
        <v>200254352.92755279</v>
      </c>
      <c r="AC1146" s="5"/>
      <c r="AD1146" s="5"/>
      <c r="AE1146" s="5"/>
      <c r="AF1146" s="282">
        <f t="shared" ca="1" si="630"/>
        <v>14504</v>
      </c>
      <c r="AG1146" s="282">
        <f t="shared" ca="1" si="631"/>
        <v>1920000</v>
      </c>
      <c r="AH1146" s="282">
        <f t="shared" ca="1" si="632"/>
        <v>200254353</v>
      </c>
      <c r="AI1146" s="23" t="str">
        <f t="shared" ca="1" si="649"/>
        <v>96-4</v>
      </c>
      <c r="AJ1146" s="282">
        <f ca="1">IF(E1146&gt;111,,IF(AND(OP!$C$99=1,T1146="F"),Z1146,IF(AND(OP!$C$99=2,COUNTIF($T$4:T1146,"F")=1),OP!$C$97+IF(F1146="F",OP!$C$98,0),"")))</f>
        <v>0</v>
      </c>
      <c r="AK1146" s="282">
        <f ca="1">IF(E1146&gt;111,,IF(AND(OP!$D$99=1,T1146="F"),AA1146,IF(AND(OP!$D$99=2,COUNTIF($T$4:T1146,"F")=1),OP!$D$97+IF(F1146="F",OP!$D$98,0),"")))</f>
        <v>0</v>
      </c>
      <c r="AL1146" s="282">
        <f ca="1">IF(E1146&gt;111,,IF(AND(OP!$E$99=1,T1146="F"),AB1146,IF(AND(OP!$E$99=2,COUNTIF($T$4:T1146,"F")=1),OP!$E$97+IF(F1146="F",OP!$E$98,0),"")))</f>
        <v>0</v>
      </c>
      <c r="AM1146" s="1">
        <f t="shared" ca="1" si="653"/>
        <v>4</v>
      </c>
      <c r="AN1146" s="1" t="e">
        <f ca="1">IF(OR(VLOOKUP($A1146,MP,5,0)="月繳"),1,"")</f>
        <v>#N/A</v>
      </c>
      <c r="AO1146" s="1">
        <f t="shared" ca="1" si="633"/>
        <v>0</v>
      </c>
      <c r="AP1146" s="1" t="str">
        <f ca="1">IF(AND(A1146&lt;=OP!$C$120,COUNTIF(PAY,C1146)=1),1,"")</f>
        <v/>
      </c>
      <c r="AR1146" s="301">
        <f ca="1">IF(繳費報酬率資料!$A$1=1,$AY1146+$AZ1146,$BF1146+$BG1146)</f>
        <v>0</v>
      </c>
      <c r="AS1146" s="1">
        <f ca="1">IF(C1146&lt;&gt;IF($C$3=1,12,$C$3-1),0,IF(繳費報酬率資料!$A$1&lt;&gt;1,VLOOKUP($A1146,MP,8,0),IF(AND($A1146&gt;=OP!$C$79,$A1146&lt;=OP!$C$80),OP!$C$78,)))</f>
        <v>0</v>
      </c>
      <c r="AT1146" s="298">
        <f t="shared" ca="1" si="634"/>
        <v>0</v>
      </c>
      <c r="AU1146" s="298">
        <f ca="1">IF(AND(A1146&lt;=OP!$C$120,COUNTIF(PAY,C1146)=1),OP!$C$123,0)</f>
        <v>0</v>
      </c>
      <c r="AV1146" s="298">
        <f ca="1">IF(AND(A1146&gt;=OP!$C$132,A1146&lt;=OP!$C$133,$C$3=C1146),OP!$C$135,0)</f>
        <v>0</v>
      </c>
      <c r="AW1146" s="180">
        <f t="shared" ca="1" si="635"/>
        <v>0.05</v>
      </c>
      <c r="AX1146" s="180">
        <f t="shared" ca="1" si="636"/>
        <v>0.05</v>
      </c>
      <c r="AY1146" s="286">
        <f t="shared" ca="1" si="637"/>
        <v>0</v>
      </c>
      <c r="AZ1146" s="286">
        <f t="shared" ca="1" si="638"/>
        <v>0</v>
      </c>
      <c r="BA1146" s="286">
        <f t="shared" ca="1" si="639"/>
        <v>0</v>
      </c>
      <c r="BB1146" s="286">
        <f t="shared" ca="1" si="640"/>
        <v>0</v>
      </c>
      <c r="BC1146" s="286">
        <f t="shared" ca="1" si="641"/>
        <v>0</v>
      </c>
      <c r="BD1146" s="180">
        <f t="shared" ca="1" si="642"/>
        <v>0.05</v>
      </c>
      <c r="BE1146" s="180">
        <f t="shared" ca="1" si="643"/>
        <v>0.05</v>
      </c>
      <c r="BF1146" s="286">
        <f t="shared" ca="1" si="644"/>
        <v>0</v>
      </c>
      <c r="BG1146" s="286">
        <f t="shared" ca="1" si="645"/>
        <v>0</v>
      </c>
    </row>
    <row r="1147" spans="1:59">
      <c r="A1147" s="1">
        <f t="shared" ca="1" si="625"/>
        <v>96</v>
      </c>
      <c r="B1147" s="1">
        <f t="shared" ca="1" si="654"/>
        <v>201</v>
      </c>
      <c r="C1147" s="1">
        <f t="shared" ca="1" si="655"/>
        <v>9</v>
      </c>
      <c r="D1147" s="1">
        <f ca="1">MIN($D$3,VLOOKUP(C1147,OP!$S$30:$T$41,2))</f>
        <v>2</v>
      </c>
      <c r="E1147" s="1" t="str">
        <f t="shared" ca="1" si="651"/>
        <v/>
      </c>
      <c r="F1147" s="11" t="str">
        <f t="shared" ca="1" si="626"/>
        <v/>
      </c>
      <c r="G1147" s="8">
        <f t="shared" ca="1" si="658"/>
        <v>365</v>
      </c>
      <c r="H1147" s="8">
        <f t="shared" ca="1" si="627"/>
        <v>30</v>
      </c>
      <c r="I1147" s="8" t="str">
        <f t="shared" ca="1" si="624"/>
        <v>969</v>
      </c>
      <c r="J1147" s="13">
        <f>IF(繳費報酬率資料!$A$1=1,VALUE(OP!$C$121),VLOOKUP(A1147,MP,2,0))</f>
        <v>0.05</v>
      </c>
      <c r="K1147" s="14">
        <f ca="1">IF(SUM($K$4:K1146,IF(繳費報酬率資料!$A$1=1,$AU1147+$AV1147,$BB1147+$BC1147))&gt;OP!$L$58,0,IF(繳費報酬率資料!$A$1=1,$AU1147+$AV1147,$BB1147+$BC1147))</f>
        <v>0</v>
      </c>
      <c r="L1147" s="2"/>
      <c r="M1147" s="2"/>
      <c r="N1147" s="2"/>
      <c r="O1147" s="261">
        <f t="shared" ca="1" si="628"/>
        <v>0</v>
      </c>
      <c r="P1147" s="261">
        <f t="shared" ca="1" si="646"/>
        <v>0</v>
      </c>
      <c r="Q1147" s="3">
        <f ca="1">IF(A1147&gt;MAX(OP!$R$17:$R$26),0,VLOOKUP(A1147,fees,3,FALSE))</f>
        <v>0</v>
      </c>
      <c r="R1147" s="200" t="str">
        <f t="shared" ca="1" si="629"/>
        <v/>
      </c>
      <c r="S1147" s="9" t="str">
        <f ca="1">IF(COUNTIF(($T$4:T1146),"F")&gt;=1,"",IF(OR(C1148&lt;&gt;$C$3,E1147=""),"",A1147))</f>
        <v/>
      </c>
      <c r="T1147" s="20" t="str">
        <f t="shared" ca="1" si="652"/>
        <v/>
      </c>
      <c r="U1147" s="2">
        <f ca="1">IF(IF(OP!$C$83=1,$Z1146,IF(OP!$C$83=2,$AA1146,IF(OP!$C$83=3,$AB1146,)))+$K1147-$O1147-$P1147-$AS1147&lt;OP!$C$142,0,$AS1147)</f>
        <v>0</v>
      </c>
      <c r="V1147" s="9"/>
      <c r="W1147" s="19">
        <f ca="1">MAX(SUM($K$4:K1147),0)</f>
        <v>2000000</v>
      </c>
      <c r="X1147" s="19"/>
      <c r="Y1147" s="19">
        <f t="shared" ca="1" si="647"/>
        <v>1920000</v>
      </c>
      <c r="Z1147" s="2">
        <f ca="1">IF(MIN($Z$4:Z1146)=0,0,MAX(0,($Z1146+$K1147-$O1147-$P1147)*IF(AND(F1147="F",$D$3&lt;&gt;$G$3),((1+(-J1147))^(H1147/MIN(G1147,365))),((1+(-J1147))^(1/12)))-$U1147))</f>
        <v>14441.6982430464</v>
      </c>
      <c r="AA1147" s="2">
        <f ca="1">IF(MIN($AA$4:AA1146)=0,0,MAX(0,($AA1146+$K1147-$O1147-$P1147)*IF(AND(F1147="F",$D$3&lt;&gt;$G$3),((1+$AA$1)^(H1147/MIN(G1147,365))),((1+$AA$1)^(1/12)))-$U1147))</f>
        <v>1920000</v>
      </c>
      <c r="AB1147" s="2">
        <f ca="1">IF(MIN($AB$4:AB1146)=0,0,MAX(0,($AB1146+$K1147-$O1147-$P1147)*IF(AND(F1147="F",$D$3&lt;&gt;$G$3),((1+(J1147))^(H1147/MIN(G1147,365))),((1+(J1147))^(1/12)))-$U1147))</f>
        <v>201070213.94959405</v>
      </c>
      <c r="AC1147" s="5"/>
      <c r="AD1147" s="5"/>
      <c r="AE1147" s="5"/>
      <c r="AF1147" s="282">
        <f t="shared" ca="1" si="630"/>
        <v>14442</v>
      </c>
      <c r="AG1147" s="282">
        <f t="shared" ca="1" si="631"/>
        <v>1920000</v>
      </c>
      <c r="AH1147" s="282">
        <f t="shared" ca="1" si="632"/>
        <v>201070214</v>
      </c>
      <c r="AI1147" s="23" t="str">
        <f t="shared" ca="1" si="649"/>
        <v>96-5</v>
      </c>
      <c r="AJ1147" s="282">
        <f ca="1">IF(E1147&gt;111,,IF(AND(OP!$C$99=1,T1147="F"),Z1147,IF(AND(OP!$C$99=2,COUNTIF($T$4:T1147,"F")=1),OP!$C$97+IF(F1147="F",OP!$C$98,0),"")))</f>
        <v>0</v>
      </c>
      <c r="AK1147" s="282">
        <f ca="1">IF(E1147&gt;111,,IF(AND(OP!$D$99=1,T1147="F"),AA1147,IF(AND(OP!$D$99=2,COUNTIF($T$4:T1147,"F")=1),OP!$D$97+IF(F1147="F",OP!$D$98,0),"")))</f>
        <v>0</v>
      </c>
      <c r="AL1147" s="282">
        <f ca="1">IF(E1147&gt;111,,IF(AND(OP!$E$99=1,T1147="F"),AB1147,IF(AND(OP!$E$99=2,COUNTIF($T$4:T1147,"F")=1),OP!$E$97+IF(F1147="F",OP!$E$98,0),"")))</f>
        <v>0</v>
      </c>
      <c r="AM1147" s="1">
        <f t="shared" ca="1" si="653"/>
        <v>5</v>
      </c>
      <c r="AN1147" s="1" t="e">
        <f ca="1">IF(OR(VLOOKUP($A1147,MP,5,0)="季繳",VLOOKUP($A1147,MP,5,0)="月繳"),1,"")</f>
        <v>#N/A</v>
      </c>
      <c r="AO1147" s="1">
        <f t="shared" ca="1" si="633"/>
        <v>0</v>
      </c>
      <c r="AP1147" s="1" t="str">
        <f ca="1">IF(AND(A1147&lt;=OP!$C$120,COUNTIF(PAY,C1147)=1),1,"")</f>
        <v/>
      </c>
      <c r="AR1147" s="301">
        <f ca="1">IF(繳費報酬率資料!$A$1=1,$AY1147+$AZ1147,$BF1147+$BG1147)</f>
        <v>0</v>
      </c>
      <c r="AS1147" s="1">
        <f ca="1">IF(C1147&lt;&gt;IF($C$3=1,12,$C$3-1),0,IF(繳費報酬率資料!$A$1&lt;&gt;1,VLOOKUP($A1147,MP,8,0),IF(AND($A1147&gt;=OP!$C$79,$A1147&lt;=OP!$C$80),OP!$C$78,)))</f>
        <v>0</v>
      </c>
      <c r="AT1147" s="298">
        <f t="shared" ca="1" si="634"/>
        <v>0</v>
      </c>
      <c r="AU1147" s="298">
        <f ca="1">IF(AND(A1147&lt;=OP!$C$120,COUNTIF(PAY,C1147)=1),OP!$C$123,0)</f>
        <v>0</v>
      </c>
      <c r="AV1147" s="298">
        <f ca="1">IF(AND(A1147&gt;=OP!$C$132,A1147&lt;=OP!$C$133,$C$3=C1147),OP!$C$135,0)</f>
        <v>0</v>
      </c>
      <c r="AW1147" s="180">
        <f t="shared" ca="1" si="635"/>
        <v>0.05</v>
      </c>
      <c r="AX1147" s="180">
        <f t="shared" ca="1" si="636"/>
        <v>0.05</v>
      </c>
      <c r="AY1147" s="286">
        <f t="shared" ca="1" si="637"/>
        <v>0</v>
      </c>
      <c r="AZ1147" s="286">
        <f t="shared" ca="1" si="638"/>
        <v>0</v>
      </c>
      <c r="BA1147" s="286">
        <f t="shared" ca="1" si="639"/>
        <v>0</v>
      </c>
      <c r="BB1147" s="286">
        <f t="shared" ca="1" si="640"/>
        <v>0</v>
      </c>
      <c r="BC1147" s="286">
        <f t="shared" ca="1" si="641"/>
        <v>0</v>
      </c>
      <c r="BD1147" s="180">
        <f t="shared" ca="1" si="642"/>
        <v>0.05</v>
      </c>
      <c r="BE1147" s="180">
        <f t="shared" ca="1" si="643"/>
        <v>0.05</v>
      </c>
      <c r="BF1147" s="286">
        <f t="shared" ca="1" si="644"/>
        <v>0</v>
      </c>
      <c r="BG1147" s="286">
        <f t="shared" ca="1" si="645"/>
        <v>0</v>
      </c>
    </row>
    <row r="1148" spans="1:59">
      <c r="A1148" s="1">
        <f t="shared" ca="1" si="625"/>
        <v>96</v>
      </c>
      <c r="B1148" s="1">
        <f t="shared" ca="1" si="654"/>
        <v>201</v>
      </c>
      <c r="C1148" s="1">
        <f t="shared" ca="1" si="655"/>
        <v>10</v>
      </c>
      <c r="D1148" s="1">
        <f ca="1">MIN($D$3,VLOOKUP(C1148,OP!$S$30:$T$41,2))</f>
        <v>2</v>
      </c>
      <c r="E1148" s="1" t="str">
        <f t="shared" ca="1" si="651"/>
        <v/>
      </c>
      <c r="F1148" s="11" t="str">
        <f t="shared" ca="1" si="626"/>
        <v/>
      </c>
      <c r="G1148" s="8">
        <f t="shared" ca="1" si="658"/>
        <v>365</v>
      </c>
      <c r="H1148" s="8">
        <f t="shared" ca="1" si="627"/>
        <v>31</v>
      </c>
      <c r="I1148" s="8" t="str">
        <f t="shared" ca="1" si="624"/>
        <v>9610</v>
      </c>
      <c r="J1148" s="13">
        <f>IF(繳費報酬率資料!$A$1=1,VALUE(OP!$C$121),VLOOKUP(A1148,MP,2,0))</f>
        <v>0.05</v>
      </c>
      <c r="K1148" s="14">
        <f ca="1">IF(SUM($K$4:K1147,IF(繳費報酬率資料!$A$1=1,$AU1148+$AV1148,$BB1148+$BC1148))&gt;OP!$L$58,0,IF(繳費報酬率資料!$A$1=1,$AU1148+$AV1148,$BB1148+$BC1148))</f>
        <v>0</v>
      </c>
      <c r="L1148" s="2"/>
      <c r="M1148" s="2"/>
      <c r="N1148" s="2"/>
      <c r="O1148" s="261">
        <f t="shared" ca="1" si="628"/>
        <v>0</v>
      </c>
      <c r="P1148" s="261">
        <f t="shared" ca="1" si="646"/>
        <v>0</v>
      </c>
      <c r="Q1148" s="3">
        <f ca="1">IF(A1148&gt;MAX(OP!$R$17:$R$26),0,VLOOKUP(A1148,fees,3,FALSE))</f>
        <v>0</v>
      </c>
      <c r="R1148" s="200" t="str">
        <f t="shared" ca="1" si="629"/>
        <v/>
      </c>
      <c r="S1148" s="9" t="str">
        <f ca="1">IF(COUNTIF(($T$4:T1147),"F")&gt;=1,"",IF(OR(C1149&lt;&gt;$C$3,E1148=""),"",A1148))</f>
        <v/>
      </c>
      <c r="T1148" s="20" t="str">
        <f t="shared" ca="1" si="652"/>
        <v/>
      </c>
      <c r="U1148" s="2">
        <f ca="1">IF(IF(OP!$C$83=1,$Z1147,IF(OP!$C$83=2,$AA1147,IF(OP!$C$83=3,$AB1147,)))+$K1148-$O1148-$P1148-$AS1148&lt;OP!$C$142,0,$AS1148)</f>
        <v>0</v>
      </c>
      <c r="V1148" s="9"/>
      <c r="W1148" s="19">
        <f ca="1">MAX(SUM($K$4:K1148),0)</f>
        <v>2000000</v>
      </c>
      <c r="X1148" s="19"/>
      <c r="Y1148" s="19">
        <f t="shared" ca="1" si="647"/>
        <v>1920000</v>
      </c>
      <c r="Z1148" s="2">
        <f ca="1">IF(MIN($Z$4:Z1147)=0,0,MAX(0,($Z1147+$K1148-$O1148-$P1148)*IF(AND(F1148="F",$D$3&lt;&gt;$G$3),((1+(-J1148))^(H1148/MIN(G1148,365))),((1+(-J1148))^(1/12)))-$U1148))</f>
        <v>14380.099796350469</v>
      </c>
      <c r="AA1148" s="2">
        <f ca="1">IF(MIN($AA$4:AA1147)=0,0,MAX(0,($AA1147+$K1148-$O1148-$P1148)*IF(AND(F1148="F",$D$3&lt;&gt;$G$3),((1+$AA$1)^(H1148/MIN(G1148,365))),((1+$AA$1)^(1/12)))-$U1148))</f>
        <v>1920000</v>
      </c>
      <c r="AB1148" s="2">
        <f ca="1">IF(MIN($AB$4:AB1147)=0,0,MAX(0,($AB1147+$K1148-$O1148-$P1148)*IF(AND(F1148="F",$D$3&lt;&gt;$G$3),((1+(J1148))^(H1148/MIN(G1148,365))),((1+(J1148))^(1/12)))-$U1148))</f>
        <v>201889398.89042935</v>
      </c>
      <c r="AC1148" s="5"/>
      <c r="AD1148" s="5"/>
      <c r="AE1148" s="5"/>
      <c r="AF1148" s="282">
        <f t="shared" ca="1" si="630"/>
        <v>14380</v>
      </c>
      <c r="AG1148" s="282">
        <f t="shared" ca="1" si="631"/>
        <v>1920000</v>
      </c>
      <c r="AH1148" s="282">
        <f t="shared" ca="1" si="632"/>
        <v>201889399</v>
      </c>
      <c r="AI1148" s="23" t="str">
        <f t="shared" ca="1" si="649"/>
        <v>96-6</v>
      </c>
      <c r="AJ1148" s="282">
        <f ca="1">IF(E1148&gt;111,,IF(AND(OP!$C$99=1,T1148="F"),Z1148,IF(AND(OP!$C$99=2,COUNTIF($T$4:T1148,"F")=1),OP!$C$97+IF(F1148="F",OP!$C$98,0),"")))</f>
        <v>0</v>
      </c>
      <c r="AK1148" s="282">
        <f ca="1">IF(E1148&gt;111,,IF(AND(OP!$D$99=1,T1148="F"),AA1148,IF(AND(OP!$D$99=2,COUNTIF($T$4:T1148,"F")=1),OP!$D$97+IF(F1148="F",OP!$D$98,0),"")))</f>
        <v>0</v>
      </c>
      <c r="AL1148" s="282">
        <f ca="1">IF(E1148&gt;111,,IF(AND(OP!$E$99=1,T1148="F"),AB1148,IF(AND(OP!$E$99=2,COUNTIF($T$4:T1148,"F")=1),OP!$E$97+IF(F1148="F",OP!$E$98,0),"")))</f>
        <v>0</v>
      </c>
      <c r="AM1148" s="1">
        <f t="shared" ca="1" si="653"/>
        <v>6</v>
      </c>
      <c r="AN1148" s="1" t="e">
        <f ca="1">IF(OR(VLOOKUP($A1148,MP,5,0)="月繳"),1,"")</f>
        <v>#N/A</v>
      </c>
      <c r="AO1148" s="1">
        <f t="shared" ca="1" si="633"/>
        <v>0</v>
      </c>
      <c r="AP1148" s="1" t="str">
        <f ca="1">IF(AND(A1148&lt;=OP!$C$120,COUNTIF(PAY,C1148)=1),1,"")</f>
        <v/>
      </c>
      <c r="AR1148" s="301">
        <f ca="1">IF(繳費報酬率資料!$A$1=1,$AY1148+$AZ1148,$BF1148+$BG1148)</f>
        <v>0</v>
      </c>
      <c r="AS1148" s="1">
        <f ca="1">IF(C1148&lt;&gt;IF($C$3=1,12,$C$3-1),0,IF(繳費報酬率資料!$A$1&lt;&gt;1,VLOOKUP($A1148,MP,8,0),IF(AND($A1148&gt;=OP!$C$79,$A1148&lt;=OP!$C$80),OP!$C$78,)))</f>
        <v>0</v>
      </c>
      <c r="AT1148" s="298">
        <f t="shared" ca="1" si="634"/>
        <v>0</v>
      </c>
      <c r="AU1148" s="298">
        <f ca="1">IF(AND(A1148&lt;=OP!$C$120,COUNTIF(PAY,C1148)=1),OP!$C$123,0)</f>
        <v>0</v>
      </c>
      <c r="AV1148" s="298">
        <f ca="1">IF(AND(A1148&gt;=OP!$C$132,A1148&lt;=OP!$C$133,$C$3=C1148),OP!$C$135,0)</f>
        <v>0</v>
      </c>
      <c r="AW1148" s="180">
        <f t="shared" ca="1" si="635"/>
        <v>0.05</v>
      </c>
      <c r="AX1148" s="180">
        <f t="shared" ca="1" si="636"/>
        <v>0.05</v>
      </c>
      <c r="AY1148" s="286">
        <f t="shared" ca="1" si="637"/>
        <v>0</v>
      </c>
      <c r="AZ1148" s="286">
        <f t="shared" ca="1" si="638"/>
        <v>0</v>
      </c>
      <c r="BA1148" s="286">
        <f t="shared" ca="1" si="639"/>
        <v>0</v>
      </c>
      <c r="BB1148" s="286">
        <f t="shared" ca="1" si="640"/>
        <v>0</v>
      </c>
      <c r="BC1148" s="286">
        <f t="shared" ca="1" si="641"/>
        <v>0</v>
      </c>
      <c r="BD1148" s="180">
        <f t="shared" ca="1" si="642"/>
        <v>0.05</v>
      </c>
      <c r="BE1148" s="180">
        <f t="shared" ca="1" si="643"/>
        <v>0.05</v>
      </c>
      <c r="BF1148" s="286">
        <f t="shared" ca="1" si="644"/>
        <v>0</v>
      </c>
      <c r="BG1148" s="286">
        <f t="shared" ca="1" si="645"/>
        <v>0</v>
      </c>
    </row>
    <row r="1149" spans="1:59">
      <c r="A1149" s="1">
        <f t="shared" ca="1" si="625"/>
        <v>96</v>
      </c>
      <c r="B1149" s="1">
        <f t="shared" ca="1" si="654"/>
        <v>201</v>
      </c>
      <c r="C1149" s="1">
        <f t="shared" ca="1" si="655"/>
        <v>11</v>
      </c>
      <c r="D1149" s="1">
        <f ca="1">MIN($D$3,VLOOKUP(C1149,OP!$S$30:$T$41,2))</f>
        <v>2</v>
      </c>
      <c r="E1149" s="1" t="str">
        <f t="shared" ca="1" si="651"/>
        <v/>
      </c>
      <c r="F1149" s="11" t="str">
        <f t="shared" ca="1" si="626"/>
        <v/>
      </c>
      <c r="G1149" s="8">
        <f t="shared" ca="1" si="658"/>
        <v>365</v>
      </c>
      <c r="H1149" s="8">
        <f t="shared" ca="1" si="627"/>
        <v>30</v>
      </c>
      <c r="I1149" s="8" t="str">
        <f t="shared" ca="1" si="624"/>
        <v>9611</v>
      </c>
      <c r="J1149" s="13">
        <f>IF(繳費報酬率資料!$A$1=1,VALUE(OP!$C$121),VLOOKUP(A1149,MP,2,0))</f>
        <v>0.05</v>
      </c>
      <c r="K1149" s="14">
        <f ca="1">IF(SUM($K$4:K1148,IF(繳費報酬率資料!$A$1=1,$AU1149+$AV1149,$BB1149+$BC1149))&gt;OP!$L$58,0,IF(繳費報酬率資料!$A$1=1,$AU1149+$AV1149,$BB1149+$BC1149))</f>
        <v>0</v>
      </c>
      <c r="L1149" s="2"/>
      <c r="M1149" s="2"/>
      <c r="N1149" s="2"/>
      <c r="O1149" s="261">
        <f t="shared" ca="1" si="628"/>
        <v>0</v>
      </c>
      <c r="P1149" s="261">
        <f t="shared" ca="1" si="646"/>
        <v>0</v>
      </c>
      <c r="Q1149" s="3">
        <f ca="1">IF(A1149&gt;MAX(OP!$R$17:$R$26),0,VLOOKUP(A1149,fees,3,FALSE))</f>
        <v>0</v>
      </c>
      <c r="R1149" s="200" t="str">
        <f t="shared" ca="1" si="629"/>
        <v/>
      </c>
      <c r="S1149" s="9" t="str">
        <f ca="1">IF(COUNTIF(($T$4:T1148),"F")&gt;=1,"",IF(OR(C1150&lt;&gt;$C$3,E1149=""),"",A1149))</f>
        <v/>
      </c>
      <c r="T1149" s="20" t="str">
        <f t="shared" ca="1" si="652"/>
        <v/>
      </c>
      <c r="U1149" s="2">
        <f ca="1">IF(IF(OP!$C$83=1,$Z1148,IF(OP!$C$83=2,$AA1148,IF(OP!$C$83=3,$AB1148,)))+$K1149-$O1149-$P1149-$AS1149&lt;OP!$C$142,0,$AS1149)</f>
        <v>0</v>
      </c>
      <c r="V1149" s="9"/>
      <c r="W1149" s="19">
        <f ca="1">MAX(SUM($K$4:K1149),0)</f>
        <v>2000000</v>
      </c>
      <c r="X1149" s="19"/>
      <c r="Y1149" s="19">
        <f t="shared" ca="1" si="647"/>
        <v>1920000</v>
      </c>
      <c r="Z1149" s="2">
        <f ca="1">IF(MIN($Z$4:Z1148)=0,0,MAX(0,($Z1148+$K1149-$O1149-$P1149)*IF(AND(F1149="F",$D$3&lt;&gt;$G$3),((1+(-J1149))^(H1149/MIN(G1149,365))),((1+(-J1149))^(1/12)))-$U1149))</f>
        <v>14318.764086665899</v>
      </c>
      <c r="AA1149" s="2">
        <f ca="1">IF(MIN($AA$4:AA1148)=0,0,MAX(0,($AA1148+$K1149-$O1149-$P1149)*IF(AND(F1149="F",$D$3&lt;&gt;$G$3),((1+$AA$1)^(H1149/MIN(G1149,365))),((1+$AA$1)^(1/12)))-$U1149))</f>
        <v>1920000</v>
      </c>
      <c r="AB1149" s="2">
        <f ca="1">IF(MIN($AB$4:AB1148)=0,0,MAX(0,($AB1148+$K1149-$O1149-$P1149)*IF(AND(F1149="F",$D$3&lt;&gt;$G$3),((1+(J1149))^(H1149/MIN(G1149,365))),((1+(J1149))^(1/12)))-$U1149))</f>
        <v>202711921.2921153</v>
      </c>
      <c r="AC1149" s="5"/>
      <c r="AD1149" s="5"/>
      <c r="AE1149" s="5"/>
      <c r="AF1149" s="282">
        <f t="shared" ca="1" si="630"/>
        <v>14319</v>
      </c>
      <c r="AG1149" s="282">
        <f t="shared" ca="1" si="631"/>
        <v>1920000</v>
      </c>
      <c r="AH1149" s="282">
        <f t="shared" ca="1" si="632"/>
        <v>202711921</v>
      </c>
      <c r="AI1149" s="23" t="str">
        <f t="shared" ca="1" si="649"/>
        <v>96-7</v>
      </c>
      <c r="AJ1149" s="282">
        <f ca="1">IF(E1149&gt;111,,IF(AND(OP!$C$99=1,T1149="F"),Z1149,IF(AND(OP!$C$99=2,COUNTIF($T$4:T1149,"F")=1),OP!$C$97+IF(F1149="F",OP!$C$98,0),"")))</f>
        <v>0</v>
      </c>
      <c r="AK1149" s="282">
        <f ca="1">IF(E1149&gt;111,,IF(AND(OP!$D$99=1,T1149="F"),AA1149,IF(AND(OP!$D$99=2,COUNTIF($T$4:T1149,"F")=1),OP!$D$97+IF(F1149="F",OP!$D$98,0),"")))</f>
        <v>0</v>
      </c>
      <c r="AL1149" s="282">
        <f ca="1">IF(E1149&gt;111,,IF(AND(OP!$E$99=1,T1149="F"),AB1149,IF(AND(OP!$E$99=2,COUNTIF($T$4:T1149,"F")=1),OP!$E$97+IF(F1149="F",OP!$E$98,0),"")))</f>
        <v>0</v>
      </c>
      <c r="AM1149" s="1">
        <f t="shared" ca="1" si="653"/>
        <v>7</v>
      </c>
      <c r="AN1149" s="1" t="e">
        <f ca="1">IF(OR(VLOOKUP($A1149,MP,5,0)="月繳"),1,"")</f>
        <v>#N/A</v>
      </c>
      <c r="AO1149" s="1">
        <f t="shared" ca="1" si="633"/>
        <v>0</v>
      </c>
      <c r="AP1149" s="1" t="str">
        <f ca="1">IF(AND(A1149&lt;=OP!$C$120,COUNTIF(PAY,C1149)=1),1,"")</f>
        <v/>
      </c>
      <c r="AR1149" s="301">
        <f ca="1">IF(繳費報酬率資料!$A$1=1,$AY1149+$AZ1149,$BF1149+$BG1149)</f>
        <v>0</v>
      </c>
      <c r="AS1149" s="1">
        <f ca="1">IF(C1149&lt;&gt;IF($C$3=1,12,$C$3-1),0,IF(繳費報酬率資料!$A$1&lt;&gt;1,VLOOKUP($A1149,MP,8,0),IF(AND($A1149&gt;=OP!$C$79,$A1149&lt;=OP!$C$80),OP!$C$78,)))</f>
        <v>0</v>
      </c>
      <c r="AT1149" s="298">
        <f t="shared" ca="1" si="634"/>
        <v>0</v>
      </c>
      <c r="AU1149" s="298">
        <f ca="1">IF(AND(A1149&lt;=OP!$C$120,COUNTIF(PAY,C1149)=1),OP!$C$123,0)</f>
        <v>0</v>
      </c>
      <c r="AV1149" s="298">
        <f ca="1">IF(AND(A1149&gt;=OP!$C$132,A1149&lt;=OP!$C$133,$C$3=C1149),OP!$C$135,0)</f>
        <v>0</v>
      </c>
      <c r="AW1149" s="180">
        <f t="shared" ca="1" si="635"/>
        <v>0.05</v>
      </c>
      <c r="AX1149" s="180">
        <f t="shared" ca="1" si="636"/>
        <v>0.05</v>
      </c>
      <c r="AY1149" s="286">
        <f t="shared" ca="1" si="637"/>
        <v>0</v>
      </c>
      <c r="AZ1149" s="286">
        <f t="shared" ca="1" si="638"/>
        <v>0</v>
      </c>
      <c r="BA1149" s="286">
        <f t="shared" ca="1" si="639"/>
        <v>0</v>
      </c>
      <c r="BB1149" s="286">
        <f t="shared" ca="1" si="640"/>
        <v>0</v>
      </c>
      <c r="BC1149" s="286">
        <f t="shared" ca="1" si="641"/>
        <v>0</v>
      </c>
      <c r="BD1149" s="180">
        <f t="shared" ca="1" si="642"/>
        <v>0.05</v>
      </c>
      <c r="BE1149" s="180">
        <f t="shared" ca="1" si="643"/>
        <v>0.05</v>
      </c>
      <c r="BF1149" s="286">
        <f t="shared" ca="1" si="644"/>
        <v>0</v>
      </c>
      <c r="BG1149" s="286">
        <f t="shared" ca="1" si="645"/>
        <v>0</v>
      </c>
    </row>
    <row r="1150" spans="1:59">
      <c r="A1150" s="1">
        <f t="shared" ca="1" si="625"/>
        <v>96</v>
      </c>
      <c r="B1150" s="1">
        <f t="shared" ca="1" si="654"/>
        <v>201</v>
      </c>
      <c r="C1150" s="1">
        <f t="shared" ca="1" si="655"/>
        <v>12</v>
      </c>
      <c r="D1150" s="1">
        <f ca="1">MIN($D$3,VLOOKUP(C1150,OP!$S$30:$T$41,2))</f>
        <v>2</v>
      </c>
      <c r="E1150" s="1" t="str">
        <f t="shared" ca="1" si="651"/>
        <v/>
      </c>
      <c r="F1150" s="11" t="str">
        <f t="shared" ca="1" si="626"/>
        <v/>
      </c>
      <c r="G1150" s="8">
        <f t="shared" ca="1" si="658"/>
        <v>365</v>
      </c>
      <c r="H1150" s="8">
        <f t="shared" ca="1" si="627"/>
        <v>31</v>
      </c>
      <c r="I1150" s="8" t="str">
        <f t="shared" ca="1" si="624"/>
        <v>9612</v>
      </c>
      <c r="J1150" s="13">
        <f>IF(繳費報酬率資料!$A$1=1,VALUE(OP!$C$121),VLOOKUP(A1150,MP,2,0))</f>
        <v>0.05</v>
      </c>
      <c r="K1150" s="14">
        <f ca="1">IF(SUM($K$4:K1149,IF(繳費報酬率資料!$A$1=1,$AU1150+$AV1150,$BB1150+$BC1150))&gt;OP!$L$58,0,IF(繳費報酬率資料!$A$1=1,$AU1150+$AV1150,$BB1150+$BC1150))</f>
        <v>0</v>
      </c>
      <c r="L1150" s="2"/>
      <c r="M1150" s="2"/>
      <c r="N1150" s="2"/>
      <c r="O1150" s="261">
        <f t="shared" ca="1" si="628"/>
        <v>0</v>
      </c>
      <c r="P1150" s="261">
        <f t="shared" ca="1" si="646"/>
        <v>0</v>
      </c>
      <c r="Q1150" s="3">
        <f ca="1">IF(A1150&gt;MAX(OP!$R$17:$R$26),0,VLOOKUP(A1150,fees,3,FALSE))</f>
        <v>0</v>
      </c>
      <c r="R1150" s="200" t="str">
        <f t="shared" ca="1" si="629"/>
        <v/>
      </c>
      <c r="S1150" s="9" t="str">
        <f ca="1">IF(COUNTIF(($T$4:T1149),"F")&gt;=1,"",IF(OR(C1151&lt;&gt;$C$3,E1150=""),"",A1150))</f>
        <v/>
      </c>
      <c r="T1150" s="20" t="str">
        <f t="shared" ca="1" si="652"/>
        <v/>
      </c>
      <c r="U1150" s="2">
        <f ca="1">IF(IF(OP!$C$83=1,$Z1149,IF(OP!$C$83=2,$AA1149,IF(OP!$C$83=3,$AB1149,)))+$K1150-$O1150-$P1150-$AS1150&lt;OP!$C$142,0,$AS1150)</f>
        <v>0</v>
      </c>
      <c r="V1150" s="9"/>
      <c r="W1150" s="19">
        <f ca="1">MAX(SUM($K$4:K1150),0)</f>
        <v>2000000</v>
      </c>
      <c r="X1150" s="19"/>
      <c r="Y1150" s="19">
        <f t="shared" ca="1" si="647"/>
        <v>1920000</v>
      </c>
      <c r="Z1150" s="2">
        <f ca="1">IF(MIN($Z$4:Z1149)=0,0,MAX(0,($Z1149+$K1150-$O1150-$P1150)*IF(AND(F1150="F",$D$3&lt;&gt;$G$3),((1+(-J1150))^(H1150/MIN(G1150,365))),((1+(-J1150))^(1/12)))-$U1150))</f>
        <v>14257.689993335582</v>
      </c>
      <c r="AA1150" s="2">
        <f ca="1">IF(MIN($AA$4:AA1149)=0,0,MAX(0,($AA1149+$K1150-$O1150-$P1150)*IF(AND(F1150="F",$D$3&lt;&gt;$G$3),((1+$AA$1)^(H1150/MIN(G1150,365))),((1+$AA$1)^(1/12)))-$U1150))</f>
        <v>1920000</v>
      </c>
      <c r="AB1150" s="2">
        <f ca="1">IF(MIN($AB$4:AB1149)=0,0,MAX(0,($AB1149+$K1150-$O1150-$P1150)*IF(AND(F1150="F",$D$3&lt;&gt;$G$3),((1+(J1150))^(H1150/MIN(G1150,365))),((1+(J1150))^(1/12)))-$U1150))</f>
        <v>203537794.75188056</v>
      </c>
      <c r="AC1150" s="5"/>
      <c r="AD1150" s="5"/>
      <c r="AE1150" s="5"/>
      <c r="AF1150" s="282">
        <f t="shared" ca="1" si="630"/>
        <v>14258</v>
      </c>
      <c r="AG1150" s="282">
        <f t="shared" ca="1" si="631"/>
        <v>1920000</v>
      </c>
      <c r="AH1150" s="282">
        <f t="shared" ca="1" si="632"/>
        <v>203537795</v>
      </c>
      <c r="AI1150" s="23" t="str">
        <f t="shared" ca="1" si="649"/>
        <v>96-8</v>
      </c>
      <c r="AJ1150" s="282">
        <f ca="1">IF(E1150&gt;111,,IF(AND(OP!$C$99=1,T1150="F"),Z1150,IF(AND(OP!$C$99=2,COUNTIF($T$4:T1150,"F")=1),OP!$C$97+IF(F1150="F",OP!$C$98,0),"")))</f>
        <v>0</v>
      </c>
      <c r="AK1150" s="282">
        <f ca="1">IF(E1150&gt;111,,IF(AND(OP!$D$99=1,T1150="F"),AA1150,IF(AND(OP!$D$99=2,COUNTIF($T$4:T1150,"F")=1),OP!$D$97+IF(F1150="F",OP!$D$98,0),"")))</f>
        <v>0</v>
      </c>
      <c r="AL1150" s="282">
        <f ca="1">IF(E1150&gt;111,,IF(AND(OP!$E$99=1,T1150="F"),AB1150,IF(AND(OP!$E$99=2,COUNTIF($T$4:T1150,"F")=1),OP!$E$97+IF(F1150="F",OP!$E$98,0),"")))</f>
        <v>0</v>
      </c>
      <c r="AM1150" s="1">
        <f t="shared" ca="1" si="653"/>
        <v>8</v>
      </c>
      <c r="AN1150" s="1" t="e">
        <f ca="1">IF(OR(VLOOKUP($A1150,MP,5,0)="半年繳",VLOOKUP($A1150,MP,5,0)="季繳",VLOOKUP($A1150,MP,5,0)="月繳"),1,"")</f>
        <v>#N/A</v>
      </c>
      <c r="AO1150" s="1">
        <f t="shared" ca="1" si="633"/>
        <v>0</v>
      </c>
      <c r="AP1150" s="1" t="str">
        <f ca="1">IF(AND(A1150&lt;=OP!$C$120,COUNTIF(PAY,C1150)=1),1,"")</f>
        <v/>
      </c>
      <c r="AR1150" s="301">
        <f ca="1">IF(繳費報酬率資料!$A$1=1,$AY1150+$AZ1150,$BF1150+$BG1150)</f>
        <v>0</v>
      </c>
      <c r="AS1150" s="1">
        <f ca="1">IF(C1150&lt;&gt;IF($C$3=1,12,$C$3-1),0,IF(繳費報酬率資料!$A$1&lt;&gt;1,VLOOKUP($A1150,MP,8,0),IF(AND($A1150&gt;=OP!$C$79,$A1150&lt;=OP!$C$80),OP!$C$78,)))</f>
        <v>0</v>
      </c>
      <c r="AT1150" s="298">
        <f t="shared" ca="1" si="634"/>
        <v>0</v>
      </c>
      <c r="AU1150" s="298">
        <f ca="1">IF(AND(A1150&lt;=OP!$C$120,COUNTIF(PAY,C1150)=1),OP!$C$123,0)</f>
        <v>0</v>
      </c>
      <c r="AV1150" s="298">
        <f ca="1">IF(AND(A1150&gt;=OP!$C$132,A1150&lt;=OP!$C$133,$C$3=C1150),OP!$C$135,0)</f>
        <v>0</v>
      </c>
      <c r="AW1150" s="180">
        <f t="shared" ca="1" si="635"/>
        <v>0.05</v>
      </c>
      <c r="AX1150" s="180">
        <f t="shared" ca="1" si="636"/>
        <v>0.05</v>
      </c>
      <c r="AY1150" s="286">
        <f t="shared" ca="1" si="637"/>
        <v>0</v>
      </c>
      <c r="AZ1150" s="286">
        <f t="shared" ca="1" si="638"/>
        <v>0</v>
      </c>
      <c r="BA1150" s="286">
        <f t="shared" ca="1" si="639"/>
        <v>0</v>
      </c>
      <c r="BB1150" s="286">
        <f t="shared" ca="1" si="640"/>
        <v>0</v>
      </c>
      <c r="BC1150" s="286">
        <f t="shared" ca="1" si="641"/>
        <v>0</v>
      </c>
      <c r="BD1150" s="180">
        <f t="shared" ca="1" si="642"/>
        <v>0.05</v>
      </c>
      <c r="BE1150" s="180">
        <f t="shared" ca="1" si="643"/>
        <v>0.05</v>
      </c>
      <c r="BF1150" s="286">
        <f t="shared" ca="1" si="644"/>
        <v>0</v>
      </c>
      <c r="BG1150" s="286">
        <f t="shared" ca="1" si="645"/>
        <v>0</v>
      </c>
    </row>
    <row r="1151" spans="1:59">
      <c r="A1151" s="1">
        <f t="shared" ca="1" si="625"/>
        <v>96</v>
      </c>
      <c r="B1151" s="1">
        <f t="shared" ca="1" si="654"/>
        <v>202</v>
      </c>
      <c r="C1151" s="1">
        <f t="shared" ca="1" si="655"/>
        <v>1</v>
      </c>
      <c r="D1151" s="1">
        <f ca="1">MIN($D$3,VLOOKUP(C1151,OP!$S$30:$T$41,2))</f>
        <v>2</v>
      </c>
      <c r="E1151" s="1" t="str">
        <f t="shared" ca="1" si="651"/>
        <v/>
      </c>
      <c r="F1151" s="11" t="str">
        <f t="shared" ca="1" si="626"/>
        <v/>
      </c>
      <c r="G1151" s="8">
        <f t="shared" ca="1" si="658"/>
        <v>365</v>
      </c>
      <c r="H1151" s="8">
        <f t="shared" ca="1" si="627"/>
        <v>31</v>
      </c>
      <c r="I1151" s="8" t="str">
        <f t="shared" ca="1" si="624"/>
        <v>961</v>
      </c>
      <c r="J1151" s="13">
        <f>IF(繳費報酬率資料!$A$1=1,VALUE(OP!$C$121),VLOOKUP(A1151,MP,2,0))</f>
        <v>0.05</v>
      </c>
      <c r="K1151" s="14">
        <f ca="1">IF(SUM($K$4:K1150,IF(繳費報酬率資料!$A$1=1,$AU1151+$AV1151,$BB1151+$BC1151))&gt;OP!$L$58,0,IF(繳費報酬率資料!$A$1=1,$AU1151+$AV1151,$BB1151+$BC1151))</f>
        <v>0</v>
      </c>
      <c r="L1151" s="2"/>
      <c r="M1151" s="2"/>
      <c r="N1151" s="2"/>
      <c r="O1151" s="261">
        <f t="shared" ca="1" si="628"/>
        <v>0</v>
      </c>
      <c r="P1151" s="261">
        <f t="shared" ca="1" si="646"/>
        <v>0</v>
      </c>
      <c r="Q1151" s="3">
        <f ca="1">IF(A1151&gt;MAX(OP!$R$17:$R$26),0,VLOOKUP(A1151,fees,3,FALSE))</f>
        <v>0</v>
      </c>
      <c r="R1151" s="200" t="str">
        <f t="shared" ca="1" si="629"/>
        <v/>
      </c>
      <c r="S1151" s="9" t="str">
        <f ca="1">IF(COUNTIF(($T$4:T1150),"F")&gt;=1,"",IF(OR(C1152&lt;&gt;$C$3,E1151=""),"",A1151))</f>
        <v/>
      </c>
      <c r="T1151" s="20" t="str">
        <f t="shared" ca="1" si="652"/>
        <v/>
      </c>
      <c r="U1151" s="2">
        <f ca="1">IF(IF(OP!$C$83=1,$Z1150,IF(OP!$C$83=2,$AA1150,IF(OP!$C$83=3,$AB1150,)))+$K1151-$O1151-$P1151-$AS1151&lt;OP!$C$142,0,$AS1151)</f>
        <v>0</v>
      </c>
      <c r="V1151" s="9"/>
      <c r="W1151" s="19">
        <f ca="1">MAX(SUM($K$4:K1151),0)</f>
        <v>2000000</v>
      </c>
      <c r="X1151" s="19"/>
      <c r="Y1151" s="19">
        <f t="shared" ca="1" si="647"/>
        <v>1920000</v>
      </c>
      <c r="Z1151" s="2">
        <f ca="1">IF(MIN($Z$4:Z1150)=0,0,MAX(0,($Z1150+$K1151-$O1151-$P1151)*IF(AND(F1151="F",$D$3&lt;&gt;$G$3),((1+(-J1151))^(H1151/MIN(G1151,365))),((1+(-J1151))^(1/12)))-$U1151))</f>
        <v>14196.87640048237</v>
      </c>
      <c r="AA1151" s="2">
        <f ca="1">IF(MIN($AA$4:AA1150)=0,0,MAX(0,($AA1150+$K1151-$O1151-$P1151)*IF(AND(F1151="F",$D$3&lt;&gt;$G$3),((1+$AA$1)^(H1151/MIN(G1151,365))),((1+$AA$1)^(1/12)))-$U1151))</f>
        <v>1920000</v>
      </c>
      <c r="AB1151" s="2">
        <f ca="1">IF(MIN($AB$4:AB1150)=0,0,MAX(0,($AB1150+$K1151-$O1151-$P1151)*IF(AND(F1151="F",$D$3&lt;&gt;$G$3),((1+(J1151))^(H1151/MIN(G1151,365))),((1+(J1151))^(1/12)))-$U1151))</f>
        <v>204367032.92235053</v>
      </c>
      <c r="AC1151" s="5"/>
      <c r="AD1151" s="5"/>
      <c r="AE1151" s="5"/>
      <c r="AF1151" s="282">
        <f t="shared" ca="1" si="630"/>
        <v>14197</v>
      </c>
      <c r="AG1151" s="282">
        <f t="shared" ca="1" si="631"/>
        <v>1920000</v>
      </c>
      <c r="AH1151" s="282">
        <f t="shared" ca="1" si="632"/>
        <v>204367033</v>
      </c>
      <c r="AI1151" s="23" t="str">
        <f t="shared" ca="1" si="649"/>
        <v>96-9</v>
      </c>
      <c r="AJ1151" s="282">
        <f ca="1">IF(E1151&gt;111,,IF(AND(OP!$C$99=1,T1151="F"),Z1151,IF(AND(OP!$C$99=2,COUNTIF($T$4:T1151,"F")=1),OP!$C$97+IF(F1151="F",OP!$C$98,0),"")))</f>
        <v>0</v>
      </c>
      <c r="AK1151" s="282">
        <f ca="1">IF(E1151&gt;111,,IF(AND(OP!$D$99=1,T1151="F"),AA1151,IF(AND(OP!$D$99=2,COUNTIF($T$4:T1151,"F")=1),OP!$D$97+IF(F1151="F",OP!$D$98,0),"")))</f>
        <v>0</v>
      </c>
      <c r="AL1151" s="282">
        <f ca="1">IF(E1151&gt;111,,IF(AND(OP!$E$99=1,T1151="F"),AB1151,IF(AND(OP!$E$99=2,COUNTIF($T$4:T1151,"F")=1),OP!$E$97+IF(F1151="F",OP!$E$98,0),"")))</f>
        <v>0</v>
      </c>
      <c r="AM1151" s="1">
        <f t="shared" ca="1" si="653"/>
        <v>9</v>
      </c>
      <c r="AN1151" s="1" t="e">
        <f ca="1">IF(OR(VLOOKUP($A1151,MP,5,0)="月繳"),1,"")</f>
        <v>#N/A</v>
      </c>
      <c r="AO1151" s="1">
        <f t="shared" ca="1" si="633"/>
        <v>0</v>
      </c>
      <c r="AP1151" s="1" t="str">
        <f ca="1">IF(AND(A1151&lt;=OP!$C$120,COUNTIF(PAY,C1151)=1),1,"")</f>
        <v/>
      </c>
      <c r="AR1151" s="301">
        <f ca="1">IF(繳費報酬率資料!$A$1=1,$AY1151+$AZ1151,$BF1151+$BG1151)</f>
        <v>0</v>
      </c>
      <c r="AS1151" s="1">
        <f ca="1">IF(C1151&lt;&gt;IF($C$3=1,12,$C$3-1),0,IF(繳費報酬率資料!$A$1&lt;&gt;1,VLOOKUP($A1151,MP,8,0),IF(AND($A1151&gt;=OP!$C$79,$A1151&lt;=OP!$C$80),OP!$C$78,)))</f>
        <v>0</v>
      </c>
      <c r="AT1151" s="298">
        <f t="shared" ca="1" si="634"/>
        <v>0</v>
      </c>
      <c r="AU1151" s="298">
        <f ca="1">IF(AND(A1151&lt;=OP!$C$120,COUNTIF(PAY,C1151)=1),OP!$C$123,0)</f>
        <v>0</v>
      </c>
      <c r="AV1151" s="298">
        <f ca="1">IF(AND(A1151&gt;=OP!$C$132,A1151&lt;=OP!$C$133,$C$3=C1151),OP!$C$135,0)</f>
        <v>0</v>
      </c>
      <c r="AW1151" s="180">
        <f t="shared" ca="1" si="635"/>
        <v>0.05</v>
      </c>
      <c r="AX1151" s="180">
        <f t="shared" ca="1" si="636"/>
        <v>0.05</v>
      </c>
      <c r="AY1151" s="286">
        <f t="shared" ca="1" si="637"/>
        <v>0</v>
      </c>
      <c r="AZ1151" s="286">
        <f t="shared" ca="1" si="638"/>
        <v>0</v>
      </c>
      <c r="BA1151" s="286">
        <f t="shared" ca="1" si="639"/>
        <v>0</v>
      </c>
      <c r="BB1151" s="286">
        <f t="shared" ca="1" si="640"/>
        <v>0</v>
      </c>
      <c r="BC1151" s="286">
        <f t="shared" ca="1" si="641"/>
        <v>0</v>
      </c>
      <c r="BD1151" s="180">
        <f t="shared" ca="1" si="642"/>
        <v>0.05</v>
      </c>
      <c r="BE1151" s="180">
        <f t="shared" ca="1" si="643"/>
        <v>0.05</v>
      </c>
      <c r="BF1151" s="286">
        <f t="shared" ca="1" si="644"/>
        <v>0</v>
      </c>
      <c r="BG1151" s="286">
        <f t="shared" ca="1" si="645"/>
        <v>0</v>
      </c>
    </row>
    <row r="1152" spans="1:59">
      <c r="A1152" s="1">
        <f t="shared" ca="1" si="625"/>
        <v>96</v>
      </c>
      <c r="B1152" s="1">
        <f t="shared" ca="1" si="654"/>
        <v>202</v>
      </c>
      <c r="C1152" s="1">
        <f t="shared" ca="1" si="655"/>
        <v>2</v>
      </c>
      <c r="D1152" s="1">
        <f ca="1">MIN($D$3,VLOOKUP(C1152,OP!$S$30:$T$41,2))</f>
        <v>2</v>
      </c>
      <c r="E1152" s="1" t="str">
        <f t="shared" ca="1" si="651"/>
        <v/>
      </c>
      <c r="F1152" s="11" t="str">
        <f t="shared" ca="1" si="626"/>
        <v/>
      </c>
      <c r="G1152" s="8">
        <f t="shared" ca="1" si="658"/>
        <v>365</v>
      </c>
      <c r="H1152" s="8">
        <f t="shared" ca="1" si="627"/>
        <v>28</v>
      </c>
      <c r="I1152" s="8" t="str">
        <f t="shared" ca="1" si="624"/>
        <v>962</v>
      </c>
      <c r="J1152" s="13">
        <f>IF(繳費報酬率資料!$A$1=1,VALUE(OP!$C$121),VLOOKUP(A1152,MP,2,0))</f>
        <v>0.05</v>
      </c>
      <c r="K1152" s="14">
        <f ca="1">IF(SUM($K$4:K1151,IF(繳費報酬率資料!$A$1=1,$AU1152+$AV1152,$BB1152+$BC1152))&gt;OP!$L$58,0,IF(繳費報酬率資料!$A$1=1,$AU1152+$AV1152,$BB1152+$BC1152))</f>
        <v>0</v>
      </c>
      <c r="L1152" s="2"/>
      <c r="M1152" s="2"/>
      <c r="N1152" s="2"/>
      <c r="O1152" s="261">
        <f t="shared" ca="1" si="628"/>
        <v>0</v>
      </c>
      <c r="P1152" s="261">
        <f t="shared" ca="1" si="646"/>
        <v>0</v>
      </c>
      <c r="Q1152" s="3">
        <f ca="1">IF(A1152&gt;MAX(OP!$R$17:$R$26),0,VLOOKUP(A1152,fees,3,FALSE))</f>
        <v>0</v>
      </c>
      <c r="R1152" s="200" t="str">
        <f t="shared" ca="1" si="629"/>
        <v/>
      </c>
      <c r="S1152" s="9" t="str">
        <f ca="1">IF(COUNTIF(($T$4:T1151),"F")&gt;=1,"",IF(OR(C1153&lt;&gt;$C$3,E1152=""),"",A1152))</f>
        <v/>
      </c>
      <c r="T1152" s="20" t="str">
        <f t="shared" ca="1" si="652"/>
        <v/>
      </c>
      <c r="U1152" s="2">
        <f ca="1">IF(IF(OP!$C$83=1,$Z1151,IF(OP!$C$83=2,$AA1151,IF(OP!$C$83=3,$AB1151,)))+$K1152-$O1152-$P1152-$AS1152&lt;OP!$C$142,0,$AS1152)</f>
        <v>0</v>
      </c>
      <c r="V1152" s="9"/>
      <c r="W1152" s="19">
        <f ca="1">MAX(SUM($K$4:K1152),0)</f>
        <v>2000000</v>
      </c>
      <c r="X1152" s="19"/>
      <c r="Y1152" s="19">
        <f t="shared" ca="1" si="647"/>
        <v>1920000</v>
      </c>
      <c r="Z1152" s="2">
        <f ca="1">IF(MIN($Z$4:Z1151)=0,0,MAX(0,($Z1151+$K1152-$O1152-$P1152)*IF(AND(F1152="F",$D$3&lt;&gt;$G$3),((1+(-J1152))^(H1152/MIN(G1152,365))),((1+(-J1152))^(1/12)))-$U1152))</f>
        <v>14136.322196988685</v>
      </c>
      <c r="AA1152" s="2">
        <f ca="1">IF(MIN($AA$4:AA1151)=0,0,MAX(0,($AA1151+$K1152-$O1152-$P1152)*IF(AND(F1152="F",$D$3&lt;&gt;$G$3),((1+$AA$1)^(H1152/MIN(G1152,365))),((1+$AA$1)^(1/12)))-$U1152))</f>
        <v>1920000</v>
      </c>
      <c r="AB1152" s="2">
        <f ca="1">IF(MIN($AB$4:AB1151)=0,0,MAX(0,($AB1151+$K1152-$O1152-$P1152)*IF(AND(F1152="F",$D$3&lt;&gt;$G$3),((1+(J1152))^(H1152/MIN(G1152,365))),((1+(J1152))^(1/12)))-$U1152))</f>
        <v>205199649.51177311</v>
      </c>
      <c r="AC1152" s="5"/>
      <c r="AD1152" s="5"/>
      <c r="AE1152" s="5"/>
      <c r="AF1152" s="282">
        <f t="shared" ca="1" si="630"/>
        <v>14136</v>
      </c>
      <c r="AG1152" s="282">
        <f t="shared" ca="1" si="631"/>
        <v>1920000</v>
      </c>
      <c r="AH1152" s="282">
        <f t="shared" ca="1" si="632"/>
        <v>205199650</v>
      </c>
      <c r="AI1152" s="23" t="str">
        <f t="shared" ca="1" si="649"/>
        <v>96-10</v>
      </c>
      <c r="AJ1152" s="282">
        <f ca="1">IF(E1152&gt;111,,IF(AND(OP!$C$99=1,T1152="F"),Z1152,IF(AND(OP!$C$99=2,COUNTIF($T$4:T1152,"F")=1),OP!$C$97+IF(F1152="F",OP!$C$98,0),"")))</f>
        <v>0</v>
      </c>
      <c r="AK1152" s="282">
        <f ca="1">IF(E1152&gt;111,,IF(AND(OP!$D$99=1,T1152="F"),AA1152,IF(AND(OP!$D$99=2,COUNTIF($T$4:T1152,"F")=1),OP!$D$97+IF(F1152="F",OP!$D$98,0),"")))</f>
        <v>0</v>
      </c>
      <c r="AL1152" s="282">
        <f ca="1">IF(E1152&gt;111,,IF(AND(OP!$E$99=1,T1152="F"),AB1152,IF(AND(OP!$E$99=2,COUNTIF($T$4:T1152,"F")=1),OP!$E$97+IF(F1152="F",OP!$E$98,0),"")))</f>
        <v>0</v>
      </c>
      <c r="AM1152" s="1">
        <f t="shared" ca="1" si="653"/>
        <v>10</v>
      </c>
      <c r="AN1152" s="1" t="e">
        <f ca="1">IF(OR(VLOOKUP($A1152,MP,5,0)="月繳"),1,"")</f>
        <v>#N/A</v>
      </c>
      <c r="AO1152" s="1">
        <f t="shared" ca="1" si="633"/>
        <v>0</v>
      </c>
      <c r="AP1152" s="1" t="str">
        <f ca="1">IF(AND(A1152&lt;=OP!$C$120,COUNTIF(PAY,C1152)=1),1,"")</f>
        <v/>
      </c>
      <c r="AR1152" s="301">
        <f ca="1">IF(繳費報酬率資料!$A$1=1,$AY1152+$AZ1152,$BF1152+$BG1152)</f>
        <v>0</v>
      </c>
      <c r="AS1152" s="1">
        <f ca="1">IF(C1152&lt;&gt;IF($C$3=1,12,$C$3-1),0,IF(繳費報酬率資料!$A$1&lt;&gt;1,VLOOKUP($A1152,MP,8,0),IF(AND($A1152&gt;=OP!$C$79,$A1152&lt;=OP!$C$80),OP!$C$78,)))</f>
        <v>0</v>
      </c>
      <c r="AT1152" s="298">
        <f t="shared" ca="1" si="634"/>
        <v>0</v>
      </c>
      <c r="AU1152" s="298">
        <f ca="1">IF(AND(A1152&lt;=OP!$C$120,COUNTIF(PAY,C1152)=1),OP!$C$123,0)</f>
        <v>0</v>
      </c>
      <c r="AV1152" s="298">
        <f ca="1">IF(AND(A1152&gt;=OP!$C$132,A1152&lt;=OP!$C$133,$C$3=C1152),OP!$C$135,0)</f>
        <v>0</v>
      </c>
      <c r="AW1152" s="180">
        <f t="shared" ca="1" si="635"/>
        <v>0.05</v>
      </c>
      <c r="AX1152" s="180">
        <f t="shared" ca="1" si="636"/>
        <v>0.05</v>
      </c>
      <c r="AY1152" s="286">
        <f t="shared" ca="1" si="637"/>
        <v>0</v>
      </c>
      <c r="AZ1152" s="286">
        <f t="shared" ca="1" si="638"/>
        <v>0</v>
      </c>
      <c r="BA1152" s="286">
        <f t="shared" ca="1" si="639"/>
        <v>0</v>
      </c>
      <c r="BB1152" s="286">
        <f t="shared" ca="1" si="640"/>
        <v>0</v>
      </c>
      <c r="BC1152" s="286">
        <f t="shared" ca="1" si="641"/>
        <v>0</v>
      </c>
      <c r="BD1152" s="180">
        <f t="shared" ca="1" si="642"/>
        <v>0.05</v>
      </c>
      <c r="BE1152" s="180">
        <f t="shared" ca="1" si="643"/>
        <v>0.05</v>
      </c>
      <c r="BF1152" s="286">
        <f t="shared" ca="1" si="644"/>
        <v>0</v>
      </c>
      <c r="BG1152" s="286">
        <f t="shared" ca="1" si="645"/>
        <v>0</v>
      </c>
    </row>
    <row r="1153" spans="1:59">
      <c r="A1153" s="1">
        <f t="shared" ca="1" si="625"/>
        <v>96</v>
      </c>
      <c r="B1153" s="1">
        <f t="shared" ca="1" si="654"/>
        <v>202</v>
      </c>
      <c r="C1153" s="1">
        <f t="shared" ca="1" si="655"/>
        <v>3</v>
      </c>
      <c r="D1153" s="1">
        <f ca="1">MIN($D$3,VLOOKUP(C1153,OP!$S$30:$T$41,2))</f>
        <v>2</v>
      </c>
      <c r="E1153" s="1" t="str">
        <f t="shared" ca="1" si="651"/>
        <v/>
      </c>
      <c r="F1153" s="11" t="str">
        <f t="shared" ca="1" si="626"/>
        <v/>
      </c>
      <c r="G1153" s="8">
        <f t="shared" ca="1" si="658"/>
        <v>365</v>
      </c>
      <c r="H1153" s="8">
        <f t="shared" ca="1" si="627"/>
        <v>31</v>
      </c>
      <c r="I1153" s="8" t="str">
        <f t="shared" ca="1" si="624"/>
        <v>963</v>
      </c>
      <c r="J1153" s="13">
        <f>IF(繳費報酬率資料!$A$1=1,VALUE(OP!$C$121),VLOOKUP(A1153,MP,2,0))</f>
        <v>0.05</v>
      </c>
      <c r="K1153" s="14">
        <f ca="1">IF(SUM($K$4:K1152,IF(繳費報酬率資料!$A$1=1,$AU1153+$AV1153,$BB1153+$BC1153))&gt;OP!$L$58,0,IF(繳費報酬率資料!$A$1=1,$AU1153+$AV1153,$BB1153+$BC1153))</f>
        <v>0</v>
      </c>
      <c r="L1153" s="2"/>
      <c r="M1153" s="2"/>
      <c r="N1153" s="2"/>
      <c r="O1153" s="261">
        <f t="shared" ca="1" si="628"/>
        <v>0</v>
      </c>
      <c r="P1153" s="261">
        <f t="shared" ca="1" si="646"/>
        <v>0</v>
      </c>
      <c r="Q1153" s="3">
        <f ca="1">IF(A1153&gt;MAX(OP!$R$17:$R$26),0,VLOOKUP(A1153,fees,3,FALSE))</f>
        <v>0</v>
      </c>
      <c r="R1153" s="200" t="str">
        <f t="shared" ca="1" si="629"/>
        <v/>
      </c>
      <c r="S1153" s="9" t="str">
        <f ca="1">IF(COUNTIF(($T$4:T1152),"F")&gt;=1,"",IF(OR(C1154&lt;&gt;$C$3,E1153=""),"",A1153))</f>
        <v/>
      </c>
      <c r="T1153" s="20" t="str">
        <f t="shared" ca="1" si="652"/>
        <v/>
      </c>
      <c r="U1153" s="2">
        <f ca="1">IF(IF(OP!$C$83=1,$Z1152,IF(OP!$C$83=2,$AA1152,IF(OP!$C$83=3,$AB1152,)))+$K1153-$O1153-$P1153-$AS1153&lt;OP!$C$142,0,$AS1153)</f>
        <v>0</v>
      </c>
      <c r="V1153" s="9"/>
      <c r="W1153" s="19">
        <f ca="1">MAX(SUM($K$4:K1153),0)</f>
        <v>2000000</v>
      </c>
      <c r="X1153" s="19"/>
      <c r="Y1153" s="19">
        <f t="shared" ca="1" si="647"/>
        <v>1920000</v>
      </c>
      <c r="Z1153" s="2">
        <f ca="1">IF(MIN($Z$4:Z1152)=0,0,MAX(0,($Z1152+$K1153-$O1153-$P1153)*IF(AND(F1153="F",$D$3&lt;&gt;$G$3),((1+(-J1153))^(H1153/MIN(G1153,365))),((1+(-J1153))^(1/12)))-$U1153))</f>
        <v>14076.026276476223</v>
      </c>
      <c r="AA1153" s="2">
        <f ca="1">IF(MIN($AA$4:AA1152)=0,0,MAX(0,($AA1152+$K1153-$O1153-$P1153)*IF(AND(F1153="F",$D$3&lt;&gt;$G$3),((1+$AA$1)^(H1153/MIN(G1153,365))),((1+$AA$1)^(1/12)))-$U1153))</f>
        <v>1920000</v>
      </c>
      <c r="AB1153" s="2">
        <f ca="1">IF(MIN($AB$4:AB1152)=0,0,MAX(0,($AB1152+$K1153-$O1153-$P1153)*IF(AND(F1153="F",$D$3&lt;&gt;$G$3),((1+(J1153))^(H1153/MIN(G1153,365))),((1+(J1153))^(1/12)))-$U1153))</f>
        <v>206035658.28424534</v>
      </c>
      <c r="AC1153" s="5"/>
      <c r="AD1153" s="5"/>
      <c r="AE1153" s="5"/>
      <c r="AF1153" s="282">
        <f t="shared" ca="1" si="630"/>
        <v>14076</v>
      </c>
      <c r="AG1153" s="282">
        <f t="shared" ca="1" si="631"/>
        <v>1920000</v>
      </c>
      <c r="AH1153" s="282">
        <f t="shared" ca="1" si="632"/>
        <v>206035658</v>
      </c>
      <c r="AI1153" s="23" t="str">
        <f t="shared" ca="1" si="649"/>
        <v>96-11</v>
      </c>
      <c r="AJ1153" s="282">
        <f ca="1">IF(E1153&gt;111,,IF(AND(OP!$C$99=1,T1153="F"),Z1153,IF(AND(OP!$C$99=2,COUNTIF($T$4:T1153,"F")=1),OP!$C$97+IF(F1153="F",OP!$C$98,0),"")))</f>
        <v>0</v>
      </c>
      <c r="AK1153" s="282">
        <f ca="1">IF(E1153&gt;111,,IF(AND(OP!$D$99=1,T1153="F"),AA1153,IF(AND(OP!$D$99=2,COUNTIF($T$4:T1153,"F")=1),OP!$D$97+IF(F1153="F",OP!$D$98,0),"")))</f>
        <v>0</v>
      </c>
      <c r="AL1153" s="282">
        <f ca="1">IF(E1153&gt;111,,IF(AND(OP!$E$99=1,T1153="F"),AB1153,IF(AND(OP!$E$99=2,COUNTIF($T$4:T1153,"F")=1),OP!$E$97+IF(F1153="F",OP!$E$98,0),"")))</f>
        <v>0</v>
      </c>
      <c r="AM1153" s="1">
        <f t="shared" ca="1" si="653"/>
        <v>11</v>
      </c>
      <c r="AN1153" s="1" t="e">
        <f ca="1">IF(OR(VLOOKUP($A1153,MP,5,0)="季繳",VLOOKUP($A1153,MP,5,0)="月繳"),1,"")</f>
        <v>#N/A</v>
      </c>
      <c r="AO1153" s="1">
        <f t="shared" ca="1" si="633"/>
        <v>0</v>
      </c>
      <c r="AP1153" s="1" t="str">
        <f ca="1">IF(AND(A1153&lt;=OP!$C$120,COUNTIF(PAY,C1153)=1),1,"")</f>
        <v/>
      </c>
      <c r="AR1153" s="301">
        <f ca="1">IF(繳費報酬率資料!$A$1=1,$AY1153+$AZ1153,$BF1153+$BG1153)</f>
        <v>0</v>
      </c>
      <c r="AS1153" s="1">
        <f ca="1">IF(C1153&lt;&gt;IF($C$3=1,12,$C$3-1),0,IF(繳費報酬率資料!$A$1&lt;&gt;1,VLOOKUP($A1153,MP,8,0),IF(AND($A1153&gt;=OP!$C$79,$A1153&lt;=OP!$C$80),OP!$C$78,)))</f>
        <v>0</v>
      </c>
      <c r="AT1153" s="298">
        <f t="shared" ca="1" si="634"/>
        <v>0</v>
      </c>
      <c r="AU1153" s="298">
        <f ca="1">IF(AND(A1153&lt;=OP!$C$120,COUNTIF(PAY,C1153)=1),OP!$C$123,0)</f>
        <v>0</v>
      </c>
      <c r="AV1153" s="298">
        <f ca="1">IF(AND(A1153&gt;=OP!$C$132,A1153&lt;=OP!$C$133,$C$3=C1153),OP!$C$135,0)</f>
        <v>0</v>
      </c>
      <c r="AW1153" s="180">
        <f t="shared" ca="1" si="635"/>
        <v>0.05</v>
      </c>
      <c r="AX1153" s="180">
        <f t="shared" ca="1" si="636"/>
        <v>0.05</v>
      </c>
      <c r="AY1153" s="286">
        <f t="shared" ca="1" si="637"/>
        <v>0</v>
      </c>
      <c r="AZ1153" s="286">
        <f t="shared" ca="1" si="638"/>
        <v>0</v>
      </c>
      <c r="BA1153" s="286">
        <f t="shared" ca="1" si="639"/>
        <v>0</v>
      </c>
      <c r="BB1153" s="286">
        <f t="shared" ca="1" si="640"/>
        <v>0</v>
      </c>
      <c r="BC1153" s="286">
        <f t="shared" ca="1" si="641"/>
        <v>0</v>
      </c>
      <c r="BD1153" s="180">
        <f t="shared" ca="1" si="642"/>
        <v>0.05</v>
      </c>
      <c r="BE1153" s="180">
        <f t="shared" ca="1" si="643"/>
        <v>0.05</v>
      </c>
      <c r="BF1153" s="286">
        <f t="shared" ca="1" si="644"/>
        <v>0</v>
      </c>
      <c r="BG1153" s="286">
        <f t="shared" ca="1" si="645"/>
        <v>0</v>
      </c>
    </row>
    <row r="1154" spans="1:59">
      <c r="A1154" s="1">
        <f t="shared" ca="1" si="625"/>
        <v>96</v>
      </c>
      <c r="B1154" s="1">
        <f t="shared" ca="1" si="654"/>
        <v>202</v>
      </c>
      <c r="C1154" s="1">
        <f t="shared" ca="1" si="655"/>
        <v>4</v>
      </c>
      <c r="D1154" s="1">
        <f ca="1">MIN($D$3,VLOOKUP(C1154,OP!$S$30:$T$41,2))</f>
        <v>2</v>
      </c>
      <c r="E1154" s="1" t="str">
        <f t="shared" ca="1" si="651"/>
        <v/>
      </c>
      <c r="F1154" s="11" t="str">
        <f t="shared" ca="1" si="626"/>
        <v/>
      </c>
      <c r="G1154" s="8">
        <f t="shared" ca="1" si="658"/>
        <v>365</v>
      </c>
      <c r="H1154" s="8">
        <f t="shared" ca="1" si="627"/>
        <v>30</v>
      </c>
      <c r="I1154" s="8" t="str">
        <f t="shared" ca="1" si="624"/>
        <v>964</v>
      </c>
      <c r="J1154" s="13">
        <f>IF(繳費報酬率資料!$A$1=1,VALUE(OP!$C$121),VLOOKUP(A1154,MP,2,0))</f>
        <v>0.05</v>
      </c>
      <c r="K1154" s="14">
        <f ca="1">IF(SUM($K$4:K1153,IF(繳費報酬率資料!$A$1=1,$AU1154+$AV1154,$BB1154+$BC1154))&gt;OP!$L$58,0,IF(繳費報酬率資料!$A$1=1,$AU1154+$AV1154,$BB1154+$BC1154))</f>
        <v>0</v>
      </c>
      <c r="L1154" s="2"/>
      <c r="M1154" s="2"/>
      <c r="N1154" s="2"/>
      <c r="O1154" s="261">
        <f t="shared" ca="1" si="628"/>
        <v>0</v>
      </c>
      <c r="P1154" s="261">
        <f t="shared" ca="1" si="646"/>
        <v>0</v>
      </c>
      <c r="Q1154" s="3">
        <f ca="1">IF(A1154&gt;MAX(OP!$R$17:$R$26),0,VLOOKUP(A1154,fees,3,FALSE))</f>
        <v>0</v>
      </c>
      <c r="R1154" s="200" t="str">
        <f t="shared" ca="1" si="629"/>
        <v/>
      </c>
      <c r="S1154" s="9" t="str">
        <f ca="1">IF(COUNTIF(($T$4:T1153),"F")&gt;=1,"",IF(OR(C1155&lt;&gt;$C$3,E1154=""),"",A1154))</f>
        <v/>
      </c>
      <c r="T1154" s="20" t="str">
        <f t="shared" ca="1" si="652"/>
        <v/>
      </c>
      <c r="U1154" s="2">
        <f ca="1">IF(IF(OP!$C$83=1,$Z1153,IF(OP!$C$83=2,$AA1153,IF(OP!$C$83=3,$AB1153,)))+$K1154-$O1154-$P1154-$AS1154&lt;OP!$C$142,0,$AS1154)</f>
        <v>0</v>
      </c>
      <c r="V1154" s="9"/>
      <c r="W1154" s="19">
        <f ca="1">MAX(SUM($K$4:K1154),0)</f>
        <v>2000000</v>
      </c>
      <c r="X1154" s="19"/>
      <c r="Y1154" s="19">
        <f t="shared" ca="1" si="647"/>
        <v>1920000</v>
      </c>
      <c r="Z1154" s="2">
        <f ca="1">IF(MIN($Z$4:Z1153)=0,0,MAX(0,($Z1153+$K1154-$O1154-$P1154)*IF(AND(F1154="F",$D$3&lt;&gt;$G$3),((1+(-J1154))^(H1154/MIN(G1154,365))),((1+(-J1154))^(1/12)))-$U1154))</f>
        <v>14015.987537285731</v>
      </c>
      <c r="AA1154" s="2">
        <f ca="1">IF(MIN($AA$4:AA1153)=0,0,MAX(0,($AA1153+$K1154-$O1154-$P1154)*IF(AND(F1154="F",$D$3&lt;&gt;$G$3),((1+$AA$1)^(H1154/MIN(G1154,365))),((1+$AA$1)^(1/12)))-$U1154))</f>
        <v>1920000</v>
      </c>
      <c r="AB1154" s="2">
        <f ca="1">IF(MIN($AB$4:AB1153)=0,0,MAX(0,($AB1153+$K1154-$O1154-$P1154)*IF(AND(F1154="F",$D$3&lt;&gt;$G$3),((1+(J1154))^(H1154/MIN(G1154,365))),((1+(J1154))^(1/12)))-$U1154))</f>
        <v>206875073.05994084</v>
      </c>
      <c r="AC1154" s="5"/>
      <c r="AD1154" s="5"/>
      <c r="AE1154" s="5"/>
      <c r="AF1154" s="282">
        <f t="shared" ca="1" si="630"/>
        <v>14016</v>
      </c>
      <c r="AG1154" s="282">
        <f t="shared" ca="1" si="631"/>
        <v>1920000</v>
      </c>
      <c r="AH1154" s="282">
        <f t="shared" ca="1" si="632"/>
        <v>206875073</v>
      </c>
      <c r="AI1154" s="23" t="str">
        <f t="shared" ca="1" si="649"/>
        <v>96-12</v>
      </c>
      <c r="AJ1154" s="282">
        <f ca="1">IF(E1154&gt;111,,IF(AND(OP!$C$99=1,T1154="F"),Z1154,IF(AND(OP!$C$99=2,COUNTIF($T$4:T1154,"F")=1),OP!$C$97+IF(F1154="F",OP!$C$98,0),"")))</f>
        <v>0</v>
      </c>
      <c r="AK1154" s="282">
        <f ca="1">IF(E1154&gt;111,,IF(AND(OP!$D$99=1,T1154="F"),AA1154,IF(AND(OP!$D$99=2,COUNTIF($T$4:T1154,"F")=1),OP!$D$97+IF(F1154="F",OP!$D$98,0),"")))</f>
        <v>0</v>
      </c>
      <c r="AL1154" s="282">
        <f ca="1">IF(E1154&gt;111,,IF(AND(OP!$E$99=1,T1154="F"),AB1154,IF(AND(OP!$E$99=2,COUNTIF($T$4:T1154,"F")=1),OP!$E$97+IF(F1154="F",OP!$E$98,0),"")))</f>
        <v>0</v>
      </c>
      <c r="AM1154" s="1">
        <f t="shared" ca="1" si="653"/>
        <v>12</v>
      </c>
      <c r="AN1154" s="1" t="e">
        <f ca="1">IF(OR(VLOOKUP($A1154,MP,5,0)="月繳"),1,"")</f>
        <v>#N/A</v>
      </c>
      <c r="AO1154" s="1">
        <f t="shared" ca="1" si="633"/>
        <v>0</v>
      </c>
      <c r="AP1154" s="1" t="str">
        <f ca="1">IF(AND(A1154&lt;=OP!$C$120,COUNTIF(PAY,C1154)=1),1,"")</f>
        <v/>
      </c>
      <c r="AR1154" s="301">
        <f ca="1">IF(繳費報酬率資料!$A$1=1,$AY1154+$AZ1154,$BF1154+$BG1154)</f>
        <v>0</v>
      </c>
      <c r="AS1154" s="1">
        <f ca="1">IF(C1154&lt;&gt;IF($C$3=1,12,$C$3-1),0,IF(繳費報酬率資料!$A$1&lt;&gt;1,VLOOKUP($A1154,MP,8,0),IF(AND($A1154&gt;=OP!$C$79,$A1154&lt;=OP!$C$80),OP!$C$78,)))</f>
        <v>0</v>
      </c>
      <c r="AT1154" s="298">
        <f t="shared" ca="1" si="634"/>
        <v>0</v>
      </c>
      <c r="AU1154" s="298">
        <f ca="1">IF(AND(A1154&lt;=OP!$C$120,COUNTIF(PAY,C1154)=1),OP!$C$123,0)</f>
        <v>0</v>
      </c>
      <c r="AV1154" s="298">
        <f ca="1">IF(AND(A1154&gt;=OP!$C$132,A1154&lt;=OP!$C$133,$C$3=C1154),OP!$C$135,0)</f>
        <v>0</v>
      </c>
      <c r="AW1154" s="180">
        <f t="shared" ca="1" si="635"/>
        <v>0.05</v>
      </c>
      <c r="AX1154" s="180">
        <f t="shared" ca="1" si="636"/>
        <v>0.05</v>
      </c>
      <c r="AY1154" s="286">
        <f t="shared" ca="1" si="637"/>
        <v>0</v>
      </c>
      <c r="AZ1154" s="286">
        <f t="shared" ca="1" si="638"/>
        <v>0</v>
      </c>
      <c r="BA1154" s="286">
        <f t="shared" ca="1" si="639"/>
        <v>0</v>
      </c>
      <c r="BB1154" s="286">
        <f t="shared" ca="1" si="640"/>
        <v>0</v>
      </c>
      <c r="BC1154" s="286">
        <f t="shared" ca="1" si="641"/>
        <v>0</v>
      </c>
      <c r="BD1154" s="180">
        <f t="shared" ca="1" si="642"/>
        <v>0.05</v>
      </c>
      <c r="BE1154" s="180">
        <f t="shared" ca="1" si="643"/>
        <v>0.05</v>
      </c>
      <c r="BF1154" s="286">
        <f t="shared" ca="1" si="644"/>
        <v>0</v>
      </c>
      <c r="BG1154" s="286">
        <f t="shared" ca="1" si="645"/>
        <v>0</v>
      </c>
    </row>
    <row r="1155" spans="1:59">
      <c r="A1155" s="1">
        <f t="shared" ca="1" si="625"/>
        <v>96</v>
      </c>
      <c r="B1155" s="1">
        <f t="shared" ca="1" si="654"/>
        <v>202</v>
      </c>
      <c r="C1155" s="1">
        <f t="shared" ca="1" si="655"/>
        <v>5</v>
      </c>
      <c r="D1155" s="1">
        <f ca="1">MIN($D$3,VLOOKUP(C1155,OP!$S$30:$T$41,2))</f>
        <v>2</v>
      </c>
      <c r="E1155" s="1" t="str">
        <f t="shared" ca="1" si="651"/>
        <v/>
      </c>
      <c r="F1155" s="11" t="str">
        <f t="shared" ca="1" si="626"/>
        <v/>
      </c>
      <c r="G1155" s="8">
        <f t="shared" ca="1" si="658"/>
        <v>365</v>
      </c>
      <c r="H1155" s="8">
        <f t="shared" ca="1" si="627"/>
        <v>31</v>
      </c>
      <c r="I1155" s="8" t="str">
        <f t="shared" ca="1" si="624"/>
        <v>965</v>
      </c>
      <c r="J1155" s="13">
        <f>IF(繳費報酬率資料!$A$1=1,VALUE(OP!$C$121),VLOOKUP(A1155,MP,2,0))</f>
        <v>0.05</v>
      </c>
      <c r="K1155" s="14">
        <f ca="1">IF(SUM($K$4:K1154,IF(繳費報酬率資料!$A$1=1,$AU1155+$AV1155,$BB1155+$BC1155))&gt;OP!$L$58,0,IF(繳費報酬率資料!$A$1=1,$AU1155+$AV1155,$BB1155+$BC1155))</f>
        <v>0</v>
      </c>
      <c r="L1155" s="2">
        <f ca="1">ROUND(IF(OP!$C$78&lt;(IF(OR($T1155="F",$E1155&gt;=111),0,Z1154+$K1155-$O1155+IF($C$1=1,OP!$C$78,IF($C1156=$C$3,SUM(AC1144:AC1155,0)))))*5%,0,(OP!$C$78-((IF(OR($T1155="F",$E1155&gt;=111),0,Z1154+$K1155-$O1155+IF($C$1=1,AC1155,IF($C1156=$C$3,SUM(AC1144:AC1155,0)))))*5%))*$Q1155),0)</f>
        <v>0</v>
      </c>
      <c r="M1155" s="2">
        <f ca="1">ROUND(IF(OP!$C$78&lt;(IF(OR($T1155="F",$E1155&gt;=111),0,AA1154+$K1155-$O1155+IF($C$1=1,AD1155,IF($C1156=$C$3,SUM(AD1144:AD1155,0)))))*5%,0,(OP!$C$78-((IF(OR($T1155="F",$E1155&gt;=111),0,AA1154+$K1155-$O1155+IF($C$1=1,AD1155,IF($C1156=$C$3,SUM(AD1144:AD1155,0)))))*5%))*$Q1155),0)</f>
        <v>0</v>
      </c>
      <c r="N1155" s="2">
        <f ca="1">ROUND(IF(OP!$C$78&lt;(IF(OR($T1155="F",$E1155&gt;=111),0,AB1154+$K1155-$O1155+IF($C$1=1,AE1155,IF($C1156=$C$3,SUM(AE1144:AE1155,0)))))*5%,0,(OP!$C$78-((IF(OR($T1155="F",$E1155&gt;=111),0,AB1154+$K1155-$O1155+IF($C$1=1,AE1155,IF($C1156=$C$3,SUM(AE1144:AE1155,0)))))*5%))*$Q1155),0)</f>
        <v>0</v>
      </c>
      <c r="O1155" s="261">
        <f t="shared" ca="1" si="628"/>
        <v>0</v>
      </c>
      <c r="P1155" s="261">
        <f t="shared" ca="1" si="646"/>
        <v>0</v>
      </c>
      <c r="Q1155" s="3">
        <f ca="1">IF(A1155&gt;MAX(OP!$R$17:$R$26),0,VLOOKUP(A1155,fees,3,FALSE))</f>
        <v>0</v>
      </c>
      <c r="R1155" s="200" t="str">
        <f t="shared" ca="1" si="629"/>
        <v/>
      </c>
      <c r="S1155" s="9" t="str">
        <f ca="1">IF(COUNTIF(($T$4:T1154),"F")&gt;=1,"",IF(OR(C1156&lt;&gt;$C$3,E1155=""),"",A1155))</f>
        <v/>
      </c>
      <c r="T1155" s="20" t="str">
        <f t="shared" ca="1" si="652"/>
        <v/>
      </c>
      <c r="U1155" s="2">
        <f ca="1">IF(IF(OP!$C$83=1,$Z1154,IF(OP!$C$83=2,$AA1154,IF(OP!$C$83=3,$AB1154,)))+$K1155-$O1155-$P1155-$AS1155&lt;OP!$C$142,0,$AS1155)</f>
        <v>0</v>
      </c>
      <c r="V1155" s="19">
        <f ca="1">SUM(K1144:K1155)</f>
        <v>0</v>
      </c>
      <c r="W1155" s="19">
        <f ca="1">MAX(SUM($K$4:K1155),0)</f>
        <v>2000000</v>
      </c>
      <c r="X1155" s="19">
        <f ca="1">SUM(O1144:P1155)</f>
        <v>0</v>
      </c>
      <c r="Y1155" s="19">
        <f t="shared" ca="1" si="647"/>
        <v>1920000</v>
      </c>
      <c r="Z1155" s="2">
        <f ca="1">IF(MIN($Z$4:Z1154)=0,0,MAX(0,($Z1154+$K1155-$O1155-$P1155)*IF(AND(F1155="F",$D$3&lt;&gt;$G$3),((1+(-J1155))^(H1155/MIN(G1155,365))),((1+(-J1155))^(1/12)))-$U1155))</f>
        <v>13956.20488245689</v>
      </c>
      <c r="AA1155" s="2">
        <f ca="1">IF(MIN($AA$4:AA1154)=0,0,MAX(0,($AA1154+$K1155-$O1155-$P1155)*IF(AND(F1155="F",$D$3&lt;&gt;$G$3),((1+$AA$1)^(H1155/MIN(G1155,365))),((1+$AA$1)^(1/12)))-$U1155))</f>
        <v>1920000</v>
      </c>
      <c r="AB1155" s="2">
        <f ca="1">IF(MIN($AB$4:AB1154)=0,0,MAX(0,($AB1154+$K1155-$O1155-$P1155)*IF(AND(F1155="F",$D$3&lt;&gt;$G$3),((1+(J1155))^(H1155/MIN(G1155,365))),((1+(J1155))^(1/12)))-$U1155))</f>
        <v>207717907.71533835</v>
      </c>
      <c r="AC1155" s="5"/>
      <c r="AD1155" s="5"/>
      <c r="AE1155" s="5"/>
      <c r="AF1155" s="282">
        <f t="shared" ca="1" si="630"/>
        <v>13956</v>
      </c>
      <c r="AG1155" s="282">
        <f t="shared" ca="1" si="631"/>
        <v>1920000</v>
      </c>
      <c r="AH1155" s="282">
        <f t="shared" ca="1" si="632"/>
        <v>207717908</v>
      </c>
      <c r="AI1155" s="23" t="str">
        <f t="shared" ca="1" si="649"/>
        <v>97-1</v>
      </c>
      <c r="AJ1155" s="282">
        <f ca="1">IF(E1155&gt;111,,IF(AND(OP!$C$99=1,T1155="F"),Z1155,IF(AND(OP!$C$99=2,COUNTIF($T$4:T1155,"F")=1),OP!$C$97+IF(F1155="F",OP!$C$98,0),"")))</f>
        <v>0</v>
      </c>
      <c r="AK1155" s="282">
        <f ca="1">IF(E1155&gt;111,,IF(AND(OP!$D$99=1,T1155="F"),AA1155,IF(AND(OP!$D$99=2,COUNTIF($T$4:T1155,"F")=1),OP!$D$97+IF(F1155="F",OP!$D$98,0),"")))</f>
        <v>0</v>
      </c>
      <c r="AL1155" s="282">
        <f ca="1">IF(E1155&gt;111,,IF(AND(OP!$E$99=1,T1155="F"),AB1155,IF(AND(OP!$E$99=2,COUNTIF($T$4:T1155,"F")=1),OP!$E$97+IF(F1155="F",OP!$E$98,0),"")))</f>
        <v>0</v>
      </c>
      <c r="AM1155" s="1">
        <f t="shared" ca="1" si="653"/>
        <v>1</v>
      </c>
      <c r="AN1155" s="1" t="e">
        <f ca="1">IF(OR(VLOOKUP($A1155,MP,5,0)="月繳"),1,"")</f>
        <v>#N/A</v>
      </c>
      <c r="AO1155" s="1">
        <f t="shared" ca="1" si="633"/>
        <v>0</v>
      </c>
      <c r="AP1155" s="1" t="str">
        <f ca="1">IF(AND(A1155&lt;=OP!$C$120,COUNTIF(PAY,C1155)=1),1,"")</f>
        <v/>
      </c>
      <c r="AR1155" s="301">
        <f ca="1">IF(繳費報酬率資料!$A$1=1,$AY1155+$AZ1155,$BF1155+$BG1155)</f>
        <v>0</v>
      </c>
      <c r="AS1155" s="1">
        <f ca="1">IF(C1155&lt;&gt;IF($C$3=1,12,$C$3-1),0,IF(繳費報酬率資料!$A$1&lt;&gt;1,VLOOKUP($A1155,MP,8,0),IF(AND($A1155&gt;=OP!$C$79,$A1155&lt;=OP!$C$80),OP!$C$78,)))</f>
        <v>0</v>
      </c>
      <c r="AT1155" s="298">
        <f t="shared" ca="1" si="634"/>
        <v>0</v>
      </c>
      <c r="AU1155" s="298">
        <f ca="1">IF(AND(A1155&lt;=OP!$C$120,COUNTIF(PAY,C1155)=1),OP!$C$123,0)</f>
        <v>0</v>
      </c>
      <c r="AV1155" s="298">
        <f ca="1">IF(AND(A1155&gt;=OP!$C$132,A1155&lt;=OP!$C$133,$C$3=C1155),OP!$C$135,0)</f>
        <v>0</v>
      </c>
      <c r="AW1155" s="180">
        <f t="shared" ca="1" si="635"/>
        <v>0.05</v>
      </c>
      <c r="AX1155" s="180">
        <f t="shared" ca="1" si="636"/>
        <v>0.05</v>
      </c>
      <c r="AY1155" s="286">
        <f t="shared" ca="1" si="637"/>
        <v>0</v>
      </c>
      <c r="AZ1155" s="286">
        <f t="shared" ca="1" si="638"/>
        <v>0</v>
      </c>
      <c r="BA1155" s="286">
        <f t="shared" ca="1" si="639"/>
        <v>0</v>
      </c>
      <c r="BB1155" s="286">
        <f t="shared" ca="1" si="640"/>
        <v>0</v>
      </c>
      <c r="BC1155" s="286">
        <f t="shared" ca="1" si="641"/>
        <v>0</v>
      </c>
      <c r="BD1155" s="180">
        <f t="shared" ca="1" si="642"/>
        <v>0.05</v>
      </c>
      <c r="BE1155" s="180">
        <f t="shared" ca="1" si="643"/>
        <v>0.05</v>
      </c>
      <c r="BF1155" s="286">
        <f t="shared" ca="1" si="644"/>
        <v>0</v>
      </c>
      <c r="BG1155" s="286">
        <f t="shared" ca="1" si="645"/>
        <v>0</v>
      </c>
    </row>
    <row r="1156" spans="1:59">
      <c r="A1156" s="1">
        <f t="shared" ca="1" si="625"/>
        <v>97</v>
      </c>
      <c r="B1156" s="1">
        <f t="shared" ca="1" si="654"/>
        <v>202</v>
      </c>
      <c r="C1156" s="1">
        <f t="shared" ca="1" si="655"/>
        <v>6</v>
      </c>
      <c r="D1156" s="1">
        <f ca="1">MIN($D$3,VLOOKUP(C1156,OP!$S$30:$T$41,2))</f>
        <v>2</v>
      </c>
      <c r="E1156" s="1" t="str">
        <f t="shared" ca="1" si="651"/>
        <v/>
      </c>
      <c r="F1156" s="11" t="str">
        <f t="shared" ca="1" si="626"/>
        <v/>
      </c>
      <c r="G1156" s="6">
        <f ca="1">DATEDIF(DATE(B1156+1911,C1156,D1156),DATE(B1168+1911,C1168,D1168),"d")</f>
        <v>365</v>
      </c>
      <c r="H1156" s="8">
        <f t="shared" ca="1" si="627"/>
        <v>30</v>
      </c>
      <c r="I1156" s="8" t="str">
        <f t="shared" ref="I1156:I1167" ca="1" si="659">A1156&amp;C1156</f>
        <v>976</v>
      </c>
      <c r="J1156" s="13">
        <f>IF(繳費報酬率資料!$A$1=1,VALUE(OP!$C$121),VLOOKUP(A1156,MP,2,0))</f>
        <v>0.05</v>
      </c>
      <c r="K1156" s="14">
        <f ca="1">IF(SUM($K$4:K1155,IF(繳費報酬率資料!$A$1=1,$AU1156+$AV1156,$BB1156+$BC1156))&gt;OP!$L$58,0,IF(繳費報酬率資料!$A$1=1,$AU1156+$AV1156,$BB1156+$BC1156))</f>
        <v>0</v>
      </c>
      <c r="L1156" s="2"/>
      <c r="M1156" s="2"/>
      <c r="N1156" s="2"/>
      <c r="O1156" s="261">
        <f t="shared" ca="1" si="628"/>
        <v>0</v>
      </c>
      <c r="P1156" s="261">
        <f t="shared" ca="1" si="646"/>
        <v>0</v>
      </c>
      <c r="Q1156" s="3">
        <f ca="1">IF(A1156&gt;MAX(OP!$R$17:$R$26),0,VLOOKUP(A1156,fees,3,FALSE))</f>
        <v>0</v>
      </c>
      <c r="R1156" s="200" t="str">
        <f t="shared" ca="1" si="629"/>
        <v/>
      </c>
      <c r="S1156" s="9" t="str">
        <f ca="1">IF(COUNTIF(($T$4:T1155),"F")&gt;=1,"",IF(OR(C1157&lt;&gt;$C$3,E1156=""),"",A1156))</f>
        <v/>
      </c>
      <c r="T1156" s="20" t="str">
        <f t="shared" ca="1" si="652"/>
        <v/>
      </c>
      <c r="U1156" s="2">
        <f ca="1">IF(IF(OP!$C$83=1,$Z1155,IF(OP!$C$83=2,$AA1155,IF(OP!$C$83=3,$AB1155,)))+$K1156-$O1156-$P1156-$AS1156&lt;OP!$C$142,0,$AS1156)</f>
        <v>0</v>
      </c>
      <c r="V1156" s="9"/>
      <c r="W1156" s="19">
        <f ca="1">MAX(SUM($K$4:K1156),0)</f>
        <v>2000000</v>
      </c>
      <c r="X1156" s="19"/>
      <c r="Y1156" s="19">
        <f t="shared" ca="1" si="647"/>
        <v>1920000</v>
      </c>
      <c r="Z1156" s="2">
        <f ca="1">IF(MIN($Z$4:Z1155)=0,0,MAX(0,($Z1155+$K1156-$O1156-$P1156)*IF(AND(F1156="F",$D$3&lt;&gt;$G$3),((1+(-J1156))^(H1156/MIN(G1156,365))),((1+(-J1156))^(1/12)))-$U1156))</f>
        <v>13896.677219708263</v>
      </c>
      <c r="AA1156" s="2">
        <f ca="1">IF(MIN($AA$4:AA1155)=0,0,MAX(0,($AA1155+$K1156-$O1156-$P1156)*IF(AND(F1156="F",$D$3&lt;&gt;$G$3),((1+$AA$1)^(H1156/MIN(G1156,365))),((1+$AA$1)^(1/12)))-$U1156))</f>
        <v>1920000</v>
      </c>
      <c r="AB1156" s="2">
        <f ca="1">IF(MIN($AB$4:AB1155)=0,0,MAX(0,($AB1155+$K1156-$O1156-$P1156)*IF(AND(F1156="F",$D$3&lt;&gt;$G$3),((1+(J1156))^(H1156/MIN(G1156,365))),((1+(J1156))^(1/12)))-$U1156))</f>
        <v>208564176.18345109</v>
      </c>
      <c r="AC1156" s="21"/>
      <c r="AD1156" s="21"/>
      <c r="AE1156" s="21"/>
      <c r="AF1156" s="282">
        <f t="shared" ca="1" si="630"/>
        <v>13897</v>
      </c>
      <c r="AG1156" s="282">
        <f t="shared" ca="1" si="631"/>
        <v>1920000</v>
      </c>
      <c r="AH1156" s="282">
        <f t="shared" ca="1" si="632"/>
        <v>208564176</v>
      </c>
      <c r="AI1156" s="23" t="str">
        <f t="shared" ca="1" si="649"/>
        <v>97-2</v>
      </c>
      <c r="AJ1156" s="281">
        <f ca="1">IF(E1156&gt;111,,IF(AND(OP!$C$99=1,T1156="F"),Z1156,IF(AND(OP!$C$99=2,COUNTIF($T$4:T1156,"F")=1),OP!$C$97+IF(F1156="F",OP!$C$98,0),"")))</f>
        <v>0</v>
      </c>
      <c r="AK1156" s="281">
        <f ca="1">IF(E1156&gt;111,,IF(AND(OP!$D$99=1,T1156="F"),AA1156,IF(AND(OP!$D$99=2,COUNTIF($T$4:T1156,"F")=1),OP!$D$97+IF(F1156="F",OP!$D$98,0),"")))</f>
        <v>0</v>
      </c>
      <c r="AL1156" s="281">
        <f ca="1">IF(E1156&gt;111,,IF(AND(OP!$E$99=1,T1156="F"),AB1156,IF(AND(OP!$E$99=2,COUNTIF($T$4:T1156,"F")=1),OP!$E$97+IF(F1156="F",OP!$E$98,0),"")))</f>
        <v>0</v>
      </c>
      <c r="AM1156" s="1">
        <f t="shared" ca="1" si="653"/>
        <v>2</v>
      </c>
      <c r="AN1156" s="1" t="e">
        <f ca="1">IF(OR(VLOOKUP($A1156,MP,5,0)="年繳",VLOOKUP($A1156,MP,5,0)="半年繳",VLOOKUP($A1156,MP,5,0)="季繳",VLOOKUP($A1156,MP,5,0)="月繳"),1,"")</f>
        <v>#N/A</v>
      </c>
      <c r="AO1156" s="1">
        <f t="shared" ca="1" si="633"/>
        <v>0</v>
      </c>
      <c r="AP1156" s="1" t="str">
        <f ca="1">IF(AND(A1156&lt;=OP!$C$120,COUNTIF(PAY,C1156)=1),1,"")</f>
        <v/>
      </c>
      <c r="AR1156" s="301">
        <f ca="1">IF(繳費報酬率資料!$A$1=1,$AY1156+$AZ1156,$BF1156+$BG1156)</f>
        <v>0</v>
      </c>
      <c r="AS1156" s="1">
        <f ca="1">IF(C1156&lt;&gt;IF($C$3=1,12,$C$3-1),0,IF(繳費報酬率資料!$A$1&lt;&gt;1,VLOOKUP($A1156,MP,8,0),IF(AND($A1156&gt;=OP!$C$79,$A1156&lt;=OP!$C$80),OP!$C$78,)))</f>
        <v>0</v>
      </c>
      <c r="AT1156" s="298">
        <f t="shared" ca="1" si="634"/>
        <v>0</v>
      </c>
      <c r="AU1156" s="298">
        <f ca="1">IF(AND(A1156&lt;=OP!$C$120,COUNTIF(PAY,C1156)=1),OP!$C$123,0)</f>
        <v>0</v>
      </c>
      <c r="AV1156" s="298">
        <f ca="1">IF(AND(A1156&gt;=OP!$C$132,A1156&lt;=OP!$C$133,$C$3=C1156),OP!$C$135,0)</f>
        <v>0</v>
      </c>
      <c r="AW1156" s="180">
        <f t="shared" ca="1" si="635"/>
        <v>0.05</v>
      </c>
      <c r="AX1156" s="180">
        <f t="shared" ca="1" si="636"/>
        <v>0.05</v>
      </c>
      <c r="AY1156" s="286">
        <f t="shared" ca="1" si="637"/>
        <v>0</v>
      </c>
      <c r="AZ1156" s="286">
        <f t="shared" ca="1" si="638"/>
        <v>0</v>
      </c>
      <c r="BA1156" s="286">
        <f t="shared" ca="1" si="639"/>
        <v>0</v>
      </c>
      <c r="BB1156" s="286">
        <f t="shared" ca="1" si="640"/>
        <v>0</v>
      </c>
      <c r="BC1156" s="286">
        <f t="shared" ca="1" si="641"/>
        <v>0</v>
      </c>
      <c r="BD1156" s="180">
        <f t="shared" ca="1" si="642"/>
        <v>0.05</v>
      </c>
      <c r="BE1156" s="180">
        <f t="shared" ca="1" si="643"/>
        <v>0.05</v>
      </c>
      <c r="BF1156" s="286">
        <f t="shared" ca="1" si="644"/>
        <v>0</v>
      </c>
      <c r="BG1156" s="286">
        <f t="shared" ca="1" si="645"/>
        <v>0</v>
      </c>
    </row>
    <row r="1157" spans="1:59">
      <c r="A1157" s="1">
        <f t="shared" ref="A1157:A1168" ca="1" si="660">IF(C1157=$C$4,A1156+1,A1156)</f>
        <v>97</v>
      </c>
      <c r="B1157" s="1">
        <f t="shared" ca="1" si="654"/>
        <v>202</v>
      </c>
      <c r="C1157" s="1">
        <f t="shared" ca="1" si="655"/>
        <v>7</v>
      </c>
      <c r="D1157" s="1">
        <f ca="1">MIN($D$3,VLOOKUP(C1157,OP!$S$30:$T$41,2))</f>
        <v>2</v>
      </c>
      <c r="E1157" s="1" t="str">
        <f t="shared" ca="1" si="651"/>
        <v/>
      </c>
      <c r="F1157" s="11" t="str">
        <f t="shared" ref="F1157:F1167" ca="1" si="661">IF(AND(DATE($E$3+1911,$F$3,$G$3)&gt;DATE(B1157+1911,C1157,D1157),DATE($E$3+1911,$F$3,$G$3)&lt;=DATE(B1158+1911,C1158,D1158)),"F","")</f>
        <v/>
      </c>
      <c r="G1157" s="8">
        <f t="shared" ref="G1157:G1167" ca="1" si="662">G1156</f>
        <v>365</v>
      </c>
      <c r="H1157" s="8">
        <f t="shared" ref="H1157:H1167" ca="1" si="663">DATEDIF(DATE(B1157+1911,C1157,D1157),IF(F1157="F",DATE($E$3+1911,$F$3,$G$3),DATE(B1158+1911,C1158,D1158)),"d")</f>
        <v>31</v>
      </c>
      <c r="I1157" s="8" t="str">
        <f t="shared" ca="1" si="659"/>
        <v>977</v>
      </c>
      <c r="J1157" s="13">
        <f>IF(繳費報酬率資料!$A$1=1,VALUE(OP!$C$121),VLOOKUP(A1157,MP,2,0))</f>
        <v>0.05</v>
      </c>
      <c r="K1157" s="14">
        <f ca="1">IF(SUM($K$4:K1156,IF(繳費報酬率資料!$A$1=1,$AU1157+$AV1157,$BB1157+$BC1157))&gt;OP!$L$58,0,IF(繳費報酬率資料!$A$1=1,$AU1157+$AV1157,$BB1157+$BC1157))</f>
        <v>0</v>
      </c>
      <c r="L1157" s="2"/>
      <c r="M1157" s="2"/>
      <c r="N1157" s="2"/>
      <c r="O1157" s="261">
        <f t="shared" ref="O1157:O1167" ca="1" si="664">IF(K1157=0,0,$AR1157)</f>
        <v>0</v>
      </c>
      <c r="P1157" s="261">
        <f t="shared" ca="1" si="646"/>
        <v>0</v>
      </c>
      <c r="Q1157" s="3">
        <f ca="1">IF(A1157&gt;MAX(OP!$R$17:$R$26),0,VLOOKUP(A1157,fees,3,FALSE))</f>
        <v>0</v>
      </c>
      <c r="R1157" s="200" t="str">
        <f t="shared" ref="R1157:R1167" ca="1" si="665">IF(OR(C1158&lt;&gt;$C$3,E1157=""),"",A1157)</f>
        <v/>
      </c>
      <c r="S1157" s="9" t="str">
        <f ca="1">IF(COUNTIF(($T$4:T1156),"F")&gt;=1,"",IF(OR(C1158&lt;&gt;$C$3,E1157=""),"",A1157))</f>
        <v/>
      </c>
      <c r="T1157" s="20" t="str">
        <f t="shared" ca="1" si="652"/>
        <v/>
      </c>
      <c r="U1157" s="2">
        <f ca="1">IF(IF(OP!$C$83=1,$Z1156,IF(OP!$C$83=2,$AA1156,IF(OP!$C$83=3,$AB1156,)))+$K1157-$O1157-$P1157-$AS1157&lt;OP!$C$142,0,$AS1157)</f>
        <v>0</v>
      </c>
      <c r="V1157" s="9"/>
      <c r="W1157" s="19">
        <f ca="1">MAX(SUM($K$4:K1157),0)</f>
        <v>2000000</v>
      </c>
      <c r="X1157" s="19"/>
      <c r="Y1157" s="19">
        <f t="shared" ca="1" si="647"/>
        <v>1920000</v>
      </c>
      <c r="Z1157" s="2">
        <f ca="1">IF(MIN($Z$4:Z1156)=0,0,MAX(0,($Z1156+$K1157-$O1157-$P1157)*IF(AND(F1157="F",$D$3&lt;&gt;$G$3),((1+(-J1157))^(H1157/MIN(G1157,365))),((1+(-J1157))^(1/12)))-$U1157))</f>
        <v>13837.403461417342</v>
      </c>
      <c r="AA1157" s="2">
        <f ca="1">IF(MIN($AA$4:AA1156)=0,0,MAX(0,($AA1156+$K1157-$O1157-$P1157)*IF(AND(F1157="F",$D$3&lt;&gt;$G$3),((1+$AA$1)^(H1157/MIN(G1157,365))),((1+$AA$1)^(1/12)))-$U1157))</f>
        <v>1920000</v>
      </c>
      <c r="AB1157" s="2">
        <f ca="1">IF(MIN($AB$4:AB1156)=0,0,MAX(0,($AB1156+$K1157-$O1157-$P1157)*IF(AND(F1157="F",$D$3&lt;&gt;$G$3),((1+(J1157))^(H1157/MIN(G1157,365))),((1+(J1157))^(1/12)))-$U1157))</f>
        <v>209413892.4540571</v>
      </c>
      <c r="AC1157" s="5"/>
      <c r="AD1157" s="5"/>
      <c r="AE1157" s="5"/>
      <c r="AF1157" s="282">
        <f t="shared" ref="AF1157:AF1167" ca="1" si="666">ROUND(Z1157*(1-$Q1157),$AF$1)</f>
        <v>13837</v>
      </c>
      <c r="AG1157" s="282">
        <f t="shared" ref="AG1157:AG1167" ca="1" si="667">ROUND(AA1157*(1-$Q1157),$AF$1)</f>
        <v>1920000</v>
      </c>
      <c r="AH1157" s="282">
        <f t="shared" ref="AH1157:AH1167" ca="1" si="668">ROUND(AB1157*(1-$Q1157),$AF$1)</f>
        <v>209413892</v>
      </c>
      <c r="AI1157" s="23" t="str">
        <f t="shared" ca="1" si="649"/>
        <v>97-3</v>
      </c>
      <c r="AJ1157" s="282">
        <f ca="1">IF(E1157&gt;111,,IF(AND(OP!$C$99=1,T1157="F"),Z1157,IF(AND(OP!$C$99=2,COUNTIF($T$4:T1157,"F")=1),OP!$C$97+IF(F1157="F",OP!$C$98,0),"")))</f>
        <v>0</v>
      </c>
      <c r="AK1157" s="282">
        <f ca="1">IF(E1157&gt;111,,IF(AND(OP!$D$99=1,T1157="F"),AA1157,IF(AND(OP!$D$99=2,COUNTIF($T$4:T1157,"F")=1),OP!$D$97+IF(F1157="F",OP!$D$98,0),"")))</f>
        <v>0</v>
      </c>
      <c r="AL1157" s="282">
        <f ca="1">IF(E1157&gt;111,,IF(AND(OP!$E$99=1,T1157="F"),AB1157,IF(AND(OP!$E$99=2,COUNTIF($T$4:T1157,"F")=1),OP!$E$97+IF(F1157="F",OP!$E$98,0),"")))</f>
        <v>0</v>
      </c>
      <c r="AM1157" s="1">
        <f t="shared" ca="1" si="653"/>
        <v>3</v>
      </c>
      <c r="AN1157" s="1" t="e">
        <f ca="1">IF(OR(VLOOKUP($A1157,MP,5,0)="月繳"),1,"")</f>
        <v>#N/A</v>
      </c>
      <c r="AO1157" s="1">
        <f t="shared" ref="AO1157:AO1167" ca="1" si="669">IF(ISNA(VLOOKUP(A1157,MP,2,0)),,IF(C1157=$C$3,ROUND(VLOOKUP(A1157,MP,4,0),0),0)+IF(AN1157=1,ROUND(VLOOKUP(A1157,MP,6,0),0),0))</f>
        <v>0</v>
      </c>
      <c r="AP1157" s="1" t="str">
        <f ca="1">IF(AND(A1157&lt;=OP!$C$120,COUNTIF(PAY,C1157)=1),1,"")</f>
        <v/>
      </c>
      <c r="AR1157" s="301">
        <f ca="1">IF(繳費報酬率資料!$A$1=1,$AY1157+$AZ1157,$BF1157+$BG1157)</f>
        <v>0</v>
      </c>
      <c r="AS1157" s="1">
        <f ca="1">IF(C1157&lt;&gt;IF($C$3=1,12,$C$3-1),0,IF(繳費報酬率資料!$A$1&lt;&gt;1,VLOOKUP($A1157,MP,8,0),IF(AND($A1157&gt;=OP!$C$79,$A1157&lt;=OP!$C$80),OP!$C$78,)))</f>
        <v>0</v>
      </c>
      <c r="AT1157" s="298">
        <f t="shared" ref="AT1157:AT1168" ca="1" si="670">AU1157+AV1157</f>
        <v>0</v>
      </c>
      <c r="AU1157" s="298">
        <f ca="1">IF(AND(A1157&lt;=OP!$C$120,COUNTIF(PAY,C1157)=1),OP!$C$123,0)</f>
        <v>0</v>
      </c>
      <c r="AV1157" s="298">
        <f ca="1">IF(AND(A1157&gt;=OP!$C$132,A1157&lt;=OP!$C$133,$C$3=C1157),OP!$C$135,0)</f>
        <v>0</v>
      </c>
      <c r="AW1157" s="180">
        <f t="shared" ref="AW1157:AW1168" ca="1" si="671">HLOOKUP(IF($AU1157&lt;$AY$1,1,IF(AND($AU1157&gt;=$AY$1,$AU1157&lt;$AZ$1),2,IF(AND($AU1157&gt;=$AZ$1,$AU1157&lt;$BA$1),3,IF(AND($AU1157&gt;=$BA$1),4,1)))),PR,2,0)</f>
        <v>0.05</v>
      </c>
      <c r="AX1157" s="180">
        <f t="shared" ref="AX1157:AX1168" ca="1" si="672">HLOOKUP(IF($AV1157&lt;$AY$1,1,IF(AND($AV1157&gt;=$AY$1,$AV1157&lt;$AZ$1),2,IF(AND($AV1157&gt;=$AZ$1,$AV1157&lt;$BA$1),3,IF(AND($AV1157&gt;=$BA$1),4,1)))),PR,2,0)</f>
        <v>0.05</v>
      </c>
      <c r="AY1157" s="286">
        <f t="shared" ref="AY1157:AY1168" ca="1" si="673">ROUND(AU1157*AW1157,0)</f>
        <v>0</v>
      </c>
      <c r="AZ1157" s="286">
        <f t="shared" ref="AZ1157:AZ1168" ca="1" si="674">ROUND(AV1157*AX1157,0)</f>
        <v>0</v>
      </c>
      <c r="BA1157" s="286">
        <f t="shared" ref="BA1157:BA1168" ca="1" si="675">BB1157+BC1157</f>
        <v>0</v>
      </c>
      <c r="BB1157" s="286">
        <f t="shared" ref="BB1157:BB1168" ca="1" si="676">IF(ISNA(VLOOKUP(A1157,MP,2,0)),,IF(C1157=$C$3,ROUND(VLOOKUP(A1157,MP,6,0),0),0))</f>
        <v>0</v>
      </c>
      <c r="BC1157" s="286">
        <f t="shared" ref="BC1157:BC1168" ca="1" si="677">IF(ISNA(VLOOKUP(A1157,MP,4,0)),,IF(AND(C1157=$C$3,AN1157=1),ROUND(VLOOKUP(A1157,MP,4,0),0),0))</f>
        <v>0</v>
      </c>
      <c r="BD1157" s="180">
        <f t="shared" ref="BD1157:BD1168" ca="1" si="678">HLOOKUP(IF($BB1157&lt;$AY$1,1,IF(AND($BB1157&gt;=$AY$1,$BB1157&lt;$AZ$1),2,IF(AND($BB1157&gt;=$AZ$1,$BB1157&lt;$BA$1),3,IF(AND($BB1157&gt;=$BA$1),4,1)))),PR,2,0)</f>
        <v>0.05</v>
      </c>
      <c r="BE1157" s="180">
        <f t="shared" ref="BE1157:BE1168" ca="1" si="679">HLOOKUP(IF($BC1157&lt;$AY$1,1,IF(AND($BC1157&gt;=$AY$1,$BC1157&lt;$AZ$1),2,IF(AND($BC1157&gt;=$AZ$1,$BC1157&lt;$BA$1),3,IF(AND($BC1157&gt;=$BA$1),4,1)))),PR,2,0)</f>
        <v>0.05</v>
      </c>
      <c r="BF1157" s="286">
        <f t="shared" ref="BF1157:BF1168" ca="1" si="680">ROUND(BB1157*BD1157,0)</f>
        <v>0</v>
      </c>
      <c r="BG1157" s="286">
        <f t="shared" ref="BG1157:BG1168" ca="1" si="681">ROUND(BC1157*BE1157,0)</f>
        <v>0</v>
      </c>
    </row>
    <row r="1158" spans="1:59">
      <c r="A1158" s="1">
        <f t="shared" ca="1" si="660"/>
        <v>97</v>
      </c>
      <c r="B1158" s="1">
        <f t="shared" ca="1" si="654"/>
        <v>202</v>
      </c>
      <c r="C1158" s="1">
        <f t="shared" ca="1" si="655"/>
        <v>8</v>
      </c>
      <c r="D1158" s="1">
        <f ca="1">MIN($D$3,VLOOKUP(C1158,OP!$S$30:$T$41,2))</f>
        <v>2</v>
      </c>
      <c r="E1158" s="1" t="str">
        <f t="shared" ca="1" si="651"/>
        <v/>
      </c>
      <c r="F1158" s="11" t="str">
        <f t="shared" ca="1" si="661"/>
        <v/>
      </c>
      <c r="G1158" s="8">
        <f t="shared" ca="1" si="662"/>
        <v>365</v>
      </c>
      <c r="H1158" s="8">
        <f t="shared" ca="1" si="663"/>
        <v>31</v>
      </c>
      <c r="I1158" s="8" t="str">
        <f t="shared" ca="1" si="659"/>
        <v>978</v>
      </c>
      <c r="J1158" s="13">
        <f>IF(繳費報酬率資料!$A$1=1,VALUE(OP!$C$121),VLOOKUP(A1158,MP,2,0))</f>
        <v>0.05</v>
      </c>
      <c r="K1158" s="14">
        <f ca="1">IF(SUM($K$4:K1157,IF(繳費報酬率資料!$A$1=1,$AU1158+$AV1158,$BB1158+$BC1158))&gt;OP!$L$58,0,IF(繳費報酬率資料!$A$1=1,$AU1158+$AV1158,$BB1158+$BC1158))</f>
        <v>0</v>
      </c>
      <c r="L1158" s="2"/>
      <c r="M1158" s="2"/>
      <c r="N1158" s="2"/>
      <c r="O1158" s="261">
        <f t="shared" ca="1" si="664"/>
        <v>0</v>
      </c>
      <c r="P1158" s="261">
        <f t="shared" ref="P1158:P1167" ca="1" si="682">IF(MAX(Z1157:AB1157)=0,0,P1157)</f>
        <v>0</v>
      </c>
      <c r="Q1158" s="3">
        <f ca="1">IF(A1158&gt;MAX(OP!$R$17:$R$26),0,VLOOKUP(A1158,fees,3,FALSE))</f>
        <v>0</v>
      </c>
      <c r="R1158" s="200" t="str">
        <f t="shared" ca="1" si="665"/>
        <v/>
      </c>
      <c r="S1158" s="9" t="str">
        <f ca="1">IF(COUNTIF(($T$4:T1157),"F")&gt;=1,"",IF(OR(C1159&lt;&gt;$C$3,E1158=""),"",A1158))</f>
        <v/>
      </c>
      <c r="T1158" s="20" t="str">
        <f t="shared" ca="1" si="652"/>
        <v/>
      </c>
      <c r="U1158" s="2">
        <f ca="1">IF(IF(OP!$C$83=1,$Z1157,IF(OP!$C$83=2,$AA1157,IF(OP!$C$83=3,$AB1157,)))+$K1158-$O1158-$P1158-$AS1158&lt;OP!$C$142,0,$AS1158)</f>
        <v>0</v>
      </c>
      <c r="V1158" s="9"/>
      <c r="W1158" s="19">
        <f ca="1">MAX(SUM($K$4:K1158),0)</f>
        <v>2000000</v>
      </c>
      <c r="X1158" s="19"/>
      <c r="Y1158" s="19">
        <f t="shared" ref="Y1158:Y1167" ca="1" si="683">Y1157+K1158-O1158</f>
        <v>1920000</v>
      </c>
      <c r="Z1158" s="2">
        <f ca="1">IF(MIN($Z$4:Z1157)=0,0,MAX(0,($Z1157+$K1158-$O1158-$P1158)*IF(AND(F1158="F",$D$3&lt;&gt;$G$3),((1+(-J1158))^(H1158/MIN(G1158,365))),((1+(-J1158))^(1/12)))-$U1158))</f>
        <v>13778.382524600676</v>
      </c>
      <c r="AA1158" s="2">
        <f ca="1">IF(MIN($AA$4:AA1157)=0,0,MAX(0,($AA1157+$K1158-$O1158-$P1158)*IF(AND(F1158="F",$D$3&lt;&gt;$G$3),((1+$AA$1)^(H1158/MIN(G1158,365))),((1+$AA$1)^(1/12)))-$U1158))</f>
        <v>1920000</v>
      </c>
      <c r="AB1158" s="2">
        <f ca="1">IF(MIN($AB$4:AB1157)=0,0,MAX(0,($AB1157+$K1158-$O1158-$P1158)*IF(AND(F1158="F",$D$3&lt;&gt;$G$3),((1+(J1158))^(H1158/MIN(G1158,365))),((1+(J1158))^(1/12)))-$U1158))</f>
        <v>210267070.57393056</v>
      </c>
      <c r="AC1158" s="5"/>
      <c r="AD1158" s="5"/>
      <c r="AE1158" s="5"/>
      <c r="AF1158" s="282">
        <f t="shared" ca="1" si="666"/>
        <v>13778</v>
      </c>
      <c r="AG1158" s="282">
        <f t="shared" ca="1" si="667"/>
        <v>1920000</v>
      </c>
      <c r="AH1158" s="282">
        <f t="shared" ca="1" si="668"/>
        <v>210267071</v>
      </c>
      <c r="AI1158" s="23" t="str">
        <f t="shared" ca="1" si="649"/>
        <v>97-4</v>
      </c>
      <c r="AJ1158" s="282">
        <f ca="1">IF(E1158&gt;111,,IF(AND(OP!$C$99=1,T1158="F"),Z1158,IF(AND(OP!$C$99=2,COUNTIF($T$4:T1158,"F")=1),OP!$C$97+IF(F1158="F",OP!$C$98,0),"")))</f>
        <v>0</v>
      </c>
      <c r="AK1158" s="282">
        <f ca="1">IF(E1158&gt;111,,IF(AND(OP!$D$99=1,T1158="F"),AA1158,IF(AND(OP!$D$99=2,COUNTIF($T$4:T1158,"F")=1),OP!$D$97+IF(F1158="F",OP!$D$98,0),"")))</f>
        <v>0</v>
      </c>
      <c r="AL1158" s="282">
        <f ca="1">IF(E1158&gt;111,,IF(AND(OP!$E$99=1,T1158="F"),AB1158,IF(AND(OP!$E$99=2,COUNTIF($T$4:T1158,"F")=1),OP!$E$97+IF(F1158="F",OP!$E$98,0),"")))</f>
        <v>0</v>
      </c>
      <c r="AM1158" s="1">
        <f t="shared" ca="1" si="653"/>
        <v>4</v>
      </c>
      <c r="AN1158" s="1" t="e">
        <f ca="1">IF(OR(VLOOKUP($A1158,MP,5,0)="月繳"),1,"")</f>
        <v>#N/A</v>
      </c>
      <c r="AO1158" s="1">
        <f t="shared" ca="1" si="669"/>
        <v>0</v>
      </c>
      <c r="AP1158" s="1" t="str">
        <f ca="1">IF(AND(A1158&lt;=OP!$C$120,COUNTIF(PAY,C1158)=1),1,"")</f>
        <v/>
      </c>
      <c r="AR1158" s="301">
        <f ca="1">IF(繳費報酬率資料!$A$1=1,$AY1158+$AZ1158,$BF1158+$BG1158)</f>
        <v>0</v>
      </c>
      <c r="AS1158" s="1">
        <f ca="1">IF(C1158&lt;&gt;IF($C$3=1,12,$C$3-1),0,IF(繳費報酬率資料!$A$1&lt;&gt;1,VLOOKUP($A1158,MP,8,0),IF(AND($A1158&gt;=OP!$C$79,$A1158&lt;=OP!$C$80),OP!$C$78,)))</f>
        <v>0</v>
      </c>
      <c r="AT1158" s="298">
        <f t="shared" ca="1" si="670"/>
        <v>0</v>
      </c>
      <c r="AU1158" s="298">
        <f ca="1">IF(AND(A1158&lt;=OP!$C$120,COUNTIF(PAY,C1158)=1),OP!$C$123,0)</f>
        <v>0</v>
      </c>
      <c r="AV1158" s="298">
        <f ca="1">IF(AND(A1158&gt;=OP!$C$132,A1158&lt;=OP!$C$133,$C$3=C1158),OP!$C$135,0)</f>
        <v>0</v>
      </c>
      <c r="AW1158" s="180">
        <f t="shared" ca="1" si="671"/>
        <v>0.05</v>
      </c>
      <c r="AX1158" s="180">
        <f t="shared" ca="1" si="672"/>
        <v>0.05</v>
      </c>
      <c r="AY1158" s="286">
        <f t="shared" ca="1" si="673"/>
        <v>0</v>
      </c>
      <c r="AZ1158" s="286">
        <f t="shared" ca="1" si="674"/>
        <v>0</v>
      </c>
      <c r="BA1158" s="286">
        <f t="shared" ca="1" si="675"/>
        <v>0</v>
      </c>
      <c r="BB1158" s="286">
        <f t="shared" ca="1" si="676"/>
        <v>0</v>
      </c>
      <c r="BC1158" s="286">
        <f t="shared" ca="1" si="677"/>
        <v>0</v>
      </c>
      <c r="BD1158" s="180">
        <f t="shared" ca="1" si="678"/>
        <v>0.05</v>
      </c>
      <c r="BE1158" s="180">
        <f t="shared" ca="1" si="679"/>
        <v>0.05</v>
      </c>
      <c r="BF1158" s="286">
        <f t="shared" ca="1" si="680"/>
        <v>0</v>
      </c>
      <c r="BG1158" s="286">
        <f t="shared" ca="1" si="681"/>
        <v>0</v>
      </c>
    </row>
    <row r="1159" spans="1:59">
      <c r="A1159" s="1">
        <f t="shared" ca="1" si="660"/>
        <v>97</v>
      </c>
      <c r="B1159" s="1">
        <f t="shared" ca="1" si="654"/>
        <v>202</v>
      </c>
      <c r="C1159" s="1">
        <f t="shared" ca="1" si="655"/>
        <v>9</v>
      </c>
      <c r="D1159" s="1">
        <f ca="1">MIN($D$3,VLOOKUP(C1159,OP!$S$30:$T$41,2))</f>
        <v>2</v>
      </c>
      <c r="E1159" s="1" t="str">
        <f t="shared" ca="1" si="651"/>
        <v/>
      </c>
      <c r="F1159" s="11" t="str">
        <f t="shared" ca="1" si="661"/>
        <v/>
      </c>
      <c r="G1159" s="8">
        <f t="shared" ca="1" si="662"/>
        <v>365</v>
      </c>
      <c r="H1159" s="8">
        <f t="shared" ca="1" si="663"/>
        <v>30</v>
      </c>
      <c r="I1159" s="8" t="str">
        <f t="shared" ca="1" si="659"/>
        <v>979</v>
      </c>
      <c r="J1159" s="13">
        <f>IF(繳費報酬率資料!$A$1=1,VALUE(OP!$C$121),VLOOKUP(A1159,MP,2,0))</f>
        <v>0.05</v>
      </c>
      <c r="K1159" s="14">
        <f ca="1">IF(SUM($K$4:K1158,IF(繳費報酬率資料!$A$1=1,$AU1159+$AV1159,$BB1159+$BC1159))&gt;OP!$L$58,0,IF(繳費報酬率資料!$A$1=1,$AU1159+$AV1159,$BB1159+$BC1159))</f>
        <v>0</v>
      </c>
      <c r="L1159" s="2"/>
      <c r="M1159" s="2"/>
      <c r="N1159" s="2"/>
      <c r="O1159" s="261">
        <f t="shared" ca="1" si="664"/>
        <v>0</v>
      </c>
      <c r="P1159" s="261">
        <f t="shared" ca="1" si="682"/>
        <v>0</v>
      </c>
      <c r="Q1159" s="3">
        <f ca="1">IF(A1159&gt;MAX(OP!$R$17:$R$26),0,VLOOKUP(A1159,fees,3,FALSE))</f>
        <v>0</v>
      </c>
      <c r="R1159" s="200" t="str">
        <f t="shared" ca="1" si="665"/>
        <v/>
      </c>
      <c r="S1159" s="9" t="str">
        <f ca="1">IF(COUNTIF(($T$4:T1158),"F")&gt;=1,"",IF(OR(C1160&lt;&gt;$C$3,E1159=""),"",A1159))</f>
        <v/>
      </c>
      <c r="T1159" s="20" t="str">
        <f t="shared" ca="1" si="652"/>
        <v/>
      </c>
      <c r="U1159" s="2">
        <f ca="1">IF(IF(OP!$C$83=1,$Z1158,IF(OP!$C$83=2,$AA1158,IF(OP!$C$83=3,$AB1158,)))+$K1159-$O1159-$P1159-$AS1159&lt;OP!$C$142,0,$AS1159)</f>
        <v>0</v>
      </c>
      <c r="V1159" s="9"/>
      <c r="W1159" s="19">
        <f ca="1">MAX(SUM($K$4:K1159),0)</f>
        <v>2000000</v>
      </c>
      <c r="X1159" s="19"/>
      <c r="Y1159" s="19">
        <f t="shared" ca="1" si="683"/>
        <v>1920000</v>
      </c>
      <c r="Z1159" s="2">
        <f ca="1">IF(MIN($Z$4:Z1158)=0,0,MAX(0,($Z1158+$K1159-$O1159-$P1159)*IF(AND(F1159="F",$D$3&lt;&gt;$G$3),((1+(-J1159))^(H1159/MIN(G1159,365))),((1+(-J1159))^(1/12)))-$U1159))</f>
        <v>13719.613330894084</v>
      </c>
      <c r="AA1159" s="2">
        <f ca="1">IF(MIN($AA$4:AA1158)=0,0,MAX(0,($AA1158+$K1159-$O1159-$P1159)*IF(AND(F1159="F",$D$3&lt;&gt;$G$3),((1+$AA$1)^(H1159/MIN(G1159,365))),((1+$AA$1)^(1/12)))-$U1159))</f>
        <v>1920000</v>
      </c>
      <c r="AB1159" s="2">
        <f ca="1">IF(MIN($AB$4:AB1158)=0,0,MAX(0,($AB1158+$K1159-$O1159-$P1159)*IF(AND(F1159="F",$D$3&lt;&gt;$G$3),((1+(J1159))^(H1159/MIN(G1159,365))),((1+(J1159))^(1/12)))-$U1159))</f>
        <v>211123724.64707386</v>
      </c>
      <c r="AC1159" s="5"/>
      <c r="AD1159" s="5"/>
      <c r="AE1159" s="5"/>
      <c r="AF1159" s="282">
        <f t="shared" ca="1" si="666"/>
        <v>13720</v>
      </c>
      <c r="AG1159" s="282">
        <f t="shared" ca="1" si="667"/>
        <v>1920000</v>
      </c>
      <c r="AH1159" s="282">
        <f t="shared" ca="1" si="668"/>
        <v>211123725</v>
      </c>
      <c r="AI1159" s="23" t="str">
        <f t="shared" ca="1" si="649"/>
        <v>97-5</v>
      </c>
      <c r="AJ1159" s="282">
        <f ca="1">IF(E1159&gt;111,,IF(AND(OP!$C$99=1,T1159="F"),Z1159,IF(AND(OP!$C$99=2,COUNTIF($T$4:T1159,"F")=1),OP!$C$97+IF(F1159="F",OP!$C$98,0),"")))</f>
        <v>0</v>
      </c>
      <c r="AK1159" s="282">
        <f ca="1">IF(E1159&gt;111,,IF(AND(OP!$D$99=1,T1159="F"),AA1159,IF(AND(OP!$D$99=2,COUNTIF($T$4:T1159,"F")=1),OP!$D$97+IF(F1159="F",OP!$D$98,0),"")))</f>
        <v>0</v>
      </c>
      <c r="AL1159" s="282">
        <f ca="1">IF(E1159&gt;111,,IF(AND(OP!$E$99=1,T1159="F"),AB1159,IF(AND(OP!$E$99=2,COUNTIF($T$4:T1159,"F")=1),OP!$E$97+IF(F1159="F",OP!$E$98,0),"")))</f>
        <v>0</v>
      </c>
      <c r="AM1159" s="1">
        <f t="shared" ca="1" si="653"/>
        <v>5</v>
      </c>
      <c r="AN1159" s="1" t="e">
        <f ca="1">IF(OR(VLOOKUP($A1159,MP,5,0)="季繳",VLOOKUP($A1159,MP,5,0)="月繳"),1,"")</f>
        <v>#N/A</v>
      </c>
      <c r="AO1159" s="1">
        <f t="shared" ca="1" si="669"/>
        <v>0</v>
      </c>
      <c r="AP1159" s="1" t="str">
        <f ca="1">IF(AND(A1159&lt;=OP!$C$120,COUNTIF(PAY,C1159)=1),1,"")</f>
        <v/>
      </c>
      <c r="AR1159" s="301">
        <f ca="1">IF(繳費報酬率資料!$A$1=1,$AY1159+$AZ1159,$BF1159+$BG1159)</f>
        <v>0</v>
      </c>
      <c r="AS1159" s="1">
        <f ca="1">IF(C1159&lt;&gt;IF($C$3=1,12,$C$3-1),0,IF(繳費報酬率資料!$A$1&lt;&gt;1,VLOOKUP($A1159,MP,8,0),IF(AND($A1159&gt;=OP!$C$79,$A1159&lt;=OP!$C$80),OP!$C$78,)))</f>
        <v>0</v>
      </c>
      <c r="AT1159" s="298">
        <f t="shared" ca="1" si="670"/>
        <v>0</v>
      </c>
      <c r="AU1159" s="298">
        <f ca="1">IF(AND(A1159&lt;=OP!$C$120,COUNTIF(PAY,C1159)=1),OP!$C$123,0)</f>
        <v>0</v>
      </c>
      <c r="AV1159" s="298">
        <f ca="1">IF(AND(A1159&gt;=OP!$C$132,A1159&lt;=OP!$C$133,$C$3=C1159),OP!$C$135,0)</f>
        <v>0</v>
      </c>
      <c r="AW1159" s="180">
        <f t="shared" ca="1" si="671"/>
        <v>0.05</v>
      </c>
      <c r="AX1159" s="180">
        <f t="shared" ca="1" si="672"/>
        <v>0.05</v>
      </c>
      <c r="AY1159" s="286">
        <f t="shared" ca="1" si="673"/>
        <v>0</v>
      </c>
      <c r="AZ1159" s="286">
        <f t="shared" ca="1" si="674"/>
        <v>0</v>
      </c>
      <c r="BA1159" s="286">
        <f t="shared" ca="1" si="675"/>
        <v>0</v>
      </c>
      <c r="BB1159" s="286">
        <f t="shared" ca="1" si="676"/>
        <v>0</v>
      </c>
      <c r="BC1159" s="286">
        <f t="shared" ca="1" si="677"/>
        <v>0</v>
      </c>
      <c r="BD1159" s="180">
        <f t="shared" ca="1" si="678"/>
        <v>0.05</v>
      </c>
      <c r="BE1159" s="180">
        <f t="shared" ca="1" si="679"/>
        <v>0.05</v>
      </c>
      <c r="BF1159" s="286">
        <f t="shared" ca="1" si="680"/>
        <v>0</v>
      </c>
      <c r="BG1159" s="286">
        <f t="shared" ca="1" si="681"/>
        <v>0</v>
      </c>
    </row>
    <row r="1160" spans="1:59">
      <c r="A1160" s="1">
        <f t="shared" ca="1" si="660"/>
        <v>97</v>
      </c>
      <c r="B1160" s="1">
        <f t="shared" ca="1" si="654"/>
        <v>202</v>
      </c>
      <c r="C1160" s="1">
        <f t="shared" ca="1" si="655"/>
        <v>10</v>
      </c>
      <c r="D1160" s="1">
        <f ca="1">MIN($D$3,VLOOKUP(C1160,OP!$S$30:$T$41,2))</f>
        <v>2</v>
      </c>
      <c r="E1160" s="1" t="str">
        <f t="shared" ca="1" si="651"/>
        <v/>
      </c>
      <c r="F1160" s="11" t="str">
        <f t="shared" ca="1" si="661"/>
        <v/>
      </c>
      <c r="G1160" s="8">
        <f t="shared" ca="1" si="662"/>
        <v>365</v>
      </c>
      <c r="H1160" s="8">
        <f t="shared" ca="1" si="663"/>
        <v>31</v>
      </c>
      <c r="I1160" s="8" t="str">
        <f t="shared" ca="1" si="659"/>
        <v>9710</v>
      </c>
      <c r="J1160" s="13">
        <f>IF(繳費報酬率資料!$A$1=1,VALUE(OP!$C$121),VLOOKUP(A1160,MP,2,0))</f>
        <v>0.05</v>
      </c>
      <c r="K1160" s="14">
        <f ca="1">IF(SUM($K$4:K1159,IF(繳費報酬率資料!$A$1=1,$AU1160+$AV1160,$BB1160+$BC1160))&gt;OP!$L$58,0,IF(繳費報酬率資料!$A$1=1,$AU1160+$AV1160,$BB1160+$BC1160))</f>
        <v>0</v>
      </c>
      <c r="L1160" s="2"/>
      <c r="M1160" s="2"/>
      <c r="N1160" s="2"/>
      <c r="O1160" s="261">
        <f t="shared" ca="1" si="664"/>
        <v>0</v>
      </c>
      <c r="P1160" s="261">
        <f t="shared" ca="1" si="682"/>
        <v>0</v>
      </c>
      <c r="Q1160" s="3">
        <f ca="1">IF(A1160&gt;MAX(OP!$R$17:$R$26),0,VLOOKUP(A1160,fees,3,FALSE))</f>
        <v>0</v>
      </c>
      <c r="R1160" s="200" t="str">
        <f t="shared" ca="1" si="665"/>
        <v/>
      </c>
      <c r="S1160" s="9" t="str">
        <f ca="1">IF(COUNTIF(($T$4:T1159),"F")&gt;=1,"",IF(OR(C1161&lt;&gt;$C$3,E1160=""),"",A1160))</f>
        <v/>
      </c>
      <c r="T1160" s="20" t="str">
        <f t="shared" ca="1" si="652"/>
        <v/>
      </c>
      <c r="U1160" s="2">
        <f ca="1">IF(IF(OP!$C$83=1,$Z1159,IF(OP!$C$83=2,$AA1159,IF(OP!$C$83=3,$AB1159,)))+$K1160-$O1160-$P1160-$AS1160&lt;OP!$C$142,0,$AS1160)</f>
        <v>0</v>
      </c>
      <c r="V1160" s="9"/>
      <c r="W1160" s="19">
        <f ca="1">MAX(SUM($K$4:K1160),0)</f>
        <v>2000000</v>
      </c>
      <c r="X1160" s="19"/>
      <c r="Y1160" s="19">
        <f t="shared" ca="1" si="683"/>
        <v>1920000</v>
      </c>
      <c r="Z1160" s="2">
        <f ca="1">IF(MIN($Z$4:Z1159)=0,0,MAX(0,($Z1159+$K1160-$O1160-$P1160)*IF(AND(F1160="F",$D$3&lt;&gt;$G$3),((1+(-J1160))^(H1160/MIN(G1160,365))),((1+(-J1160))^(1/12)))-$U1160))</f>
        <v>13661.09480653295</v>
      </c>
      <c r="AA1160" s="2">
        <f ca="1">IF(MIN($AA$4:AA1159)=0,0,MAX(0,($AA1159+$K1160-$O1160-$P1160)*IF(AND(F1160="F",$D$3&lt;&gt;$G$3),((1+$AA$1)^(H1160/MIN(G1160,365))),((1+$AA$1)^(1/12)))-$U1160))</f>
        <v>1920000</v>
      </c>
      <c r="AB1160" s="2">
        <f ca="1">IF(MIN($AB$4:AB1159)=0,0,MAX(0,($AB1159+$K1160-$O1160-$P1160)*IF(AND(F1160="F",$D$3&lt;&gt;$G$3),((1+(J1160))^(H1160/MIN(G1160,365))),((1+(J1160))^(1/12)))-$U1160))</f>
        <v>211983868.83495092</v>
      </c>
      <c r="AC1160" s="5"/>
      <c r="AD1160" s="5"/>
      <c r="AE1160" s="5"/>
      <c r="AF1160" s="282">
        <f t="shared" ca="1" si="666"/>
        <v>13661</v>
      </c>
      <c r="AG1160" s="282">
        <f t="shared" ca="1" si="667"/>
        <v>1920000</v>
      </c>
      <c r="AH1160" s="282">
        <f t="shared" ca="1" si="668"/>
        <v>211983869</v>
      </c>
      <c r="AI1160" s="23" t="str">
        <f t="shared" ca="1" si="649"/>
        <v>97-6</v>
      </c>
      <c r="AJ1160" s="282">
        <f ca="1">IF(E1160&gt;111,,IF(AND(OP!$C$99=1,T1160="F"),Z1160,IF(AND(OP!$C$99=2,COUNTIF($T$4:T1160,"F")=1),OP!$C$97+IF(F1160="F",OP!$C$98,0),"")))</f>
        <v>0</v>
      </c>
      <c r="AK1160" s="282">
        <f ca="1">IF(E1160&gt;111,,IF(AND(OP!$D$99=1,T1160="F"),AA1160,IF(AND(OP!$D$99=2,COUNTIF($T$4:T1160,"F")=1),OP!$D$97+IF(F1160="F",OP!$D$98,0),"")))</f>
        <v>0</v>
      </c>
      <c r="AL1160" s="282">
        <f ca="1">IF(E1160&gt;111,,IF(AND(OP!$E$99=1,T1160="F"),AB1160,IF(AND(OP!$E$99=2,COUNTIF($T$4:T1160,"F")=1),OP!$E$97+IF(F1160="F",OP!$E$98,0),"")))</f>
        <v>0</v>
      </c>
      <c r="AM1160" s="1">
        <f t="shared" ca="1" si="653"/>
        <v>6</v>
      </c>
      <c r="AN1160" s="1" t="e">
        <f ca="1">IF(OR(VLOOKUP($A1160,MP,5,0)="月繳"),1,"")</f>
        <v>#N/A</v>
      </c>
      <c r="AO1160" s="1">
        <f t="shared" ca="1" si="669"/>
        <v>0</v>
      </c>
      <c r="AP1160" s="1" t="str">
        <f ca="1">IF(AND(A1160&lt;=OP!$C$120,COUNTIF(PAY,C1160)=1),1,"")</f>
        <v/>
      </c>
      <c r="AR1160" s="301">
        <f ca="1">IF(繳費報酬率資料!$A$1=1,$AY1160+$AZ1160,$BF1160+$BG1160)</f>
        <v>0</v>
      </c>
      <c r="AS1160" s="1">
        <f ca="1">IF(C1160&lt;&gt;IF($C$3=1,12,$C$3-1),0,IF(繳費報酬率資料!$A$1&lt;&gt;1,VLOOKUP($A1160,MP,8,0),IF(AND($A1160&gt;=OP!$C$79,$A1160&lt;=OP!$C$80),OP!$C$78,)))</f>
        <v>0</v>
      </c>
      <c r="AT1160" s="298">
        <f t="shared" ca="1" si="670"/>
        <v>0</v>
      </c>
      <c r="AU1160" s="298">
        <f ca="1">IF(AND(A1160&lt;=OP!$C$120,COUNTIF(PAY,C1160)=1),OP!$C$123,0)</f>
        <v>0</v>
      </c>
      <c r="AV1160" s="298">
        <f ca="1">IF(AND(A1160&gt;=OP!$C$132,A1160&lt;=OP!$C$133,$C$3=C1160),OP!$C$135,0)</f>
        <v>0</v>
      </c>
      <c r="AW1160" s="180">
        <f t="shared" ca="1" si="671"/>
        <v>0.05</v>
      </c>
      <c r="AX1160" s="180">
        <f t="shared" ca="1" si="672"/>
        <v>0.05</v>
      </c>
      <c r="AY1160" s="286">
        <f t="shared" ca="1" si="673"/>
        <v>0</v>
      </c>
      <c r="AZ1160" s="286">
        <f t="shared" ca="1" si="674"/>
        <v>0</v>
      </c>
      <c r="BA1160" s="286">
        <f t="shared" ca="1" si="675"/>
        <v>0</v>
      </c>
      <c r="BB1160" s="286">
        <f t="shared" ca="1" si="676"/>
        <v>0</v>
      </c>
      <c r="BC1160" s="286">
        <f t="shared" ca="1" si="677"/>
        <v>0</v>
      </c>
      <c r="BD1160" s="180">
        <f t="shared" ca="1" si="678"/>
        <v>0.05</v>
      </c>
      <c r="BE1160" s="180">
        <f t="shared" ca="1" si="679"/>
        <v>0.05</v>
      </c>
      <c r="BF1160" s="286">
        <f t="shared" ca="1" si="680"/>
        <v>0</v>
      </c>
      <c r="BG1160" s="286">
        <f t="shared" ca="1" si="681"/>
        <v>0</v>
      </c>
    </row>
    <row r="1161" spans="1:59">
      <c r="A1161" s="1">
        <f t="shared" ca="1" si="660"/>
        <v>97</v>
      </c>
      <c r="B1161" s="1">
        <f t="shared" ca="1" si="654"/>
        <v>202</v>
      </c>
      <c r="C1161" s="1">
        <f t="shared" ca="1" si="655"/>
        <v>11</v>
      </c>
      <c r="D1161" s="1">
        <f ca="1">MIN($D$3,VLOOKUP(C1161,OP!$S$30:$T$41,2))</f>
        <v>2</v>
      </c>
      <c r="E1161" s="1" t="str">
        <f t="shared" ca="1" si="651"/>
        <v/>
      </c>
      <c r="F1161" s="11" t="str">
        <f t="shared" ca="1" si="661"/>
        <v/>
      </c>
      <c r="G1161" s="8">
        <f t="shared" ca="1" si="662"/>
        <v>365</v>
      </c>
      <c r="H1161" s="8">
        <f t="shared" ca="1" si="663"/>
        <v>30</v>
      </c>
      <c r="I1161" s="8" t="str">
        <f t="shared" ca="1" si="659"/>
        <v>9711</v>
      </c>
      <c r="J1161" s="13">
        <f>IF(繳費報酬率資料!$A$1=1,VALUE(OP!$C$121),VLOOKUP(A1161,MP,2,0))</f>
        <v>0.05</v>
      </c>
      <c r="K1161" s="14">
        <f ca="1">IF(SUM($K$4:K1160,IF(繳費報酬率資料!$A$1=1,$AU1161+$AV1161,$BB1161+$BC1161))&gt;OP!$L$58,0,IF(繳費報酬率資料!$A$1=1,$AU1161+$AV1161,$BB1161+$BC1161))</f>
        <v>0</v>
      </c>
      <c r="L1161" s="2"/>
      <c r="M1161" s="2"/>
      <c r="N1161" s="2"/>
      <c r="O1161" s="261">
        <f t="shared" ca="1" si="664"/>
        <v>0</v>
      </c>
      <c r="P1161" s="261">
        <f t="shared" ca="1" si="682"/>
        <v>0</v>
      </c>
      <c r="Q1161" s="3">
        <f ca="1">IF(A1161&gt;MAX(OP!$R$17:$R$26),0,VLOOKUP(A1161,fees,3,FALSE))</f>
        <v>0</v>
      </c>
      <c r="R1161" s="200" t="str">
        <f t="shared" ca="1" si="665"/>
        <v/>
      </c>
      <c r="S1161" s="9" t="str">
        <f ca="1">IF(COUNTIF(($T$4:T1160),"F")&gt;=1,"",IF(OR(C1162&lt;&gt;$C$3,E1161=""),"",A1161))</f>
        <v/>
      </c>
      <c r="T1161" s="20" t="str">
        <f t="shared" ca="1" si="652"/>
        <v/>
      </c>
      <c r="U1161" s="2">
        <f ca="1">IF(IF(OP!$C$83=1,$Z1160,IF(OP!$C$83=2,$AA1160,IF(OP!$C$83=3,$AB1160,)))+$K1161-$O1161-$P1161-$AS1161&lt;OP!$C$142,0,$AS1161)</f>
        <v>0</v>
      </c>
      <c r="V1161" s="9"/>
      <c r="W1161" s="19">
        <f ca="1">MAX(SUM($K$4:K1161),0)</f>
        <v>2000000</v>
      </c>
      <c r="X1161" s="19"/>
      <c r="Y1161" s="19">
        <f t="shared" ca="1" si="683"/>
        <v>1920000</v>
      </c>
      <c r="Z1161" s="2">
        <f ca="1">IF(MIN($Z$4:Z1160)=0,0,MAX(0,($Z1160+$K1161-$O1161-$P1161)*IF(AND(F1161="F",$D$3&lt;&gt;$G$3),((1+(-J1161))^(H1161/MIN(G1161,365))),((1+(-J1161))^(1/12)))-$U1161))</f>
        <v>13602.825882332609</v>
      </c>
      <c r="AA1161" s="2">
        <f ca="1">IF(MIN($AA$4:AA1160)=0,0,MAX(0,($AA1160+$K1161-$O1161-$P1161)*IF(AND(F1161="F",$D$3&lt;&gt;$G$3),((1+$AA$1)^(H1161/MIN(G1161,365))),((1+$AA$1)^(1/12)))-$U1161))</f>
        <v>1920000</v>
      </c>
      <c r="AB1161" s="2">
        <f ca="1">IF(MIN($AB$4:AB1160)=0,0,MAX(0,($AB1160+$K1161-$O1161-$P1161)*IF(AND(F1161="F",$D$3&lt;&gt;$G$3),((1+(J1161))^(H1161/MIN(G1161,365))),((1+(J1161))^(1/12)))-$U1161))</f>
        <v>212847517.35672119</v>
      </c>
      <c r="AC1161" s="5"/>
      <c r="AD1161" s="5"/>
      <c r="AE1161" s="5"/>
      <c r="AF1161" s="282">
        <f t="shared" ca="1" si="666"/>
        <v>13603</v>
      </c>
      <c r="AG1161" s="282">
        <f t="shared" ca="1" si="667"/>
        <v>1920000</v>
      </c>
      <c r="AH1161" s="282">
        <f t="shared" ca="1" si="668"/>
        <v>212847517</v>
      </c>
      <c r="AI1161" s="23" t="str">
        <f t="shared" ca="1" si="649"/>
        <v>97-7</v>
      </c>
      <c r="AJ1161" s="282">
        <f ca="1">IF(E1161&gt;111,,IF(AND(OP!$C$99=1,T1161="F"),Z1161,IF(AND(OP!$C$99=2,COUNTIF($T$4:T1161,"F")=1),OP!$C$97+IF(F1161="F",OP!$C$98,0),"")))</f>
        <v>0</v>
      </c>
      <c r="AK1161" s="282">
        <f ca="1">IF(E1161&gt;111,,IF(AND(OP!$D$99=1,T1161="F"),AA1161,IF(AND(OP!$D$99=2,COUNTIF($T$4:T1161,"F")=1),OP!$D$97+IF(F1161="F",OP!$D$98,0),"")))</f>
        <v>0</v>
      </c>
      <c r="AL1161" s="282">
        <f ca="1">IF(E1161&gt;111,,IF(AND(OP!$E$99=1,T1161="F"),AB1161,IF(AND(OP!$E$99=2,COUNTIF($T$4:T1161,"F")=1),OP!$E$97+IF(F1161="F",OP!$E$98,0),"")))</f>
        <v>0</v>
      </c>
      <c r="AM1161" s="1">
        <f t="shared" ca="1" si="653"/>
        <v>7</v>
      </c>
      <c r="AN1161" s="1" t="e">
        <f ca="1">IF(OR(VLOOKUP($A1161,MP,5,0)="月繳"),1,"")</f>
        <v>#N/A</v>
      </c>
      <c r="AO1161" s="1">
        <f t="shared" ca="1" si="669"/>
        <v>0</v>
      </c>
      <c r="AP1161" s="1" t="str">
        <f ca="1">IF(AND(A1161&lt;=OP!$C$120,COUNTIF(PAY,C1161)=1),1,"")</f>
        <v/>
      </c>
      <c r="AR1161" s="301">
        <f ca="1">IF(繳費報酬率資料!$A$1=1,$AY1161+$AZ1161,$BF1161+$BG1161)</f>
        <v>0</v>
      </c>
      <c r="AS1161" s="1">
        <f ca="1">IF(C1161&lt;&gt;IF($C$3=1,12,$C$3-1),0,IF(繳費報酬率資料!$A$1&lt;&gt;1,VLOOKUP($A1161,MP,8,0),IF(AND($A1161&gt;=OP!$C$79,$A1161&lt;=OP!$C$80),OP!$C$78,)))</f>
        <v>0</v>
      </c>
      <c r="AT1161" s="298">
        <f t="shared" ca="1" si="670"/>
        <v>0</v>
      </c>
      <c r="AU1161" s="298">
        <f ca="1">IF(AND(A1161&lt;=OP!$C$120,COUNTIF(PAY,C1161)=1),OP!$C$123,0)</f>
        <v>0</v>
      </c>
      <c r="AV1161" s="298">
        <f ca="1">IF(AND(A1161&gt;=OP!$C$132,A1161&lt;=OP!$C$133,$C$3=C1161),OP!$C$135,0)</f>
        <v>0</v>
      </c>
      <c r="AW1161" s="180">
        <f t="shared" ca="1" si="671"/>
        <v>0.05</v>
      </c>
      <c r="AX1161" s="180">
        <f t="shared" ca="1" si="672"/>
        <v>0.05</v>
      </c>
      <c r="AY1161" s="286">
        <f t="shared" ca="1" si="673"/>
        <v>0</v>
      </c>
      <c r="AZ1161" s="286">
        <f t="shared" ca="1" si="674"/>
        <v>0</v>
      </c>
      <c r="BA1161" s="286">
        <f t="shared" ca="1" si="675"/>
        <v>0</v>
      </c>
      <c r="BB1161" s="286">
        <f t="shared" ca="1" si="676"/>
        <v>0</v>
      </c>
      <c r="BC1161" s="286">
        <f t="shared" ca="1" si="677"/>
        <v>0</v>
      </c>
      <c r="BD1161" s="180">
        <f t="shared" ca="1" si="678"/>
        <v>0.05</v>
      </c>
      <c r="BE1161" s="180">
        <f t="shared" ca="1" si="679"/>
        <v>0.05</v>
      </c>
      <c r="BF1161" s="286">
        <f t="shared" ca="1" si="680"/>
        <v>0</v>
      </c>
      <c r="BG1161" s="286">
        <f t="shared" ca="1" si="681"/>
        <v>0</v>
      </c>
    </row>
    <row r="1162" spans="1:59">
      <c r="A1162" s="1">
        <f t="shared" ca="1" si="660"/>
        <v>97</v>
      </c>
      <c r="B1162" s="1">
        <f t="shared" ca="1" si="654"/>
        <v>202</v>
      </c>
      <c r="C1162" s="1">
        <f t="shared" ca="1" si="655"/>
        <v>12</v>
      </c>
      <c r="D1162" s="1">
        <f ca="1">MIN($D$3,VLOOKUP(C1162,OP!$S$30:$T$41,2))</f>
        <v>2</v>
      </c>
      <c r="E1162" s="1" t="str">
        <f t="shared" ca="1" si="651"/>
        <v/>
      </c>
      <c r="F1162" s="11" t="str">
        <f t="shared" ca="1" si="661"/>
        <v/>
      </c>
      <c r="G1162" s="8">
        <f t="shared" ca="1" si="662"/>
        <v>365</v>
      </c>
      <c r="H1162" s="8">
        <f t="shared" ca="1" si="663"/>
        <v>31</v>
      </c>
      <c r="I1162" s="8" t="str">
        <f t="shared" ca="1" si="659"/>
        <v>9712</v>
      </c>
      <c r="J1162" s="13">
        <f>IF(繳費報酬率資料!$A$1=1,VALUE(OP!$C$121),VLOOKUP(A1162,MP,2,0))</f>
        <v>0.05</v>
      </c>
      <c r="K1162" s="14">
        <f ca="1">IF(SUM($K$4:K1161,IF(繳費報酬率資料!$A$1=1,$AU1162+$AV1162,$BB1162+$BC1162))&gt;OP!$L$58,0,IF(繳費報酬率資料!$A$1=1,$AU1162+$AV1162,$BB1162+$BC1162))</f>
        <v>0</v>
      </c>
      <c r="L1162" s="2"/>
      <c r="M1162" s="2"/>
      <c r="N1162" s="2"/>
      <c r="O1162" s="261">
        <f t="shared" ca="1" si="664"/>
        <v>0</v>
      </c>
      <c r="P1162" s="261">
        <f t="shared" ca="1" si="682"/>
        <v>0</v>
      </c>
      <c r="Q1162" s="3">
        <f ca="1">IF(A1162&gt;MAX(OP!$R$17:$R$26),0,VLOOKUP(A1162,fees,3,FALSE))</f>
        <v>0</v>
      </c>
      <c r="R1162" s="200" t="str">
        <f t="shared" ca="1" si="665"/>
        <v/>
      </c>
      <c r="S1162" s="9" t="str">
        <f ca="1">IF(COUNTIF(($T$4:T1161),"F")&gt;=1,"",IF(OR(C1163&lt;&gt;$C$3,E1162=""),"",A1162))</f>
        <v/>
      </c>
      <c r="T1162" s="20" t="str">
        <f t="shared" ca="1" si="652"/>
        <v/>
      </c>
      <c r="U1162" s="2">
        <f ca="1">IF(IF(OP!$C$83=1,$Z1161,IF(OP!$C$83=2,$AA1161,IF(OP!$C$83=3,$AB1161,)))+$K1162-$O1162-$P1162-$AS1162&lt;OP!$C$142,0,$AS1162)</f>
        <v>0</v>
      </c>
      <c r="V1162" s="9"/>
      <c r="W1162" s="19">
        <f ca="1">MAX(SUM($K$4:K1162),0)</f>
        <v>2000000</v>
      </c>
      <c r="X1162" s="19"/>
      <c r="Y1162" s="19">
        <f t="shared" ca="1" si="683"/>
        <v>1920000</v>
      </c>
      <c r="Z1162" s="2">
        <f ca="1">IF(MIN($Z$4:Z1161)=0,0,MAX(0,($Z1161+$K1162-$O1162-$P1162)*IF(AND(F1162="F",$D$3&lt;&gt;$G$3),((1+(-J1162))^(H1162/MIN(G1162,365))),((1+(-J1162))^(1/12)))-$U1162))</f>
        <v>13544.805493668808</v>
      </c>
      <c r="AA1162" s="2">
        <f ca="1">IF(MIN($AA$4:AA1161)=0,0,MAX(0,($AA1161+$K1162-$O1162-$P1162)*IF(AND(F1162="F",$D$3&lt;&gt;$G$3),((1+$AA$1)^(H1162/MIN(G1162,365))),((1+$AA$1)^(1/12)))-$U1162))</f>
        <v>1920000</v>
      </c>
      <c r="AB1162" s="2">
        <f ca="1">IF(MIN($AB$4:AB1161)=0,0,MAX(0,($AB1161+$K1162-$O1162-$P1162)*IF(AND(F1162="F",$D$3&lt;&gt;$G$3),((1+(J1162))^(H1162/MIN(G1162,365))),((1+(J1162))^(1/12)))-$U1162))</f>
        <v>213714684.48947471</v>
      </c>
      <c r="AC1162" s="5"/>
      <c r="AD1162" s="5"/>
      <c r="AE1162" s="5"/>
      <c r="AF1162" s="282">
        <f t="shared" ca="1" si="666"/>
        <v>13545</v>
      </c>
      <c r="AG1162" s="282">
        <f t="shared" ca="1" si="667"/>
        <v>1920000</v>
      </c>
      <c r="AH1162" s="282">
        <f t="shared" ca="1" si="668"/>
        <v>213714684</v>
      </c>
      <c r="AI1162" s="23" t="str">
        <f t="shared" ca="1" si="649"/>
        <v>97-8</v>
      </c>
      <c r="AJ1162" s="282">
        <f ca="1">IF(E1162&gt;111,,IF(AND(OP!$C$99=1,T1162="F"),Z1162,IF(AND(OP!$C$99=2,COUNTIF($T$4:T1162,"F")=1),OP!$C$97+IF(F1162="F",OP!$C$98,0),"")))</f>
        <v>0</v>
      </c>
      <c r="AK1162" s="282">
        <f ca="1">IF(E1162&gt;111,,IF(AND(OP!$D$99=1,T1162="F"),AA1162,IF(AND(OP!$D$99=2,COUNTIF($T$4:T1162,"F")=1),OP!$D$97+IF(F1162="F",OP!$D$98,0),"")))</f>
        <v>0</v>
      </c>
      <c r="AL1162" s="282">
        <f ca="1">IF(E1162&gt;111,,IF(AND(OP!$E$99=1,T1162="F"),AB1162,IF(AND(OP!$E$99=2,COUNTIF($T$4:T1162,"F")=1),OP!$E$97+IF(F1162="F",OP!$E$98,0),"")))</f>
        <v>0</v>
      </c>
      <c r="AM1162" s="1">
        <f t="shared" ca="1" si="653"/>
        <v>8</v>
      </c>
      <c r="AN1162" s="1" t="e">
        <f ca="1">IF(OR(VLOOKUP($A1162,MP,5,0)="半年繳",VLOOKUP($A1162,MP,5,0)="季繳",VLOOKUP($A1162,MP,5,0)="月繳"),1,"")</f>
        <v>#N/A</v>
      </c>
      <c r="AO1162" s="1">
        <f t="shared" ca="1" si="669"/>
        <v>0</v>
      </c>
      <c r="AP1162" s="1" t="str">
        <f ca="1">IF(AND(A1162&lt;=OP!$C$120,COUNTIF(PAY,C1162)=1),1,"")</f>
        <v/>
      </c>
      <c r="AR1162" s="301">
        <f ca="1">IF(繳費報酬率資料!$A$1=1,$AY1162+$AZ1162,$BF1162+$BG1162)</f>
        <v>0</v>
      </c>
      <c r="AS1162" s="1">
        <f ca="1">IF(C1162&lt;&gt;IF($C$3=1,12,$C$3-1),0,IF(繳費報酬率資料!$A$1&lt;&gt;1,VLOOKUP($A1162,MP,8,0),IF(AND($A1162&gt;=OP!$C$79,$A1162&lt;=OP!$C$80),OP!$C$78,)))</f>
        <v>0</v>
      </c>
      <c r="AT1162" s="298">
        <f t="shared" ca="1" si="670"/>
        <v>0</v>
      </c>
      <c r="AU1162" s="298">
        <f ca="1">IF(AND(A1162&lt;=OP!$C$120,COUNTIF(PAY,C1162)=1),OP!$C$123,0)</f>
        <v>0</v>
      </c>
      <c r="AV1162" s="298">
        <f ca="1">IF(AND(A1162&gt;=OP!$C$132,A1162&lt;=OP!$C$133,$C$3=C1162),OP!$C$135,0)</f>
        <v>0</v>
      </c>
      <c r="AW1162" s="180">
        <f t="shared" ca="1" si="671"/>
        <v>0.05</v>
      </c>
      <c r="AX1162" s="180">
        <f t="shared" ca="1" si="672"/>
        <v>0.05</v>
      </c>
      <c r="AY1162" s="286">
        <f t="shared" ca="1" si="673"/>
        <v>0</v>
      </c>
      <c r="AZ1162" s="286">
        <f t="shared" ca="1" si="674"/>
        <v>0</v>
      </c>
      <c r="BA1162" s="286">
        <f t="shared" ca="1" si="675"/>
        <v>0</v>
      </c>
      <c r="BB1162" s="286">
        <f t="shared" ca="1" si="676"/>
        <v>0</v>
      </c>
      <c r="BC1162" s="286">
        <f t="shared" ca="1" si="677"/>
        <v>0</v>
      </c>
      <c r="BD1162" s="180">
        <f t="shared" ca="1" si="678"/>
        <v>0.05</v>
      </c>
      <c r="BE1162" s="180">
        <f t="shared" ca="1" si="679"/>
        <v>0.05</v>
      </c>
      <c r="BF1162" s="286">
        <f t="shared" ca="1" si="680"/>
        <v>0</v>
      </c>
      <c r="BG1162" s="286">
        <f t="shared" ca="1" si="681"/>
        <v>0</v>
      </c>
    </row>
    <row r="1163" spans="1:59">
      <c r="A1163" s="1">
        <f t="shared" ca="1" si="660"/>
        <v>97</v>
      </c>
      <c r="B1163" s="1">
        <f t="shared" ca="1" si="654"/>
        <v>203</v>
      </c>
      <c r="C1163" s="1">
        <f t="shared" ca="1" si="655"/>
        <v>1</v>
      </c>
      <c r="D1163" s="1">
        <f ca="1">MIN($D$3,VLOOKUP(C1163,OP!$S$30:$T$41,2))</f>
        <v>2</v>
      </c>
      <c r="E1163" s="1" t="str">
        <f t="shared" ca="1" si="651"/>
        <v/>
      </c>
      <c r="F1163" s="11" t="str">
        <f t="shared" ca="1" si="661"/>
        <v/>
      </c>
      <c r="G1163" s="8">
        <f t="shared" ca="1" si="662"/>
        <v>365</v>
      </c>
      <c r="H1163" s="8">
        <f t="shared" ca="1" si="663"/>
        <v>31</v>
      </c>
      <c r="I1163" s="8" t="str">
        <f t="shared" ca="1" si="659"/>
        <v>971</v>
      </c>
      <c r="J1163" s="13">
        <f>IF(繳費報酬率資料!$A$1=1,VALUE(OP!$C$121),VLOOKUP(A1163,MP,2,0))</f>
        <v>0.05</v>
      </c>
      <c r="K1163" s="14">
        <f ca="1">IF(SUM($K$4:K1162,IF(繳費報酬率資料!$A$1=1,$AU1163+$AV1163,$BB1163+$BC1163))&gt;OP!$L$58,0,IF(繳費報酬率資料!$A$1=1,$AU1163+$AV1163,$BB1163+$BC1163))</f>
        <v>0</v>
      </c>
      <c r="L1163" s="2"/>
      <c r="M1163" s="2"/>
      <c r="N1163" s="2"/>
      <c r="O1163" s="261">
        <f t="shared" ca="1" si="664"/>
        <v>0</v>
      </c>
      <c r="P1163" s="261">
        <f t="shared" ca="1" si="682"/>
        <v>0</v>
      </c>
      <c r="Q1163" s="3">
        <f ca="1">IF(A1163&gt;MAX(OP!$R$17:$R$26),0,VLOOKUP(A1163,fees,3,FALSE))</f>
        <v>0</v>
      </c>
      <c r="R1163" s="200" t="str">
        <f t="shared" ca="1" si="665"/>
        <v/>
      </c>
      <c r="S1163" s="9" t="str">
        <f ca="1">IF(COUNTIF(($T$4:T1162),"F")&gt;=1,"",IF(OR(C1164&lt;&gt;$C$3,E1163=""),"",A1163))</f>
        <v/>
      </c>
      <c r="T1163" s="20" t="str">
        <f t="shared" ca="1" si="652"/>
        <v/>
      </c>
      <c r="U1163" s="2">
        <f ca="1">IF(IF(OP!$C$83=1,$Z1162,IF(OP!$C$83=2,$AA1162,IF(OP!$C$83=3,$AB1162,)))+$K1163-$O1163-$P1163-$AS1163&lt;OP!$C$142,0,$AS1163)</f>
        <v>0</v>
      </c>
      <c r="V1163" s="9"/>
      <c r="W1163" s="19">
        <f ca="1">MAX(SUM($K$4:K1163),0)</f>
        <v>2000000</v>
      </c>
      <c r="X1163" s="19"/>
      <c r="Y1163" s="19">
        <f t="shared" ca="1" si="683"/>
        <v>1920000</v>
      </c>
      <c r="Z1163" s="2">
        <f ca="1">IF(MIN($Z$4:Z1162)=0,0,MAX(0,($Z1162+$K1163-$O1163-$P1163)*IF(AND(F1163="F",$D$3&lt;&gt;$G$3),((1+(-J1163))^(H1163/MIN(G1163,365))),((1+(-J1163))^(1/12)))-$U1163))</f>
        <v>13487.032580458255</v>
      </c>
      <c r="AA1163" s="2">
        <f ca="1">IF(MIN($AA$4:AA1162)=0,0,MAX(0,($AA1162+$K1163-$O1163-$P1163)*IF(AND(F1163="F",$D$3&lt;&gt;$G$3),((1+$AA$1)^(H1163/MIN(G1163,365))),((1+$AA$1)^(1/12)))-$U1163))</f>
        <v>1920000</v>
      </c>
      <c r="AB1163" s="2">
        <f ca="1">IF(MIN($AB$4:AB1162)=0,0,MAX(0,($AB1162+$K1163-$O1163-$P1163)*IF(AND(F1163="F",$D$3&lt;&gt;$G$3),((1+(J1163))^(H1163/MIN(G1163,365))),((1+(J1163))^(1/12)))-$U1163))</f>
        <v>214585384.56846818</v>
      </c>
      <c r="AC1163" s="5"/>
      <c r="AD1163" s="5"/>
      <c r="AE1163" s="5"/>
      <c r="AF1163" s="282">
        <f t="shared" ca="1" si="666"/>
        <v>13487</v>
      </c>
      <c r="AG1163" s="282">
        <f t="shared" ca="1" si="667"/>
        <v>1920000</v>
      </c>
      <c r="AH1163" s="282">
        <f t="shared" ca="1" si="668"/>
        <v>214585385</v>
      </c>
      <c r="AI1163" s="23" t="str">
        <f t="shared" ca="1" si="649"/>
        <v>97-9</v>
      </c>
      <c r="AJ1163" s="282">
        <f ca="1">IF(E1163&gt;111,,IF(AND(OP!$C$99=1,T1163="F"),Z1163,IF(AND(OP!$C$99=2,COUNTIF($T$4:T1163,"F")=1),OP!$C$97+IF(F1163="F",OP!$C$98,0),"")))</f>
        <v>0</v>
      </c>
      <c r="AK1163" s="282">
        <f ca="1">IF(E1163&gt;111,,IF(AND(OP!$D$99=1,T1163="F"),AA1163,IF(AND(OP!$D$99=2,COUNTIF($T$4:T1163,"F")=1),OP!$D$97+IF(F1163="F",OP!$D$98,0),"")))</f>
        <v>0</v>
      </c>
      <c r="AL1163" s="282">
        <f ca="1">IF(E1163&gt;111,,IF(AND(OP!$E$99=1,T1163="F"),AB1163,IF(AND(OP!$E$99=2,COUNTIF($T$4:T1163,"F")=1),OP!$E$97+IF(F1163="F",OP!$E$98,0),"")))</f>
        <v>0</v>
      </c>
      <c r="AM1163" s="1">
        <f t="shared" ca="1" si="653"/>
        <v>9</v>
      </c>
      <c r="AN1163" s="1" t="e">
        <f ca="1">IF(OR(VLOOKUP($A1163,MP,5,0)="月繳"),1,"")</f>
        <v>#N/A</v>
      </c>
      <c r="AO1163" s="1">
        <f t="shared" ca="1" si="669"/>
        <v>0</v>
      </c>
      <c r="AP1163" s="1" t="str">
        <f ca="1">IF(AND(A1163&lt;=OP!$C$120,COUNTIF(PAY,C1163)=1),1,"")</f>
        <v/>
      </c>
      <c r="AR1163" s="301">
        <f ca="1">IF(繳費報酬率資料!$A$1=1,$AY1163+$AZ1163,$BF1163+$BG1163)</f>
        <v>0</v>
      </c>
      <c r="AS1163" s="1">
        <f ca="1">IF(C1163&lt;&gt;IF($C$3=1,12,$C$3-1),0,IF(繳費報酬率資料!$A$1&lt;&gt;1,VLOOKUP($A1163,MP,8,0),IF(AND($A1163&gt;=OP!$C$79,$A1163&lt;=OP!$C$80),OP!$C$78,)))</f>
        <v>0</v>
      </c>
      <c r="AT1163" s="298">
        <f t="shared" ca="1" si="670"/>
        <v>0</v>
      </c>
      <c r="AU1163" s="298">
        <f ca="1">IF(AND(A1163&lt;=OP!$C$120,COUNTIF(PAY,C1163)=1),OP!$C$123,0)</f>
        <v>0</v>
      </c>
      <c r="AV1163" s="298">
        <f ca="1">IF(AND(A1163&gt;=OP!$C$132,A1163&lt;=OP!$C$133,$C$3=C1163),OP!$C$135,0)</f>
        <v>0</v>
      </c>
      <c r="AW1163" s="180">
        <f t="shared" ca="1" si="671"/>
        <v>0.05</v>
      </c>
      <c r="AX1163" s="180">
        <f t="shared" ca="1" si="672"/>
        <v>0.05</v>
      </c>
      <c r="AY1163" s="286">
        <f t="shared" ca="1" si="673"/>
        <v>0</v>
      </c>
      <c r="AZ1163" s="286">
        <f t="shared" ca="1" si="674"/>
        <v>0</v>
      </c>
      <c r="BA1163" s="286">
        <f t="shared" ca="1" si="675"/>
        <v>0</v>
      </c>
      <c r="BB1163" s="286">
        <f t="shared" ca="1" si="676"/>
        <v>0</v>
      </c>
      <c r="BC1163" s="286">
        <f t="shared" ca="1" si="677"/>
        <v>0</v>
      </c>
      <c r="BD1163" s="180">
        <f t="shared" ca="1" si="678"/>
        <v>0.05</v>
      </c>
      <c r="BE1163" s="180">
        <f t="shared" ca="1" si="679"/>
        <v>0.05</v>
      </c>
      <c r="BF1163" s="286">
        <f t="shared" ca="1" si="680"/>
        <v>0</v>
      </c>
      <c r="BG1163" s="286">
        <f t="shared" ca="1" si="681"/>
        <v>0</v>
      </c>
    </row>
    <row r="1164" spans="1:59">
      <c r="A1164" s="1">
        <f t="shared" ca="1" si="660"/>
        <v>97</v>
      </c>
      <c r="B1164" s="1">
        <f t="shared" ca="1" si="654"/>
        <v>203</v>
      </c>
      <c r="C1164" s="1">
        <f t="shared" ca="1" si="655"/>
        <v>2</v>
      </c>
      <c r="D1164" s="1">
        <f ca="1">MIN($D$3,VLOOKUP(C1164,OP!$S$30:$T$41,2))</f>
        <v>2</v>
      </c>
      <c r="E1164" s="1" t="str">
        <f t="shared" ca="1" si="651"/>
        <v/>
      </c>
      <c r="F1164" s="11" t="str">
        <f t="shared" ca="1" si="661"/>
        <v/>
      </c>
      <c r="G1164" s="8">
        <f t="shared" ca="1" si="662"/>
        <v>365</v>
      </c>
      <c r="H1164" s="8">
        <f t="shared" ca="1" si="663"/>
        <v>28</v>
      </c>
      <c r="I1164" s="8" t="str">
        <f t="shared" ca="1" si="659"/>
        <v>972</v>
      </c>
      <c r="J1164" s="13">
        <f>IF(繳費報酬率資料!$A$1=1,VALUE(OP!$C$121),VLOOKUP(A1164,MP,2,0))</f>
        <v>0.05</v>
      </c>
      <c r="K1164" s="14">
        <f ca="1">IF(SUM($K$4:K1163,IF(繳費報酬率資料!$A$1=1,$AU1164+$AV1164,$BB1164+$BC1164))&gt;OP!$L$58,0,IF(繳費報酬率資料!$A$1=1,$AU1164+$AV1164,$BB1164+$BC1164))</f>
        <v>0</v>
      </c>
      <c r="L1164" s="2"/>
      <c r="M1164" s="2"/>
      <c r="N1164" s="2"/>
      <c r="O1164" s="261">
        <f t="shared" ca="1" si="664"/>
        <v>0</v>
      </c>
      <c r="P1164" s="261">
        <f t="shared" ca="1" si="682"/>
        <v>0</v>
      </c>
      <c r="Q1164" s="3">
        <f ca="1">IF(A1164&gt;MAX(OP!$R$17:$R$26),0,VLOOKUP(A1164,fees,3,FALSE))</f>
        <v>0</v>
      </c>
      <c r="R1164" s="200" t="str">
        <f t="shared" ca="1" si="665"/>
        <v/>
      </c>
      <c r="S1164" s="9" t="str">
        <f ca="1">IF(COUNTIF(($T$4:T1163),"F")&gt;=1,"",IF(OR(C1165&lt;&gt;$C$3,E1164=""),"",A1164))</f>
        <v/>
      </c>
      <c r="T1164" s="20" t="str">
        <f t="shared" ca="1" si="652"/>
        <v/>
      </c>
      <c r="U1164" s="2">
        <f ca="1">IF(IF(OP!$C$83=1,$Z1163,IF(OP!$C$83=2,$AA1163,IF(OP!$C$83=3,$AB1163,)))+$K1164-$O1164-$P1164-$AS1164&lt;OP!$C$142,0,$AS1164)</f>
        <v>0</v>
      </c>
      <c r="V1164" s="9"/>
      <c r="W1164" s="19">
        <f ca="1">MAX(SUM($K$4:K1164),0)</f>
        <v>2000000</v>
      </c>
      <c r="X1164" s="19"/>
      <c r="Y1164" s="19">
        <f t="shared" ca="1" si="683"/>
        <v>1920000</v>
      </c>
      <c r="Z1164" s="2">
        <f ca="1">IF(MIN($Z$4:Z1163)=0,0,MAX(0,($Z1163+$K1164-$O1164-$P1164)*IF(AND(F1164="F",$D$3&lt;&gt;$G$3),((1+(-J1164))^(H1164/MIN(G1164,365))),((1+(-J1164))^(1/12)))-$U1164))</f>
        <v>13429.506087139254</v>
      </c>
      <c r="AA1164" s="2">
        <f ca="1">IF(MIN($AA$4:AA1163)=0,0,MAX(0,($AA1163+$K1164-$O1164-$P1164)*IF(AND(F1164="F",$D$3&lt;&gt;$G$3),((1+$AA$1)^(H1164/MIN(G1164,365))),((1+$AA$1)^(1/12)))-$U1164))</f>
        <v>1920000</v>
      </c>
      <c r="AB1164" s="2">
        <f ca="1">IF(MIN($AB$4:AB1163)=0,0,MAX(0,($AB1163+$K1164-$O1164-$P1164)*IF(AND(F1164="F",$D$3&lt;&gt;$G$3),((1+(J1164))^(H1164/MIN(G1164,365))),((1+(J1164))^(1/12)))-$U1164))</f>
        <v>215459631.98736191</v>
      </c>
      <c r="AC1164" s="5"/>
      <c r="AD1164" s="5"/>
      <c r="AE1164" s="5"/>
      <c r="AF1164" s="282">
        <f t="shared" ca="1" si="666"/>
        <v>13430</v>
      </c>
      <c r="AG1164" s="282">
        <f t="shared" ca="1" si="667"/>
        <v>1920000</v>
      </c>
      <c r="AH1164" s="282">
        <f t="shared" ca="1" si="668"/>
        <v>215459632</v>
      </c>
      <c r="AI1164" s="23" t="str">
        <f ca="1">IF($G$3=D1165,A1165,A1164)&amp;"-"&amp;AM1164</f>
        <v>97-10</v>
      </c>
      <c r="AJ1164" s="282">
        <f ca="1">IF(E1164&gt;111,,IF(AND(OP!$C$99=1,T1164="F"),Z1164,IF(AND(OP!$C$99=2,COUNTIF($T$4:T1164,"F")=1),OP!$C$97+IF(F1164="F",OP!$C$98,0),"")))</f>
        <v>0</v>
      </c>
      <c r="AK1164" s="282">
        <f ca="1">IF(E1164&gt;111,,IF(AND(OP!$D$99=1,T1164="F"),AA1164,IF(AND(OP!$D$99=2,COUNTIF($T$4:T1164,"F")=1),OP!$D$97+IF(F1164="F",OP!$D$98,0),"")))</f>
        <v>0</v>
      </c>
      <c r="AL1164" s="282">
        <f ca="1">IF(E1164&gt;111,,IF(AND(OP!$E$99=1,T1164="F"),AB1164,IF(AND(OP!$E$99=2,COUNTIF($T$4:T1164,"F")=1),OP!$E$97+IF(F1164="F",OP!$E$98,0),"")))</f>
        <v>0</v>
      </c>
      <c r="AM1164" s="1">
        <f t="shared" ca="1" si="653"/>
        <v>10</v>
      </c>
      <c r="AN1164" s="1" t="e">
        <f ca="1">IF(OR(VLOOKUP($A1164,MP,5,0)="月繳"),1,"")</f>
        <v>#N/A</v>
      </c>
      <c r="AO1164" s="1">
        <f t="shared" ca="1" si="669"/>
        <v>0</v>
      </c>
      <c r="AP1164" s="1" t="str">
        <f ca="1">IF(AND(A1164&lt;=OP!$C$120,COUNTIF(PAY,C1164)=1),1,"")</f>
        <v/>
      </c>
      <c r="AR1164" s="301">
        <f ca="1">IF(繳費報酬率資料!$A$1=1,$AY1164+$AZ1164,$BF1164+$BG1164)</f>
        <v>0</v>
      </c>
      <c r="AS1164" s="1">
        <f ca="1">IF(C1164&lt;&gt;IF($C$3=1,12,$C$3-1),0,IF(繳費報酬率資料!$A$1&lt;&gt;1,VLOOKUP($A1164,MP,8,0),IF(AND($A1164&gt;=OP!$C$79,$A1164&lt;=OP!$C$80),OP!$C$78,)))</f>
        <v>0</v>
      </c>
      <c r="AT1164" s="298">
        <f t="shared" ca="1" si="670"/>
        <v>0</v>
      </c>
      <c r="AU1164" s="298">
        <f ca="1">IF(AND(A1164&lt;=OP!$C$120,COUNTIF(PAY,C1164)=1),OP!$C$123,0)</f>
        <v>0</v>
      </c>
      <c r="AV1164" s="298">
        <f ca="1">IF(AND(A1164&gt;=OP!$C$132,A1164&lt;=OP!$C$133,$C$3=C1164),OP!$C$135,0)</f>
        <v>0</v>
      </c>
      <c r="AW1164" s="180">
        <f t="shared" ca="1" si="671"/>
        <v>0.05</v>
      </c>
      <c r="AX1164" s="180">
        <f t="shared" ca="1" si="672"/>
        <v>0.05</v>
      </c>
      <c r="AY1164" s="286">
        <f t="shared" ca="1" si="673"/>
        <v>0</v>
      </c>
      <c r="AZ1164" s="286">
        <f t="shared" ca="1" si="674"/>
        <v>0</v>
      </c>
      <c r="BA1164" s="286">
        <f t="shared" ca="1" si="675"/>
        <v>0</v>
      </c>
      <c r="BB1164" s="286">
        <f t="shared" ca="1" si="676"/>
        <v>0</v>
      </c>
      <c r="BC1164" s="286">
        <f t="shared" ca="1" si="677"/>
        <v>0</v>
      </c>
      <c r="BD1164" s="180">
        <f t="shared" ca="1" si="678"/>
        <v>0.05</v>
      </c>
      <c r="BE1164" s="180">
        <f t="shared" ca="1" si="679"/>
        <v>0.05</v>
      </c>
      <c r="BF1164" s="286">
        <f t="shared" ca="1" si="680"/>
        <v>0</v>
      </c>
      <c r="BG1164" s="286">
        <f t="shared" ca="1" si="681"/>
        <v>0</v>
      </c>
    </row>
    <row r="1165" spans="1:59">
      <c r="A1165" s="1">
        <f t="shared" ca="1" si="660"/>
        <v>97</v>
      </c>
      <c r="B1165" s="1">
        <f t="shared" ca="1" si="654"/>
        <v>203</v>
      </c>
      <c r="C1165" s="1">
        <f t="shared" ca="1" si="655"/>
        <v>3</v>
      </c>
      <c r="D1165" s="1">
        <f ca="1">MIN($D$3,VLOOKUP(C1165,OP!$S$30:$T$41,2))</f>
        <v>2</v>
      </c>
      <c r="E1165" s="1" t="str">
        <f t="shared" ca="1" si="651"/>
        <v/>
      </c>
      <c r="F1165" s="11" t="str">
        <f t="shared" ca="1" si="661"/>
        <v/>
      </c>
      <c r="G1165" s="8">
        <f t="shared" ca="1" si="662"/>
        <v>365</v>
      </c>
      <c r="H1165" s="8">
        <f t="shared" ca="1" si="663"/>
        <v>31</v>
      </c>
      <c r="I1165" s="8" t="str">
        <f t="shared" ca="1" si="659"/>
        <v>973</v>
      </c>
      <c r="J1165" s="13">
        <f>IF(繳費報酬率資料!$A$1=1,VALUE(OP!$C$121),VLOOKUP(A1165,MP,2,0))</f>
        <v>0.05</v>
      </c>
      <c r="K1165" s="14">
        <f ca="1">IF(SUM($K$4:K1164,IF(繳費報酬率資料!$A$1=1,$AU1165+$AV1165,$BB1165+$BC1165))&gt;OP!$L$58,0,IF(繳費報酬率資料!$A$1=1,$AU1165+$AV1165,$BB1165+$BC1165))</f>
        <v>0</v>
      </c>
      <c r="L1165" s="2"/>
      <c r="M1165" s="2"/>
      <c r="N1165" s="2"/>
      <c r="O1165" s="261">
        <f t="shared" ca="1" si="664"/>
        <v>0</v>
      </c>
      <c r="P1165" s="261">
        <f t="shared" ca="1" si="682"/>
        <v>0</v>
      </c>
      <c r="Q1165" s="3">
        <f ca="1">IF(A1165&gt;MAX(OP!$R$17:$R$26),0,VLOOKUP(A1165,fees,3,FALSE))</f>
        <v>0</v>
      </c>
      <c r="R1165" s="200" t="str">
        <f t="shared" ca="1" si="665"/>
        <v/>
      </c>
      <c r="S1165" s="9" t="str">
        <f ca="1">IF(COUNTIF(($T$4:T1164),"F")&gt;=1,"",IF(OR(C1166&lt;&gt;$C$3,E1165=""),"",A1165))</f>
        <v/>
      </c>
      <c r="T1165" s="20" t="str">
        <f t="shared" ca="1" si="652"/>
        <v/>
      </c>
      <c r="U1165" s="2">
        <f ca="1">IF(IF(OP!$C$83=1,$Z1164,IF(OP!$C$83=2,$AA1164,IF(OP!$C$83=3,$AB1164,)))+$K1165-$O1165-$P1165-$AS1165&lt;OP!$C$142,0,$AS1165)</f>
        <v>0</v>
      </c>
      <c r="V1165" s="9"/>
      <c r="W1165" s="19">
        <f ca="1">MAX(SUM($K$4:K1165),0)</f>
        <v>2000000</v>
      </c>
      <c r="X1165" s="19"/>
      <c r="Y1165" s="19">
        <f t="shared" ca="1" si="683"/>
        <v>1920000</v>
      </c>
      <c r="Z1165" s="2">
        <f ca="1">IF(MIN($Z$4:Z1164)=0,0,MAX(0,($Z1164+$K1165-$O1165-$P1165)*IF(AND(F1165="F",$D$3&lt;&gt;$G$3),((1+(-J1165))^(H1165/MIN(G1165,365))),((1+(-J1165))^(1/12)))-$U1165))</f>
        <v>13372.224962652414</v>
      </c>
      <c r="AA1165" s="2">
        <f ca="1">IF(MIN($AA$4:AA1164)=0,0,MAX(0,($AA1164+$K1165-$O1165-$P1165)*IF(AND(F1165="F",$D$3&lt;&gt;$G$3),((1+$AA$1)^(H1165/MIN(G1165,365))),((1+$AA$1)^(1/12)))-$U1165))</f>
        <v>1920000</v>
      </c>
      <c r="AB1165" s="2">
        <f ca="1">IF(MIN($AB$4:AB1164)=0,0,MAX(0,($AB1164+$K1165-$O1165-$P1165)*IF(AND(F1165="F",$D$3&lt;&gt;$G$3),((1+(J1165))^(H1165/MIN(G1165,365))),((1+(J1165))^(1/12)))-$U1165))</f>
        <v>216337441.19845775</v>
      </c>
      <c r="AC1165" s="5"/>
      <c r="AD1165" s="5"/>
      <c r="AE1165" s="5"/>
      <c r="AF1165" s="282">
        <f t="shared" ca="1" si="666"/>
        <v>13372</v>
      </c>
      <c r="AG1165" s="282">
        <f t="shared" ca="1" si="667"/>
        <v>1920000</v>
      </c>
      <c r="AH1165" s="282">
        <f t="shared" ca="1" si="668"/>
        <v>216337441</v>
      </c>
      <c r="AI1165" s="23" t="str">
        <f ca="1">IF($G$3=D1166,A1166,A1165)&amp;"-"&amp;AM1165</f>
        <v>97-11</v>
      </c>
      <c r="AJ1165" s="282">
        <f ca="1">IF(E1165&gt;111,,IF(AND(OP!$C$99=1,T1165="F"),Z1165,IF(AND(OP!$C$99=2,COUNTIF($T$4:T1165,"F")=1),OP!$C$97+IF(F1165="F",OP!$C$98,0),"")))</f>
        <v>0</v>
      </c>
      <c r="AK1165" s="282">
        <f ca="1">IF(E1165&gt;111,,IF(AND(OP!$D$99=1,T1165="F"),AA1165,IF(AND(OP!$D$99=2,COUNTIF($T$4:T1165,"F")=1),OP!$D$97+IF(F1165="F",OP!$D$98,0),"")))</f>
        <v>0</v>
      </c>
      <c r="AL1165" s="282">
        <f ca="1">IF(E1165&gt;111,,IF(AND(OP!$E$99=1,T1165="F"),AB1165,IF(AND(OP!$E$99=2,COUNTIF($T$4:T1165,"F")=1),OP!$E$97+IF(F1165="F",OP!$E$98,0),"")))</f>
        <v>0</v>
      </c>
      <c r="AM1165" s="1">
        <f t="shared" ca="1" si="653"/>
        <v>11</v>
      </c>
      <c r="AN1165" s="1" t="e">
        <f ca="1">IF(OR(VLOOKUP($A1165,MP,5,0)="季繳",VLOOKUP($A1165,MP,5,0)="月繳"),1,"")</f>
        <v>#N/A</v>
      </c>
      <c r="AO1165" s="1">
        <f t="shared" ca="1" si="669"/>
        <v>0</v>
      </c>
      <c r="AP1165" s="1" t="str">
        <f ca="1">IF(AND(A1165&lt;=OP!$C$120,COUNTIF(PAY,C1165)=1),1,"")</f>
        <v/>
      </c>
      <c r="AR1165" s="301">
        <f ca="1">IF(繳費報酬率資料!$A$1=1,$AY1165+$AZ1165,$BF1165+$BG1165)</f>
        <v>0</v>
      </c>
      <c r="AS1165" s="1">
        <f ca="1">IF(C1165&lt;&gt;IF($C$3=1,12,$C$3-1),0,IF(繳費報酬率資料!$A$1&lt;&gt;1,VLOOKUP($A1165,MP,8,0),IF(AND($A1165&gt;=OP!$C$79,$A1165&lt;=OP!$C$80),OP!$C$78,)))</f>
        <v>0</v>
      </c>
      <c r="AT1165" s="298">
        <f t="shared" ca="1" si="670"/>
        <v>0</v>
      </c>
      <c r="AU1165" s="298">
        <f ca="1">IF(AND(A1165&lt;=OP!$C$120,COUNTIF(PAY,C1165)=1),OP!$C$123,0)</f>
        <v>0</v>
      </c>
      <c r="AV1165" s="298">
        <f ca="1">IF(AND(A1165&gt;=OP!$C$132,A1165&lt;=OP!$C$133,$C$3=C1165),OP!$C$135,0)</f>
        <v>0</v>
      </c>
      <c r="AW1165" s="180">
        <f t="shared" ca="1" si="671"/>
        <v>0.05</v>
      </c>
      <c r="AX1165" s="180">
        <f t="shared" ca="1" si="672"/>
        <v>0.05</v>
      </c>
      <c r="AY1165" s="286">
        <f t="shared" ca="1" si="673"/>
        <v>0</v>
      </c>
      <c r="AZ1165" s="286">
        <f t="shared" ca="1" si="674"/>
        <v>0</v>
      </c>
      <c r="BA1165" s="286">
        <f t="shared" ca="1" si="675"/>
        <v>0</v>
      </c>
      <c r="BB1165" s="286">
        <f t="shared" ca="1" si="676"/>
        <v>0</v>
      </c>
      <c r="BC1165" s="286">
        <f t="shared" ca="1" si="677"/>
        <v>0</v>
      </c>
      <c r="BD1165" s="180">
        <f t="shared" ca="1" si="678"/>
        <v>0.05</v>
      </c>
      <c r="BE1165" s="180">
        <f t="shared" ca="1" si="679"/>
        <v>0.05</v>
      </c>
      <c r="BF1165" s="286">
        <f t="shared" ca="1" si="680"/>
        <v>0</v>
      </c>
      <c r="BG1165" s="286">
        <f t="shared" ca="1" si="681"/>
        <v>0</v>
      </c>
    </row>
    <row r="1166" spans="1:59">
      <c r="A1166" s="1">
        <f t="shared" ca="1" si="660"/>
        <v>97</v>
      </c>
      <c r="B1166" s="1">
        <f t="shared" ca="1" si="654"/>
        <v>203</v>
      </c>
      <c r="C1166" s="1">
        <f t="shared" ca="1" si="655"/>
        <v>4</v>
      </c>
      <c r="D1166" s="1">
        <f ca="1">MIN($D$3,VLOOKUP(C1166,OP!$S$30:$T$41,2))</f>
        <v>2</v>
      </c>
      <c r="E1166" s="1" t="str">
        <f t="shared" ca="1" si="651"/>
        <v/>
      </c>
      <c r="F1166" s="11" t="str">
        <f t="shared" ca="1" si="661"/>
        <v/>
      </c>
      <c r="G1166" s="8">
        <f t="shared" ca="1" si="662"/>
        <v>365</v>
      </c>
      <c r="H1166" s="8">
        <f t="shared" ca="1" si="663"/>
        <v>30</v>
      </c>
      <c r="I1166" s="8" t="str">
        <f t="shared" ca="1" si="659"/>
        <v>974</v>
      </c>
      <c r="J1166" s="13">
        <f>IF(繳費報酬率資料!$A$1=1,VALUE(OP!$C$121),VLOOKUP(A1166,MP,2,0))</f>
        <v>0.05</v>
      </c>
      <c r="K1166" s="14">
        <f ca="1">IF(SUM($K$4:K1165,IF(繳費報酬率資料!$A$1=1,$AU1166+$AV1166,$BB1166+$BC1166))&gt;OP!$L$58,0,IF(繳費報酬率資料!$A$1=1,$AU1166+$AV1166,$BB1166+$BC1166))</f>
        <v>0</v>
      </c>
      <c r="L1166" s="2"/>
      <c r="M1166" s="2"/>
      <c r="N1166" s="2"/>
      <c r="O1166" s="261">
        <f t="shared" ca="1" si="664"/>
        <v>0</v>
      </c>
      <c r="P1166" s="261">
        <f t="shared" ca="1" si="682"/>
        <v>0</v>
      </c>
      <c r="Q1166" s="3">
        <f ca="1">IF(A1166&gt;MAX(OP!$R$17:$R$26),0,VLOOKUP(A1166,fees,3,FALSE))</f>
        <v>0</v>
      </c>
      <c r="R1166" s="200" t="str">
        <f t="shared" ca="1" si="665"/>
        <v/>
      </c>
      <c r="S1166" s="9" t="str">
        <f ca="1">IF(COUNTIF(($T$4:T1165),"F")&gt;=1,"",IF(OR(C1167&lt;&gt;$C$3,E1166=""),"",A1166))</f>
        <v/>
      </c>
      <c r="T1166" s="20" t="str">
        <f t="shared" ca="1" si="652"/>
        <v/>
      </c>
      <c r="U1166" s="2">
        <f ca="1">IF(IF(OP!$C$83=1,$Z1165,IF(OP!$C$83=2,$AA1165,IF(OP!$C$83=3,$AB1165,)))+$K1166-$O1166-$P1166-$AS1166&lt;OP!$C$142,0,$AS1166)</f>
        <v>0</v>
      </c>
      <c r="V1166" s="9"/>
      <c r="W1166" s="19">
        <f ca="1">MAX(SUM($K$4:K1166),0)</f>
        <v>2000000</v>
      </c>
      <c r="X1166" s="19"/>
      <c r="Y1166" s="19">
        <f t="shared" ca="1" si="683"/>
        <v>1920000</v>
      </c>
      <c r="Z1166" s="2">
        <f ca="1">IF(MIN($Z$4:Z1165)=0,0,MAX(0,($Z1165+$K1166-$O1166-$P1166)*IF(AND(F1166="F",$D$3&lt;&gt;$G$3),((1+(-J1166))^(H1166/MIN(G1166,365))),((1+(-J1166))^(1/12)))-$U1166))</f>
        <v>13315.188160421447</v>
      </c>
      <c r="AA1166" s="2">
        <f ca="1">IF(MIN($AA$4:AA1165)=0,0,MAX(0,($AA1165+$K1166-$O1166-$P1166)*IF(AND(F1166="F",$D$3&lt;&gt;$G$3),((1+$AA$1)^(H1166/MIN(G1166,365))),((1+$AA$1)^(1/12)))-$U1166))</f>
        <v>1920000</v>
      </c>
      <c r="AB1166" s="2">
        <f ca="1">IF(MIN($AB$4:AB1165)=0,0,MAX(0,($AB1165+$K1166-$O1166-$P1166)*IF(AND(F1166="F",$D$3&lt;&gt;$G$3),((1+(J1166))^(H1166/MIN(G1166,365))),((1+(J1166))^(1/12)))-$U1166))</f>
        <v>217218826.71293801</v>
      </c>
      <c r="AC1166" s="5"/>
      <c r="AD1166" s="5"/>
      <c r="AE1166" s="5"/>
      <c r="AF1166" s="282">
        <f t="shared" ca="1" si="666"/>
        <v>13315</v>
      </c>
      <c r="AG1166" s="282">
        <f t="shared" ca="1" si="667"/>
        <v>1920000</v>
      </c>
      <c r="AH1166" s="282">
        <f t="shared" ca="1" si="668"/>
        <v>217218827</v>
      </c>
      <c r="AI1166" s="23" t="str">
        <f ca="1">IF($G$3=D1167,A1167,A1166)&amp;"-"&amp;AM1166</f>
        <v>97-12</v>
      </c>
      <c r="AJ1166" s="282">
        <f ca="1">IF(E1166&gt;111,,IF(AND(OP!$C$99=1,T1166="F"),Z1166,IF(AND(OP!$C$99=2,COUNTIF($T$4:T1166,"F")=1),OP!$C$97+IF(F1166="F",OP!$C$98,0),"")))</f>
        <v>0</v>
      </c>
      <c r="AK1166" s="282">
        <f ca="1">IF(E1166&gt;111,,IF(AND(OP!$D$99=1,T1166="F"),AA1166,IF(AND(OP!$D$99=2,COUNTIF($T$4:T1166,"F")=1),OP!$D$97+IF(F1166="F",OP!$D$98,0),"")))</f>
        <v>0</v>
      </c>
      <c r="AL1166" s="282">
        <f ca="1">IF(E1166&gt;111,,IF(AND(OP!$E$99=1,T1166="F"),AB1166,IF(AND(OP!$E$99=2,COUNTIF($T$4:T1166,"F")=1),OP!$E$97+IF(F1166="F",OP!$E$98,0),"")))</f>
        <v>0</v>
      </c>
      <c r="AM1166" s="1">
        <f t="shared" ca="1" si="653"/>
        <v>12</v>
      </c>
      <c r="AN1166" s="1" t="e">
        <f ca="1">IF(OR(VLOOKUP($A1166,MP,5,0)="月繳"),1,"")</f>
        <v>#N/A</v>
      </c>
      <c r="AO1166" s="1">
        <f t="shared" ca="1" si="669"/>
        <v>0</v>
      </c>
      <c r="AP1166" s="1" t="str">
        <f ca="1">IF(AND(A1166&lt;=OP!$C$120,COUNTIF(PAY,C1166)=1),1,"")</f>
        <v/>
      </c>
      <c r="AR1166" s="301">
        <f ca="1">IF(繳費報酬率資料!$A$1=1,$AY1166+$AZ1166,$BF1166+$BG1166)</f>
        <v>0</v>
      </c>
      <c r="AS1166" s="1">
        <f ca="1">IF(C1166&lt;&gt;IF($C$3=1,12,$C$3-1),0,IF(繳費報酬率資料!$A$1&lt;&gt;1,VLOOKUP($A1166,MP,8,0),IF(AND($A1166&gt;=OP!$C$79,$A1166&lt;=OP!$C$80),OP!$C$78,)))</f>
        <v>0</v>
      </c>
      <c r="AT1166" s="298">
        <f t="shared" ca="1" si="670"/>
        <v>0</v>
      </c>
      <c r="AU1166" s="298">
        <f ca="1">IF(AND(A1166&lt;=OP!$C$120,COUNTIF(PAY,C1166)=1),OP!$C$123,0)</f>
        <v>0</v>
      </c>
      <c r="AV1166" s="298">
        <f ca="1">IF(AND(A1166&gt;=OP!$C$132,A1166&lt;=OP!$C$133,$C$3=C1166),OP!$C$135,0)</f>
        <v>0</v>
      </c>
      <c r="AW1166" s="180">
        <f t="shared" ca="1" si="671"/>
        <v>0.05</v>
      </c>
      <c r="AX1166" s="180">
        <f t="shared" ca="1" si="672"/>
        <v>0.05</v>
      </c>
      <c r="AY1166" s="286">
        <f t="shared" ca="1" si="673"/>
        <v>0</v>
      </c>
      <c r="AZ1166" s="286">
        <f t="shared" ca="1" si="674"/>
        <v>0</v>
      </c>
      <c r="BA1166" s="286">
        <f t="shared" ca="1" si="675"/>
        <v>0</v>
      </c>
      <c r="BB1166" s="286">
        <f t="shared" ca="1" si="676"/>
        <v>0</v>
      </c>
      <c r="BC1166" s="286">
        <f t="shared" ca="1" si="677"/>
        <v>0</v>
      </c>
      <c r="BD1166" s="180">
        <f t="shared" ca="1" si="678"/>
        <v>0.05</v>
      </c>
      <c r="BE1166" s="180">
        <f t="shared" ca="1" si="679"/>
        <v>0.05</v>
      </c>
      <c r="BF1166" s="286">
        <f t="shared" ca="1" si="680"/>
        <v>0</v>
      </c>
      <c r="BG1166" s="286">
        <f t="shared" ca="1" si="681"/>
        <v>0</v>
      </c>
    </row>
    <row r="1167" spans="1:59">
      <c r="A1167" s="1">
        <f t="shared" ca="1" si="660"/>
        <v>97</v>
      </c>
      <c r="B1167" s="1">
        <f t="shared" ca="1" si="654"/>
        <v>203</v>
      </c>
      <c r="C1167" s="1">
        <f t="shared" ca="1" si="655"/>
        <v>5</v>
      </c>
      <c r="D1167" s="1">
        <f ca="1">MIN($D$3,VLOOKUP(C1167,OP!$S$30:$T$41,2))</f>
        <v>2</v>
      </c>
      <c r="E1167" s="1" t="str">
        <f t="shared" ca="1" si="651"/>
        <v/>
      </c>
      <c r="F1167" s="11" t="str">
        <f t="shared" ca="1" si="661"/>
        <v/>
      </c>
      <c r="G1167" s="8">
        <f t="shared" ca="1" si="662"/>
        <v>365</v>
      </c>
      <c r="H1167" s="8">
        <f t="shared" ca="1" si="663"/>
        <v>31</v>
      </c>
      <c r="I1167" s="8" t="str">
        <f t="shared" ca="1" si="659"/>
        <v>975</v>
      </c>
      <c r="J1167" s="13">
        <f>IF(繳費報酬率資料!$A$1=1,VALUE(OP!$C$121),VLOOKUP(A1167,MP,2,0))</f>
        <v>0.05</v>
      </c>
      <c r="K1167" s="14">
        <f ca="1">IF(SUM($K$4:K1166,IF(繳費報酬率資料!$A$1=1,$AU1167+$AV1167,$BB1167+$BC1167))&gt;OP!$L$58,0,IF(繳費報酬率資料!$A$1=1,$AU1167+$AV1167,$BB1167+$BC1167))</f>
        <v>0</v>
      </c>
      <c r="L1167" s="2">
        <f ca="1">ROUND(IF(OP!$C$78&lt;(IF(OR($T1167="F",$E1167&gt;=111),0,Z1166+$K1167-$O1167+IF($C$1=1,OP!$C$78,IF($C1168=$C$3,SUM(AC1156:AC1167,0)))))*5%,0,(OP!$C$78-((IF(OR($T1167="F",$E1167&gt;=111),0,Z1166+$K1167-$O1167+IF($C$1=1,AC1167,IF($C1168=$C$3,SUM(AC1156:AC1167,0)))))*5%))*$Q1167),0)</f>
        <v>0</v>
      </c>
      <c r="M1167" s="2">
        <f ca="1">ROUND(IF(OP!$C$78&lt;(IF(OR($T1167="F",$E1167&gt;=111),0,AA1166+$K1167-$O1167+IF($C$1=1,AD1167,IF($C1168=$C$3,SUM(AD1156:AD1167,0)))))*5%,0,(OP!$C$78-((IF(OR($T1167="F",$E1167&gt;=111),0,AA1166+$K1167-$O1167+IF($C$1=1,AD1167,IF($C1168=$C$3,SUM(AD1156:AD1167,0)))))*5%))*$Q1167),0)</f>
        <v>0</v>
      </c>
      <c r="N1167" s="2">
        <f ca="1">ROUND(IF(OP!$C$78&lt;(IF(OR($T1167="F",$E1167&gt;=111),0,AB1166+$K1167-$O1167+IF($C$1=1,AE1167,IF($C1168=$C$3,SUM(AE1156:AE1167,0)))))*5%,0,(OP!$C$78-((IF(OR($T1167="F",$E1167&gt;=111),0,AB1166+$K1167-$O1167+IF($C$1=1,AE1167,IF($C1168=$C$3,SUM(AE1156:AE1167,0)))))*5%))*$Q1167),0)</f>
        <v>0</v>
      </c>
      <c r="O1167" s="261">
        <f t="shared" ca="1" si="664"/>
        <v>0</v>
      </c>
      <c r="P1167" s="261">
        <f t="shared" ca="1" si="682"/>
        <v>0</v>
      </c>
      <c r="Q1167" s="3">
        <f ca="1">IF(A1167&gt;MAX(OP!$R$17:$R$26),0,VLOOKUP(A1167,fees,3,FALSE))</f>
        <v>0</v>
      </c>
      <c r="R1167" s="200" t="str">
        <f t="shared" ca="1" si="665"/>
        <v/>
      </c>
      <c r="S1167" s="9" t="str">
        <f ca="1">IF(COUNTIF(($T$4:T1166),"F")&gt;=1,"",IF(OR(C1168&lt;&gt;$C$3,E1167=""),"",A1167))</f>
        <v/>
      </c>
      <c r="T1167" s="20" t="str">
        <f t="shared" ca="1" si="652"/>
        <v/>
      </c>
      <c r="U1167" s="2">
        <f ca="1">IF(IF(OP!$C$83=1,$Z1166,IF(OP!$C$83=2,$AA1166,IF(OP!$C$83=3,$AB1166,)))+$K1167-$O1167-$P1167-$AS1167&lt;OP!$C$142,0,$AS1167)</f>
        <v>0</v>
      </c>
      <c r="V1167" s="19">
        <f ca="1">SUM(K1156:K1167)</f>
        <v>0</v>
      </c>
      <c r="W1167" s="19">
        <f ca="1">MAX(SUM($K$4:K1167),0)</f>
        <v>2000000</v>
      </c>
      <c r="X1167" s="19">
        <f ca="1">SUM(O1156:P1167)</f>
        <v>0</v>
      </c>
      <c r="Y1167" s="19">
        <f t="shared" ca="1" si="683"/>
        <v>1920000</v>
      </c>
      <c r="Z1167" s="2">
        <f ca="1">IF(MIN($Z$4:Z1166)=0,0,MAX(0,($Z1166+$K1167-$O1167-$P1167)*IF(AND(F1167="F",$D$3&lt;&gt;$G$3),((1+(-J1167))^(H1167/MIN(G1167,365))),((1+(-J1167))^(1/12)))-$U1167))</f>
        <v>13258.394638334048</v>
      </c>
      <c r="AA1167" s="2">
        <f ca="1">IF(MIN($AA$4:AA1166)=0,0,MAX(0,($AA1166+$K1167-$O1167-$P1167)*IF(AND(F1167="F",$D$3&lt;&gt;$G$3),((1+$AA$1)^(H1167/MIN(G1167,365))),((1+$AA$1)^(1/12)))-$U1167))</f>
        <v>1920000</v>
      </c>
      <c r="AB1167" s="2">
        <f ca="1">IF(MIN($AB$4:AB1166)=0,0,MAX(0,($AB1166+$K1167-$O1167-$P1167)*IF(AND(F1167="F",$D$3&lt;&gt;$G$3),((1+(J1167))^(H1167/MIN(G1167,365))),((1+(J1167))^(1/12)))-$U1167))</f>
        <v>218103803.10110539</v>
      </c>
      <c r="AC1167" s="5"/>
      <c r="AD1167" s="5"/>
      <c r="AE1167" s="5"/>
      <c r="AF1167" s="282">
        <f t="shared" ca="1" si="666"/>
        <v>13258</v>
      </c>
      <c r="AG1167" s="282">
        <f t="shared" ca="1" si="667"/>
        <v>1920000</v>
      </c>
      <c r="AH1167" s="282">
        <f t="shared" ca="1" si="668"/>
        <v>218103803</v>
      </c>
      <c r="AI1167" s="23" t="str">
        <f ca="1">IF($G$3=D1168,A1168,A1167)&amp;"-"&amp;AM1167</f>
        <v>98-1</v>
      </c>
      <c r="AJ1167" s="282">
        <f ca="1">IF(E1167&gt;111,,IF(AND(OP!$C$99=1,T1167="F"),Z1167,IF(AND(OP!$C$99=2,COUNTIF($T$4:T1167,"F")=1),OP!$C$97+IF(F1167="F",OP!$C$98,0),"")))</f>
        <v>0</v>
      </c>
      <c r="AK1167" s="282">
        <f ca="1">IF(E1167&gt;111,,IF(AND(OP!$D$99=1,T1167="F"),AA1167,IF(AND(OP!$D$99=2,COUNTIF($T$4:T1167,"F")=1),OP!$D$97+IF(F1167="F",OP!$D$98,0),"")))</f>
        <v>0</v>
      </c>
      <c r="AL1167" s="282">
        <f ca="1">IF(E1167&gt;111,,IF(AND(OP!$E$99=1,T1167="F"),AB1167,IF(AND(OP!$E$99=2,COUNTIF($T$4:T1167,"F")=1),OP!$E$97+IF(F1167="F",OP!$E$98,0),"")))</f>
        <v>0</v>
      </c>
      <c r="AM1167" s="1">
        <f t="shared" ca="1" si="653"/>
        <v>1</v>
      </c>
      <c r="AN1167" s="1" t="e">
        <f ca="1">IF(OR(VLOOKUP($A1167,MP,5,0)="月繳"),1,"")</f>
        <v>#N/A</v>
      </c>
      <c r="AO1167" s="1">
        <f t="shared" ca="1" si="669"/>
        <v>0</v>
      </c>
      <c r="AP1167" s="1" t="str">
        <f ca="1">IF(AND(A1167&lt;=OP!$C$120,COUNTIF(PAY,C1167)=1),1,"")</f>
        <v/>
      </c>
      <c r="AR1167" s="301">
        <f ca="1">IF(繳費報酬率資料!$A$1=1,$AY1167+$AZ1167,$BF1167+$BG1167)</f>
        <v>0</v>
      </c>
      <c r="AS1167" s="1">
        <f ca="1">IF(C1167&lt;&gt;IF($C$3=1,12,$C$3-1),0,IF(繳費報酬率資料!$A$1&lt;&gt;1,VLOOKUP($A1167,MP,8,0),IF(AND($A1167&gt;=OP!$C$79,$A1167&lt;=OP!$C$80),OP!$C$78,)))</f>
        <v>0</v>
      </c>
      <c r="AT1167" s="298">
        <f t="shared" ca="1" si="670"/>
        <v>0</v>
      </c>
      <c r="AU1167" s="298">
        <f ca="1">IF(AND(A1167&lt;=OP!$C$120,COUNTIF(PAY,C1167)=1),OP!$C$123,0)</f>
        <v>0</v>
      </c>
      <c r="AV1167" s="298">
        <f ca="1">IF(AND(A1167&gt;=OP!$C$132,A1167&lt;=OP!$C$133,$C$3=C1167),OP!$C$135,0)</f>
        <v>0</v>
      </c>
      <c r="AW1167" s="180">
        <f t="shared" ca="1" si="671"/>
        <v>0.05</v>
      </c>
      <c r="AX1167" s="180">
        <f t="shared" ca="1" si="672"/>
        <v>0.05</v>
      </c>
      <c r="AY1167" s="286">
        <f t="shared" ca="1" si="673"/>
        <v>0</v>
      </c>
      <c r="AZ1167" s="286">
        <f t="shared" ca="1" si="674"/>
        <v>0</v>
      </c>
      <c r="BA1167" s="286">
        <f t="shared" ca="1" si="675"/>
        <v>0</v>
      </c>
      <c r="BB1167" s="286">
        <f t="shared" ca="1" si="676"/>
        <v>0</v>
      </c>
      <c r="BC1167" s="286">
        <f t="shared" ca="1" si="677"/>
        <v>0</v>
      </c>
      <c r="BD1167" s="180">
        <f t="shared" ca="1" si="678"/>
        <v>0.05</v>
      </c>
      <c r="BE1167" s="180">
        <f t="shared" ca="1" si="679"/>
        <v>0.05</v>
      </c>
      <c r="BF1167" s="286">
        <f t="shared" ca="1" si="680"/>
        <v>0</v>
      </c>
      <c r="BG1167" s="286">
        <f t="shared" ca="1" si="681"/>
        <v>0</v>
      </c>
    </row>
    <row r="1168" spans="1:59">
      <c r="A1168" s="1">
        <f t="shared" ca="1" si="660"/>
        <v>98</v>
      </c>
      <c r="B1168" s="1">
        <f t="shared" ca="1" si="654"/>
        <v>203</v>
      </c>
      <c r="C1168" s="1">
        <f t="shared" ca="1" si="655"/>
        <v>6</v>
      </c>
      <c r="D1168" s="1">
        <f ca="1">MIN($D$3,VLOOKUP(C1168,OP!$S$30:$T$41,2))</f>
        <v>2</v>
      </c>
      <c r="AT1168" s="298">
        <f t="shared" ca="1" si="670"/>
        <v>0</v>
      </c>
      <c r="AU1168" s="298">
        <f ca="1">IF(AND(A1168&lt;=OP!$C$120,COUNTIF(PAY,C1168)=1),OP!$C$123,0)</f>
        <v>0</v>
      </c>
      <c r="AV1168" s="298">
        <f ca="1">IF(AND(A1168&gt;=OP!$C$132,A1168&lt;=OP!$C$133,$C$3=C1168),OP!$C$135,0)</f>
        <v>0</v>
      </c>
      <c r="AW1168" s="180">
        <f t="shared" ca="1" si="671"/>
        <v>0.05</v>
      </c>
      <c r="AX1168" s="180">
        <f t="shared" ca="1" si="672"/>
        <v>0.05</v>
      </c>
      <c r="AY1168" s="286">
        <f t="shared" ca="1" si="673"/>
        <v>0</v>
      </c>
      <c r="AZ1168" s="286">
        <f t="shared" ca="1" si="674"/>
        <v>0</v>
      </c>
      <c r="BA1168" s="286">
        <f t="shared" ca="1" si="675"/>
        <v>0</v>
      </c>
      <c r="BB1168" s="286">
        <f t="shared" ca="1" si="676"/>
        <v>0</v>
      </c>
      <c r="BC1168" s="286">
        <f t="shared" ca="1" si="677"/>
        <v>0</v>
      </c>
      <c r="BD1168" s="180">
        <f t="shared" ca="1" si="678"/>
        <v>0.05</v>
      </c>
      <c r="BE1168" s="180">
        <f t="shared" ca="1" si="679"/>
        <v>0.05</v>
      </c>
      <c r="BF1168" s="286">
        <f t="shared" ca="1" si="680"/>
        <v>0</v>
      </c>
      <c r="BG1168" s="286">
        <f t="shared" ca="1" si="681"/>
        <v>0</v>
      </c>
    </row>
  </sheetData>
  <mergeCells count="5">
    <mergeCell ref="L2:N2"/>
    <mergeCell ref="AJ2:AL2"/>
    <mergeCell ref="Z2:AB2"/>
    <mergeCell ref="AC2:AE2"/>
    <mergeCell ref="AF2:AH2"/>
  </mergeCells>
  <phoneticPr fontId="2" type="noConversion"/>
  <dataValidations count="6">
    <dataValidation allowBlank="1" showInputMessage="1" showErrorMessage="1" prompt="購買日" sqref="A1"/>
    <dataValidation allowBlank="1" showInputMessage="1" showErrorMessage="1" prompt="1=月結_x000a_12=年結" sqref="C1"/>
    <dataValidation allowBlank="1" showInputMessage="1" showErrorMessage="1" prompt="最高年齡" sqref="D1"/>
    <dataValidation allowBlank="1" showInputMessage="1" showErrorMessage="1" prompt="保險年齡_x000a_" sqref="K1"/>
    <dataValidation allowBlank="1" showInputMessage="1" showErrorMessage="1" prompt="自建" sqref="K2"/>
    <dataValidation allowBlank="1" showInputMessage="1" showErrorMessage="1" prompt="最高限額" sqref="W1"/>
  </dataValidations>
  <pageMargins left="0.75" right="0.75" top="1" bottom="1" header="0.5" footer="0.5"/>
  <pageSetup paperSize="9" orientation="portrait" r:id="rId1"/>
  <headerFooter alignWithMargins="0"/>
  <ignoredErrors>
    <ignoredError sqref="L15:N15" formulaRange="1"/>
  </ignoredErrors>
</worksheet>
</file>

<file path=xl/worksheets/sheet4.xml><?xml version="1.0" encoding="utf-8"?>
<worksheet xmlns="http://schemas.openxmlformats.org/spreadsheetml/2006/main" xmlns:r="http://schemas.openxmlformats.org/officeDocument/2006/relationships">
  <sheetPr codeName="Sheet2"/>
  <dimension ref="B1:AR269"/>
  <sheetViews>
    <sheetView topLeftCell="A52" workbookViewId="0">
      <selection activeCell="C56" sqref="C56"/>
    </sheetView>
  </sheetViews>
  <sheetFormatPr defaultRowHeight="16.5"/>
  <cols>
    <col min="1" max="1" width="1.75" style="49" customWidth="1"/>
    <col min="2" max="2" width="26.75" style="48" customWidth="1"/>
    <col min="3" max="3" width="27.25" style="48" customWidth="1"/>
    <col min="4" max="4" width="25" style="49" customWidth="1"/>
    <col min="5" max="5" width="16.125" style="49" customWidth="1"/>
    <col min="6" max="6" width="10" style="49" customWidth="1"/>
    <col min="7" max="7" width="10.5" style="49" customWidth="1"/>
    <col min="8" max="8" width="15.625" style="49" customWidth="1"/>
    <col min="9" max="9" width="12.25" style="49" customWidth="1"/>
    <col min="10" max="11" width="12.625" style="49" customWidth="1"/>
    <col min="12" max="12" width="11.125" style="49" customWidth="1"/>
    <col min="13" max="13" width="9" style="49" customWidth="1"/>
    <col min="14" max="14" width="10.5" style="49" bestFit="1" customWidth="1"/>
    <col min="15" max="16" width="9" style="49" customWidth="1"/>
    <col min="17" max="16384" width="9" style="49"/>
  </cols>
  <sheetData>
    <row r="1" spans="2:44">
      <c r="N1" s="50" t="s">
        <v>64</v>
      </c>
      <c r="R1" s="39"/>
      <c r="S1" s="39"/>
      <c r="T1" s="39" t="s">
        <v>50</v>
      </c>
      <c r="U1" s="39"/>
      <c r="V1" s="39"/>
      <c r="W1" s="39" t="s">
        <v>51</v>
      </c>
      <c r="X1" s="39"/>
      <c r="Y1" s="39"/>
      <c r="Z1" s="51"/>
      <c r="AA1" s="51"/>
      <c r="AB1" s="51"/>
      <c r="AC1" s="51"/>
      <c r="AD1" s="51"/>
      <c r="AE1" s="51"/>
    </row>
    <row r="2" spans="2:44">
      <c r="B2" s="52" t="s">
        <v>65</v>
      </c>
      <c r="C2" s="52" t="s">
        <v>66</v>
      </c>
      <c r="D2" s="52" t="s">
        <v>67</v>
      </c>
      <c r="E2" s="52" t="s">
        <v>68</v>
      </c>
      <c r="H2" s="52" t="s">
        <v>69</v>
      </c>
      <c r="I2" s="52">
        <v>1</v>
      </c>
      <c r="J2" s="53">
        <v>1</v>
      </c>
      <c r="K2" s="53">
        <v>1</v>
      </c>
      <c r="N2" s="54">
        <v>0</v>
      </c>
      <c r="O2" s="55" t="s">
        <v>62</v>
      </c>
      <c r="P2" s="54"/>
      <c r="R2" s="39" t="s">
        <v>52</v>
      </c>
      <c r="S2" s="39" t="s">
        <v>53</v>
      </c>
      <c r="T2" s="39" t="s">
        <v>180</v>
      </c>
      <c r="U2" s="39" t="s">
        <v>54</v>
      </c>
      <c r="V2" s="39" t="s">
        <v>55</v>
      </c>
      <c r="W2" s="39" t="s">
        <v>180</v>
      </c>
      <c r="X2" s="39" t="s">
        <v>54</v>
      </c>
      <c r="Y2" s="39" t="s">
        <v>55</v>
      </c>
      <c r="AL2" s="416" t="str">
        <f>$I$102</f>
        <v>業務、服展、北富銀</v>
      </c>
    </row>
    <row r="3" spans="2:44" ht="16.5" customHeight="1">
      <c r="B3" s="52">
        <f>IF(C4=0,0,VALUE(MID(C4,IF(LEN(C4)=7,4,3),2)))</f>
        <v>5</v>
      </c>
      <c r="C3" s="56">
        <f ca="1">TODAY()</f>
        <v>42888</v>
      </c>
      <c r="D3" s="56">
        <f>IF(C4=0,0,DATE(LEFT(C4,IF(LEN(C4)=7,3,2))+1911,MID(C4,IF(LEN(C4)=7,4,3),2),RIGHT(C4,2)))</f>
        <v>22771</v>
      </c>
      <c r="E3" s="57">
        <f>IF(E4=1,0,IF(OR(B3=1,B3=3,B3=5,B3=7,B3=8,B3=10,B3=12),31,IF(OR(B3=4,B3=6,B3=9,B3=11),30,IF(AND(B3=2,YEAR(D3)/4=INT(YEAR(D3)/4),YEAR(D3)/400&lt;&gt;INT(YEAR(D3)/400)),29,28))))</f>
        <v>31</v>
      </c>
      <c r="H3" s="52" t="s">
        <v>70</v>
      </c>
      <c r="I3" s="52">
        <v>1</v>
      </c>
      <c r="J3" s="53">
        <v>1</v>
      </c>
      <c r="K3" s="53">
        <v>1</v>
      </c>
      <c r="N3" s="58" t="str">
        <f>IF(O3="","",IF($C$22&lt;&gt;"",MAX($N$2:N2)+1,""))</f>
        <v/>
      </c>
      <c r="O3" s="59"/>
      <c r="P3" s="54"/>
      <c r="R3" s="39" t="s">
        <v>56</v>
      </c>
      <c r="S3" s="39">
        <v>1</v>
      </c>
      <c r="T3" s="40">
        <f>FV($C$121,$S3,1,-$R$5*(1-OP!$S$17))*(1-OP!$T17)/FV($C$82,$S3,1,-$R$5)</f>
        <v>1.0395000495000495</v>
      </c>
      <c r="U3" s="40">
        <f>FV($C$121,$S3,1,-$R$5*(1-OP!$S$17))*(1-OP!$T17)/FV($C$82,$S3,1,-$R$5)</f>
        <v>1.0395000495000495</v>
      </c>
      <c r="V3" s="40">
        <f>FV($C$121,$S3,1,-$R$5*(1-OP!$S$17))*(1-OP!$T17)/FV($C$82,$S3,1,-$R$5)</f>
        <v>1.0395000495000495</v>
      </c>
      <c r="W3" s="40">
        <f>FV($C$121,$S3,1,-$R$5*(1-OP!$S$17))*(1-OP!$T17)/FV($C$82,$S3,1,-$R$5)</f>
        <v>1.0395000495000495</v>
      </c>
      <c r="X3" s="40">
        <f>FV($C$121,$S3,1,-$R$5*(1-OP!$S$17))*(1-OP!$T17)/FV($C$82,$S3,1,-$R$5)</f>
        <v>1.0395000495000495</v>
      </c>
      <c r="Y3" s="40">
        <f>FV($C$121,$S3,1,-$R$5*(1-OP!$S$17))*(1-OP!$T17)/FV($C$82,$S3,1,-$R$5)</f>
        <v>1.0395000495000495</v>
      </c>
      <c r="AL3" s="417" t="s">
        <v>413</v>
      </c>
      <c r="AM3" s="417" t="s">
        <v>414</v>
      </c>
      <c r="AN3" s="417" t="s">
        <v>415</v>
      </c>
      <c r="AO3" s="417" t="s">
        <v>416</v>
      </c>
      <c r="AP3" s="417" t="s">
        <v>417</v>
      </c>
      <c r="AQ3" s="417"/>
      <c r="AR3" s="417"/>
    </row>
    <row r="4" spans="2:44">
      <c r="B4" s="52" t="s">
        <v>67</v>
      </c>
      <c r="C4" s="60">
        <f>IF(C9=1,C10,IF(C9=2,VALUE(C11&amp;TEXT(C12,"00")&amp;TEXT(C13,"00")),""))</f>
        <v>510505</v>
      </c>
      <c r="D4" s="61" t="str">
        <f ca="1">TEXT(DATE(YEAR(C3)-C15,MONTH(C3)-6,DAY(C3)),"EEEMMDD")</f>
        <v>251202</v>
      </c>
      <c r="E4" s="52" t="str">
        <f>IF(OR(B3&lt;1,B3&gt;12),1,"")</f>
        <v/>
      </c>
      <c r="H4" s="52" t="s">
        <v>71</v>
      </c>
      <c r="I4" s="52">
        <v>1</v>
      </c>
      <c r="J4" s="53">
        <v>1</v>
      </c>
      <c r="K4" s="53">
        <v>1</v>
      </c>
      <c r="N4" s="58" t="str">
        <f>IF(O4="","",IF($C$22&lt;&gt;"",MAX($N$2:N3)+1,""))</f>
        <v/>
      </c>
      <c r="O4" s="62"/>
      <c r="P4" s="54"/>
      <c r="R4" s="39" t="s">
        <v>57</v>
      </c>
      <c r="S4" s="39">
        <v>5</v>
      </c>
      <c r="T4" s="40">
        <f>FV($C$121,$S4,1,-$R$5*(1-OP!$S$17))*(1-OP!$T21)/FV($C$82,$S4,1,-$R$5)</f>
        <v>1.2762824182808414</v>
      </c>
      <c r="U4" s="40">
        <f>FV($C$121,$S4,1,-$R$5*(1-OP!$S$17))*(1-OP!$T21)/FV($C$82,$S4,1,-$R$5)</f>
        <v>1.2762824182808414</v>
      </c>
      <c r="V4" s="40">
        <f>FV($C$121,$S4,1,-$R$5*(1-OP!$S$17))*(1-OP!$T21)/FV($C$82,$S4,1,-$R$5)</f>
        <v>1.2762824182808414</v>
      </c>
      <c r="W4" s="40">
        <f>FV($C$121,$S4,1,-$R$5*(1-OP!$S$17))*(1-OP!$T21)/FV($C$82,$S4,1,-$R$5)</f>
        <v>1.2762824182808414</v>
      </c>
      <c r="X4" s="40">
        <f>FV($C$121,$S4,1,-$R$5*(1-OP!$S$17))*(1-OP!$T21)/FV($C$82,$S4,1,-$R$5)</f>
        <v>1.2762824182808414</v>
      </c>
      <c r="Y4" s="40">
        <f>FV($C$121,$S4,1,-$R$5*(1-OP!$S$17))*(1-OP!$T21)/FV($C$82,$S4,1,-$R$5)</f>
        <v>1.2762824182808414</v>
      </c>
      <c r="AK4" s="418">
        <f>IF(OR($AL4="",COUNTIF($AL$3:$AR$3,$AL$2)=0),"",MAX($AK$3:AK3)+1)</f>
        <v>1</v>
      </c>
      <c r="AL4" s="418" t="s">
        <v>418</v>
      </c>
    </row>
    <row r="5" spans="2:44">
      <c r="B5" s="52" t="s">
        <v>72</v>
      </c>
      <c r="C5" s="63" t="s">
        <v>73</v>
      </c>
      <c r="D5" s="63">
        <f ca="1">IF(SUM(E6,D10:D13)&gt;=1,"生日格式錯誤",IF(D3&gt;C3,"被保險人未出生",IF(MONTH(C3)&lt;B3,IF(OR(MONTH(C3)+12-B3&gt;6,AND(MONTH(C3)+12-B3=6,DAY(C3)&gt;DAY(D3))),YEAR(C3)-1-YEAR(D3)+1,IF(OR(MONTH(C3)+12-B3&lt;6,AND(MONTH(C3)+12-B3=6,DAY(C3)&lt;=DAY(D3))),YEAR(C3)-1-YEAR(D3))),IF(OR(MONTH(C3)-B3&gt;6,AND(MONTH(C3)-B3=6,DAY(C3)&gt;DAY(D3))),YEAR(C3)-YEAR(D3)+1,IF(OR(MONTH(C3)-B3&lt;=6,AND(MONTH(C3)-B3=6,DAY(C3)&lt;=DAY(D3))),YEAR(C3)-YEAR(D3),)))))</f>
        <v>55</v>
      </c>
      <c r="E5" s="52" t="str">
        <f>IF(OR(VALUE(RIGHT(C4,2))&lt;1,VALUE(RIGHT(C4,2))&gt;E3),1,"")</f>
        <v/>
      </c>
      <c r="H5" s="52" t="s">
        <v>74</v>
      </c>
      <c r="I5" s="52">
        <v>0.52</v>
      </c>
      <c r="J5" s="53">
        <v>0.5</v>
      </c>
      <c r="K5" s="53">
        <v>2</v>
      </c>
      <c r="N5" s="58" t="str">
        <f>IF(O5="","",IF($C$22&lt;&gt;"",MAX($N$2:N4)+1,""))</f>
        <v/>
      </c>
      <c r="O5" s="62"/>
      <c r="P5" s="54"/>
      <c r="R5" s="39">
        <v>1000000</v>
      </c>
      <c r="S5" s="39">
        <v>10</v>
      </c>
      <c r="T5" s="40">
        <f>FV($C$121,$S5,1,-$R$5*(1-OP!$S$17))*(1-OP!$T26)/FV($C$82,$S5,1,-$R$5)</f>
        <v>1.6288983378682846</v>
      </c>
      <c r="U5" s="40">
        <f>FV($C$121,$S5,1,-$R$5*(1-OP!$S$17))*(1-OP!$T26)/FV($C$82,$S5,1,-$R$5)</f>
        <v>1.6288983378682846</v>
      </c>
      <c r="V5" s="40">
        <f>FV($C$121,$S5,1,-$R$5*(1-OP!$S$17))*(1-OP!$T26)/FV($C$82,$S5,1,-$R$5)</f>
        <v>1.6288983378682846</v>
      </c>
      <c r="W5" s="40">
        <f>FV($C$121,$S5,1,-$R$5*(1-OP!$S$17))*(1-OP!$T26)/FV($C$82,$S5,1,-$R$5)</f>
        <v>1.6288983378682846</v>
      </c>
      <c r="X5" s="40">
        <f>FV($C$121,$S5,1,-$R$5*(1-OP!$S$17))*(1-OP!$T26)/FV($C$82,$S5,1,-$R$5)</f>
        <v>1.6288983378682846</v>
      </c>
      <c r="Y5" s="40">
        <f>FV($C$121,$S5,1,-$R$5*(1-OP!$S$17))*(1-OP!$T26)/FV($C$82,$S5,1,-$R$5)</f>
        <v>1.6288983378682846</v>
      </c>
      <c r="AK5" s="418">
        <f>IF(OR($AL5="",COUNTIF($AL$3:$AR$3,$AL$2)=0),"",MAX($AK$3:AK4)+1)</f>
        <v>2</v>
      </c>
      <c r="AL5" s="418" t="s">
        <v>419</v>
      </c>
    </row>
    <row r="6" spans="2:44">
      <c r="B6" s="52"/>
      <c r="C6" s="63" t="s">
        <v>75</v>
      </c>
      <c r="D6" s="63">
        <f ca="1">IF(SUM(E6,D10:D13)&gt;=1,"生日格式錯誤",IF(D3&gt;C3,"被保險人未出生",DATEDIF(D3,C3,"y")))</f>
        <v>55</v>
      </c>
      <c r="E6" s="64" t="str">
        <f>IF(OR(E4=1,E5=1),1,"")</f>
        <v/>
      </c>
      <c r="H6" s="52" t="s">
        <v>76</v>
      </c>
      <c r="I6" s="52">
        <v>0.26200000000000001</v>
      </c>
      <c r="J6" s="53">
        <v>0.25</v>
      </c>
      <c r="K6" s="53">
        <v>4</v>
      </c>
      <c r="N6" s="58" t="str">
        <f>IF(O6="","",IF($C$22&lt;&gt;"",MAX($N$2:N5)+1,""))</f>
        <v/>
      </c>
      <c r="O6" s="59"/>
      <c r="P6" s="54"/>
      <c r="R6" s="39"/>
      <c r="S6" s="39">
        <v>20</v>
      </c>
      <c r="T6" s="40">
        <f>FV($C$121,$S6,1,-$R$5*(1-OP!$S$17))*(1-OP!$T26)/FV($C$82,$S6,1,-$R$5)</f>
        <v>2.653317705544429</v>
      </c>
      <c r="U6" s="40">
        <f>FV($C$121,$S6,1,-$R$5*(1-OP!$S$17))*(1-OP!$T26)/FV($C$82,$S6,1,-$R$5)</f>
        <v>2.653317705544429</v>
      </c>
      <c r="V6" s="40" t="s">
        <v>58</v>
      </c>
      <c r="W6" s="40">
        <f>FV($C$121,$S6,1,-$R$5*(1-OP!$S$17))*(1-OP!$T26)/FV($C$82,$S6,1,-$R$5)</f>
        <v>2.653317705544429</v>
      </c>
      <c r="X6" s="40">
        <f>FV($C$121,$S6,1,-$R$5*(1-OP!$S$17))*(1-OP!$T26)/FV($C$82,$S6,1,-$R$5)</f>
        <v>2.653317705544429</v>
      </c>
      <c r="Y6" s="40" t="s">
        <v>61</v>
      </c>
      <c r="AK6" s="418">
        <f>IF(OR($AL6="",COUNTIF($AL$3:$AR$3,$AL$2)=0),"",MAX($AK$3:AK5)+1)</f>
        <v>3</v>
      </c>
      <c r="AL6" s="418" t="s">
        <v>420</v>
      </c>
    </row>
    <row r="7" spans="2:44">
      <c r="D7" s="254">
        <f ca="1">YEAR(C3)-(YEAR(D3)+IF(OR(MONTH(C3)&lt;MONTH(D3),AND(MONTH(C3)=MONTH(D3),DAY(C3)&lt;DAY(D3))),1,0))</f>
        <v>55</v>
      </c>
      <c r="E7" s="253"/>
      <c r="H7" s="52" t="s">
        <v>77</v>
      </c>
      <c r="I7" s="52">
        <v>8.7999999999999995E-2</v>
      </c>
      <c r="J7" s="53">
        <v>8.3333329999999997E-2</v>
      </c>
      <c r="K7" s="53">
        <v>12</v>
      </c>
      <c r="N7" s="58" t="str">
        <f>IF(O7="","",IF($C$22&lt;&gt;"",MAX($N$2:N6)+1,""))</f>
        <v/>
      </c>
      <c r="O7" s="55"/>
      <c r="P7" s="54"/>
      <c r="R7" s="39" t="s">
        <v>59</v>
      </c>
      <c r="S7" s="39">
        <v>1</v>
      </c>
      <c r="T7" s="40">
        <f>FV($C$121,$S7,-$R$9*(1-OP!$S$17),,1)*(1-OP!$T17)/FV($C$82,$S7,-$R$9,,1)</f>
        <v>1.039500000000001</v>
      </c>
      <c r="U7" s="40">
        <f>FV($C$121,$S7,-$R$9*(1-OP!$S$17),,1)*(1-OP!$T17)/FV($C$82,$S7,-$R$9,,1)</f>
        <v>1.039500000000001</v>
      </c>
      <c r="V7" s="40">
        <f>FV($C$121,$S7,-$R$9*(1-OP!$S$17),,1)*(1-OP!$T17)/FV($C$82,$S7,-$R$9,,1)</f>
        <v>1.039500000000001</v>
      </c>
      <c r="W7" s="40">
        <f>FV($C$121,$S7,-$R$9*(1-OP!$S$17),,1)*(1-OP!$T17)/FV($C$82,$S7,-$R$9,,1)</f>
        <v>1.039500000000001</v>
      </c>
      <c r="X7" s="40">
        <f>FV($C$121,$S7,-$R$9*(1-OP!$S$17),,1)*(1-OP!$T17)/FV($C$82,$S7,-$R$9,,1)</f>
        <v>1.039500000000001</v>
      </c>
      <c r="Y7" s="40">
        <f>FV($C$121,$S7,-$R$9*(1-OP!$S$17),,1)*(1-OP!$T17)/FV($C$82,$S7,-$R$9,,1)</f>
        <v>1.039500000000001</v>
      </c>
      <c r="AK7" s="418">
        <f>IF(OR($AL7="",COUNTIF($AL$3:$AR$3,$AL$2)=0),"",MAX($AK$3:AK6)+1)</f>
        <v>4</v>
      </c>
      <c r="AL7" s="418" t="s">
        <v>421</v>
      </c>
    </row>
    <row r="8" spans="2:44">
      <c r="B8" s="87" t="s">
        <v>141</v>
      </c>
      <c r="C8" s="131" t="str">
        <f>輸入頁!$D$8</f>
        <v>富媽媽</v>
      </c>
      <c r="N8" s="58" t="str">
        <f>IF(O8="","",IF($C$22&lt;&gt;"",MAX($N$2:N7)+1,""))</f>
        <v/>
      </c>
      <c r="O8" s="55"/>
      <c r="P8" s="54"/>
      <c r="R8" s="39" t="s">
        <v>60</v>
      </c>
      <c r="S8" s="39">
        <v>5</v>
      </c>
      <c r="T8" s="40">
        <f>FV($C$121,$S8,-$R$9*(1-OP!$S$17),,1)*(1-OP!$T21)/FV($C$82,$S8,-$R$9,,1)</f>
        <v>1.1603825625000006</v>
      </c>
      <c r="U8" s="40">
        <f>FV($C$121,$S8,-$R$9*(1-OP!$S$17),,1)*(1-OP!$T21)/FV($C$82,$S8,-$R$9,,1)</f>
        <v>1.1603825625000006</v>
      </c>
      <c r="V8" s="40">
        <f>FV($C$121,$S8,-$R$9*(1-OP!$S$17),,1)*(1-OP!$T21)/FV($C$82,$S8,-$R$9,,1)</f>
        <v>1.1603825625000006</v>
      </c>
      <c r="W8" s="40">
        <f>FV($C$121,$S8,-$R$9*(1-OP!$S$17),,1)*(1-OP!$T21)/FV($C$82,$S8,-$R$9,,1)</f>
        <v>1.1603825625000006</v>
      </c>
      <c r="X8" s="40">
        <f>FV($C$121,$S8,-$R$9*(1-OP!$S$17),,1)*(1-OP!$T21)/FV($C$82,$S8,-$R$9,,1)</f>
        <v>1.1603825625000006</v>
      </c>
      <c r="Y8" s="40">
        <f>FV($C$121,$S8,-$R$9*(1-OP!$S$17),,1)*(1-OP!$T21)/FV($C$82,$S8,-$R$9,,1)</f>
        <v>1.1603825625000006</v>
      </c>
      <c r="AK8" s="418">
        <f>IF(OR($AL8="",COUNTIF($AL$3:$AR$3,$AL$2)=0),"",MAX($AK$3:AK7)+1)</f>
        <v>5</v>
      </c>
      <c r="AL8" s="418" t="s">
        <v>422</v>
      </c>
    </row>
    <row r="9" spans="2:44">
      <c r="B9" s="48" t="s">
        <v>78</v>
      </c>
      <c r="C9" s="65">
        <v>1</v>
      </c>
      <c r="D9" s="48" t="s">
        <v>79</v>
      </c>
      <c r="H9" s="66" t="s">
        <v>80</v>
      </c>
      <c r="I9" s="52"/>
      <c r="J9" s="52"/>
      <c r="N9" s="58" t="str">
        <f>IF(O9="","",IF($C$22&lt;&gt;"",MAX($N$2:N8)+1,""))</f>
        <v/>
      </c>
      <c r="O9" s="55"/>
      <c r="P9" s="54"/>
      <c r="R9" s="39">
        <v>200000</v>
      </c>
      <c r="S9" s="39">
        <v>10</v>
      </c>
      <c r="T9" s="40">
        <f>FV($C$121,$S9,-$R$9*(1-OP!$S$17),,1)*(1-OP!$T26)/FV($C$82,$S9,-$R$9,,1)</f>
        <v>1.3206787162326272</v>
      </c>
      <c r="U9" s="40">
        <f>FV($C$121,$S9,-$R$9*(1-OP!$S$17),,1)*(1-OP!$T26)/FV($C$82,$S9,-$R$9,,1)</f>
        <v>1.3206787162326272</v>
      </c>
      <c r="V9" s="40">
        <f>FV($C$121,$S9,-$R$9*(1-OP!$S$17),,1)*(1-OP!$T26)/FV($C$82,$S9,-$R$9,,1)</f>
        <v>1.3206787162326272</v>
      </c>
      <c r="W9" s="40">
        <f>FV($C$121,$S9,-$R$9*(1-OP!$S$17),,1)*(1-OP!$T26)/FV($C$82,$S9,-$R$9,,1)</f>
        <v>1.3206787162326272</v>
      </c>
      <c r="X9" s="40">
        <f>FV($C$121,$S9,-$R$9*(1-OP!$S$17),,1)*(1-OP!$T26)/FV($C$82,$S9,-$R$9,,1)</f>
        <v>1.3206787162326272</v>
      </c>
      <c r="Y9" s="40">
        <f>FV($C$121,$S9,-$R$9*(1-OP!$S$17),,1)*(1-OP!$T26)/FV($C$82,$S9,-$R$9,,1)</f>
        <v>1.3206787162326272</v>
      </c>
      <c r="AK9" s="418">
        <f>IF(OR($AL9="",COUNTIF($AL$3:$AR$3,$AL$2)=0),"",MAX($AK$3:AK8)+1)</f>
        <v>6</v>
      </c>
      <c r="AL9" s="418" t="s">
        <v>423</v>
      </c>
    </row>
    <row r="10" spans="2:44">
      <c r="B10" s="48" t="s">
        <v>81</v>
      </c>
      <c r="C10" s="131">
        <f>輸入頁!$D$12</f>
        <v>510505</v>
      </c>
      <c r="D10" s="67" t="str">
        <f ca="1">IF(AND($C$9=1,OR(C10="",C10=0,LEN(C10)&lt;6,LEN(C10)&gt;IF(YEAR(TODAY())&gt;2010,7,6))),1,"")</f>
        <v/>
      </c>
      <c r="H10" s="66" t="s">
        <v>82</v>
      </c>
      <c r="I10" s="52" t="s">
        <v>83</v>
      </c>
      <c r="J10" s="52" t="s">
        <v>84</v>
      </c>
      <c r="N10" s="58" t="str">
        <f>IF(O10="","",IF($C$22&lt;&gt;"",MAX($N$2:N9)+1,""))</f>
        <v/>
      </c>
      <c r="O10" s="55"/>
      <c r="P10" s="54"/>
      <c r="R10" s="39"/>
      <c r="S10" s="39">
        <v>20</v>
      </c>
      <c r="T10" s="40">
        <f>FV($C$121,$S10,-$R$9*(1-OP!$S$17),,1)*(1-OP!$T26)/FV($C$82,$S10,-$R$9,,1)</f>
        <v>1.7359625904016418</v>
      </c>
      <c r="U10" s="40">
        <f>FV($C$121,$S10,-$R$9*(1-OP!$S$17),,1)*(1-OP!$T26)/FV($C$82,$S10,-$R$9,,1)</f>
        <v>1.7359625904016418</v>
      </c>
      <c r="V10" s="40" t="s">
        <v>58</v>
      </c>
      <c r="W10" s="40">
        <f>FV($C$121,$S10,-$R$9*(1-OP!$S$17),,1)*(1-OP!$T26)/FV($C$82,$S10,-$R$9,,1)</f>
        <v>1.7359625904016418</v>
      </c>
      <c r="X10" s="40">
        <f>FV($C$121,$S10,-$R$9*(1-OP!$S$17),,1)*(1-OP!$T26)/FV($C$82,$S10,-$R$9,,1)</f>
        <v>1.7359625904016418</v>
      </c>
      <c r="Y10" s="40" t="s">
        <v>61</v>
      </c>
      <c r="AK10" s="418">
        <f>IF(OR($AL10="",COUNTIF($AL$3:$AR$3,$AL$2)=0),"",MAX($AK$3:AK9)+1)</f>
        <v>7</v>
      </c>
      <c r="AL10" s="418" t="s">
        <v>424</v>
      </c>
    </row>
    <row r="11" spans="2:44">
      <c r="B11" s="48" t="s">
        <v>85</v>
      </c>
      <c r="C11" s="63"/>
      <c r="D11" s="67" t="str">
        <f>IF(AND($C$9=2,OR(C11="",C11=0)),1,"")</f>
        <v/>
      </c>
      <c r="H11" s="52">
        <v>1</v>
      </c>
      <c r="I11" s="68">
        <v>0</v>
      </c>
      <c r="J11" s="69">
        <v>0</v>
      </c>
      <c r="N11" s="58" t="str">
        <f>IF(O11="","",IF($C$22&lt;&gt;"",MAX($N$2:N10)+1,""))</f>
        <v/>
      </c>
      <c r="O11" s="55"/>
      <c r="P11" s="54"/>
      <c r="AK11" s="418">
        <f>IF(OR($AL11="",COUNTIF($AL$3:$AR$3,$AL$2)=0),"",MAX($AK$3:AK10)+1)</f>
        <v>8</v>
      </c>
      <c r="AL11" s="418" t="s">
        <v>425</v>
      </c>
    </row>
    <row r="12" spans="2:44">
      <c r="C12" s="63"/>
      <c r="D12" s="67" t="str">
        <f>IF(AND($C$9=2,OR(C12="",C12&lt;1,C12&gt;12)),1,"")</f>
        <v/>
      </c>
      <c r="H12" s="52">
        <v>2</v>
      </c>
      <c r="I12" s="68">
        <v>0</v>
      </c>
      <c r="J12" s="69">
        <v>0</v>
      </c>
      <c r="N12" s="58" t="str">
        <f>IF(O12="","",IF($C$22&lt;&gt;"",MAX($N$2:N11)+1,""))</f>
        <v/>
      </c>
      <c r="O12" s="55"/>
      <c r="P12" s="54"/>
      <c r="AK12" s="418">
        <f>IF(OR($AL12="",COUNTIF($AL$3:$AR$3,$AL$2)=0),"",MAX($AK$3:AK11)+1)</f>
        <v>9</v>
      </c>
      <c r="AL12" s="418" t="s">
        <v>426</v>
      </c>
    </row>
    <row r="13" spans="2:44">
      <c r="C13" s="70"/>
      <c r="D13" s="71" t="str">
        <f>IF(AND($C$9=2,OR(C13="",C13&lt;1,C13&gt;E3)),1,"")</f>
        <v/>
      </c>
      <c r="H13" s="52">
        <v>3</v>
      </c>
      <c r="I13" s="68">
        <v>0</v>
      </c>
      <c r="J13" s="69">
        <v>0</v>
      </c>
      <c r="N13" s="58" t="str">
        <f>IF(O13="","",IF($C$22&lt;&gt;"",MAX($N$2:N12)+1,""))</f>
        <v/>
      </c>
      <c r="O13" s="55"/>
      <c r="P13" s="54"/>
      <c r="R13" s="244"/>
      <c r="S13" s="244"/>
      <c r="T13" s="244"/>
      <c r="U13" s="244"/>
      <c r="V13" s="86"/>
      <c r="AK13" s="418">
        <f>IF(OR($AL13="",COUNTIF($AL$3:$AR$3,$AL$2)=0),"",MAX($AK$3:AK12)+1)</f>
        <v>10</v>
      </c>
      <c r="AL13" s="418" t="s">
        <v>427</v>
      </c>
    </row>
    <row r="14" spans="2:44">
      <c r="B14" s="72" t="s">
        <v>86</v>
      </c>
      <c r="C14" s="72"/>
      <c r="D14" s="73" t="str">
        <f ca="1">IF(SUM(E6,D10:D13)&gt;=1,"*日期格式錯誤*","")</f>
        <v/>
      </c>
      <c r="E14" s="50" t="s">
        <v>87</v>
      </c>
      <c r="H14" s="52">
        <v>4</v>
      </c>
      <c r="I14" s="68">
        <v>0</v>
      </c>
      <c r="J14" s="69">
        <v>0</v>
      </c>
      <c r="N14" s="58" t="str">
        <f>IF(O14="","",IF($C$22&lt;&gt;"",MAX($N$2:N13)+1,""))</f>
        <v/>
      </c>
      <c r="O14" s="55"/>
      <c r="P14" s="54"/>
      <c r="R14" s="245"/>
      <c r="S14" s="246"/>
      <c r="T14" s="246"/>
      <c r="U14" s="246"/>
      <c r="V14" s="86"/>
      <c r="AK14" s="418">
        <f>IF(OR($AL14="",COUNTIF($AL$3:$AR$3,$AL$2)=0),"",MAX($AK$3:AK13)+1)</f>
        <v>11</v>
      </c>
      <c r="AL14" s="418" t="s">
        <v>428</v>
      </c>
    </row>
    <row r="15" spans="2:44" ht="16.5" customHeight="1">
      <c r="B15" s="74" t="s">
        <v>88</v>
      </c>
      <c r="C15" s="65">
        <v>80</v>
      </c>
      <c r="D15" s="67" t="str">
        <f ca="1">IF(D5&gt;C15,1,"")</f>
        <v/>
      </c>
      <c r="E15" s="49" t="str">
        <f>IF(E16=1,"足歲","歲")</f>
        <v>歲</v>
      </c>
      <c r="H15" s="52">
        <v>5</v>
      </c>
      <c r="I15" s="68">
        <v>0</v>
      </c>
      <c r="J15" s="69">
        <v>0</v>
      </c>
      <c r="N15" s="58" t="str">
        <f>IF(O15="","",IF($C$22&lt;&gt;"",MAX($N$2:N14)+1,""))</f>
        <v/>
      </c>
      <c r="O15" s="55"/>
      <c r="P15" s="54"/>
      <c r="R15"/>
      <c r="S15">
        <v>1</v>
      </c>
      <c r="T15">
        <v>2</v>
      </c>
      <c r="U15" s="246"/>
      <c r="V15" s="86"/>
      <c r="AK15" s="418">
        <f>IF(OR($AL15="",COUNTIF($AL$3:$AR$3,$AL$2)=0),"",MAX($AK$3:AK14)+1)</f>
        <v>12</v>
      </c>
      <c r="AL15" s="451" t="s">
        <v>536</v>
      </c>
    </row>
    <row r="16" spans="2:44">
      <c r="B16" s="75" t="str">
        <f>"最低承保"&amp;IF(E16=1,"(足歲)","(保險年齡)")</f>
        <v>最低承保(保險年齡)</v>
      </c>
      <c r="C16" s="65">
        <f>IF($C$22="","",VLOOKUP($C$22,$H$52:$J$54,2,0))</f>
        <v>0</v>
      </c>
      <c r="D16" s="67" t="str">
        <f ca="1">IF(IF(E16=1,D6,IF(E16=2,D5,0))&lt;C16,1,"")</f>
        <v/>
      </c>
      <c r="E16" s="65">
        <f>IF(C22="SACA",1,2)</f>
        <v>2</v>
      </c>
      <c r="N16" s="58" t="str">
        <f>IF(O16="","",IF($C$22&lt;&gt;"",MAX($N$2:N15)+1,""))</f>
        <v/>
      </c>
      <c r="O16" s="55"/>
      <c r="P16" s="54"/>
      <c r="R16" s="17" t="s">
        <v>0</v>
      </c>
      <c r="S16" s="17"/>
      <c r="T16" s="17" t="s">
        <v>5</v>
      </c>
      <c r="U16" s="247"/>
      <c r="V16" s="86"/>
      <c r="AK16" s="418">
        <f>IF(OR($AL16="",COUNTIF($AL$3:$AR$3,$AL$2)=0),"",MAX($AK$3:AK15)+1)</f>
        <v>13</v>
      </c>
      <c r="AL16" s="452" t="s">
        <v>537</v>
      </c>
    </row>
    <row r="17" spans="2:38">
      <c r="B17" s="76" t="s">
        <v>89</v>
      </c>
      <c r="C17" s="72"/>
      <c r="D17" s="73" t="str">
        <f ca="1">IF(SUM(D15:D16)&gt;=1,"*年齡不符投保區間*","")</f>
        <v/>
      </c>
      <c r="H17" s="66"/>
      <c r="I17" s="52"/>
      <c r="J17" s="52"/>
      <c r="N17" s="58" t="str">
        <f>IF(O17="","",IF($C$22&lt;&gt;"",MAX($N$2:N16)+1,""))</f>
        <v/>
      </c>
      <c r="O17" s="55"/>
      <c r="P17" s="54"/>
      <c r="R17" s="17">
        <v>1</v>
      </c>
      <c r="S17" s="22"/>
      <c r="T17" s="22">
        <v>0.01</v>
      </c>
      <c r="U17" s="246"/>
      <c r="V17" s="86"/>
      <c r="AK17" s="418">
        <f>IF(OR($AL17="",COUNTIF($AL$3:$AR$3,$AL$2)=0),"",MAX($AK$3:AK16)+1)</f>
        <v>14</v>
      </c>
      <c r="AL17" s="418" t="s">
        <v>429</v>
      </c>
    </row>
    <row r="18" spans="2:38">
      <c r="B18" s="48" t="s">
        <v>90</v>
      </c>
      <c r="C18" s="77">
        <f>IF(輸入頁!$D$10="男",1,IF(輸入頁!$D$10="女",2,0))</f>
        <v>2</v>
      </c>
      <c r="D18" s="78" t="str">
        <f>IF(OR(C18="",C18&lt;=0,C18&gt;=3),1,"")</f>
        <v/>
      </c>
      <c r="H18" s="66"/>
      <c r="I18" s="271">
        <v>10000000</v>
      </c>
      <c r="J18" s="271">
        <v>333000</v>
      </c>
      <c r="N18" s="58" t="str">
        <f>IF(O18="","",IF($C$22&lt;&gt;"",MAX($N$2:N17)+1,""))</f>
        <v/>
      </c>
      <c r="O18" s="79"/>
      <c r="P18" s="54"/>
      <c r="R18" s="17">
        <v>2</v>
      </c>
      <c r="S18" s="22"/>
      <c r="T18" s="22">
        <v>0</v>
      </c>
      <c r="U18" s="246"/>
      <c r="V18" s="86"/>
      <c r="AK18" s="418">
        <f>IF(OR($AL18="",COUNTIF($AL$3:$AR$3,$AL$2)=0),"",MAX($AK$3:AK17)+1)</f>
        <v>15</v>
      </c>
      <c r="AL18" s="418" t="s">
        <v>430</v>
      </c>
    </row>
    <row r="19" spans="2:38">
      <c r="B19" s="80" t="s">
        <v>91</v>
      </c>
      <c r="C19" s="80"/>
      <c r="D19" s="81" t="str">
        <f>IF(D18=1,"*性別輸入錯誤*","")</f>
        <v/>
      </c>
      <c r="H19" s="52"/>
      <c r="I19" s="271">
        <v>20000000</v>
      </c>
      <c r="J19" s="271">
        <v>666500</v>
      </c>
      <c r="N19" s="58" t="str">
        <f>IF(O19="","",IF($C$22&lt;&gt;"",MAX($N$2:N18)+1,""))</f>
        <v/>
      </c>
      <c r="O19" s="82"/>
      <c r="P19" s="54"/>
      <c r="R19" s="17">
        <v>3</v>
      </c>
      <c r="S19" s="22"/>
      <c r="T19" s="22">
        <v>0</v>
      </c>
      <c r="U19" s="248"/>
      <c r="V19" s="86"/>
      <c r="AK19" s="418">
        <f>IF(OR($AL19="",COUNTIF($AL$3:$AR$3,$AL$2)=0),"",MAX($AK$3:AK18)+1)</f>
        <v>16</v>
      </c>
      <c r="AL19" s="418" t="s">
        <v>431</v>
      </c>
    </row>
    <row r="20" spans="2:38">
      <c r="D20" s="83"/>
      <c r="H20" s="52"/>
      <c r="I20" s="52"/>
      <c r="J20" s="69"/>
      <c r="N20" s="58" t="str">
        <f>IF(O20="","",IF($C$22&lt;&gt;"",MAX($N$2:N19)+1,""))</f>
        <v/>
      </c>
      <c r="O20" s="84"/>
      <c r="P20" s="54"/>
      <c r="R20" s="17">
        <v>4</v>
      </c>
      <c r="S20" s="22"/>
      <c r="T20" s="22">
        <v>0</v>
      </c>
      <c r="U20" s="249"/>
      <c r="V20" s="86"/>
      <c r="AK20" s="418">
        <f>IF(OR($AL20="",COUNTIF($AL$3:$AR$3,$AL$2)=0),"",MAX($AK$3:AK19)+1)</f>
        <v>17</v>
      </c>
      <c r="AL20" s="418" t="s">
        <v>432</v>
      </c>
    </row>
    <row r="21" spans="2:38">
      <c r="B21" s="48" t="s">
        <v>92</v>
      </c>
      <c r="C21" s="65"/>
      <c r="D21" s="67"/>
      <c r="H21" s="52">
        <v>1</v>
      </c>
      <c r="I21" s="52"/>
      <c r="J21" s="69"/>
      <c r="N21" s="58" t="str">
        <f>IF(O21="","",IF($C$22&lt;&gt;"",MAX($N$2:N20)+1,""))</f>
        <v/>
      </c>
      <c r="O21" s="85"/>
      <c r="P21" s="54"/>
      <c r="R21" s="17">
        <v>5</v>
      </c>
      <c r="S21" s="22"/>
      <c r="T21" s="22">
        <v>0</v>
      </c>
      <c r="U21" s="249"/>
      <c r="V21" s="86"/>
      <c r="AK21" s="418">
        <f>IF(OR($AL21="",COUNTIF($AL$3:$AR$3,$AL$2)=0),"",MAX($AK$3:AK20)+1)</f>
        <v>18</v>
      </c>
      <c r="AL21" s="418" t="s">
        <v>433</v>
      </c>
    </row>
    <row r="22" spans="2:38" ht="17.25" customHeight="1">
      <c r="B22" s="48" t="s">
        <v>92</v>
      </c>
      <c r="C22" s="131" t="str">
        <f>輸入頁!$H$8</f>
        <v>VBCT</v>
      </c>
      <c r="D22" s="67" t="str">
        <f>IF(OR(C22="",C22=0,COUNTIF($H$44:$H$48,$C$22)&lt;1),1,"")</f>
        <v/>
      </c>
      <c r="E22" s="116">
        <f>IF(C22="VBCT",1,"")</f>
        <v>1</v>
      </c>
      <c r="F22" s="86"/>
      <c r="H22" s="52">
        <v>2</v>
      </c>
      <c r="I22" s="52"/>
      <c r="J22" s="69"/>
      <c r="N22" s="58" t="str">
        <f>IF(O22="","",IF($C$22&lt;&gt;"",MAX($N$2:N21)+1,""))</f>
        <v/>
      </c>
      <c r="O22" s="84"/>
      <c r="P22" s="54"/>
      <c r="R22" s="17">
        <v>6</v>
      </c>
      <c r="S22" s="22"/>
      <c r="T22" s="22">
        <v>0</v>
      </c>
      <c r="U22" s="249"/>
      <c r="V22" s="86"/>
      <c r="AK22" s="418">
        <f>IF(OR($AL22="",COUNTIF($AL$3:$AR$3,$AL$2)=0),"",MAX($AK$3:AK21)+1)</f>
        <v>19</v>
      </c>
      <c r="AL22" s="418" t="s">
        <v>434</v>
      </c>
    </row>
    <row r="23" spans="2:38" ht="16.5" customHeight="1">
      <c r="B23" s="87" t="s">
        <v>93</v>
      </c>
      <c r="C23" s="88" t="str">
        <f>VLOOKUP(C22,H44:I45,2,0)</f>
        <v>富邦人壽真有利變額年金保險</v>
      </c>
      <c r="D23" s="67"/>
      <c r="H23" s="52">
        <v>3</v>
      </c>
      <c r="I23" s="52"/>
      <c r="J23" s="69"/>
      <c r="N23" s="54"/>
      <c r="O23" s="84"/>
      <c r="P23" s="54"/>
      <c r="R23" s="17">
        <v>7</v>
      </c>
      <c r="S23" s="22"/>
      <c r="T23" s="22">
        <v>0</v>
      </c>
      <c r="U23" s="249"/>
      <c r="V23" s="86"/>
      <c r="AK23" s="418">
        <f>IF(OR($AL23="",COUNTIF($AL$3:$AR$3,$AL$2)=0),"",MAX($AK$3:AK22)+1)</f>
        <v>20</v>
      </c>
      <c r="AL23" s="418" t="s">
        <v>435</v>
      </c>
    </row>
    <row r="24" spans="2:38" ht="16.5" customHeight="1">
      <c r="B24" s="48" t="s">
        <v>94</v>
      </c>
      <c r="C24" s="66">
        <f>輸入頁!$L$20</f>
        <v>1</v>
      </c>
      <c r="D24" s="67" t="str">
        <f>IF(OR(C24="",C24=0),"","")</f>
        <v/>
      </c>
      <c r="E24" s="141">
        <v>1</v>
      </c>
      <c r="N24" s="54"/>
      <c r="O24" s="89"/>
      <c r="P24" s="54"/>
      <c r="R24" s="17">
        <v>8</v>
      </c>
      <c r="S24" s="22"/>
      <c r="T24" s="22">
        <v>0</v>
      </c>
      <c r="U24" s="249"/>
      <c r="V24" s="86"/>
      <c r="AK24" s="418">
        <f>IF(OR($AL24="",COUNTIF($AL$3:$AR$3,$AL$2)=0),"",MAX($AK$3:AK23)+1)</f>
        <v>21</v>
      </c>
      <c r="AL24" s="418" t="s">
        <v>436</v>
      </c>
    </row>
    <row r="25" spans="2:38">
      <c r="B25" s="80" t="s">
        <v>95</v>
      </c>
      <c r="C25" s="90"/>
      <c r="D25" s="73" t="str">
        <f>IF(SUM(D24)&gt;=1,"*年期選擇錯誤*","")</f>
        <v/>
      </c>
      <c r="E25" s="86"/>
      <c r="H25" s="66"/>
      <c r="I25" s="52"/>
      <c r="J25" s="52"/>
      <c r="N25" s="54"/>
      <c r="O25" s="84"/>
      <c r="P25" s="54"/>
      <c r="R25" s="17">
        <v>9</v>
      </c>
      <c r="S25" s="22"/>
      <c r="T25" s="22">
        <v>0</v>
      </c>
      <c r="U25" s="249"/>
      <c r="V25" s="86"/>
      <c r="AK25" s="418">
        <f>IF(OR($AL25="",COUNTIF($AL$3:$AR$3,$AL$2)=0),"",MAX($AK$3:AK24)+1)</f>
        <v>22</v>
      </c>
      <c r="AL25" s="418" t="s">
        <v>437</v>
      </c>
    </row>
    <row r="26" spans="2:38">
      <c r="B26" s="91" t="s">
        <v>96</v>
      </c>
      <c r="C26" s="152">
        <f ca="1">IF($C$22="",,VLOOKUP($C$22,$H$58:$L$60,2,0))</f>
        <v>0.5</v>
      </c>
      <c r="D26" s="92"/>
      <c r="E26" s="86"/>
      <c r="H26" s="66"/>
      <c r="I26" s="52"/>
      <c r="J26" s="52"/>
      <c r="N26" s="54"/>
      <c r="O26" s="85"/>
      <c r="P26" s="54"/>
      <c r="R26" s="17">
        <v>10</v>
      </c>
      <c r="S26" s="22"/>
      <c r="T26" s="22">
        <v>0</v>
      </c>
      <c r="U26" s="249"/>
      <c r="V26" s="86"/>
      <c r="AK26" s="418">
        <f>IF(OR($AL26="",COUNTIF($AL$3:$AR$3,$AL$2)=0),"",MAX($AK$3:AK25)+1)</f>
        <v>23</v>
      </c>
      <c r="AL26" s="418" t="s">
        <v>438</v>
      </c>
    </row>
    <row r="27" spans="2:38">
      <c r="B27" s="91" t="s">
        <v>97</v>
      </c>
      <c r="C27" s="122">
        <f>IF($C$22="",,VLOOKUP($C$22,$H$58:$L$60,3,0))</f>
        <v>120</v>
      </c>
      <c r="D27" s="93"/>
      <c r="E27" s="86"/>
      <c r="H27" s="52"/>
      <c r="I27" s="52"/>
      <c r="J27" s="69"/>
      <c r="N27" s="54"/>
      <c r="O27" s="84"/>
      <c r="P27" s="54"/>
      <c r="U27" s="249"/>
      <c r="V27" s="86"/>
      <c r="AK27" s="418">
        <f>IF(OR($AL27="",COUNTIF($AL$3:$AR$3,$AL$2)=0),"",MAX($AK$3:AK26)+1)</f>
        <v>24</v>
      </c>
      <c r="AL27" s="418" t="s">
        <v>439</v>
      </c>
    </row>
    <row r="28" spans="2:38">
      <c r="B28" s="87" t="s">
        <v>156</v>
      </c>
      <c r="C28" s="171"/>
      <c r="D28" s="67" t="str">
        <f>IF(OR($C$21=1,$C$21=2),IF(OR(C28="",C28=0,C28&lt;C26,C28&gt;C27),1,""),"")</f>
        <v/>
      </c>
      <c r="E28" s="141" t="str">
        <f>IF(OR(C21=1,C21=2),IF(OR(C28-VALUE(FIXED(C28,1))&lt;&gt;0,D28=1),1,""),"")</f>
        <v/>
      </c>
      <c r="H28" s="52"/>
      <c r="I28" s="52"/>
      <c r="J28" s="69"/>
      <c r="N28" s="54"/>
      <c r="O28" s="94"/>
      <c r="P28" s="54"/>
      <c r="U28" s="249"/>
      <c r="V28" s="86"/>
      <c r="AK28" s="418">
        <f>IF(OR($AL28="",COUNTIF($AL$3:$AR$3,$AL$2)=0),"",MAX($AK$3:AK27)+1)</f>
        <v>25</v>
      </c>
      <c r="AL28" s="418" t="s">
        <v>440</v>
      </c>
    </row>
    <row r="29" spans="2:38">
      <c r="B29" s="87" t="s">
        <v>147</v>
      </c>
      <c r="C29" s="172">
        <f>C122</f>
        <v>50000</v>
      </c>
      <c r="D29" s="67" t="str">
        <f>IF($C$21&lt;&gt;3,"",IF(OR(C29="",C29=0,C29&lt;C26,C29&gt;C27),1,""))</f>
        <v/>
      </c>
      <c r="E29" s="141" t="str">
        <f>IF(C21=3,IF(OR(C29-VALUE(FIXED(C29,0))&lt;&gt;0,D29=1),1,""),"")</f>
        <v/>
      </c>
      <c r="F29" s="129"/>
      <c r="N29" s="54"/>
      <c r="O29" s="54"/>
      <c r="P29" s="54"/>
      <c r="S29" s="39" t="s">
        <v>7</v>
      </c>
      <c r="T29" s="39" t="s">
        <v>8</v>
      </c>
      <c r="U29" s="249"/>
      <c r="V29" s="86"/>
      <c r="AK29" s="418">
        <f>IF(OR($AL29="",COUNTIF($AL$3:$AR$3,$AL$2)=0),"",MAX($AK$3:AK28)+1)</f>
        <v>26</v>
      </c>
      <c r="AL29" s="418" t="s">
        <v>441</v>
      </c>
    </row>
    <row r="30" spans="2:38" ht="17.25" thickBot="1">
      <c r="B30" s="80" t="s">
        <v>98</v>
      </c>
      <c r="C30" s="95"/>
      <c r="D30" s="73" t="str">
        <f>IF(SUM(D28:D29)&gt;=1,IF(C21=3,"*保費","*保額")&amp;"錯誤*",IF(SUM(E28:E29)&gt;=1,"*保額格式錯誤*",""))</f>
        <v/>
      </c>
      <c r="H30" s="98" t="s">
        <v>99</v>
      </c>
      <c r="I30" s="52" t="s">
        <v>84</v>
      </c>
      <c r="N30" s="54"/>
      <c r="O30" s="54"/>
      <c r="P30" s="54"/>
      <c r="S30" s="17">
        <v>1</v>
      </c>
      <c r="T30" s="17">
        <v>31</v>
      </c>
      <c r="U30" s="249"/>
      <c r="V30" s="86"/>
      <c r="AK30" s="418">
        <f>IF(OR($AL30="",COUNTIF($AL$3:$AR$3,$AL$2)=0),"",MAX($AK$3:AK29)+1)</f>
        <v>27</v>
      </c>
      <c r="AL30" s="418" t="s">
        <v>442</v>
      </c>
    </row>
    <row r="31" spans="2:38" ht="17.25" thickTop="1">
      <c r="B31" s="87" t="s">
        <v>136</v>
      </c>
      <c r="C31" s="96">
        <f ca="1">IF(OR(ISERR(VLOOKUP($C$56,COMP,$C$18+1,0)),ISNA(VLOOKUP($C$56,COMP,$C$18+1,0))),0,VLOOKUP($C$56,COMP,$C$18+1,0))</f>
        <v>0</v>
      </c>
      <c r="D31" s="97"/>
      <c r="H31" s="100" t="s">
        <v>101</v>
      </c>
      <c r="I31" s="101">
        <v>0</v>
      </c>
      <c r="J31" s="50" t="s">
        <v>102</v>
      </c>
      <c r="N31" s="54"/>
      <c r="O31" s="54"/>
      <c r="P31" s="54"/>
      <c r="S31" s="17">
        <v>2</v>
      </c>
      <c r="T31" s="17">
        <v>28</v>
      </c>
      <c r="U31" s="250"/>
      <c r="V31" s="86"/>
      <c r="AK31" s="418">
        <f>IF(OR($AL31="",COUNTIF($AL$3:$AR$3,$AL$2)=0),"",MAX($AK$3:AK30)+1)</f>
        <v>28</v>
      </c>
      <c r="AL31" s="418" t="s">
        <v>443</v>
      </c>
    </row>
    <row r="32" spans="2:38">
      <c r="B32" s="48" t="s">
        <v>100</v>
      </c>
      <c r="C32" s="99">
        <f>IF(SUM(D22,E28:E29,D33)&gt;0,0,$C$29)</f>
        <v>50000</v>
      </c>
      <c r="D32" s="83">
        <f ca="1">(C28/10000)*C31</f>
        <v>0</v>
      </c>
      <c r="H32" s="102" t="s">
        <v>63</v>
      </c>
      <c r="I32" s="101">
        <v>0</v>
      </c>
      <c r="J32" s="103" t="s">
        <v>103</v>
      </c>
      <c r="N32" s="54"/>
      <c r="O32" s="54"/>
      <c r="P32" s="54"/>
      <c r="S32" s="17">
        <v>3</v>
      </c>
      <c r="T32" s="17">
        <v>31</v>
      </c>
      <c r="AK32" s="418">
        <f>IF(OR($AL32="",COUNTIF($AL$3:$AR$3,$AL$2)=0),"",MAX($AK$3:AK31)+1)</f>
        <v>29</v>
      </c>
      <c r="AL32" s="418" t="s">
        <v>444</v>
      </c>
    </row>
    <row r="33" spans="2:44">
      <c r="B33" s="48" t="s">
        <v>99</v>
      </c>
      <c r="C33" s="142" t="str">
        <f>輸入頁!$L$30</f>
        <v>彈性繳</v>
      </c>
      <c r="D33" s="67" t="str">
        <f>IF(OR(C33="",C33=0),1,"")</f>
        <v/>
      </c>
      <c r="E33" s="141"/>
      <c r="H33" s="104" t="s">
        <v>105</v>
      </c>
      <c r="I33" s="101">
        <v>0</v>
      </c>
      <c r="M33" s="54"/>
      <c r="N33" s="54"/>
      <c r="O33" s="54"/>
      <c r="P33" s="54"/>
      <c r="S33" s="17">
        <v>4</v>
      </c>
      <c r="T33" s="17">
        <v>30</v>
      </c>
      <c r="AK33" s="418">
        <f>IF(OR($AL33="",COUNTIF($AL$3:$AR$3,$AL$2)=0),"",MAX($AK$3:AK32)+1)</f>
        <v>30</v>
      </c>
      <c r="AL33" s="418" t="s">
        <v>445</v>
      </c>
    </row>
    <row r="34" spans="2:44">
      <c r="B34" s="48" t="s">
        <v>104</v>
      </c>
      <c r="C34" s="65">
        <v>1</v>
      </c>
      <c r="D34" s="67" t="str">
        <f>IF(OR(C34="",C34=0),1,"")</f>
        <v/>
      </c>
      <c r="H34" s="106" t="s">
        <v>107</v>
      </c>
      <c r="I34" s="101">
        <v>0</v>
      </c>
      <c r="J34" s="50" t="s">
        <v>108</v>
      </c>
      <c r="M34" s="54"/>
      <c r="N34" s="54"/>
      <c r="O34" s="54"/>
      <c r="P34" s="54"/>
      <c r="S34" s="17">
        <v>5</v>
      </c>
      <c r="T34" s="17">
        <v>31</v>
      </c>
      <c r="AK34" s="418">
        <f>IF(OR($AL34="",COUNTIF($AL$3:$AR$3,$AL$2)=0),"",MAX($AK$3:AK33)+1)</f>
        <v>31</v>
      </c>
      <c r="AL34" s="418" t="s">
        <v>446</v>
      </c>
    </row>
    <row r="35" spans="2:44">
      <c r="B35" s="48" t="s">
        <v>106</v>
      </c>
      <c r="C35" s="48">
        <f>IF($C$33="",0,VLOOKUP(C33,H2:K7,4,0))</f>
        <v>1</v>
      </c>
      <c r="D35" s="105"/>
      <c r="H35" s="107" t="s">
        <v>109</v>
      </c>
      <c r="I35" s="101">
        <v>0</v>
      </c>
      <c r="M35" s="54"/>
      <c r="N35" s="54"/>
      <c r="O35" s="54"/>
      <c r="P35" s="54"/>
      <c r="S35" s="17">
        <v>6</v>
      </c>
      <c r="T35" s="17">
        <v>30</v>
      </c>
      <c r="AK35" s="418">
        <f>IF(OR($AL35="",COUNTIF($AL$3:$AR$3,$AL$2)=0),"",MAX($AK$3:AK34)+1)</f>
        <v>32</v>
      </c>
      <c r="AL35" s="418" t="s">
        <v>447</v>
      </c>
    </row>
    <row r="36" spans="2:44" ht="17.25" thickBot="1">
      <c r="B36" s="87" t="s">
        <v>138</v>
      </c>
      <c r="C36" s="96">
        <f>C28*10000</f>
        <v>0</v>
      </c>
      <c r="D36" s="97"/>
      <c r="H36" s="110" t="s">
        <v>110</v>
      </c>
      <c r="I36" s="101">
        <v>0</v>
      </c>
      <c r="J36" s="103" t="s">
        <v>111</v>
      </c>
      <c r="M36" s="54"/>
      <c r="N36" s="54"/>
      <c r="O36" s="54"/>
      <c r="P36" s="54"/>
      <c r="S36" s="17">
        <v>7</v>
      </c>
      <c r="T36" s="17">
        <v>31</v>
      </c>
      <c r="AK36" s="418">
        <f>IF(OR($AL36="",COUNTIF($AL$3:$AR$3,$AL$2)=0),"",MAX($AK$3:AK35)+1)</f>
        <v>33</v>
      </c>
      <c r="AL36" s="418" t="s">
        <v>448</v>
      </c>
    </row>
    <row r="37" spans="2:44" ht="17.25" thickTop="1">
      <c r="B37" s="126" t="s">
        <v>139</v>
      </c>
      <c r="C37" s="132">
        <f>輸入頁!H14</f>
        <v>5</v>
      </c>
      <c r="D37" s="67" t="str">
        <f>IF(AND(COUNTIF($I$39:$L$39,$C$37)&lt;1,C68=1),1,"")</f>
        <v/>
      </c>
      <c r="E37" s="49" t="str">
        <f>C37&amp;"年"</f>
        <v>5年</v>
      </c>
      <c r="M37" s="54"/>
      <c r="N37" s="54"/>
      <c r="O37" s="54"/>
      <c r="P37" s="54"/>
      <c r="S37" s="17">
        <v>8</v>
      </c>
      <c r="T37" s="17">
        <v>31</v>
      </c>
      <c r="AK37" s="418" t="str">
        <f>IF(OR($AL37="",COUNTIF($AL$3:$AR$3,$AL$2)=0),"",MAX($AK$3:AK36)+1)</f>
        <v/>
      </c>
      <c r="AL37" s="418"/>
    </row>
    <row r="38" spans="2:44">
      <c r="B38" s="126" t="s">
        <v>140</v>
      </c>
      <c r="C38" s="127">
        <f>IF($C$22=$H$47,C32,C36*C37)</f>
        <v>0</v>
      </c>
      <c r="D38" s="160" t="str">
        <f>IF(D37=1,"保證期錯誤","")</f>
        <v/>
      </c>
      <c r="H38" s="181" t="s">
        <v>172</v>
      </c>
      <c r="K38" s="182"/>
      <c r="N38" s="54"/>
      <c r="O38" s="54"/>
      <c r="P38" s="54"/>
      <c r="S38" s="17">
        <v>9</v>
      </c>
      <c r="T38" s="17">
        <v>30</v>
      </c>
      <c r="AK38" s="418" t="str">
        <f>IF(OR($AL38="",COUNTIF($AL$3:$AR$3,$AL$2)=0),"",MAX($AK$3:AK37)+1)</f>
        <v/>
      </c>
      <c r="AL38" s="418"/>
    </row>
    <row r="39" spans="2:44">
      <c r="B39" s="126" t="s">
        <v>151</v>
      </c>
      <c r="C39" s="109" t="str">
        <f ca="1">TEXT(C3,"EEMMDD")</f>
        <v>1060602</v>
      </c>
      <c r="D39" s="97"/>
      <c r="G39" s="50"/>
      <c r="H39" s="111" t="s">
        <v>451</v>
      </c>
      <c r="I39" s="112">
        <v>5</v>
      </c>
      <c r="J39" s="52">
        <v>10</v>
      </c>
      <c r="K39" s="111">
        <v>15</v>
      </c>
      <c r="L39" s="53">
        <v>20</v>
      </c>
      <c r="N39" s="54"/>
      <c r="O39" s="54"/>
      <c r="P39" s="54"/>
      <c r="S39" s="17">
        <v>10</v>
      </c>
      <c r="T39" s="17">
        <v>31</v>
      </c>
      <c r="AK39" s="418" t="str">
        <f>IF(OR($AL39="",COUNTIF($AL$3:$AR$3,$AL$2)=0),"",MAX($AK$3:AK38)+1)</f>
        <v/>
      </c>
      <c r="AL39" s="418"/>
    </row>
    <row r="40" spans="2:44">
      <c r="B40" s="126" t="s">
        <v>152</v>
      </c>
      <c r="C40" s="109">
        <f>IF(AND(COUNTIF($H$44:$H$47,$E$22)&gt;=1,$C$28&gt;=25),1%,0%)</f>
        <v>0</v>
      </c>
      <c r="D40" s="83">
        <f>COUNTIF($H$44:$H$47,$E$22)</f>
        <v>0</v>
      </c>
      <c r="G40" s="50"/>
      <c r="H40" s="111"/>
      <c r="I40" s="112"/>
      <c r="J40" s="52"/>
      <c r="K40" s="111"/>
      <c r="L40" s="53"/>
      <c r="N40" s="54"/>
      <c r="O40" s="54"/>
      <c r="P40" s="54"/>
      <c r="S40" s="17">
        <v>11</v>
      </c>
      <c r="T40" s="17">
        <v>30</v>
      </c>
      <c r="AK40" s="418" t="str">
        <f>IF(OR($AL40="",COUNTIF($AL$3:$AR$3,$AL$2)=0),"",MAX($AK$3:AK39)+1)</f>
        <v/>
      </c>
      <c r="AL40" s="418"/>
    </row>
    <row r="41" spans="2:44">
      <c r="B41" s="108" t="s">
        <v>112</v>
      </c>
      <c r="C41" s="113">
        <v>0</v>
      </c>
      <c r="D41" s="67" t="str">
        <f>IF(OR(C41=""),1,"")</f>
        <v/>
      </c>
      <c r="G41" s="50"/>
      <c r="H41" s="111"/>
      <c r="I41" s="52"/>
      <c r="J41" s="52"/>
      <c r="K41" s="111"/>
      <c r="L41" s="53"/>
      <c r="N41" s="54"/>
      <c r="O41" s="54"/>
      <c r="P41" s="54"/>
      <c r="S41" s="17">
        <v>12</v>
      </c>
      <c r="T41" s="17">
        <v>31</v>
      </c>
      <c r="AK41" s="418" t="str">
        <f>IF(OR($AL41="",COUNTIF($AL$3:$AR$3,$AL$2)=0),"",MAX($AK$3:AK40)+1)</f>
        <v/>
      </c>
      <c r="AL41" s="418"/>
    </row>
    <row r="42" spans="2:44">
      <c r="B42" s="108" t="s">
        <v>113</v>
      </c>
      <c r="C42" s="65" t="s">
        <v>153</v>
      </c>
      <c r="D42" s="67"/>
      <c r="AK42" s="418" t="str">
        <f>IF(OR($AL42="",COUNTIF($AL$3:$AR$3,$AL$2)=0),"",MAX($AK$3:AK41)+1)</f>
        <v/>
      </c>
      <c r="AL42" s="418"/>
    </row>
    <row r="43" spans="2:44">
      <c r="B43" s="48" t="s">
        <v>114</v>
      </c>
      <c r="C43" s="114">
        <f>IF(ISNA(VLOOKUP(C42,$H$30:$I$36,2,0)),0,VLOOKUP(C42,$H$30:$I$36,2,0))</f>
        <v>0</v>
      </c>
      <c r="D43" s="115" t="str">
        <f>IF(C43&gt;0,"-首期享有1%繳別折扣-","")</f>
        <v/>
      </c>
      <c r="H43" s="116" t="s">
        <v>115</v>
      </c>
      <c r="I43" s="53"/>
      <c r="L43" s="53"/>
      <c r="S43" t="s">
        <v>49</v>
      </c>
      <c r="T43"/>
      <c r="AK43" s="418" t="str">
        <f>IF(OR($AL43="",COUNTIF($AL$3:$AR$3,$AL$2)=0),"",MAX($AK$3:AK42)+1)</f>
        <v/>
      </c>
      <c r="AL43" s="418"/>
    </row>
    <row r="44" spans="2:44">
      <c r="B44" s="48" t="s">
        <v>116</v>
      </c>
      <c r="C44" s="65" t="s">
        <v>63</v>
      </c>
      <c r="D44" s="67"/>
      <c r="H44" s="111" t="s">
        <v>326</v>
      </c>
      <c r="I44" s="116" t="s">
        <v>327</v>
      </c>
      <c r="J44" s="50"/>
      <c r="L44" s="116" t="s">
        <v>329</v>
      </c>
      <c r="S44" s="17">
        <f ca="1">OP!S58</f>
        <v>6</v>
      </c>
      <c r="T44" s="17">
        <f ca="1">VLOOKUP(S44,OP!$S$30:$T$41,2,0)</f>
        <v>30</v>
      </c>
      <c r="AK44" s="418" t="str">
        <f>IF(OR($AL44="",COUNTIF($AL$3:$AR$3,$AL$2)=0),"",MAX($AK$3:AK43)+1)</f>
        <v/>
      </c>
      <c r="AL44" s="418"/>
    </row>
    <row r="45" spans="2:44">
      <c r="B45" s="48" t="s">
        <v>117</v>
      </c>
      <c r="C45" s="114">
        <f>IF(ISNA(VLOOKUP(C44,$H$30:$I$36,2,0)),0,VLOOKUP(C44,$H$30:$I$36,2,0))</f>
        <v>0</v>
      </c>
      <c r="D45" s="115" t="str">
        <f>IF(C45&gt;0,"-續期享有1%繳別折扣-","")</f>
        <v/>
      </c>
      <c r="H45" s="111" t="s">
        <v>451</v>
      </c>
      <c r="I45" s="116" t="s">
        <v>328</v>
      </c>
      <c r="J45" s="50"/>
      <c r="S45" s="17">
        <f t="shared" ref="S45:S55" ca="1" si="0">IF(S44=12,1,S44+1)</f>
        <v>7</v>
      </c>
      <c r="T45" s="17">
        <f ca="1">VLOOKUP(S45,OP!$S$30:$T$41,2,0)</f>
        <v>31</v>
      </c>
      <c r="AK45" s="418" t="str">
        <f>IF(OR($AL45="",COUNTIF($AL$3:$AR$3,$AL$2)=0),"",MAX($AK$3:AK44)+1)</f>
        <v/>
      </c>
      <c r="AL45" s="418"/>
    </row>
    <row r="46" spans="2:44">
      <c r="B46" s="48" t="s">
        <v>118</v>
      </c>
      <c r="C46" s="117">
        <v>0</v>
      </c>
      <c r="D46" s="67" t="str">
        <f>IF(OR(C46="",),1,"")</f>
        <v/>
      </c>
      <c r="H46" s="111"/>
      <c r="I46" s="116"/>
      <c r="J46" s="50"/>
      <c r="S46" s="17">
        <f t="shared" ca="1" si="0"/>
        <v>8</v>
      </c>
      <c r="T46" s="17">
        <f ca="1">VLOOKUP(S46,OP!$S$30:$T$41,2,0)</f>
        <v>31</v>
      </c>
      <c r="AL46" s="417" t="s">
        <v>449</v>
      </c>
      <c r="AM46" s="417"/>
      <c r="AN46" s="417"/>
      <c r="AO46" s="417"/>
      <c r="AP46" s="417"/>
      <c r="AQ46" s="417"/>
      <c r="AR46" s="417"/>
    </row>
    <row r="47" spans="2:44">
      <c r="B47" s="48" t="s">
        <v>119</v>
      </c>
      <c r="C47" s="118">
        <f>MIN(SUM(C40:C41,C43),C46)</f>
        <v>0</v>
      </c>
      <c r="D47" s="119"/>
      <c r="H47" s="111"/>
      <c r="I47" s="116"/>
      <c r="J47" s="50"/>
      <c r="S47" s="17">
        <f t="shared" ca="1" si="0"/>
        <v>9</v>
      </c>
      <c r="T47" s="17">
        <f ca="1">VLOOKUP(S47,OP!$S$30:$T$41,2,0)</f>
        <v>30</v>
      </c>
      <c r="AK47" s="418" t="str">
        <f>IF(OR($AL47="",COUNTIF($AL$46:$AR$46,$AL$2)=0),"",MAX($AK$3:AK46)+1)</f>
        <v/>
      </c>
      <c r="AL47" s="418" t="s">
        <v>418</v>
      </c>
    </row>
    <row r="48" spans="2:44">
      <c r="B48" s="48" t="s">
        <v>120</v>
      </c>
      <c r="C48" s="118">
        <f>MIN(SUM(C40:C41,C45),C46)</f>
        <v>0</v>
      </c>
      <c r="D48" s="97"/>
      <c r="H48" s="111"/>
      <c r="I48" s="116"/>
      <c r="J48" s="50"/>
      <c r="S48" s="17">
        <f t="shared" ca="1" si="0"/>
        <v>10</v>
      </c>
      <c r="T48" s="17">
        <f ca="1">VLOOKUP(S48,OP!$S$30:$T$41,2,0)</f>
        <v>31</v>
      </c>
      <c r="AK48" s="418" t="str">
        <f>IF(OR($AL48="",COUNTIF($AL$46:$AR$46,$AL$2)=0),"",MAX($AK$3:AK47)+1)</f>
        <v/>
      </c>
      <c r="AL48" s="418" t="s">
        <v>419</v>
      </c>
    </row>
    <row r="49" spans="2:38">
      <c r="B49" s="48" t="s">
        <v>121</v>
      </c>
      <c r="C49" s="96">
        <f>ROUND(C32*(1-C47),0)</f>
        <v>50000</v>
      </c>
      <c r="D49" s="73" t="str">
        <f>IF(IF($C$51=12,$C$49*2,$C$49)&lt;2000,"-首次繳費金額低於 2,000元，不符繳費規定-","")</f>
        <v/>
      </c>
      <c r="S49" s="17">
        <f t="shared" ca="1" si="0"/>
        <v>11</v>
      </c>
      <c r="T49" s="17">
        <f ca="1">VLOOKUP(S49,OP!$S$30:$T$41,2,0)</f>
        <v>30</v>
      </c>
      <c r="AK49" s="418" t="str">
        <f>IF(OR($AL49="",COUNTIF($AL$46:$AR$46,$AL$2)=0),"",MAX($AK$3:AK48)+1)</f>
        <v/>
      </c>
      <c r="AL49" s="418" t="s">
        <v>420</v>
      </c>
    </row>
    <row r="50" spans="2:38">
      <c r="B50" s="48" t="s">
        <v>122</v>
      </c>
      <c r="C50" s="96">
        <f>ROUND(C32*(1-C48),0)</f>
        <v>50000</v>
      </c>
      <c r="D50" s="73" t="str">
        <f>IF($C$51=12,"-月繳首期需繳 2個月 "&amp;TEXT($C$49*2,"#,##0 元-"),"")</f>
        <v/>
      </c>
      <c r="S50" s="17">
        <f t="shared" ca="1" si="0"/>
        <v>12</v>
      </c>
      <c r="T50" s="17">
        <f ca="1">VLOOKUP(S50,OP!$S$30:$T$41,2,0)</f>
        <v>31</v>
      </c>
      <c r="AK50" s="418" t="str">
        <f>IF(OR($AL50="",COUNTIF($AL$46:$AR$46,$AL$2)=0),"",MAX($AK$3:AK49)+1)</f>
        <v/>
      </c>
      <c r="AL50" s="418" t="s">
        <v>421</v>
      </c>
    </row>
    <row r="51" spans="2:38">
      <c r="B51" s="48" t="s">
        <v>123</v>
      </c>
      <c r="C51" s="48">
        <f>IF(ISNA(VLOOKUP(C33,H2:K7,4,0)),0,VLOOKUP(C33,H2:K7,4,0))</f>
        <v>1</v>
      </c>
      <c r="D51" s="67" t="str">
        <f>IF(IF($C$51=12,($C$49*2)+C125,$C$49+C125)&lt;500000,1,"")</f>
        <v/>
      </c>
      <c r="E51" s="50" t="s">
        <v>124</v>
      </c>
      <c r="H51" s="116" t="s">
        <v>133</v>
      </c>
      <c r="I51" s="116" t="s">
        <v>125</v>
      </c>
      <c r="J51" s="116" t="s">
        <v>126</v>
      </c>
      <c r="K51" s="111" t="s">
        <v>171</v>
      </c>
      <c r="S51" s="17">
        <f t="shared" ca="1" si="0"/>
        <v>1</v>
      </c>
      <c r="T51" s="17">
        <f ca="1">VLOOKUP(S51,OP!$S$30:$T$41,2,0)</f>
        <v>31</v>
      </c>
      <c r="AK51" s="418" t="str">
        <f>IF(OR($AL51="",COUNTIF($AL$46:$AR$46,$AL$2)=0),"",MAX($AK$3:AK50)+1)</f>
        <v/>
      </c>
      <c r="AL51" s="418" t="s">
        <v>422</v>
      </c>
    </row>
    <row r="52" spans="2:38">
      <c r="B52" s="48" t="s">
        <v>127</v>
      </c>
      <c r="C52" s="96">
        <f>IF(C51=12,C49*2+C50*10,C49*1+C50*(C51-1))</f>
        <v>50000</v>
      </c>
      <c r="H52" s="111" t="s">
        <v>451</v>
      </c>
      <c r="I52" s="52">
        <v>0</v>
      </c>
      <c r="J52" s="52">
        <v>80</v>
      </c>
      <c r="K52" s="52">
        <f ca="1">J52-$D$5</f>
        <v>25</v>
      </c>
      <c r="S52" s="17">
        <f t="shared" ca="1" si="0"/>
        <v>2</v>
      </c>
      <c r="T52" s="17">
        <f ca="1">VLOOKUP(S52,OP!$S$30:$T$41,2,0)</f>
        <v>28</v>
      </c>
      <c r="AK52" s="418" t="str">
        <f>IF(OR($AL52="",COUNTIF($AL$46:$AR$46,$AL$2)=0),"",MAX($AK$3:AK51)+1)</f>
        <v/>
      </c>
      <c r="AL52" s="418" t="s">
        <v>423</v>
      </c>
    </row>
    <row r="53" spans="2:38">
      <c r="B53" s="48" t="s">
        <v>128</v>
      </c>
      <c r="C53" s="96">
        <f>C50*C51</f>
        <v>50000</v>
      </c>
      <c r="D53" s="97"/>
      <c r="H53" s="111"/>
      <c r="I53" s="52"/>
      <c r="J53" s="52"/>
      <c r="K53" s="52"/>
      <c r="S53" s="17">
        <f t="shared" ca="1" si="0"/>
        <v>3</v>
      </c>
      <c r="T53" s="17">
        <f ca="1">VLOOKUP(S53,OP!$S$30:$T$41,2,0)</f>
        <v>31</v>
      </c>
      <c r="AK53" s="418" t="str">
        <f>IF(OR($AL53="",COUNTIF($AL$46:$AR$46,$AL$2)=0),"",MAX($AK$3:AK52)+1)</f>
        <v/>
      </c>
      <c r="AL53" s="418" t="s">
        <v>424</v>
      </c>
    </row>
    <row r="54" spans="2:38">
      <c r="B54" s="80" t="s">
        <v>129</v>
      </c>
      <c r="C54" s="80"/>
      <c r="D54" s="67" t="str">
        <f ca="1">IF(SUM(E6,D10:D13,D15:D16,D18,D21:D24,D28,E28:E29,D33:D34,D37,D41:D42,D44,D46,D58,D122,D123,D135,D83,D60,D51)&gt;=1,1,"")</f>
        <v/>
      </c>
      <c r="H54" s="111"/>
      <c r="I54" s="52"/>
      <c r="J54" s="52"/>
      <c r="K54" s="52"/>
      <c r="S54" s="17">
        <f t="shared" ca="1" si="0"/>
        <v>4</v>
      </c>
      <c r="T54" s="17">
        <f ca="1">VLOOKUP(S54,OP!$S$30:$T$41,2,0)</f>
        <v>30</v>
      </c>
      <c r="AK54" s="418" t="str">
        <f>IF(OR($AL54="",COUNTIF($AL$46:$AR$46,$AL$2)=0),"",MAX($AK$3:AK53)+1)</f>
        <v/>
      </c>
      <c r="AL54" s="418" t="s">
        <v>425</v>
      </c>
    </row>
    <row r="55" spans="2:38">
      <c r="B55" s="48" t="s">
        <v>130</v>
      </c>
      <c r="C55" s="310" t="s">
        <v>538</v>
      </c>
      <c r="S55" s="17">
        <f t="shared" ca="1" si="0"/>
        <v>5</v>
      </c>
      <c r="T55" s="17">
        <f ca="1">VLOOKUP(S55,OP!$S$30:$T$41,2,0)</f>
        <v>31</v>
      </c>
      <c r="AK55" s="418" t="str">
        <f>IF(OR($AL55="",COUNTIF($AL$46:$AR$46,$AL$2)=0),"",MAX($AK$3:AK54)+1)</f>
        <v/>
      </c>
      <c r="AL55" s="418" t="s">
        <v>426</v>
      </c>
    </row>
    <row r="56" spans="2:38">
      <c r="B56" s="87" t="s">
        <v>131</v>
      </c>
      <c r="C56" s="48" t="str">
        <f ca="1">$E$22&amp;TEXT($D$5,"00")</f>
        <v>155</v>
      </c>
      <c r="D56" s="120" t="s">
        <v>137</v>
      </c>
      <c r="H56" s="48"/>
      <c r="I56" s="50"/>
      <c r="K56" s="50"/>
      <c r="AK56" s="418" t="str">
        <f>IF(OR($AL56="",COUNTIF($AL$46:$AR$46,$AL$2)=0),"",MAX($AK$3:AK55)+1)</f>
        <v/>
      </c>
      <c r="AL56" s="418" t="s">
        <v>427</v>
      </c>
    </row>
    <row r="57" spans="2:38">
      <c r="B57" s="87" t="s">
        <v>132</v>
      </c>
      <c r="C57" s="48" t="str">
        <f>C24&amp;C22</f>
        <v>1VBCT</v>
      </c>
      <c r="D57" s="121"/>
      <c r="H57" s="111" t="s">
        <v>134</v>
      </c>
      <c r="I57" s="116" t="s">
        <v>142</v>
      </c>
      <c r="J57" s="116" t="s">
        <v>143</v>
      </c>
      <c r="K57" s="116" t="s">
        <v>135</v>
      </c>
      <c r="L57" s="116" t="s">
        <v>284</v>
      </c>
      <c r="R57"/>
      <c r="S57" t="s">
        <v>25</v>
      </c>
      <c r="T57"/>
      <c r="AK57" s="418" t="str">
        <f>IF(OR($AL57="",COUNTIF($AL$46:$AR$46,$AL$2)=0),"",MAX($AK$3:AK56)+1)</f>
        <v/>
      </c>
      <c r="AL57" s="418" t="s">
        <v>428</v>
      </c>
    </row>
    <row r="58" spans="2:38">
      <c r="B58" s="175" t="s">
        <v>47</v>
      </c>
      <c r="C58" s="150">
        <f ca="1">DATE(YEAR(TODAY()),MONTH(TODAY()),10)</f>
        <v>42896</v>
      </c>
      <c r="D58" s="179"/>
      <c r="H58" s="111" t="s">
        <v>451</v>
      </c>
      <c r="I58" s="151">
        <f ca="1">IF(C31=0,0.5,MAX(ROUNDUP(100000/C31,1),0.5))</f>
        <v>0.5</v>
      </c>
      <c r="J58" s="151">
        <v>120</v>
      </c>
      <c r="K58" s="68">
        <v>60000000</v>
      </c>
      <c r="L58" s="287">
        <f>ROUNDDOWN($K$58/$C$139,0)</f>
        <v>60000000</v>
      </c>
      <c r="R58">
        <v>1</v>
      </c>
      <c r="S58" s="18">
        <f ca="1">T58</f>
        <v>6</v>
      </c>
      <c r="T58" s="18">
        <f ca="1">計算!C3</f>
        <v>6</v>
      </c>
      <c r="AK58" s="418" t="str">
        <f>IF(OR($AL58="",COUNTIF($AL$46:$AR$46,$AL$2)=0),"",MAX($AK$3:AK57)+1)</f>
        <v/>
      </c>
      <c r="AL58" s="451" t="s">
        <v>536</v>
      </c>
    </row>
    <row r="59" spans="2:38">
      <c r="H59" s="111"/>
      <c r="I59" s="151"/>
      <c r="J59" s="151"/>
      <c r="K59" s="68"/>
      <c r="L59" s="68"/>
      <c r="R59">
        <v>2</v>
      </c>
      <c r="S59" s="18" t="str">
        <f>IF($C$119=1,$T$59,"")</f>
        <v/>
      </c>
      <c r="T59" s="18">
        <f t="shared" ref="T59:T69" ca="1" si="1">IF(T58=12,1,T58+1)</f>
        <v>7</v>
      </c>
      <c r="AK59" s="418" t="str">
        <f>IF(OR($AL59="",COUNTIF($AL$46:$AR$46,$AL$2)=0),"",MAX($AK$3:AK58)+1)</f>
        <v/>
      </c>
      <c r="AL59" s="452" t="s">
        <v>537</v>
      </c>
    </row>
    <row r="60" spans="2:38">
      <c r="B60" s="87" t="s">
        <v>272</v>
      </c>
      <c r="D60" s="67" t="str">
        <f>IF(C66=0,1,"")</f>
        <v/>
      </c>
      <c r="H60" s="111"/>
      <c r="I60" s="68"/>
      <c r="J60" s="68"/>
      <c r="K60" s="68"/>
      <c r="L60" s="52"/>
      <c r="R60">
        <v>3</v>
      </c>
      <c r="S60" s="18" t="str">
        <f>IF($C$119=1,$T$60,"")</f>
        <v/>
      </c>
      <c r="T60" s="18">
        <f t="shared" ca="1" si="1"/>
        <v>8</v>
      </c>
      <c r="AK60" s="418" t="str">
        <f>IF(OR($AL60="",COUNTIF($AL$46:$AR$46,$AL$2)=0),"",MAX($AK$3:AK59)+1)</f>
        <v/>
      </c>
      <c r="AL60" s="418" t="s">
        <v>429</v>
      </c>
    </row>
    <row r="61" spans="2:38">
      <c r="B61" s="87" t="s">
        <v>144</v>
      </c>
      <c r="C61" s="254"/>
      <c r="D61" s="130">
        <f ca="1">DATE(YEAR(C3)-C16,MONTH(C3)-6,DAY(C3)-1)</f>
        <v>42705</v>
      </c>
      <c r="E61" s="139">
        <f ca="1">IF(MONTH(D61)&lt;$B$3,IF(OR(MONTH(D61)+12-$B$3&gt;6,AND(MONTH(D61)+12-$B$3=6,DAY(D61)&gt;DAY($D$3))),YEAR(D61)-1-YEAR($D$3)+1,IF(OR(MONTH(D61)+12-$B$3&lt;6,AND(MONTH(D61)+12-$B$3=6,DAY(D61)&lt;=DAY($D$3))),YEAR(D61)-1-YEAR($D$3))),IF(OR(MONTH(D61)-$B$3&gt;6,AND(MONTH(D61)-$B$3=6,DAY(D61)&gt;DAY($D$3))),YEAR(D61)-YEAR($D$3)+1,IF(OR(MONTH(D61)-$B$3&lt;=6,AND(MONTH(D61)-$B$3=6,DAY(D61)&lt;=DAY($D$3))),YEAR(D61)-YEAR($D$3),)))</f>
        <v>55</v>
      </c>
      <c r="R61">
        <v>4</v>
      </c>
      <c r="S61" s="18" t="str">
        <f>IF(OR($C$119=1,$C$119=2),$T$61,"")</f>
        <v/>
      </c>
      <c r="T61" s="18">
        <f t="shared" ca="1" si="1"/>
        <v>9</v>
      </c>
      <c r="AK61" s="418" t="str">
        <f>IF(OR($AL61="",COUNTIF($AL$46:$AR$46,$AL$2)=0),"",MAX($AK$3:AK60)+1)</f>
        <v/>
      </c>
      <c r="AL61" s="418" t="s">
        <v>430</v>
      </c>
    </row>
    <row r="62" spans="2:38">
      <c r="B62" s="87" t="s">
        <v>145</v>
      </c>
      <c r="D62" s="130">
        <f ca="1">DATE(YEAR(C3)-C15+1,MONTH(C3)-6,DAY(C3))</f>
        <v>13851</v>
      </c>
      <c r="E62" s="139">
        <f ca="1">IF(MONTH(D62)&lt;$B$3,IF(OR(MONTH(D62)+12-$B$3&gt;6,AND(MONTH(D62)+12-$B$3=6,DAY(D62)&gt;DAY($D$3))),YEAR(D62)-1-YEAR($D$3)+1,IF(OR(MONTH(D62)+12-$B$3&lt;6,AND(MONTH(D62)+12-$B$3=6,DAY(D62)&lt;=DAY($D$3))),YEAR(D62)-1-YEAR($D$3))),IF(OR(MONTH(D62)-$B$3&gt;6,AND(MONTH(D62)-$B$3=6,DAY(D62)&gt;DAY($D$3))),YEAR(D62)-YEAR($D$3)+1,IF(OR(MONTH(D62)-$B$3&lt;=6,AND(MONTH(D62)-$B$3=6,DAY(D62)&lt;=DAY($D$3))),YEAR(D62)-YEAR($D$3),)))</f>
        <v>-24</v>
      </c>
      <c r="H62" s="179" t="str">
        <f>IF(COUNTIF(繳別,D119)&lt;&gt;1,1,"")</f>
        <v/>
      </c>
      <c r="I62" s="53"/>
      <c r="R62">
        <v>5</v>
      </c>
      <c r="S62" s="18" t="str">
        <f>IF($C$119=1,$T$62,"")</f>
        <v/>
      </c>
      <c r="T62" s="18">
        <f t="shared" ca="1" si="1"/>
        <v>10</v>
      </c>
      <c r="AK62" s="418" t="str">
        <f>IF(OR($AL62="",COUNTIF($AL$46:$AR$46,$AL$2)=0),"",MAX($AK$3:AK61)+1)</f>
        <v/>
      </c>
      <c r="AL62" s="418" t="s">
        <v>431</v>
      </c>
    </row>
    <row r="63" spans="2:38">
      <c r="B63" s="87" t="s">
        <v>146</v>
      </c>
      <c r="D63" s="130">
        <f ca="1">MAX(D66,DATE(YEAR(C3)+MAX(C24,5),MONTH(C3),DAY(C3)))</f>
        <v>45079</v>
      </c>
      <c r="E63" s="139">
        <f ca="1">IF(MONTH(D63)&lt;$B$3,IF(OR(MONTH(D63)+12-$B$3&gt;6,AND(MONTH(D63)+12-$B$3=6,DAY(D63)&gt;DAY($D$3))),YEAR(D63)-1-YEAR($D$3)+1,IF(OR(MONTH(D63)+12-$B$3&lt;6,AND(MONTH(D63)+12-$B$3=6,DAY(D63)&lt;=DAY($D$3))),YEAR(D63)-1-YEAR($D$3))),IF(OR(MONTH(D63)-$B$3&gt;6,AND(MONTH(D63)-$B$3=6,DAY(D63)&gt;DAY($D$3))),YEAR(D63)-YEAR($D$3)+1,IF(OR(MONTH(D63)-$B$3&lt;=6,AND(MONTH(D63)-$B$3=6,DAY(D63)&lt;=DAY($D$3))),YEAR(D63)-YEAR($D$3),)))</f>
        <v>61</v>
      </c>
      <c r="F63" s="111" t="s">
        <v>339</v>
      </c>
      <c r="H63" s="116" t="s">
        <v>157</v>
      </c>
      <c r="I63" s="116" t="str">
        <f>IF(C22="VACF","","月繳")</f>
        <v>月繳</v>
      </c>
      <c r="J63" s="116" t="str">
        <f>IF(C22="VACF","","季繳")</f>
        <v>季繳</v>
      </c>
      <c r="K63" s="116" t="str">
        <f>IF(C22="VACF","","半年繳")</f>
        <v>半年繳</v>
      </c>
      <c r="L63" s="116" t="s">
        <v>45</v>
      </c>
      <c r="M63" s="413" t="s">
        <v>408</v>
      </c>
      <c r="R63">
        <v>6</v>
      </c>
      <c r="S63" s="18" t="str">
        <f>IF($C$119=1,$T$63,"")</f>
        <v/>
      </c>
      <c r="T63" s="18">
        <f t="shared" ca="1" si="1"/>
        <v>11</v>
      </c>
      <c r="AK63" s="418" t="str">
        <f>IF(OR($AL63="",COUNTIF($AL$46:$AR$46,$AL$2)=0),"",MAX($AK$3:AK62)+1)</f>
        <v/>
      </c>
      <c r="AL63" s="418" t="s">
        <v>432</v>
      </c>
    </row>
    <row r="64" spans="2:38">
      <c r="B64" s="87" t="s">
        <v>163</v>
      </c>
      <c r="D64" s="130">
        <f ca="1">DATE(YEAR(C3)+MAX(C24,5),MONTH(C3),DAY(C3))</f>
        <v>44714</v>
      </c>
      <c r="E64" s="139">
        <f ca="1">IF(MONTH(D64)&lt;$B$3,IF(OR(MONTH(D64)+12-$B$3&gt;6,AND(MONTH(D64)+12-$B$3=6,DAY(D64)&gt;DAY($D$3))),YEAR(D64)-1-YEAR($D$3)+1,IF(OR(MONTH(D64)+12-$B$3&lt;6,AND(MONTH(D64)+12-$B$3=6,DAY(D64)&lt;=DAY($D$3))),YEAR(D64)-1-YEAR($D$3))),IF(OR(MONTH(D64)-$B$3&gt;6,AND(MONTH(D64)-$B$3=6,DAY(D64)&gt;DAY($D$3))),YEAR(D64)-YEAR($D$3)+1,IF(OR(MONTH(D64)-$B$3&lt;=6,AND(MONTH(D64)-$B$3=6,DAY(D64)&lt;=DAY($D$3))),YEAR(D64)-YEAR($D$3),)))</f>
        <v>60</v>
      </c>
      <c r="F64" s="333" t="str">
        <f ca="1">TEXT(TODAY(),"eemmdd")</f>
        <v>1060602</v>
      </c>
      <c r="H64" s="53"/>
      <c r="I64" s="53"/>
      <c r="J64" s="53"/>
      <c r="K64" s="53"/>
      <c r="L64" s="53"/>
      <c r="M64" s="53"/>
      <c r="R64">
        <v>7</v>
      </c>
      <c r="S64" s="18" t="str">
        <f>IF(OR($C$119=1,$C$119=2,$C$119=3),$T$64,"")</f>
        <v/>
      </c>
      <c r="T64" s="18">
        <f t="shared" ca="1" si="1"/>
        <v>12</v>
      </c>
      <c r="AK64" s="418" t="str">
        <f>IF(OR($AL64="",COUNTIF($AL$46:$AR$46,$AL$2)=0),"",MAX($AK$3:AK63)+1)</f>
        <v/>
      </c>
      <c r="AL64" s="418" t="s">
        <v>450</v>
      </c>
    </row>
    <row r="65" spans="2:44">
      <c r="B65" s="87" t="s">
        <v>164</v>
      </c>
      <c r="D65" s="130">
        <f ca="1">DATE(YEAR(C3)+(101-D5),MONTH(C3),DAY(C3))</f>
        <v>59689</v>
      </c>
      <c r="E65" s="139">
        <f ca="1">IF(MONTH(D65)&lt;$B$3,IF(OR(MONTH(D65)+12-$B$3&gt;6,AND(MONTH(D65)+12-$B$3=6,DAY(D65)&gt;DAY($D$3))),YEAR(D65)-1-YEAR($D$3)+1,IF(OR(MONTH(D65)+12-$B$3&lt;6,AND(MONTH(D65)+12-$B$3=6,DAY(D65)&lt;=DAY($D$3))),YEAR(D65)-1-YEAR($D$3))),IF(OR(MONTH(D65)-$B$3&gt;6,AND(MONTH(D65)-$B$3=6,DAY(D65)&gt;DAY($D$3))),YEAR(D65)-YEAR($D$3)+1,IF(OR(MONTH(D65)-$B$3&lt;=6,AND(MONTH(D65)-$B$3=6,DAY(D65)&lt;=DAY($D$3))),YEAR(D65)-YEAR($D$3),)))</f>
        <v>101</v>
      </c>
      <c r="R65">
        <v>8</v>
      </c>
      <c r="S65" s="18" t="str">
        <f>IF($C$119=1,$T$65,"")</f>
        <v/>
      </c>
      <c r="T65" s="18">
        <f t="shared" ca="1" si="1"/>
        <v>1</v>
      </c>
      <c r="AK65" s="418" t="str">
        <f>IF(OR($AL65="",COUNTIF($AL$46:$AR$46,$AL$2)=0),"",MAX($AK$3:AK64)+1)</f>
        <v/>
      </c>
      <c r="AL65" s="418" t="s">
        <v>435</v>
      </c>
    </row>
    <row r="66" spans="2:44">
      <c r="B66" s="87" t="s">
        <v>150</v>
      </c>
      <c r="C66" s="133">
        <f>輸入頁!$H$16</f>
        <v>1120602</v>
      </c>
      <c r="D66" s="61">
        <f>IF(L111="",D63,DATE(D88+1911,E88,F88))</f>
        <v>45079</v>
      </c>
      <c r="E66" s="48">
        <f ca="1">DATEDIF(C3,D66,"y")</f>
        <v>6</v>
      </c>
      <c r="F66" s="49">
        <f ca="1">DATEDIF(C3,D66,"m")</f>
        <v>72</v>
      </c>
      <c r="H66" s="50"/>
      <c r="R66">
        <v>9</v>
      </c>
      <c r="S66" s="18" t="str">
        <f>IF($C$119=1,$T$66,"")</f>
        <v/>
      </c>
      <c r="T66" s="18">
        <f t="shared" ca="1" si="1"/>
        <v>2</v>
      </c>
      <c r="AK66" s="418" t="str">
        <f>IF(OR($AL66="",COUNTIF($AL$46:$AR$46,$AL$2)=0),"",MAX($AK$3:AK65)+1)</f>
        <v/>
      </c>
      <c r="AL66" s="418" t="s">
        <v>436</v>
      </c>
    </row>
    <row r="67" spans="2:44">
      <c r="B67" s="134" t="s">
        <v>35</v>
      </c>
      <c r="C67" s="138" t="str">
        <f>輸入頁!$H$12</f>
        <v>分期年金</v>
      </c>
      <c r="D67" s="52" t="str">
        <f>TEXT(D66,"EEMMDD")</f>
        <v>1120602</v>
      </c>
      <c r="E67" s="80">
        <f ca="1">IF(E6=1,5,MIN(80-D5,5))</f>
        <v>5</v>
      </c>
      <c r="H67" s="50"/>
      <c r="R67">
        <v>10</v>
      </c>
      <c r="S67" s="18" t="str">
        <f>IF(OR($C$119=1,$C$119=2),$T$67,"")</f>
        <v/>
      </c>
      <c r="T67" s="18">
        <f t="shared" ca="1" si="1"/>
        <v>3</v>
      </c>
      <c r="AK67" s="418" t="str">
        <f>IF(OR($AL67="",COUNTIF($AL$46:$AR$46,$AL$2)=0),"",MAX($AK$3:AK66)+1)</f>
        <v/>
      </c>
      <c r="AL67" s="418" t="s">
        <v>437</v>
      </c>
    </row>
    <row r="68" spans="2:44">
      <c r="B68" s="126" t="s">
        <v>258</v>
      </c>
      <c r="C68" s="212">
        <f>IF(C67="一次年金",0,IF(C67="分期年金",1,3))</f>
        <v>1</v>
      </c>
      <c r="D68" s="149" t="str">
        <f ca="1">L108&amp;" ~ "&amp;L109</f>
        <v>1120602 ~ 1520602</v>
      </c>
      <c r="F68" s="50" t="s">
        <v>159</v>
      </c>
      <c r="R68">
        <v>11</v>
      </c>
      <c r="S68" s="18" t="str">
        <f>IF($C$119=1,$T$68,"")</f>
        <v/>
      </c>
      <c r="T68" s="18">
        <f t="shared" ca="1" si="1"/>
        <v>4</v>
      </c>
      <c r="AK68" s="418" t="str">
        <f>IF(OR($AL68="",COUNTIF($AL$46:$AR$46,$AL$2)=0),"",MAX($AK$3:AK67)+1)</f>
        <v/>
      </c>
      <c r="AL68" s="418" t="s">
        <v>438</v>
      </c>
    </row>
    <row r="69" spans="2:44">
      <c r="B69" s="87" t="s">
        <v>259</v>
      </c>
      <c r="C69" s="228">
        <f>$E$111</f>
        <v>1.4999999999999999E-2</v>
      </c>
      <c r="D69" s="149" t="str">
        <f ca="1">C16&amp;E15&amp;"("&amp;L105&amp;") ~ "&amp;C15&amp;E14&amp;"("&amp;L106&amp;")"</f>
        <v>0歲(1060602) ~ 80歲(251202)</v>
      </c>
      <c r="F69" s="50" t="s">
        <v>160</v>
      </c>
      <c r="H69" s="111" t="s">
        <v>181</v>
      </c>
      <c r="I69" s="116" t="s">
        <v>182</v>
      </c>
      <c r="R69">
        <v>12</v>
      </c>
      <c r="S69" s="18" t="str">
        <f>IF($C$119=1,$T$69,"")</f>
        <v/>
      </c>
      <c r="T69" s="18">
        <f t="shared" ca="1" si="1"/>
        <v>5</v>
      </c>
      <c r="AK69" s="418" t="str">
        <f>IF(OR($AL69="",COUNTIF($AL$46:$AR$46,$AL$2)=0),"",MAX($AK$3:AK68)+1)</f>
        <v/>
      </c>
      <c r="AL69" s="418" t="s">
        <v>439</v>
      </c>
    </row>
    <row r="70" spans="2:44">
      <c r="B70" s="87" t="s">
        <v>261</v>
      </c>
      <c r="C70" s="332">
        <f ca="1">110-C88</f>
        <v>49</v>
      </c>
      <c r="D70" s="149" t="str">
        <f>IF(E6=1,"",IF($C$21=3,IF(E70=1,"繳費年度錯誤 ","")&amp;"1 ~ "&amp;75-D5&amp;" 年"," 1 年"))</f>
        <v xml:space="preserve"> 1 年</v>
      </c>
      <c r="E70" s="67" t="str">
        <f ca="1">IF($D$54=1,"",IF(AND(C21=3,OR($C$120&lt;1,$C$120&gt;75-$D$5)),1,""))</f>
        <v/>
      </c>
      <c r="F70" s="50" t="s">
        <v>161</v>
      </c>
      <c r="H70" s="111" t="s">
        <v>451</v>
      </c>
      <c r="I70" s="57">
        <v>5</v>
      </c>
      <c r="R70"/>
      <c r="S70">
        <f ca="1">SUM(PAY)</f>
        <v>6</v>
      </c>
      <c r="T70"/>
      <c r="AK70" s="418" t="str">
        <f>IF(OR($AL70="",COUNTIF($AL$46:$AR$46,$AL$2)=0),"",MAX($AK$3:AK69)+1)</f>
        <v/>
      </c>
      <c r="AL70" s="418" t="s">
        <v>440</v>
      </c>
      <c r="AM70" s="289"/>
      <c r="AN70" s="289"/>
      <c r="AO70" s="289"/>
      <c r="AP70" s="289"/>
      <c r="AQ70" s="289"/>
      <c r="AR70" s="289"/>
    </row>
    <row r="71" spans="2:44">
      <c r="D71" s="149" t="str">
        <f ca="1">IF(E70=1,"繳費年度錯誤 ","")</f>
        <v/>
      </c>
      <c r="F71" s="50" t="s">
        <v>191</v>
      </c>
      <c r="H71" s="111"/>
      <c r="I71" s="57"/>
      <c r="AK71" s="418" t="str">
        <f>IF(OR($AL71="",COUNTIF($AL$46:$AR$46,$AL$2)=0),"",MAX($AK$3:AK70)+1)</f>
        <v/>
      </c>
      <c r="AL71" s="418" t="s">
        <v>441</v>
      </c>
      <c r="AM71" s="289"/>
      <c r="AN71" s="289"/>
      <c r="AO71" s="289"/>
      <c r="AP71" s="289"/>
      <c r="AQ71" s="289"/>
      <c r="AR71" s="289"/>
    </row>
    <row r="72" spans="2:44">
      <c r="B72" s="135"/>
      <c r="C72" s="167"/>
      <c r="D72" s="176"/>
      <c r="E72" s="49" t="str">
        <f>TEXT(C121,"0.00%")</f>
        <v>5.00%</v>
      </c>
      <c r="F72" s="49" t="str">
        <f ca="1">TEXT(TODAY(),"EEMM")</f>
        <v>10606</v>
      </c>
      <c r="H72" s="111"/>
      <c r="I72" s="57"/>
      <c r="AK72" s="418" t="str">
        <f>IF(OR($AL72="",COUNTIF($AL$46:$AR$46,$AL$2)=0),"",MAX($AK$3:AK71)+1)</f>
        <v/>
      </c>
      <c r="AL72" s="418" t="s">
        <v>442</v>
      </c>
    </row>
    <row r="73" spans="2:44">
      <c r="B73" s="135" t="s">
        <v>148</v>
      </c>
      <c r="C73" s="136">
        <f>C49</f>
        <v>50000</v>
      </c>
      <c r="D73" s="149" t="str">
        <f>IF($C$21=3,TEXT(C26,"#,##0 元")&amp;" ~ "&amp;TEXT(C27,"#,##0 元"),IF(OR($C$21=1,$C$21=2),TEXT(C26,"##0.0 萬元")&amp;" ~ "&amp;TEXT(C27,"##0.0 萬元"),""))</f>
        <v/>
      </c>
      <c r="F73" s="50" t="s">
        <v>161</v>
      </c>
      <c r="H73" s="111"/>
      <c r="I73" s="57"/>
      <c r="AK73" s="418" t="str">
        <f>IF(OR($AL73="",COUNTIF($AL$46:$AR$46,$AL$2)=0),"",MAX($AK$3:AK72)+1)</f>
        <v/>
      </c>
      <c r="AL73" s="418" t="s">
        <v>443</v>
      </c>
    </row>
    <row r="74" spans="2:44">
      <c r="B74" s="135" t="s">
        <v>149</v>
      </c>
      <c r="C74" s="136">
        <f>C50</f>
        <v>50000</v>
      </c>
      <c r="D74" s="149" t="str">
        <f>IF(C119=1,"月繳首期需繳 2個月 "&amp;TEXT(C73*2,"#,##0 元"),"")</f>
        <v/>
      </c>
      <c r="H74" s="111"/>
      <c r="I74" s="57"/>
      <c r="AK74" s="418" t="str">
        <f>IF(OR($AL74="",COUNTIF($AL$46:$AR$46,$AL$2)=0),"",MAX($AK$3:AK73)+1)</f>
        <v/>
      </c>
      <c r="AL74" s="418" t="s">
        <v>444</v>
      </c>
    </row>
    <row r="75" spans="2:44">
      <c r="B75" s="135" t="s">
        <v>28</v>
      </c>
      <c r="C75" s="137">
        <f ca="1">E66+1</f>
        <v>7</v>
      </c>
      <c r="D75" s="149" t="str">
        <f ca="1">IF(OR($D$54=1,D86=1),"",IF(OR(D66&lt;D64,D66&gt;D65),"年金起始日錯誤","第 "&amp;C75&amp;" 保單年度"))</f>
        <v>第 7 保單年度</v>
      </c>
      <c r="E75" s="67" t="str">
        <f ca="1">IF($D$54=1,"",IF(OR(D66&lt;D64,D66&gt;D65),1,""))</f>
        <v/>
      </c>
      <c r="H75" s="111" t="s">
        <v>183</v>
      </c>
      <c r="I75" s="52">
        <f>VLOOKUP(C22,H70:I74,2,0)</f>
        <v>5</v>
      </c>
      <c r="AK75" s="418" t="str">
        <f>IF(OR($AL75="",COUNTIF($AL$46:$AR$46,$AL$2)=0),"",MAX($AK$3:AK74)+1)</f>
        <v/>
      </c>
      <c r="AL75" s="418" t="s">
        <v>445</v>
      </c>
    </row>
    <row r="76" spans="2:44">
      <c r="B76" s="134" t="s">
        <v>35</v>
      </c>
      <c r="C76" s="135">
        <f>IF($C$67="一次年金",1,IF($C$67="分期年金",2,))</f>
        <v>2</v>
      </c>
      <c r="D76" s="149" t="str">
        <f ca="1">IF(AND($C$21=3,OR(VALUE(L110)&lt;VALUE(L108),VALUE(L110)&gt;VALUE(L109))),"年金起始日錯誤","")</f>
        <v/>
      </c>
      <c r="AK76" s="418" t="str">
        <f>IF(OR($AL76="",COUNTIF($AL$46:$AR$46,$AL$2)=0),"",MAX($AK$3:AK75)+1)</f>
        <v/>
      </c>
      <c r="AL76" s="418" t="s">
        <v>446</v>
      </c>
    </row>
    <row r="77" spans="2:44">
      <c r="B77" s="135" t="s">
        <v>40</v>
      </c>
      <c r="C77" s="135">
        <f>IF($C$37=5,1,IF($C$37=10,3,IF($C$37=15,5,IF($C$37=20,7,9))))</f>
        <v>1</v>
      </c>
      <c r="J77" s="50" t="s">
        <v>451</v>
      </c>
      <c r="AK77" s="418" t="str">
        <f>IF(OR($AL77="",COUNTIF($AL$46:$AR$46,$AL$2)=0),"",MAX($AK$3:AK76)+1)</f>
        <v/>
      </c>
      <c r="AL77" s="418" t="s">
        <v>447</v>
      </c>
    </row>
    <row r="78" spans="2:44">
      <c r="B78" s="23" t="s">
        <v>32</v>
      </c>
      <c r="C78" s="153">
        <f>ROUND(輸入頁!H34,0)</f>
        <v>0</v>
      </c>
      <c r="D78" s="48">
        <f>ROUNDUP(10000/C139,0)</f>
        <v>10000</v>
      </c>
      <c r="E78" s="67" t="str">
        <f>IF(OR(C78="",C78=0),"",IF($C$78&lt;ROUNDUP(10000/C139,0),1,""))</f>
        <v/>
      </c>
      <c r="I78" s="50" t="s">
        <v>292</v>
      </c>
      <c r="J78" s="50" t="s">
        <v>285</v>
      </c>
      <c r="K78" s="50" t="s">
        <v>286</v>
      </c>
      <c r="L78" s="50" t="s">
        <v>287</v>
      </c>
      <c r="M78" s="50" t="s">
        <v>288</v>
      </c>
      <c r="AK78" s="418" t="str">
        <f>IF(OR($AL78="",COUNTIF($AL$46:$AR$46,$AL$2)=0),"",MAX($AK$3:AK77)+1)</f>
        <v/>
      </c>
      <c r="AL78" s="418" t="s">
        <v>448</v>
      </c>
    </row>
    <row r="79" spans="2:44">
      <c r="B79" s="23" t="s">
        <v>33</v>
      </c>
      <c r="C79" s="154">
        <f>輸入頁!H38</f>
        <v>0</v>
      </c>
      <c r="D79" s="149" t="str">
        <f>IF($C$21=3,IF(E79=1,"年度錯誤 ","")&amp;"1 ~ "&amp;E66&amp;" 年","")</f>
        <v/>
      </c>
      <c r="E79" s="67" t="str">
        <f>IF(OR(C79="",C79=0),"",IF(OR($C$79&lt;1,$C$79&gt;101-$D$5),1,""))</f>
        <v/>
      </c>
      <c r="I79" s="49" t="str">
        <f>IF($C$22="VBCT",J79,"")</f>
        <v>收費(匯款或即期支票)</v>
      </c>
      <c r="J79" s="49" t="s">
        <v>289</v>
      </c>
      <c r="K79" s="49" t="s">
        <v>63</v>
      </c>
      <c r="L79" s="49" t="s">
        <v>289</v>
      </c>
      <c r="M79" s="49" t="s">
        <v>63</v>
      </c>
      <c r="AK79" s="418" t="str">
        <f>IF(OR($AL79="",COUNTIF($AL$46:$AR$46,$AL$2)=0),"",MAX($AK$3:AK78)+1)</f>
        <v/>
      </c>
      <c r="AL79" s="418"/>
    </row>
    <row r="80" spans="2:44">
      <c r="B80" s="23" t="s">
        <v>34</v>
      </c>
      <c r="C80" s="154">
        <f>輸入頁!H42</f>
        <v>0</v>
      </c>
      <c r="D80" s="149" t="str">
        <f>IF($C$21=3,IF(E80=1,"年度錯誤 ","")&amp;MAX(1,C79)&amp;" ~ "&amp;E66&amp;" 年","")</f>
        <v/>
      </c>
      <c r="E80" s="67" t="str">
        <f>IF(OR(C80="",C80=0),"",IF(OR($C$80&lt;$C$79,$C$80&gt;101-$D$5),1,""))</f>
        <v/>
      </c>
      <c r="G80" s="49" t="str">
        <f ca="1">TEXT(TODAY(),"EEEMM")</f>
        <v>10606</v>
      </c>
      <c r="I80" s="49" t="str">
        <f>IF($C$22="VBCT",J80,"")</f>
        <v>金融機構轉帳</v>
      </c>
      <c r="J80" s="49" t="s">
        <v>63</v>
      </c>
      <c r="K80" s="49" t="s">
        <v>290</v>
      </c>
      <c r="L80" s="49" t="s">
        <v>63</v>
      </c>
      <c r="M80" s="49" t="s">
        <v>291</v>
      </c>
      <c r="AK80" s="418" t="str">
        <f>IF(OR($AL80="",COUNTIF($AL$46:$AR$46,$AL$2)=0),"",MAX($AK$3:AK79)+1)</f>
        <v/>
      </c>
      <c r="AL80" s="418"/>
    </row>
    <row r="81" spans="2:38">
      <c r="B81" s="134" t="s">
        <v>154</v>
      </c>
      <c r="C81" s="143"/>
      <c r="D81" s="169">
        <f>IF(OR(C78="",C79="",C80="",C78=0,C79=0,C80=0),1,"")</f>
        <v>1</v>
      </c>
      <c r="E81" s="91"/>
      <c r="F81" s="91">
        <f ca="1">85-D5</f>
        <v>30</v>
      </c>
      <c r="AK81" s="418" t="str">
        <f>IF(OR($AL81="",COUNTIF($AL$46:$AR$46,$AL$2)=0),"",MAX($AK$3:AK80)+1)</f>
        <v/>
      </c>
      <c r="AL81" s="418"/>
    </row>
    <row r="82" spans="2:38">
      <c r="B82" s="144" t="s">
        <v>155</v>
      </c>
      <c r="C82" s="145"/>
      <c r="D82" s="91"/>
      <c r="E82" s="91"/>
      <c r="F82" s="91"/>
      <c r="H82" s="288">
        <f>COUNTIF(分首,I82)</f>
        <v>1</v>
      </c>
      <c r="I82" s="176" t="str">
        <f>輸入頁!L24</f>
        <v>金融機構轉帳</v>
      </c>
      <c r="AK82" s="418" t="str">
        <f>IF(OR($AL82="",COUNTIF($AL$46:$AR$46,$AL$2)=0),"",MAX($AK$3:AK81)+1)</f>
        <v/>
      </c>
      <c r="AL82" s="418"/>
    </row>
    <row r="83" spans="2:38">
      <c r="B83" s="134" t="s">
        <v>46</v>
      </c>
      <c r="C83" s="134">
        <f>IF(列印頁!$M$148="負報酬",1,IF(列印頁!$M$148="零報酬",2,IF(列印頁!$M$148="正報酬",3,0)))</f>
        <v>3</v>
      </c>
      <c r="D83" s="64" t="str">
        <f>IF(C83=0,1,"")</f>
        <v/>
      </c>
      <c r="E83" s="91"/>
      <c r="F83" s="91"/>
      <c r="I83" s="50" t="s">
        <v>293</v>
      </c>
      <c r="J83" s="50"/>
      <c r="AK83" s="418" t="str">
        <f>IF(OR($AL83="",COUNTIF($AL$46:$AR$46,$AL$2)=0),"",MAX($AK$3:AK82)+1)</f>
        <v/>
      </c>
      <c r="AL83" s="418"/>
    </row>
    <row r="84" spans="2:38">
      <c r="B84" s="134" t="s">
        <v>44</v>
      </c>
      <c r="C84" s="140">
        <v>5000</v>
      </c>
      <c r="D84" s="148"/>
      <c r="E84" s="91"/>
      <c r="F84" s="91"/>
      <c r="I84" s="49" t="str">
        <f>IF($C$22="VBCT",K79,"")</f>
        <v>金融機構轉帳</v>
      </c>
      <c r="J84" s="50"/>
      <c r="K84" s="50"/>
      <c r="L84" s="50"/>
      <c r="M84" s="50"/>
      <c r="AK84" s="418" t="str">
        <f>IF(OR($AL84="",COUNTIF($AL$46:$AR$46,$AL$2)=0),"",MAX($AK$3:AK83)+1)</f>
        <v/>
      </c>
      <c r="AL84" s="418"/>
    </row>
    <row r="85" spans="2:38">
      <c r="B85" s="134" t="s">
        <v>41</v>
      </c>
      <c r="C85" s="140">
        <v>30000000</v>
      </c>
      <c r="D85" s="148"/>
      <c r="E85" s="91"/>
      <c r="F85" s="91"/>
      <c r="I85" s="49" t="str">
        <f>IF($C$22="VBCT",K80,"")</f>
        <v>自行繳費</v>
      </c>
      <c r="AK85" s="418" t="str">
        <f>IF(OR($AL85="",COUNTIF($AL$46:$AR$46,$AL$2)=0),"",MAX($AK$3:AK84)+1)</f>
        <v/>
      </c>
      <c r="AL85" s="418"/>
    </row>
    <row r="86" spans="2:38" ht="17.25" thickBot="1">
      <c r="B86" s="156" t="s">
        <v>162</v>
      </c>
      <c r="C86" s="91"/>
      <c r="D86" s="336" t="str">
        <f ca="1">IF(SUM(D54,E70,E75,E78,E79,E80)&gt;=1,1,"")</f>
        <v/>
      </c>
      <c r="E86" s="251">
        <f ca="1">DATEDIF(C3,D66,"y")</f>
        <v>6</v>
      </c>
      <c r="F86" s="91">
        <f>IF(MONTH(D66)&lt;B3,IF(OR(MONTH(D66)+12-B3&gt;6,AND(MONTH(D66)+12-B3=6,DAY(D66)&gt;DAY(D3))),YEAR(D66)-1-YEAR(D3)+1,IF(OR(MONTH(D66)+12-B3&lt;6,AND(MONTH(D66)+12-B3=6,DAY(D66)&lt;=DAY(D3))),YEAR(D66)-1-YEAR(D3))),IF(OR(MONTH(D66)-B3&gt;6,AND(MONTH(D66)-B3=6,DAY(D66)&gt;DAY(D3))),YEAR(D66)-YEAR(D3)+1,IF(OR(MONTH(D66)-B3&lt;=6,AND(MONTH(D66)-B3=6,DAY(D66)&lt;=DAY(D3))),YEAR(D66)-YEAR(D3),)))</f>
        <v>61</v>
      </c>
      <c r="AK86" s="418" t="str">
        <f>IF(OR($AL86="",COUNTIF($AL$46:$AR$46,$AL$2)=0),"",MAX($AK$3:AK85)+1)</f>
        <v/>
      </c>
      <c r="AL86" s="418"/>
    </row>
    <row r="87" spans="2:38">
      <c r="B87" s="337" t="s">
        <v>23</v>
      </c>
      <c r="C87" s="338">
        <f>輸入頁!$H$16</f>
        <v>1120602</v>
      </c>
      <c r="D87" s="339" t="str">
        <f>IF(C87=0,"年金給付日期空白",IF(OR(C89=1,D89=1),"年金給付日期格式錯誤",""))</f>
        <v/>
      </c>
      <c r="E87" s="339"/>
      <c r="F87" s="340"/>
      <c r="H87" s="288">
        <f>COUNTIF(分續,I87)</f>
        <v>1</v>
      </c>
      <c r="I87" s="176" t="str">
        <f>輸入頁!L26</f>
        <v>金融機構轉帳</v>
      </c>
      <c r="J87" s="289"/>
      <c r="AK87" s="418" t="str">
        <f>IF(OR($AL87="",COUNTIF($AL$46:$AR$46,$AL$2)=0),"",MAX($AK$3:AK86)+1)</f>
        <v/>
      </c>
      <c r="AL87" s="418"/>
    </row>
    <row r="88" spans="2:38">
      <c r="B88" s="341" t="s">
        <v>21</v>
      </c>
      <c r="C88" s="252">
        <f ca="1">O110</f>
        <v>61</v>
      </c>
      <c r="D88" s="351">
        <f>YEAR($C$90)-1911</f>
        <v>112</v>
      </c>
      <c r="E88" s="147">
        <f>IF(D88=0,,MONTH($C$90))</f>
        <v>6</v>
      </c>
      <c r="F88" s="147">
        <f>IF(D88=0,,DAY($C$90))</f>
        <v>2</v>
      </c>
      <c r="I88" s="50" t="s">
        <v>294</v>
      </c>
      <c r="AK88" s="418" t="str">
        <f>IF(OR($AL88="",COUNTIF($AL$46:$AR$46,$AL$2)=0),"",MAX($AK$3:AK87)+1)</f>
        <v/>
      </c>
      <c r="AL88" s="418"/>
    </row>
    <row r="89" spans="2:38">
      <c r="B89" s="342" t="s">
        <v>22</v>
      </c>
      <c r="C89" s="155"/>
      <c r="D89" s="146"/>
      <c r="E89" s="146">
        <f>IF(OR(E88=1,E88=3,E88=5,E88=7,E88=8,E88=10,E88=12)=TRUE,31,IF(OR(E88=4,E88=6,E88=9,E88=11)=TRUE,30,IF(E88=2,IF(F89=1,29,28))))</f>
        <v>30</v>
      </c>
      <c r="F89" s="343">
        <f>IF((D88+1911)/4=INT((D88+1911)/4),1,0)</f>
        <v>0</v>
      </c>
      <c r="I89" s="49" t="str">
        <f>IF($C$22="VBCT",L79,"")</f>
        <v>收費(匯款或即期支票)</v>
      </c>
      <c r="AK89" s="418" t="str">
        <f>IF(OR($AL89="",COUNTIF($AL$46:$AR$46,$AL$2)=0),"",MAX($AK$3:AK88)+1)</f>
        <v/>
      </c>
      <c r="AL89" s="418"/>
    </row>
    <row r="90" spans="2:38" ht="17.25" thickBot="1">
      <c r="B90" s="344" t="s">
        <v>340</v>
      </c>
      <c r="C90" s="347">
        <f>N110</f>
        <v>45079</v>
      </c>
      <c r="D90" s="345"/>
      <c r="E90" s="345"/>
      <c r="F90" s="346"/>
      <c r="I90" s="49" t="str">
        <f>IF($C$22="VBCT",L80,"")</f>
        <v>金融機構轉帳</v>
      </c>
      <c r="AK90" s="418" t="str">
        <f>IF(OR($AL90="",COUNTIF($AL$46:$AR$46,$AL$2)=0),"",MAX($AK$3:AK89)+1)</f>
        <v/>
      </c>
      <c r="AL90" s="418"/>
    </row>
    <row r="91" spans="2:38">
      <c r="B91" s="334" t="s">
        <v>43</v>
      </c>
      <c r="C91" s="335">
        <f ca="1">IF(C68=0,1,IF(ISNA(VLOOKUP(OP!$C$88,IF(TODAY()&lt;$C$103,年金25,年金),OP!$C$77+$C$18,0)),0,VLOOKUP(OP!$C$88,IF(TODAY()&lt;$C$103,年金25,年金),OP!$C$77+$C$18,0)))</f>
        <v>258841.09212570669</v>
      </c>
      <c r="D91" s="295"/>
      <c r="E91" s="270"/>
      <c r="F91" s="91"/>
    </row>
    <row r="92" spans="2:38">
      <c r="B92" s="23" t="s">
        <v>42</v>
      </c>
      <c r="C92" s="158">
        <f>ROUNDUP(5000/C139,0)</f>
        <v>5000</v>
      </c>
      <c r="D92" s="158">
        <f ca="1">ROUNDUP((C92/10000)*C91,0)</f>
        <v>129421</v>
      </c>
      <c r="E92" s="91"/>
      <c r="F92" s="91"/>
      <c r="H92" s="288">
        <f>COUNTIF(彈首,I92)</f>
        <v>1</v>
      </c>
      <c r="I92" s="176" t="str">
        <f>輸入頁!L44</f>
        <v>金融機構轉帳</v>
      </c>
    </row>
    <row r="93" spans="2:38">
      <c r="B93" s="23" t="s">
        <v>223</v>
      </c>
      <c r="C93" s="158"/>
      <c r="D93" s="158"/>
      <c r="E93" s="91"/>
      <c r="F93" s="91"/>
      <c r="I93" s="50" t="s">
        <v>295</v>
      </c>
    </row>
    <row r="94" spans="2:38">
      <c r="B94" s="39" t="s">
        <v>262</v>
      </c>
      <c r="C94" s="227">
        <f ca="1">C91</f>
        <v>258841.09212570669</v>
      </c>
      <c r="D94" s="159"/>
      <c r="E94" s="91"/>
      <c r="F94" s="91"/>
      <c r="I94" s="49" t="str">
        <f>IF($C$22="VBCT",M79,"")</f>
        <v>金融機構轉帳</v>
      </c>
    </row>
    <row r="95" spans="2:38">
      <c r="C95" s="87" t="s">
        <v>166</v>
      </c>
      <c r="D95" s="87" t="s">
        <v>16</v>
      </c>
      <c r="E95" s="87" t="s">
        <v>18</v>
      </c>
      <c r="F95" s="111" t="s">
        <v>296</v>
      </c>
      <c r="H95" s="49" t="str">
        <f>IF($C$22="VBCT",M80,IF($C$22="VACF",M87,""))</f>
        <v>收費(匯款)</v>
      </c>
      <c r="I95" s="49" t="str">
        <f>IF($C$22="VBCT",M80,"")</f>
        <v>收費(匯款)</v>
      </c>
    </row>
    <row r="96" spans="2:38">
      <c r="B96" s="111" t="s">
        <v>165</v>
      </c>
      <c r="C96" s="157">
        <f ca="1">ROUND(VLOOKUP("F",年金定位,7,0),IF($C$22="VACF",2,0))</f>
        <v>1411376</v>
      </c>
      <c r="D96" s="157">
        <f ca="1">ROUND(VLOOKUP("F",年金定位,8,0),IF($C$22="VACF",2,0))</f>
        <v>1920000</v>
      </c>
      <c r="E96" s="291">
        <f ca="1">ROUND(VLOOKUP("F",年金定位,9,0),IF($C$22="VACF",2,0))</f>
        <v>2572984</v>
      </c>
      <c r="F96" s="52">
        <f>計算!AF1</f>
        <v>0</v>
      </c>
      <c r="H96" s="116" t="s">
        <v>298</v>
      </c>
      <c r="I96" s="116" t="s">
        <v>451</v>
      </c>
      <c r="J96" s="116"/>
    </row>
    <row r="97" spans="2:16">
      <c r="B97" s="39" t="s">
        <v>158</v>
      </c>
      <c r="C97" s="297">
        <f ca="1">ROUND(C96/$C$91*10000,F96)</f>
        <v>54527</v>
      </c>
      <c r="D97" s="297">
        <f ca="1">ROUND(D96/$C$91*10000,F96)</f>
        <v>74177</v>
      </c>
      <c r="E97" s="297">
        <f ca="1">ROUND(E96/$C$91*10000,F96)</f>
        <v>99404</v>
      </c>
      <c r="H97" s="53">
        <f>IF($C$22="VBCT",$I$97,"")</f>
        <v>9</v>
      </c>
      <c r="I97" s="53">
        <f>VLOOKUP(列印頁!$M$148,OP!$H$98:$I$100,2,0)</f>
        <v>9</v>
      </c>
      <c r="J97" s="53"/>
    </row>
    <row r="98" spans="2:16">
      <c r="B98" s="111" t="s">
        <v>167</v>
      </c>
      <c r="C98" s="157">
        <v>0</v>
      </c>
      <c r="D98" s="157">
        <v>0</v>
      </c>
      <c r="E98" s="157">
        <v>0</v>
      </c>
      <c r="H98" s="293" t="s">
        <v>297</v>
      </c>
      <c r="I98" s="293">
        <v>7</v>
      </c>
    </row>
    <row r="99" spans="2:16">
      <c r="B99" s="111" t="s">
        <v>168</v>
      </c>
      <c r="C99" s="52">
        <f ca="1">IF(OR($C$76=1,AND($C$76=2,$C$96&lt;$D$92),AND($C$76=3,$C$96&lt;$D$92)),1,2)</f>
        <v>2</v>
      </c>
      <c r="D99" s="52">
        <f ca="1">IF(OR($C$76=1,AND($C$76=2,$D$96&lt;$D$92),AND($C$76=3,$D$96&lt;$D$92)),1,2)</f>
        <v>2</v>
      </c>
      <c r="E99" s="52">
        <f ca="1">IF(OR($C$76=1,AND($C$76=2,$E$96&lt;$D$92),AND($C$76=3,$E$96&lt;$D$92)),1,2)</f>
        <v>2</v>
      </c>
      <c r="H99" s="53" t="s">
        <v>299</v>
      </c>
      <c r="I99" s="53">
        <v>8</v>
      </c>
    </row>
    <row r="100" spans="2:16">
      <c r="B100" s="111" t="s">
        <v>170</v>
      </c>
      <c r="C100" s="157">
        <f ca="1">IF($C$91=0,0,IF(C99=1,C96,(C97*$C$37)))</f>
        <v>272635</v>
      </c>
      <c r="D100" s="157">
        <f ca="1">IF($C$91=0,0,IF(D99=1,D96,(D97*$C$37)))</f>
        <v>370885</v>
      </c>
      <c r="E100" s="157">
        <f ca="1">IF($C$91=0,0,IF(E99=1,E96,(E97*$C$37)))</f>
        <v>497020</v>
      </c>
      <c r="H100" s="53" t="s">
        <v>271</v>
      </c>
      <c r="I100" s="53">
        <v>9</v>
      </c>
    </row>
    <row r="101" spans="2:16">
      <c r="B101" s="111" t="s">
        <v>169</v>
      </c>
      <c r="C101" s="157">
        <f ca="1">ROUND((C97)*$C$91/10000,0)</f>
        <v>1411383</v>
      </c>
      <c r="D101" s="157">
        <f ca="1">ROUND((D97)*$C$91/10000,0)</f>
        <v>1920006</v>
      </c>
      <c r="E101" s="157">
        <f ca="1">ROUND((E97)*$C$91/10000,0)</f>
        <v>2572984</v>
      </c>
    </row>
    <row r="102" spans="2:16">
      <c r="C102" s="296">
        <f ca="1">ROUND(C96/$C$94*10000,2)</f>
        <v>54526.74</v>
      </c>
      <c r="D102" s="296">
        <f ca="1">ROUND(D96/$C$94*10000,2)</f>
        <v>74176.78</v>
      </c>
      <c r="E102" s="296">
        <f ca="1">ROUND(E96/$C$94*10000,2)</f>
        <v>99404</v>
      </c>
      <c r="H102" s="111" t="s">
        <v>341</v>
      </c>
      <c r="I102" s="352" t="s">
        <v>530</v>
      </c>
    </row>
    <row r="103" spans="2:16">
      <c r="B103" s="111" t="s">
        <v>325</v>
      </c>
      <c r="C103" s="312">
        <v>41091</v>
      </c>
      <c r="D103" s="48"/>
      <c r="E103" s="48"/>
      <c r="H103" s="288">
        <v>1011023</v>
      </c>
      <c r="I103" s="288"/>
      <c r="J103" s="288"/>
      <c r="K103" s="288"/>
      <c r="L103" s="288"/>
      <c r="M103" s="288"/>
      <c r="N103" s="403"/>
      <c r="O103" s="403"/>
    </row>
    <row r="104" spans="2:16">
      <c r="B104" s="111" t="s">
        <v>173</v>
      </c>
      <c r="C104" s="52"/>
      <c r="D104" s="53"/>
      <c r="H104" s="116" t="s">
        <v>481</v>
      </c>
      <c r="I104" s="116" t="s">
        <v>482</v>
      </c>
      <c r="J104" s="116" t="s">
        <v>483</v>
      </c>
      <c r="K104" s="116" t="s">
        <v>484</v>
      </c>
      <c r="L104" s="116" t="s">
        <v>485</v>
      </c>
      <c r="N104" s="87" t="s">
        <v>486</v>
      </c>
      <c r="O104" s="403" t="s">
        <v>402</v>
      </c>
      <c r="P104" s="406"/>
    </row>
    <row r="105" spans="2:16">
      <c r="B105" s="52">
        <v>1</v>
      </c>
      <c r="C105" s="52">
        <v>2</v>
      </c>
      <c r="D105" s="53">
        <v>3</v>
      </c>
      <c r="H105" s="111" t="s">
        <v>487</v>
      </c>
      <c r="I105" s="53">
        <f ca="1">N(YEAR(N105)-1911)</f>
        <v>106</v>
      </c>
      <c r="J105" s="53">
        <f ca="1">N(MONTH($N$105))</f>
        <v>6</v>
      </c>
      <c r="K105" s="53">
        <f ca="1">N(DAY(N105))</f>
        <v>2</v>
      </c>
      <c r="L105" s="53">
        <f t="shared" ref="L105:L110" ca="1" si="2">I105*10000+J105*100+K105</f>
        <v>1060602</v>
      </c>
      <c r="M105" s="426">
        <f ca="1">IF(MONTH(N105)&lt;$B$3,IF(OR(MONTH(N105)+12-$B$3&gt;6,AND(MONTH(N105)+12-$B$3=6,DAY(N105)&gt;DAY($D$3))),YEAR(N105)-1-YEAR($D$3)+1,IF(OR(MONTH(N105)+12-$B$3&lt;6,AND(MONTH(N105)+12-$B$3=6,DAY(N105)&lt;=DAY($D$3))),YEAR(N105)-1-YEAR($D$3))),IF(OR(MONTH(N105)-$B$3&gt;6,AND(MONTH(N105)-$B$3=6,DAY(N105)&gt;DAY($D$3))),YEAR(N105)-YEAR($D$3)+1,IF(OR(MONTH(N105)-$B$3&lt;=6,AND(MONTH(N105)-$B$3=6,DAY(N105)&lt;=DAY($D$3))),YEAR(N105)-YEAR($D$3),)))</f>
        <v>55</v>
      </c>
      <c r="N105" s="427">
        <f ca="1">DATE(YEAR($C$3)-$C$16,MONTH($C$3),DAY($C$3))</f>
        <v>42888</v>
      </c>
      <c r="O105" s="404">
        <f ca="1">IF(MONTH(N105)&lt;$B$3,IF(OR(MONTH(N105)+12-$B$3&gt;6,AND(MONTH(N105)+12-$B$3=6,DAY(N105)&gt;DAY($D$3))),YEAR(N105)-1-YEAR($D$3)+1,IF(OR(MONTH(N105)+12-$B$3&lt;6,AND(MONTH(N105)+12-$B$3=6,DAY(N105)&lt;=DAY($D$3))),YEAR(N105)-1-YEAR($D$3))),IF(OR(MONTH(N105)-$B$3&gt;6,AND(MONTH(N105)-$B$3=6,DAY(N105)&gt;DAY($D$3))),YEAR(N105)-YEAR($D$3)+1,IF(OR(MONTH(N105)-$B$3&lt;=6,AND(MONTH(N105)-$B$3=6,DAY(N105)&lt;=DAY($D$3))),YEAR(N105)-YEAR($D$3),)))</f>
        <v>55</v>
      </c>
    </row>
    <row r="106" spans="2:16">
      <c r="B106" s="52" t="str">
        <f>IF(ISNA($C$23),"",IF(B105=$C$21,$C$23,""))</f>
        <v/>
      </c>
      <c r="C106" s="52" t="str">
        <f>IF(ISNA($C$23),"",IF(C105=$C$21,$C$23,""))</f>
        <v/>
      </c>
      <c r="D106" s="52" t="str">
        <f>IF(ISNA($C$23),"",IF(D105=$C$21,$C$23,""))</f>
        <v/>
      </c>
      <c r="H106" s="111" t="s">
        <v>488</v>
      </c>
      <c r="I106" s="53">
        <f ca="1">N(YEAR(N106)-1911)</f>
        <v>25</v>
      </c>
      <c r="J106" s="53">
        <f ca="1">N(MONTH(N106))</f>
        <v>12</v>
      </c>
      <c r="K106" s="53">
        <f ca="1">N(DAY(N106))</f>
        <v>2</v>
      </c>
      <c r="L106" s="53">
        <f t="shared" ca="1" si="2"/>
        <v>251202</v>
      </c>
      <c r="M106" s="426">
        <f ca="1">IF(MONTH(N106)&lt;$B$3,IF(OR(MONTH(N106)+12-$B$3&gt;6,AND(MONTH(N106)+12-$B$3=6,DAY(N106)&gt;DAY($D$3))),YEAR(N106)-1-YEAR($D$3)+1,IF(OR(MONTH(N106)+12-$B$3&lt;6,AND(MONTH(N106)+12-$B$3=6,DAY(N106)&lt;=DAY($D$3))),YEAR(N106)-1-YEAR($D$3))),IF(OR(MONTH(N106)-$B$3&gt;6,AND(MONTH(N106)-$B$3=6,DAY(N106)&gt;DAY($D$3))),YEAR(N106)-YEAR($D$3)+1,IF(OR(MONTH(N106)-$B$3&lt;=6,AND(MONTH(N106)-$B$3=6,DAY(N106)&lt;=DAY($D$3))),YEAR(N106)-YEAR($D$3),)))</f>
        <v>-25</v>
      </c>
      <c r="N106" s="427">
        <f ca="1">DATE(YEAR($C$3)-$C$15,MONTH($C$3)-6,DAY($C$3))</f>
        <v>13486</v>
      </c>
      <c r="O106" s="404">
        <f ca="1">IF(MONTH(N106)&lt;$B$3,IF(OR(MONTH(N106)+12-$B$3&gt;6,AND(MONTH(N106)+12-$B$3=6,DAY(N106)&gt;DAY($D$3))),YEAR(N106)-1-YEAR($D$3)+1,IF(OR(MONTH(N106)+12-$B$3&lt;6,AND(MONTH(N106)+12-$B$3=6,DAY(N106)&lt;=DAY($D$3))),YEAR(N106)-1-YEAR($D$3))),IF(OR(MONTH(N106)-$B$3&gt;6,AND(MONTH(N106)-$B$3=6,DAY(N106)&gt;DAY($D$3))),YEAR(N106)-YEAR($D$3)+1,IF(OR(MONTH(N106)-$B$3&lt;=6,AND(MONTH(N106)-$B$3=6,DAY(N106)&lt;=DAY($D$3))),YEAR(N106)-YEAR($D$3),)))</f>
        <v>-25</v>
      </c>
    </row>
    <row r="107" spans="2:16">
      <c r="B107" s="52" t="str">
        <f>IF(ISNA($C$23),"",IF(B105=$C$21,$E$22,""))</f>
        <v/>
      </c>
      <c r="C107" s="52" t="str">
        <f>IF(ISNA($C$23),"",IF(C105=$C$21,$E$22,""))</f>
        <v/>
      </c>
      <c r="D107" s="52" t="str">
        <f>IF(ISNA($C$23),"",IF(D105=$C$21,$E$22,""))</f>
        <v/>
      </c>
      <c r="H107" s="111" t="s">
        <v>489</v>
      </c>
      <c r="I107" s="53">
        <f ca="1">N(YEAR(N107)-1911)</f>
        <v>152</v>
      </c>
      <c r="J107" s="53">
        <f ca="1">N(MONTH(N107))</f>
        <v>6</v>
      </c>
      <c r="K107" s="53">
        <f ca="1">N(DAY(N107))</f>
        <v>2</v>
      </c>
      <c r="L107" s="53">
        <f t="shared" ca="1" si="2"/>
        <v>1520602</v>
      </c>
      <c r="M107" s="426">
        <f ca="1">IF(MONTH(N107)&lt;$B$3,IF(OR(MONTH(N107)+12-$B$3&gt;6,AND(MONTH(N107)+12-$B$3=6,DAY(N107)&gt;DAY($D$3))),YEAR(N107)-1-YEAR($D$3)+1,IF(OR(MONTH(N107)+12-$B$3&lt;6,AND(MONTH(N107)+12-$B$3=6,DAY(N107)&lt;=DAY($D$3))),YEAR(N107)-1-YEAR($D$3))),IF(OR(MONTH(N107)-$B$3&gt;6,AND(MONTH(N107)-$B$3=6,DAY(N107)&gt;DAY($D$3))),YEAR(N107)-YEAR($D$3)+1,IF(OR(MONTH(N107)-$B$3&lt;=6,AND(MONTH(N107)-$B$3=6,DAY(N107)&lt;=DAY($D$3))),YEAR(N107)-YEAR($D$3),)))</f>
        <v>101</v>
      </c>
      <c r="N107" s="427">
        <f ca="1">DATE(YEAR($C$3)+(101-$D$5),MONTH($C$3),DAY($C$3))</f>
        <v>59689</v>
      </c>
      <c r="O107" s="404">
        <f ca="1">$P$107+$D$5</f>
        <v>101</v>
      </c>
      <c r="P107" s="49">
        <f ca="1">DATEDIF($C$3,$N$107,"y")</f>
        <v>46</v>
      </c>
    </row>
    <row r="108" spans="2:16">
      <c r="B108" s="87" t="s">
        <v>179</v>
      </c>
      <c r="C108" s="48" t="str">
        <f ca="1">D19&amp;D17&amp;D25&amp;D30&amp;D38&amp;D71&amp;D76&amp;D78</f>
        <v>10000</v>
      </c>
      <c r="H108" s="111" t="s">
        <v>490</v>
      </c>
      <c r="I108" s="53">
        <f ca="1">N(YEAR(N108)-1911)</f>
        <v>112</v>
      </c>
      <c r="J108" s="53">
        <f ca="1">N(MONTH(N108))</f>
        <v>6</v>
      </c>
      <c r="K108" s="53">
        <f ca="1">N(DAY(N108))</f>
        <v>2</v>
      </c>
      <c r="L108" s="53">
        <f t="shared" ca="1" si="2"/>
        <v>1120602</v>
      </c>
      <c r="M108" s="426">
        <f ca="1">IF(MONTH(N108)&lt;$B$3,IF(OR(MONTH(N108)+12-$B$3&gt;6,AND(MONTH(N108)+12-$B$3=6,DAY(N108)&gt;DAY($D$3))),YEAR(N108)-1-YEAR($D$3)+1,IF(OR(MONTH(N108)+12-$B$3&lt;6,AND(MONTH(N108)+12-$B$3=6,DAY(N108)&lt;=DAY($D$3))),YEAR(N108)-1-YEAR($D$3))),IF(OR(MONTH(N108)-$B$3&gt;6,AND(MONTH(N108)-$B$3=6,DAY(N108)&gt;DAY($D$3))),YEAR(N108)-YEAR($D$3)+1,IF(OR(MONTH(N108)-$B$3&lt;=6,AND(MONTH(N108)-$B$3=6,DAY(N108)&lt;=DAY($D$3))),YEAR(N108)-YEAR($D$3),)))</f>
        <v>61</v>
      </c>
      <c r="N108" s="427">
        <f ca="1">DATE(YEAR($C$3)+MAX(MIN($C$24,101-$D$5),6),MONTH($C$3),DAY($C$3))</f>
        <v>45079</v>
      </c>
      <c r="O108" s="404">
        <f ca="1">$P$108+$D$5</f>
        <v>61</v>
      </c>
      <c r="P108" s="49">
        <f ca="1">DATEDIF($C$3,$N$108,"y")</f>
        <v>6</v>
      </c>
    </row>
    <row r="109" spans="2:16">
      <c r="B109" s="87" t="s">
        <v>185</v>
      </c>
      <c r="C109" s="87"/>
      <c r="H109" s="111" t="s">
        <v>491</v>
      </c>
      <c r="I109" s="53">
        <f ca="1">N(YEAR(N109)-1911)</f>
        <v>152</v>
      </c>
      <c r="J109" s="53">
        <f ca="1">N(MONTH(N109))</f>
        <v>6</v>
      </c>
      <c r="K109" s="53">
        <f ca="1">N(DAY(N109))</f>
        <v>2</v>
      </c>
      <c r="L109" s="53">
        <f t="shared" ca="1" si="2"/>
        <v>1520602</v>
      </c>
      <c r="M109" s="426">
        <f ca="1">IF(MONTH(N109)&lt;$B$3,IF(OR(MONTH(N109)+12-$B$3&gt;6,AND(MONTH(N109)+12-$B$3=6,DAY(N109)&gt;DAY($D$3))),YEAR(N109)-1-YEAR($D$3)+1,IF(OR(MONTH(N109)+12-$B$3&lt;6,AND(MONTH(N109)+12-$B$3=6,DAY(N109)&lt;=DAY($D$3))),YEAR(N109)-1-YEAR($D$3))),IF(OR(MONTH(N109)-$B$3&gt;6,AND(MONTH(N109)-$B$3=6,DAY(N109)&gt;DAY($D$3))),YEAR(N109)-YEAR($D$3)+1,IF(OR(MONTH(N109)-$B$3&lt;=6,AND(MONTH(N109)-$B$3=6,DAY(N109)&lt;=DAY($D$3))),YEAR(N109)-YEAR($D$3),)))</f>
        <v>101</v>
      </c>
      <c r="N109" s="427">
        <f ca="1">DATE(YEAR($C$3)+(101-$D$5),MONTH($C$3),DAY($C$3))</f>
        <v>59689</v>
      </c>
      <c r="O109" s="404">
        <f ca="1">$P$109+$D$5</f>
        <v>101</v>
      </c>
      <c r="P109" s="49">
        <f ca="1">DATEDIF($C$3,$N$109,"y")</f>
        <v>46</v>
      </c>
    </row>
    <row r="110" spans="2:16">
      <c r="C110" s="48">
        <f ca="1">ROUND(VLOOKUP("F",年金定位,B111,0),$F$96)</f>
        <v>2572984</v>
      </c>
      <c r="H110" s="111" t="s">
        <v>492</v>
      </c>
      <c r="I110" s="53">
        <f>IF(LEN(輸入頁!$H$16)&lt;&gt;7,"",LEFT(輸入頁!$H$16,3)*1)</f>
        <v>112</v>
      </c>
      <c r="J110" s="53">
        <f>IF(LEN(輸入頁!$H$16)&lt;&gt;7,"",MID(輸入頁!$H$16,4,2)*1)</f>
        <v>6</v>
      </c>
      <c r="K110" s="53">
        <f>IF(LEN(輸入頁!$H$16)&lt;&gt;7,"",RIGHT(輸入頁!$H$16,2)*1)</f>
        <v>2</v>
      </c>
      <c r="L110" s="53">
        <f t="shared" si="2"/>
        <v>1120602</v>
      </c>
      <c r="M110" s="52">
        <f ca="1">DATEDIF(C3,N110,"y")</f>
        <v>6</v>
      </c>
      <c r="N110" s="427">
        <f>DATE(I110+1911,J110,K110)</f>
        <v>45079</v>
      </c>
      <c r="O110" s="404">
        <f ca="1">$M$110+$D$5</f>
        <v>61</v>
      </c>
      <c r="P110" s="49">
        <f ca="1">DATEDIF($C$3,$N$110,"y")</f>
        <v>6</v>
      </c>
    </row>
    <row r="111" spans="2:16">
      <c r="B111" s="52">
        <f>$H$97</f>
        <v>9</v>
      </c>
      <c r="C111" s="214">
        <f ca="1">ROUND((ROUND(VLOOKUP("F",年金定位,B111,0),$F$96)/$C$91*10000),IF(C22="VACF",2,0))</f>
        <v>99404</v>
      </c>
      <c r="D111" s="111" t="s">
        <v>263</v>
      </c>
      <c r="E111" s="213">
        <v>1.4999999999999999E-2</v>
      </c>
      <c r="H111" s="405" t="s">
        <v>403</v>
      </c>
      <c r="I111" s="53" t="str">
        <f ca="1">IF(OR(L110&lt;L108,L110&gt;L109),1,"")</f>
        <v/>
      </c>
      <c r="J111" s="53" t="str">
        <f>IF(OR(J110&lt;1,J110&gt;12),1,"")</f>
        <v/>
      </c>
      <c r="K111" s="53" t="str">
        <f>IF(OR(K110&lt;1,K110&gt;31),1,"")</f>
        <v/>
      </c>
      <c r="L111" s="53">
        <f>輸入頁!H16</f>
        <v>1120602</v>
      </c>
    </row>
    <row r="112" spans="2:16">
      <c r="B112" s="111" t="s">
        <v>186</v>
      </c>
      <c r="C112" s="52">
        <f ca="1">VLOOKUP(B99,B99:E99,C83+1,0)</f>
        <v>2</v>
      </c>
      <c r="D112" s="52"/>
      <c r="E112" s="52"/>
      <c r="L112" s="67">
        <f ca="1">IF(OR(L110&lt;L108,L110&gt;L109),1,0)</f>
        <v>0</v>
      </c>
    </row>
    <row r="113" spans="2:13">
      <c r="B113" s="111" t="s">
        <v>187</v>
      </c>
      <c r="C113" s="111" t="s">
        <v>188</v>
      </c>
      <c r="D113" s="111" t="s">
        <v>189</v>
      </c>
      <c r="E113" s="111" t="s">
        <v>190</v>
      </c>
      <c r="L113" s="53">
        <v>1</v>
      </c>
      <c r="M113" s="53">
        <v>31</v>
      </c>
    </row>
    <row r="114" spans="2:13">
      <c r="B114" s="214">
        <f ca="1">ROUND($C$111*B$116,IF($C$22="VACF",2,0))</f>
        <v>99404</v>
      </c>
      <c r="C114" s="214">
        <f ca="1">ROUND($C$111*C$116,IF($C$22="VACF",2,0))</f>
        <v>49888</v>
      </c>
      <c r="D114" s="214">
        <f ca="1">ROUND($C$111*D$116,IF($C$22="VACF",2,0))</f>
        <v>24991</v>
      </c>
      <c r="E114" s="214">
        <f ca="1">ROUND($C$111*E$116,IF($C$22="VACF",2,0))</f>
        <v>8341</v>
      </c>
      <c r="L114" s="53">
        <v>2</v>
      </c>
      <c r="M114" s="53">
        <v>28</v>
      </c>
    </row>
    <row r="115" spans="2:13">
      <c r="B115" s="68">
        <v>1</v>
      </c>
      <c r="C115" s="68">
        <v>2</v>
      </c>
      <c r="D115" s="68">
        <v>4</v>
      </c>
      <c r="E115" s="68">
        <v>12</v>
      </c>
      <c r="L115" s="53">
        <v>3</v>
      </c>
      <c r="M115" s="53">
        <v>31</v>
      </c>
    </row>
    <row r="116" spans="2:13">
      <c r="B116" s="214">
        <f>PMT($E$111/B$115,B$115,-1,,1)</f>
        <v>1</v>
      </c>
      <c r="C116" s="214">
        <f>PMT($E$111/C$115,C$115,-1,,1)</f>
        <v>0.50186799501867985</v>
      </c>
      <c r="D116" s="214">
        <f>PMT($E$111/D$115,D$115,-1,,1)</f>
        <v>0.25140536617149112</v>
      </c>
      <c r="E116" s="214">
        <f>PMT($E$111/E$115,E$115,-1,,1)</f>
        <v>8.3907083486792225E-2</v>
      </c>
      <c r="H116" s="86"/>
      <c r="I116" s="86"/>
      <c r="J116" s="86"/>
      <c r="K116" s="86"/>
      <c r="L116" s="53">
        <v>4</v>
      </c>
      <c r="M116" s="53">
        <v>30</v>
      </c>
    </row>
    <row r="117" spans="2:13">
      <c r="H117" s="86"/>
      <c r="I117" s="86"/>
      <c r="J117" s="86"/>
      <c r="K117" s="86"/>
      <c r="L117" s="53">
        <v>5</v>
      </c>
      <c r="M117" s="53">
        <v>31</v>
      </c>
    </row>
    <row r="118" spans="2:13">
      <c r="B118" s="87" t="s">
        <v>226</v>
      </c>
      <c r="D118" s="67" t="str">
        <f>IF(OR(AND(D122=1,D123=1,D135=1),AND(D122=1,D123=1)),1,"")</f>
        <v/>
      </c>
      <c r="H118" s="108"/>
      <c r="I118" s="127"/>
      <c r="J118" s="108"/>
      <c r="K118" s="109"/>
      <c r="L118" s="53">
        <v>6</v>
      </c>
      <c r="M118" s="53">
        <v>30</v>
      </c>
    </row>
    <row r="119" spans="2:13">
      <c r="B119" s="39" t="s">
        <v>225</v>
      </c>
      <c r="C119" s="39">
        <f>IF(輸入頁!L8="彈性繳",5,IF(輸入頁!L8="年繳",4,IF(輸入頁!L8="半年繳",3,IF(輸入頁!L8="季繳",2,IF(輸入頁!L8="月繳",1,)))))</f>
        <v>5</v>
      </c>
      <c r="D119" s="48" t="str">
        <f>輸入頁!L8</f>
        <v>彈性繳</v>
      </c>
      <c r="H119" s="126"/>
      <c r="I119" s="108"/>
      <c r="J119" s="108"/>
      <c r="K119" s="108"/>
      <c r="L119" s="53">
        <v>7</v>
      </c>
      <c r="M119" s="53">
        <v>31</v>
      </c>
    </row>
    <row r="120" spans="2:13">
      <c r="B120" s="39" t="s">
        <v>265</v>
      </c>
      <c r="C120" s="39">
        <f>輸入頁!L20</f>
        <v>1</v>
      </c>
      <c r="D120" s="52">
        <f>IF(C119=1,2,1)</f>
        <v>1</v>
      </c>
      <c r="E120" s="50" t="s">
        <v>278</v>
      </c>
      <c r="H120" s="126"/>
      <c r="I120" s="126"/>
      <c r="J120" s="126"/>
      <c r="K120" s="126"/>
      <c r="L120" s="53">
        <v>8</v>
      </c>
      <c r="M120" s="53">
        <v>31</v>
      </c>
    </row>
    <row r="121" spans="2:13">
      <c r="B121" s="39" t="s">
        <v>193</v>
      </c>
      <c r="C121" s="183">
        <f>ROUND(輸入頁!H10,4)</f>
        <v>0.05</v>
      </c>
      <c r="H121" s="127"/>
      <c r="I121" s="127"/>
      <c r="J121" s="127"/>
      <c r="K121" s="127"/>
      <c r="L121" s="53">
        <v>9</v>
      </c>
      <c r="M121" s="53">
        <v>30</v>
      </c>
    </row>
    <row r="122" spans="2:13">
      <c r="B122" s="111" t="s">
        <v>231</v>
      </c>
      <c r="C122" s="52">
        <f>IF(C120=0,0,ROUND(輸入頁!L10,0))</f>
        <v>50000</v>
      </c>
      <c r="D122" s="67" t="str">
        <f>IF(C119=5,"",IF(OR(AND(C135=0,OR(C124&lt;IF(C22="VACF",100,2000)*D120,C124&gt;ROUNDDOWN(60000000/C139,0))),AND(C120=0,C124&gt;0),H62=1,AND(C22="VACF",C124&gt;1000000)),1,""))</f>
        <v/>
      </c>
      <c r="H122" s="108"/>
      <c r="I122" s="108"/>
      <c r="J122" s="86"/>
      <c r="K122" s="86"/>
      <c r="L122" s="53">
        <v>10</v>
      </c>
      <c r="M122" s="53">
        <v>31</v>
      </c>
    </row>
    <row r="123" spans="2:13">
      <c r="B123" s="111" t="s">
        <v>230</v>
      </c>
      <c r="C123" s="52">
        <f>IF(C120=0,0,ROUND(輸入頁!L10,0))</f>
        <v>50000</v>
      </c>
      <c r="D123" s="67" t="str">
        <f>IF(AND(C124=0,AND(C123&gt;0,C123&lt;IF(C22="VACF",100,2000))),1,"")</f>
        <v/>
      </c>
      <c r="H123" s="215"/>
      <c r="I123" s="215"/>
      <c r="J123" s="215"/>
      <c r="K123" s="215"/>
      <c r="L123" s="53">
        <v>11</v>
      </c>
      <c r="M123" s="53">
        <v>30</v>
      </c>
    </row>
    <row r="124" spans="2:13">
      <c r="B124" s="111" t="s">
        <v>406</v>
      </c>
      <c r="C124" s="52">
        <f>輸入頁!L16</f>
        <v>2000000</v>
      </c>
      <c r="D124" s="67">
        <f>IF(AND(D119&lt;&gt;"彈性繳",C122&lt;&gt;0,C124&lt;C122*D120),1,0)</f>
        <v>0</v>
      </c>
      <c r="L124" s="53">
        <v>12</v>
      </c>
      <c r="M124" s="53">
        <v>31</v>
      </c>
    </row>
    <row r="125" spans="2:13">
      <c r="B125" s="111" t="s">
        <v>407</v>
      </c>
      <c r="C125" s="52">
        <f>C124-(C122*D120)</f>
        <v>1950000</v>
      </c>
      <c r="D125" s="67">
        <f>IF(C125&lt;0,1,0)</f>
        <v>0</v>
      </c>
    </row>
    <row r="126" spans="2:13">
      <c r="B126" s="126"/>
      <c r="C126" s="108"/>
      <c r="D126" s="97"/>
    </row>
    <row r="127" spans="2:13">
      <c r="B127" s="126"/>
      <c r="C127" s="108"/>
      <c r="D127" s="97"/>
    </row>
    <row r="128" spans="2:13">
      <c r="B128" s="126"/>
      <c r="C128" s="108"/>
      <c r="D128" s="97"/>
    </row>
    <row r="129" spans="2:4">
      <c r="B129" s="193" t="str">
        <f>IF(C119=5,B119&amp;D119&amp;"  "&amp;"首期保險費："&amp;TEXT(C124,"#,##0 元  "),B118&amp;B119&amp;D119&amp;"  "&amp;B120&amp;C120&amp;"年"&amp;"  "&amp;"每期保險費： "&amp;TEXT(C123,"#,##0 元  ")&amp;"首期保險費："&amp;TEXT(C124,"#,##0 元  "))</f>
        <v xml:space="preserve">繳別：彈性繳  首期保險費：2,000,000 元  </v>
      </c>
    </row>
    <row r="130" spans="2:4">
      <c r="B130" s="87" t="s">
        <v>227</v>
      </c>
    </row>
    <row r="131" spans="2:4">
      <c r="B131" s="39" t="s">
        <v>225</v>
      </c>
      <c r="C131" s="39" t="s">
        <v>529</v>
      </c>
      <c r="D131" s="49" t="str">
        <f>輸入頁!L30</f>
        <v>彈性繳</v>
      </c>
    </row>
    <row r="132" spans="2:4">
      <c r="B132" s="39" t="s">
        <v>228</v>
      </c>
      <c r="C132" s="39">
        <f>輸入頁!L36</f>
        <v>0</v>
      </c>
    </row>
    <row r="133" spans="2:4">
      <c r="B133" s="39" t="s">
        <v>229</v>
      </c>
      <c r="C133" s="39">
        <f>輸入頁!L40</f>
        <v>0</v>
      </c>
    </row>
    <row r="134" spans="2:4">
      <c r="B134" s="39" t="s">
        <v>193</v>
      </c>
      <c r="C134" s="183">
        <f>ROUND(輸入頁!H10,4)</f>
        <v>0.05</v>
      </c>
    </row>
    <row r="135" spans="2:4">
      <c r="B135" s="111" t="s">
        <v>232</v>
      </c>
      <c r="C135" s="52">
        <f>IF(OR(C132=0,C133=0),0,ROUND(輸入頁!L32,0))</f>
        <v>0</v>
      </c>
      <c r="D135" s="67" t="str">
        <f>IF(OR(AND(N(C135)&gt;0,OR(C132=0,C133=0,C132&lt;輸入頁!L39)),C135&gt;IF(C22="VACF",60000000,60000000)),1,"")</f>
        <v/>
      </c>
    </row>
    <row r="136" spans="2:4">
      <c r="B136" s="193" t="str">
        <f>IF(C135&gt;0,B130&amp;B131&amp;D131&amp;"  "&amp;B132&amp;"第"&amp;C132&amp;"年，"&amp;B133&amp;"第"&amp;C133&amp;"年"&amp;"  "&amp;"每期繳費金額： "&amp;TEXT(C135,"#,##0 元  "),"")</f>
        <v/>
      </c>
      <c r="C136" s="182"/>
    </row>
    <row r="137" spans="2:4">
      <c r="B137" s="407" t="s">
        <v>404</v>
      </c>
      <c r="C137" s="111">
        <f>C122+IF(C132=1,C135,0)</f>
        <v>50000</v>
      </c>
    </row>
    <row r="138" spans="2:4">
      <c r="B138" s="193"/>
      <c r="C138" s="126"/>
    </row>
    <row r="139" spans="2:4">
      <c r="B139" s="111" t="s">
        <v>273</v>
      </c>
      <c r="C139" s="292">
        <v>1</v>
      </c>
    </row>
    <row r="140" spans="2:4">
      <c r="B140" s="111" t="s">
        <v>274</v>
      </c>
      <c r="C140" s="260">
        <v>0</v>
      </c>
      <c r="D140" s="219"/>
    </row>
    <row r="141" spans="2:4">
      <c r="B141" s="258" t="s">
        <v>192</v>
      </c>
      <c r="C141" s="259">
        <v>0</v>
      </c>
      <c r="D141" s="220"/>
    </row>
    <row r="142" spans="2:4">
      <c r="B142" s="284" t="s">
        <v>277</v>
      </c>
      <c r="C142" s="285">
        <f>ROUNDUP(10000/C139,0)</f>
        <v>10000</v>
      </c>
      <c r="D142" s="221"/>
    </row>
    <row r="143" spans="2:4">
      <c r="B143" s="219"/>
      <c r="C143" s="222"/>
      <c r="D143" s="269">
        <f>IF(C22="VBCT",列印頁!N146,"")</f>
        <v>4</v>
      </c>
    </row>
    <row r="144" spans="2:4">
      <c r="B144" s="257" t="s">
        <v>275</v>
      </c>
      <c r="C144" s="268" t="s">
        <v>36</v>
      </c>
      <c r="D144" s="257" t="s">
        <v>276</v>
      </c>
    </row>
    <row r="145" spans="2:4">
      <c r="B145" s="257">
        <v>1</v>
      </c>
      <c r="C145" s="266" t="str">
        <f t="shared" ref="C145:C176" ca="1" si="3">IF(OR(AND($C$112=1,$B145&lt;&gt;$C$75),(B145+$D$5)&gt;112,B145&lt;$C$75,ISNA(VLOOKUP($C$75&amp;"-1",年金金額,3,0))),"",ROUND(VLOOKUP($C$75&amp;"-1",年金金額,$D$143,0),IF($C$22="VACF",2,0)))</f>
        <v/>
      </c>
      <c r="D145" s="267" t="str">
        <f ca="1">IF(OR(($B145+$D$5)&gt;112,$B145&lt;$C$75,ISNA(VLOOKUP($C$75&amp;"-1",年金金額,3,0)),VLOOKUP($B$99,$B$99:$E$99,$D$143,0)=1),"",ROUND(MAX(0,VLOOKUP($B$100,OP!$B$100:$E$100,$D$143,0)-SUM($C$145:C145)),IF($C$22="VACF",2,0)))</f>
        <v/>
      </c>
    </row>
    <row r="146" spans="2:4">
      <c r="B146" s="257">
        <v>2</v>
      </c>
      <c r="C146" s="266" t="str">
        <f t="shared" ca="1" si="3"/>
        <v/>
      </c>
      <c r="D146" s="267" t="str">
        <f ca="1">IF(OR(($B146+$D$5)&gt;112,$B146&lt;$C$75,ISNA(VLOOKUP($C$75&amp;"-1",年金金額,3,0)),VLOOKUP($B$99,$B$99:$E$99,$D$143,0)=1),"",ROUND(MAX(0,VLOOKUP($B$100,OP!$B$100:$E$100,$D$143,0)-SUM($C$145:C146)),IF($C$22="VACF",2,0)))</f>
        <v/>
      </c>
    </row>
    <row r="147" spans="2:4">
      <c r="B147" s="257">
        <v>3</v>
      </c>
      <c r="C147" s="266" t="str">
        <f t="shared" ca="1" si="3"/>
        <v/>
      </c>
      <c r="D147" s="267" t="str">
        <f ca="1">IF(OR(($B147+$D$5)&gt;112,$B147&lt;$C$75,ISNA(VLOOKUP($C$75&amp;"-1",年金金額,3,0)),VLOOKUP($B$99,$B$99:$E$99,$D$143,0)=1),"",ROUND(MAX(0,VLOOKUP($B$100,OP!$B$100:$E$100,$D$143,0)-SUM($C$145:C147)),IF($C$22="VACF",2,0)))</f>
        <v/>
      </c>
    </row>
    <row r="148" spans="2:4">
      <c r="B148" s="257">
        <v>4</v>
      </c>
      <c r="C148" s="266" t="str">
        <f t="shared" ca="1" si="3"/>
        <v/>
      </c>
      <c r="D148" s="267" t="str">
        <f ca="1">IF(OR(($B148+$D$5)&gt;112,$B148&lt;$C$75,ISNA(VLOOKUP($C$75&amp;"-1",年金金額,3,0)),VLOOKUP($B$99,$B$99:$E$99,$D$143,0)=1),"",ROUND(MAX(0,VLOOKUP($B$100,OP!$B$100:$E$100,$D$143,0)-SUM($C$145:C148)),IF($C$22="VACF",2,0)))</f>
        <v/>
      </c>
    </row>
    <row r="149" spans="2:4">
      <c r="B149" s="257">
        <v>5</v>
      </c>
      <c r="C149" s="266" t="str">
        <f t="shared" ca="1" si="3"/>
        <v/>
      </c>
      <c r="D149" s="267" t="str">
        <f ca="1">IF(OR(($B149+$D$5)&gt;112,$B149&lt;$C$75,ISNA(VLOOKUP($C$75&amp;"-1",年金金額,3,0)),VLOOKUP($B$99,$B$99:$E$99,$D$143,0)=1),"",ROUND(MAX(0,VLOOKUP($B$100,OP!$B$100:$E$100,$D$143,0)-SUM($C$145:C149)),IF($C$22="VACF",2,0)))</f>
        <v/>
      </c>
    </row>
    <row r="150" spans="2:4">
      <c r="B150" s="257">
        <v>6</v>
      </c>
      <c r="C150" s="266" t="str">
        <f t="shared" ca="1" si="3"/>
        <v/>
      </c>
      <c r="D150" s="267" t="str">
        <f ca="1">IF(OR(($B150+$D$5)&gt;112,$B150&lt;$C$75,ISNA(VLOOKUP($C$75&amp;"-1",年金金額,3,0)),VLOOKUP($B$99,$B$99:$E$99,$D$143,0)=1),"",ROUND(MAX(0,VLOOKUP($B$100,OP!$B$100:$E$100,$D$143,0)-SUM($C$145:C150)),IF($C$22="VACF",2,0)))</f>
        <v/>
      </c>
    </row>
    <row r="151" spans="2:4">
      <c r="B151" s="257">
        <v>7</v>
      </c>
      <c r="C151" s="266">
        <f t="shared" ca="1" si="3"/>
        <v>99404</v>
      </c>
      <c r="D151" s="267">
        <f ca="1">IF(OR(($B151+$D$5)&gt;112,$B151&lt;$C$75,ISNA(VLOOKUP($C$75&amp;"-1",年金金額,3,0)),VLOOKUP($B$99,$B$99:$E$99,$D$143,0)=1),"",ROUND(MAX(0,VLOOKUP($B$100,OP!$B$100:$E$100,$D$143,0)-SUM($C$145:C151)),IF($C$22="VACF",2,0)))</f>
        <v>397616</v>
      </c>
    </row>
    <row r="152" spans="2:4">
      <c r="B152" s="257">
        <v>8</v>
      </c>
      <c r="C152" s="266">
        <f t="shared" ca="1" si="3"/>
        <v>99404</v>
      </c>
      <c r="D152" s="267">
        <f ca="1">IF(OR(($B152+$D$5)&gt;112,$B152&lt;$C$75,ISNA(VLOOKUP($C$75&amp;"-1",年金金額,3,0)),VLOOKUP($B$99,$B$99:$E$99,$D$143,0)=1),"",ROUND(MAX(0,VLOOKUP($B$100,OP!$B$100:$E$100,$D$143,0)-SUM($C$145:C152)),IF($C$22="VACF",2,0)))</f>
        <v>298212</v>
      </c>
    </row>
    <row r="153" spans="2:4">
      <c r="B153" s="257">
        <v>9</v>
      </c>
      <c r="C153" s="266">
        <f t="shared" ca="1" si="3"/>
        <v>99404</v>
      </c>
      <c r="D153" s="267">
        <f ca="1">IF(OR(($B153+$D$5)&gt;112,$B153&lt;$C$75,ISNA(VLOOKUP($C$75&amp;"-1",年金金額,3,0)),VLOOKUP($B$99,$B$99:$E$99,$D$143,0)=1),"",ROUND(MAX(0,VLOOKUP($B$100,OP!$B$100:$E$100,$D$143,0)-SUM($C$145:C153)),IF($C$22="VACF",2,0)))</f>
        <v>198808</v>
      </c>
    </row>
    <row r="154" spans="2:4">
      <c r="B154" s="257">
        <v>10</v>
      </c>
      <c r="C154" s="266">
        <f t="shared" ca="1" si="3"/>
        <v>99404</v>
      </c>
      <c r="D154" s="267">
        <f ca="1">IF(OR(($B154+$D$5)&gt;112,$B154&lt;$C$75,ISNA(VLOOKUP($C$75&amp;"-1",年金金額,3,0)),VLOOKUP($B$99,$B$99:$E$99,$D$143,0)=1),"",ROUND(MAX(0,VLOOKUP($B$100,OP!$B$100:$E$100,$D$143,0)-SUM($C$145:C154)),IF($C$22="VACF",2,0)))</f>
        <v>99404</v>
      </c>
    </row>
    <row r="155" spans="2:4">
      <c r="B155" s="257">
        <v>11</v>
      </c>
      <c r="C155" s="266">
        <f t="shared" ca="1" si="3"/>
        <v>99404</v>
      </c>
      <c r="D155" s="267">
        <f ca="1">IF(OR(($B155+$D$5)&gt;112,$B155&lt;$C$75,ISNA(VLOOKUP($C$75&amp;"-1",年金金額,3,0)),VLOOKUP($B$99,$B$99:$E$99,$D$143,0)=1),"",ROUND(MAX(0,VLOOKUP($B$100,OP!$B$100:$E$100,$D$143,0)-SUM($C$145:C155)),IF($C$22="VACF",2,0)))</f>
        <v>0</v>
      </c>
    </row>
    <row r="156" spans="2:4">
      <c r="B156" s="257">
        <v>12</v>
      </c>
      <c r="C156" s="266">
        <f t="shared" ca="1" si="3"/>
        <v>99404</v>
      </c>
      <c r="D156" s="267">
        <f ca="1">IF(OR(($B156+$D$5)&gt;112,$B156&lt;$C$75,ISNA(VLOOKUP($C$75&amp;"-1",年金金額,3,0)),VLOOKUP($B$99,$B$99:$E$99,$D$143,0)=1),"",ROUND(MAX(0,VLOOKUP($B$100,OP!$B$100:$E$100,$D$143,0)-SUM($C$145:C156)),IF($C$22="VACF",2,0)))</f>
        <v>0</v>
      </c>
    </row>
    <row r="157" spans="2:4">
      <c r="B157" s="257">
        <v>13</v>
      </c>
      <c r="C157" s="266">
        <f t="shared" ca="1" si="3"/>
        <v>99404</v>
      </c>
      <c r="D157" s="267">
        <f ca="1">IF(OR(($B157+$D$5)&gt;112,$B157&lt;$C$75,ISNA(VLOOKUP($C$75&amp;"-1",年金金額,3,0)),VLOOKUP($B$99,$B$99:$E$99,$D$143,0)=1),"",ROUND(MAX(0,VLOOKUP($B$100,OP!$B$100:$E$100,$D$143,0)-SUM($C$145:C157)),IF($C$22="VACF",2,0)))</f>
        <v>0</v>
      </c>
    </row>
    <row r="158" spans="2:4">
      <c r="B158" s="257">
        <v>14</v>
      </c>
      <c r="C158" s="266">
        <f t="shared" ca="1" si="3"/>
        <v>99404</v>
      </c>
      <c r="D158" s="267">
        <f ca="1">IF(OR(($B158+$D$5)&gt;112,$B158&lt;$C$75,ISNA(VLOOKUP($C$75&amp;"-1",年金金額,3,0)),VLOOKUP($B$99,$B$99:$E$99,$D$143,0)=1),"",ROUND(MAX(0,VLOOKUP($B$100,OP!$B$100:$E$100,$D$143,0)-SUM($C$145:C158)),IF($C$22="VACF",2,0)))</f>
        <v>0</v>
      </c>
    </row>
    <row r="159" spans="2:4">
      <c r="B159" s="257">
        <v>15</v>
      </c>
      <c r="C159" s="266">
        <f t="shared" ca="1" si="3"/>
        <v>99404</v>
      </c>
      <c r="D159" s="267">
        <f ca="1">IF(OR(($B159+$D$5)&gt;112,$B159&lt;$C$75,ISNA(VLOOKUP($C$75&amp;"-1",年金金額,3,0)),VLOOKUP($B$99,$B$99:$E$99,$D$143,0)=1),"",ROUND(MAX(0,VLOOKUP($B$100,OP!$B$100:$E$100,$D$143,0)-SUM($C$145:C159)),IF($C$22="VACF",2,0)))</f>
        <v>0</v>
      </c>
    </row>
    <row r="160" spans="2:4">
      <c r="B160" s="257">
        <v>16</v>
      </c>
      <c r="C160" s="266">
        <f t="shared" ca="1" si="3"/>
        <v>99404</v>
      </c>
      <c r="D160" s="267">
        <f ca="1">IF(OR(($B160+$D$5)&gt;112,$B160&lt;$C$75,ISNA(VLOOKUP($C$75&amp;"-1",年金金額,3,0)),VLOOKUP($B$99,$B$99:$E$99,$D$143,0)=1),"",ROUND(MAX(0,VLOOKUP($B$100,OP!$B$100:$E$100,$D$143,0)-SUM($C$145:C160)),IF($C$22="VACF",2,0)))</f>
        <v>0</v>
      </c>
    </row>
    <row r="161" spans="2:4">
      <c r="B161" s="257">
        <v>17</v>
      </c>
      <c r="C161" s="266">
        <f t="shared" ca="1" si="3"/>
        <v>99404</v>
      </c>
      <c r="D161" s="267">
        <f ca="1">IF(OR(($B161+$D$5)&gt;112,$B161&lt;$C$75,ISNA(VLOOKUP($C$75&amp;"-1",年金金額,3,0)),VLOOKUP($B$99,$B$99:$E$99,$D$143,0)=1),"",ROUND(MAX(0,VLOOKUP($B$100,OP!$B$100:$E$100,$D$143,0)-SUM($C$145:C161)),IF($C$22="VACF",2,0)))</f>
        <v>0</v>
      </c>
    </row>
    <row r="162" spans="2:4">
      <c r="B162" s="257">
        <v>18</v>
      </c>
      <c r="C162" s="266">
        <f t="shared" ca="1" si="3"/>
        <v>99404</v>
      </c>
      <c r="D162" s="267">
        <f ca="1">IF(OR(($B162+$D$5)&gt;112,$B162&lt;$C$75,ISNA(VLOOKUP($C$75&amp;"-1",年金金額,3,0)),VLOOKUP($B$99,$B$99:$E$99,$D$143,0)=1),"",ROUND(MAX(0,VLOOKUP($B$100,OP!$B$100:$E$100,$D$143,0)-SUM($C$145:C162)),IF($C$22="VACF",2,0)))</f>
        <v>0</v>
      </c>
    </row>
    <row r="163" spans="2:4">
      <c r="B163" s="257">
        <v>19</v>
      </c>
      <c r="C163" s="266">
        <f t="shared" ca="1" si="3"/>
        <v>99404</v>
      </c>
      <c r="D163" s="267">
        <f ca="1">IF(OR(($B163+$D$5)&gt;112,$B163&lt;$C$75,ISNA(VLOOKUP($C$75&amp;"-1",年金金額,3,0)),VLOOKUP($B$99,$B$99:$E$99,$D$143,0)=1),"",ROUND(MAX(0,VLOOKUP($B$100,OP!$B$100:$E$100,$D$143,0)-SUM($C$145:C163)),IF($C$22="VACF",2,0)))</f>
        <v>0</v>
      </c>
    </row>
    <row r="164" spans="2:4">
      <c r="B164" s="257">
        <v>20</v>
      </c>
      <c r="C164" s="266">
        <f t="shared" ca="1" si="3"/>
        <v>99404</v>
      </c>
      <c r="D164" s="267">
        <f ca="1">IF(OR(($B164+$D$5)&gt;112,$B164&lt;$C$75,ISNA(VLOOKUP($C$75&amp;"-1",年金金額,3,0)),VLOOKUP($B$99,$B$99:$E$99,$D$143,0)=1),"",ROUND(MAX(0,VLOOKUP($B$100,OP!$B$100:$E$100,$D$143,0)-SUM($C$145:C164)),IF($C$22="VACF",2,0)))</f>
        <v>0</v>
      </c>
    </row>
    <row r="165" spans="2:4">
      <c r="B165" s="257">
        <v>21</v>
      </c>
      <c r="C165" s="266">
        <f t="shared" ca="1" si="3"/>
        <v>99404</v>
      </c>
      <c r="D165" s="267">
        <f ca="1">IF(OR(($B165+$D$5)&gt;112,$B165&lt;$C$75,ISNA(VLOOKUP($C$75&amp;"-1",年金金額,3,0)),VLOOKUP($B$99,$B$99:$E$99,$D$143,0)=1),"",ROUND(MAX(0,VLOOKUP($B$100,OP!$B$100:$E$100,$D$143,0)-SUM($C$145:C165)),IF($C$22="VACF",2,0)))</f>
        <v>0</v>
      </c>
    </row>
    <row r="166" spans="2:4">
      <c r="B166" s="257">
        <v>22</v>
      </c>
      <c r="C166" s="266">
        <f t="shared" ca="1" si="3"/>
        <v>99404</v>
      </c>
      <c r="D166" s="267">
        <f ca="1">IF(OR(($B166+$D$5)&gt;112,$B166&lt;$C$75,ISNA(VLOOKUP($C$75&amp;"-1",年金金額,3,0)),VLOOKUP($B$99,$B$99:$E$99,$D$143,0)=1),"",ROUND(MAX(0,VLOOKUP($B$100,OP!$B$100:$E$100,$D$143,0)-SUM($C$145:C166)),IF($C$22="VACF",2,0)))</f>
        <v>0</v>
      </c>
    </row>
    <row r="167" spans="2:4">
      <c r="B167" s="257">
        <v>23</v>
      </c>
      <c r="C167" s="266">
        <f t="shared" ca="1" si="3"/>
        <v>99404</v>
      </c>
      <c r="D167" s="267">
        <f ca="1">IF(OR(($B167+$D$5)&gt;112,$B167&lt;$C$75,ISNA(VLOOKUP($C$75&amp;"-1",年金金額,3,0)),VLOOKUP($B$99,$B$99:$E$99,$D$143,0)=1),"",ROUND(MAX(0,VLOOKUP($B$100,OP!$B$100:$E$100,$D$143,0)-SUM($C$145:C167)),IF($C$22="VACF",2,0)))</f>
        <v>0</v>
      </c>
    </row>
    <row r="168" spans="2:4">
      <c r="B168" s="257">
        <v>24</v>
      </c>
      <c r="C168" s="266">
        <f t="shared" ca="1" si="3"/>
        <v>99404</v>
      </c>
      <c r="D168" s="267">
        <f ca="1">IF(OR(($B168+$D$5)&gt;112,$B168&lt;$C$75,ISNA(VLOOKUP($C$75&amp;"-1",年金金額,3,0)),VLOOKUP($B$99,$B$99:$E$99,$D$143,0)=1),"",ROUND(MAX(0,VLOOKUP($B$100,OP!$B$100:$E$100,$D$143,0)-SUM($C$145:C168)),IF($C$22="VACF",2,0)))</f>
        <v>0</v>
      </c>
    </row>
    <row r="169" spans="2:4">
      <c r="B169" s="257">
        <v>25</v>
      </c>
      <c r="C169" s="266">
        <f t="shared" ca="1" si="3"/>
        <v>99404</v>
      </c>
      <c r="D169" s="267">
        <f ca="1">IF(OR(($B169+$D$5)&gt;112,$B169&lt;$C$75,ISNA(VLOOKUP($C$75&amp;"-1",年金金額,3,0)),VLOOKUP($B$99,$B$99:$E$99,$D$143,0)=1),"",ROUND(MAX(0,VLOOKUP($B$100,OP!$B$100:$E$100,$D$143,0)-SUM($C$145:C169)),IF($C$22="VACF",2,0)))</f>
        <v>0</v>
      </c>
    </row>
    <row r="170" spans="2:4">
      <c r="B170" s="257">
        <v>26</v>
      </c>
      <c r="C170" s="266">
        <f t="shared" ca="1" si="3"/>
        <v>99404</v>
      </c>
      <c r="D170" s="267">
        <f ca="1">IF(OR(($B170+$D$5)&gt;112,$B170&lt;$C$75,ISNA(VLOOKUP($C$75&amp;"-1",年金金額,3,0)),VLOOKUP($B$99,$B$99:$E$99,$D$143,0)=1),"",ROUND(MAX(0,VLOOKUP($B$100,OP!$B$100:$E$100,$D$143,0)-SUM($C$145:C170)),IF($C$22="VACF",2,0)))</f>
        <v>0</v>
      </c>
    </row>
    <row r="171" spans="2:4">
      <c r="B171" s="257">
        <v>27</v>
      </c>
      <c r="C171" s="266">
        <f t="shared" ca="1" si="3"/>
        <v>99404</v>
      </c>
      <c r="D171" s="267">
        <f ca="1">IF(OR(($B171+$D$5)&gt;112,$B171&lt;$C$75,ISNA(VLOOKUP($C$75&amp;"-1",年金金額,3,0)),VLOOKUP($B$99,$B$99:$E$99,$D$143,0)=1),"",ROUND(MAX(0,VLOOKUP($B$100,OP!$B$100:$E$100,$D$143,0)-SUM($C$145:C171)),IF($C$22="VACF",2,0)))</f>
        <v>0</v>
      </c>
    </row>
    <row r="172" spans="2:4">
      <c r="B172" s="257">
        <v>28</v>
      </c>
      <c r="C172" s="266">
        <f t="shared" ca="1" si="3"/>
        <v>99404</v>
      </c>
      <c r="D172" s="267">
        <f ca="1">IF(OR(($B172+$D$5)&gt;112,$B172&lt;$C$75,ISNA(VLOOKUP($C$75&amp;"-1",年金金額,3,0)),VLOOKUP($B$99,$B$99:$E$99,$D$143,0)=1),"",ROUND(MAX(0,VLOOKUP($B$100,OP!$B$100:$E$100,$D$143,0)-SUM($C$145:C172)),IF($C$22="VACF",2,0)))</f>
        <v>0</v>
      </c>
    </row>
    <row r="173" spans="2:4">
      <c r="B173" s="257">
        <v>29</v>
      </c>
      <c r="C173" s="266">
        <f t="shared" ca="1" si="3"/>
        <v>99404</v>
      </c>
      <c r="D173" s="267">
        <f ca="1">IF(OR(($B173+$D$5)&gt;112,$B173&lt;$C$75,ISNA(VLOOKUP($C$75&amp;"-1",年金金額,3,0)),VLOOKUP($B$99,$B$99:$E$99,$D$143,0)=1),"",ROUND(MAX(0,VLOOKUP($B$100,OP!$B$100:$E$100,$D$143,0)-SUM($C$145:C173)),IF($C$22="VACF",2,0)))</f>
        <v>0</v>
      </c>
    </row>
    <row r="174" spans="2:4">
      <c r="B174" s="257">
        <v>30</v>
      </c>
      <c r="C174" s="266">
        <f t="shared" ca="1" si="3"/>
        <v>99404</v>
      </c>
      <c r="D174" s="267">
        <f ca="1">IF(OR(($B174+$D$5)&gt;112,$B174&lt;$C$75,ISNA(VLOOKUP($C$75&amp;"-1",年金金額,3,0)),VLOOKUP($B$99,$B$99:$E$99,$D$143,0)=1),"",ROUND(MAX(0,VLOOKUP($B$100,OP!$B$100:$E$100,$D$143,0)-SUM($C$145:C174)),IF($C$22="VACF",2,0)))</f>
        <v>0</v>
      </c>
    </row>
    <row r="175" spans="2:4">
      <c r="B175" s="257">
        <v>31</v>
      </c>
      <c r="C175" s="266">
        <f t="shared" ca="1" si="3"/>
        <v>99404</v>
      </c>
      <c r="D175" s="267">
        <f ca="1">IF(OR(($B175+$D$5)&gt;112,$B175&lt;$C$75,ISNA(VLOOKUP($C$75&amp;"-1",年金金額,3,0)),VLOOKUP($B$99,$B$99:$E$99,$D$143,0)=1),"",ROUND(MAX(0,VLOOKUP($B$100,OP!$B$100:$E$100,$D$143,0)-SUM($C$145:C175)),IF($C$22="VACF",2,0)))</f>
        <v>0</v>
      </c>
    </row>
    <row r="176" spans="2:4">
      <c r="B176" s="257">
        <v>32</v>
      </c>
      <c r="C176" s="266">
        <f t="shared" ca="1" si="3"/>
        <v>99404</v>
      </c>
      <c r="D176" s="267">
        <f ca="1">IF(OR(($B176+$D$5)&gt;112,$B176&lt;$C$75,ISNA(VLOOKUP($C$75&amp;"-1",年金金額,3,0)),VLOOKUP($B$99,$B$99:$E$99,$D$143,0)=1),"",ROUND(MAX(0,VLOOKUP($B$100,OP!$B$100:$E$100,$D$143,0)-SUM($C$145:C176)),IF($C$22="VACF",2,0)))</f>
        <v>0</v>
      </c>
    </row>
    <row r="177" spans="2:4">
      <c r="B177" s="257">
        <v>33</v>
      </c>
      <c r="C177" s="266">
        <f t="shared" ref="C177:C208" ca="1" si="4">IF(OR(AND($C$112=1,$B177&lt;&gt;$C$75),(B177+$D$5)&gt;112,B177&lt;$C$75,ISNA(VLOOKUP($C$75&amp;"-1",年金金額,3,0))),"",ROUND(VLOOKUP($C$75&amp;"-1",年金金額,$D$143,0),IF($C$22="VACF",2,0)))</f>
        <v>99404</v>
      </c>
      <c r="D177" s="267">
        <f ca="1">IF(OR(($B177+$D$5)&gt;112,$B177&lt;$C$75,ISNA(VLOOKUP($C$75&amp;"-1",年金金額,3,0)),VLOOKUP($B$99,$B$99:$E$99,$D$143,0)=1),"",ROUND(MAX(0,VLOOKUP($B$100,OP!$B$100:$E$100,$D$143,0)-SUM($C$145:C177)),IF($C$22="VACF",2,0)))</f>
        <v>0</v>
      </c>
    </row>
    <row r="178" spans="2:4">
      <c r="B178" s="257">
        <v>34</v>
      </c>
      <c r="C178" s="266">
        <f t="shared" ca="1" si="4"/>
        <v>99404</v>
      </c>
      <c r="D178" s="267">
        <f ca="1">IF(OR(($B178+$D$5)&gt;112,$B178&lt;$C$75,ISNA(VLOOKUP($C$75&amp;"-1",年金金額,3,0)),VLOOKUP($B$99,$B$99:$E$99,$D$143,0)=1),"",ROUND(MAX(0,VLOOKUP($B$100,OP!$B$100:$E$100,$D$143,0)-SUM($C$145:C178)),IF($C$22="VACF",2,0)))</f>
        <v>0</v>
      </c>
    </row>
    <row r="179" spans="2:4">
      <c r="B179" s="257">
        <v>35</v>
      </c>
      <c r="C179" s="266">
        <f t="shared" ca="1" si="4"/>
        <v>99404</v>
      </c>
      <c r="D179" s="267">
        <f ca="1">IF(OR(($B179+$D$5)&gt;112,$B179&lt;$C$75,ISNA(VLOOKUP($C$75&amp;"-1",年金金額,3,0)),VLOOKUP($B$99,$B$99:$E$99,$D$143,0)=1),"",ROUND(MAX(0,VLOOKUP($B$100,OP!$B$100:$E$100,$D$143,0)-SUM($C$145:C179)),IF($C$22="VACF",2,0)))</f>
        <v>0</v>
      </c>
    </row>
    <row r="180" spans="2:4">
      <c r="B180" s="257">
        <v>36</v>
      </c>
      <c r="C180" s="266">
        <f t="shared" ca="1" si="4"/>
        <v>99404</v>
      </c>
      <c r="D180" s="267">
        <f ca="1">IF(OR(($B180+$D$5)&gt;112,$B180&lt;$C$75,ISNA(VLOOKUP($C$75&amp;"-1",年金金額,3,0)),VLOOKUP($B$99,$B$99:$E$99,$D$143,0)=1),"",ROUND(MAX(0,VLOOKUP($B$100,OP!$B$100:$E$100,$D$143,0)-SUM($C$145:C180)),IF($C$22="VACF",2,0)))</f>
        <v>0</v>
      </c>
    </row>
    <row r="181" spans="2:4">
      <c r="B181" s="257">
        <v>37</v>
      </c>
      <c r="C181" s="266">
        <f t="shared" ca="1" si="4"/>
        <v>99404</v>
      </c>
      <c r="D181" s="267">
        <f ca="1">IF(OR(($B181+$D$5)&gt;112,$B181&lt;$C$75,ISNA(VLOOKUP($C$75&amp;"-1",年金金額,3,0)),VLOOKUP($B$99,$B$99:$E$99,$D$143,0)=1),"",ROUND(MAX(0,VLOOKUP($B$100,OP!$B$100:$E$100,$D$143,0)-SUM($C$145:C181)),IF($C$22="VACF",2,0)))</f>
        <v>0</v>
      </c>
    </row>
    <row r="182" spans="2:4">
      <c r="B182" s="257">
        <v>38</v>
      </c>
      <c r="C182" s="266">
        <f t="shared" ca="1" si="4"/>
        <v>99404</v>
      </c>
      <c r="D182" s="267">
        <f ca="1">IF(OR(($B182+$D$5)&gt;112,$B182&lt;$C$75,ISNA(VLOOKUP($C$75&amp;"-1",年金金額,3,0)),VLOOKUP($B$99,$B$99:$E$99,$D$143,0)=1),"",ROUND(MAX(0,VLOOKUP($B$100,OP!$B$100:$E$100,$D$143,0)-SUM($C$145:C182)),IF($C$22="VACF",2,0)))</f>
        <v>0</v>
      </c>
    </row>
    <row r="183" spans="2:4">
      <c r="B183" s="257">
        <v>39</v>
      </c>
      <c r="C183" s="266">
        <f t="shared" ca="1" si="4"/>
        <v>99404</v>
      </c>
      <c r="D183" s="267">
        <f ca="1">IF(OR(($B183+$D$5)&gt;112,$B183&lt;$C$75,ISNA(VLOOKUP($C$75&amp;"-1",年金金額,3,0)),VLOOKUP($B$99,$B$99:$E$99,$D$143,0)=1),"",ROUND(MAX(0,VLOOKUP($B$100,OP!$B$100:$E$100,$D$143,0)-SUM($C$145:C183)),IF($C$22="VACF",2,0)))</f>
        <v>0</v>
      </c>
    </row>
    <row r="184" spans="2:4">
      <c r="B184" s="257">
        <v>40</v>
      </c>
      <c r="C184" s="266">
        <f t="shared" ca="1" si="4"/>
        <v>99404</v>
      </c>
      <c r="D184" s="267">
        <f ca="1">IF(OR(($B184+$D$5)&gt;112,$B184&lt;$C$75,ISNA(VLOOKUP($C$75&amp;"-1",年金金額,3,0)),VLOOKUP($B$99,$B$99:$E$99,$D$143,0)=1),"",ROUND(MAX(0,VLOOKUP($B$100,OP!$B$100:$E$100,$D$143,0)-SUM($C$145:C184)),IF($C$22="VACF",2,0)))</f>
        <v>0</v>
      </c>
    </row>
    <row r="185" spans="2:4">
      <c r="B185" s="257">
        <v>41</v>
      </c>
      <c r="C185" s="266">
        <f t="shared" ca="1" si="4"/>
        <v>99404</v>
      </c>
      <c r="D185" s="267">
        <f ca="1">IF(OR(($B185+$D$5)&gt;112,$B185&lt;$C$75,ISNA(VLOOKUP($C$75&amp;"-1",年金金額,3,0)),VLOOKUP($B$99,$B$99:$E$99,$D$143,0)=1),"",ROUND(MAX(0,VLOOKUP($B$100,OP!$B$100:$E$100,$D$143,0)-SUM($C$145:C185)),IF($C$22="VACF",2,0)))</f>
        <v>0</v>
      </c>
    </row>
    <row r="186" spans="2:4">
      <c r="B186" s="257">
        <v>42</v>
      </c>
      <c r="C186" s="266">
        <f t="shared" ca="1" si="4"/>
        <v>99404</v>
      </c>
      <c r="D186" s="267">
        <f ca="1">IF(OR(($B186+$D$5)&gt;112,$B186&lt;$C$75,ISNA(VLOOKUP($C$75&amp;"-1",年金金額,3,0)),VLOOKUP($B$99,$B$99:$E$99,$D$143,0)=1),"",ROUND(MAX(0,VLOOKUP($B$100,OP!$B$100:$E$100,$D$143,0)-SUM($C$145:C186)),IF($C$22="VACF",2,0)))</f>
        <v>0</v>
      </c>
    </row>
    <row r="187" spans="2:4">
      <c r="B187" s="257">
        <v>43</v>
      </c>
      <c r="C187" s="266">
        <f t="shared" ca="1" si="4"/>
        <v>99404</v>
      </c>
      <c r="D187" s="267">
        <f ca="1">IF(OR(($B187+$D$5)&gt;112,$B187&lt;$C$75,ISNA(VLOOKUP($C$75&amp;"-1",年金金額,3,0)),VLOOKUP($B$99,$B$99:$E$99,$D$143,0)=1),"",ROUND(MAX(0,VLOOKUP($B$100,OP!$B$100:$E$100,$D$143,0)-SUM($C$145:C187)),IF($C$22="VACF",2,0)))</f>
        <v>0</v>
      </c>
    </row>
    <row r="188" spans="2:4">
      <c r="B188" s="257">
        <v>44</v>
      </c>
      <c r="C188" s="266">
        <f t="shared" ca="1" si="4"/>
        <v>99404</v>
      </c>
      <c r="D188" s="267">
        <f ca="1">IF(OR(($B188+$D$5)&gt;112,$B188&lt;$C$75,ISNA(VLOOKUP($C$75&amp;"-1",年金金額,3,0)),VLOOKUP($B$99,$B$99:$E$99,$D$143,0)=1),"",ROUND(MAX(0,VLOOKUP($B$100,OP!$B$100:$E$100,$D$143,0)-SUM($C$145:C188)),IF($C$22="VACF",2,0)))</f>
        <v>0</v>
      </c>
    </row>
    <row r="189" spans="2:4">
      <c r="B189" s="257">
        <v>45</v>
      </c>
      <c r="C189" s="266">
        <f t="shared" ca="1" si="4"/>
        <v>99404</v>
      </c>
      <c r="D189" s="267">
        <f ca="1">IF(OR(($B189+$D$5)&gt;112,$B189&lt;$C$75,ISNA(VLOOKUP($C$75&amp;"-1",年金金額,3,0)),VLOOKUP($B$99,$B$99:$E$99,$D$143,0)=1),"",ROUND(MAX(0,VLOOKUP($B$100,OP!$B$100:$E$100,$D$143,0)-SUM($C$145:C189)),IF($C$22="VACF",2,0)))</f>
        <v>0</v>
      </c>
    </row>
    <row r="190" spans="2:4">
      <c r="B190" s="257">
        <v>46</v>
      </c>
      <c r="C190" s="266">
        <f t="shared" ca="1" si="4"/>
        <v>99404</v>
      </c>
      <c r="D190" s="267">
        <f ca="1">IF(OR(($B190+$D$5)&gt;112,$B190&lt;$C$75,ISNA(VLOOKUP($C$75&amp;"-1",年金金額,3,0)),VLOOKUP($B$99,$B$99:$E$99,$D$143,0)=1),"",ROUND(MAX(0,VLOOKUP($B$100,OP!$B$100:$E$100,$D$143,0)-SUM($C$145:C190)),IF($C$22="VACF",2,0)))</f>
        <v>0</v>
      </c>
    </row>
    <row r="191" spans="2:4">
      <c r="B191" s="257">
        <v>47</v>
      </c>
      <c r="C191" s="266">
        <f t="shared" ca="1" si="4"/>
        <v>99404</v>
      </c>
      <c r="D191" s="267">
        <f ca="1">IF(OR(($B191+$D$5)&gt;112,$B191&lt;$C$75,ISNA(VLOOKUP($C$75&amp;"-1",年金金額,3,0)),VLOOKUP($B$99,$B$99:$E$99,$D$143,0)=1),"",ROUND(MAX(0,VLOOKUP($B$100,OP!$B$100:$E$100,$D$143,0)-SUM($C$145:C191)),IF($C$22="VACF",2,0)))</f>
        <v>0</v>
      </c>
    </row>
    <row r="192" spans="2:4">
      <c r="B192" s="257">
        <v>48</v>
      </c>
      <c r="C192" s="266">
        <f t="shared" ca="1" si="4"/>
        <v>99404</v>
      </c>
      <c r="D192" s="267">
        <f ca="1">IF(OR(($B192+$D$5)&gt;112,$B192&lt;$C$75,ISNA(VLOOKUP($C$75&amp;"-1",年金金額,3,0)),VLOOKUP($B$99,$B$99:$E$99,$D$143,0)=1),"",ROUND(MAX(0,VLOOKUP($B$100,OP!$B$100:$E$100,$D$143,0)-SUM($C$145:C192)),IF($C$22="VACF",2,0)))</f>
        <v>0</v>
      </c>
    </row>
    <row r="193" spans="2:4">
      <c r="B193" s="257">
        <v>49</v>
      </c>
      <c r="C193" s="266">
        <f t="shared" ca="1" si="4"/>
        <v>99404</v>
      </c>
      <c r="D193" s="267">
        <f ca="1">IF(OR(($B193+$D$5)&gt;112,$B193&lt;$C$75,ISNA(VLOOKUP($C$75&amp;"-1",年金金額,3,0)),VLOOKUP($B$99,$B$99:$E$99,$D$143,0)=1),"",ROUND(MAX(0,VLOOKUP($B$100,OP!$B$100:$E$100,$D$143,0)-SUM($C$145:C193)),IF($C$22="VACF",2,0)))</f>
        <v>0</v>
      </c>
    </row>
    <row r="194" spans="2:4">
      <c r="B194" s="257">
        <v>50</v>
      </c>
      <c r="C194" s="266">
        <f ca="1">IF(OR(AND($C$112=1,$B194&lt;&gt;$C$75),(B194+$D$5)&gt;111,B194&lt;$C$75,ISNA(VLOOKUP($C$75&amp;"-1",年金金額,3,0))),"",ROUND(VLOOKUP($C$75&amp;"-1",年金金額,$D$143,0),IF($C$22="VACF",2,0)))</f>
        <v>99404</v>
      </c>
      <c r="D194" s="267">
        <f ca="1">IF(OR(($B194+$D$5)&gt;112,$B194&lt;$C$75,ISNA(VLOOKUP($C$75&amp;"-1",年金金額,3,0)),VLOOKUP($B$99,$B$99:$E$99,$D$143,0)=1),"",ROUND(MAX(0,VLOOKUP($B$100,OP!$B$100:$E$100,$D$143,0)-SUM($C$145:C194)),IF($C$22="VACF",2,0)))</f>
        <v>0</v>
      </c>
    </row>
    <row r="195" spans="2:4">
      <c r="B195" s="257">
        <v>51</v>
      </c>
      <c r="C195" s="266">
        <f ca="1">IF(OR(AND($C$112=1,$B195&lt;&gt;$C$75),(B195+$D$5)&gt;111,B195&lt;$C$75,ISNA(VLOOKUP($C$75&amp;"-1",年金金額,3,0))),"",ROUND(VLOOKUP($C$75&amp;"-1",年金金額,$D$143,0),IF($C$22="VACF",2,0)))</f>
        <v>99404</v>
      </c>
      <c r="D195" s="267">
        <f ca="1">IF(OR(($B195+$D$5)&gt;112,$B195&lt;$C$75,ISNA(VLOOKUP($C$75&amp;"-1",年金金額,3,0)),VLOOKUP($B$99,$B$99:$E$99,$D$143,0)=1),"",ROUND(MAX(0,VLOOKUP($B$100,OP!$B$100:$E$100,$D$143,0)-SUM($C$145:C195)),IF($C$22="VACF",2,0)))</f>
        <v>0</v>
      </c>
    </row>
    <row r="196" spans="2:4">
      <c r="B196" s="257">
        <v>52</v>
      </c>
      <c r="C196" s="266">
        <f t="shared" ca="1" si="4"/>
        <v>99404</v>
      </c>
      <c r="D196" s="267">
        <f ca="1">IF(OR(($B196+$D$5)&gt;112,$B196&lt;$C$75,ISNA(VLOOKUP($C$75&amp;"-1",年金金額,3,0)),VLOOKUP($B$99,$B$99:$E$99,$D$143,0)=1),"",ROUND(MAX(0,VLOOKUP($B$100,OP!$B$100:$E$100,$D$143,0)-SUM($C$145:C196)),IF($C$22="VACF",2,0)))</f>
        <v>0</v>
      </c>
    </row>
    <row r="197" spans="2:4">
      <c r="B197" s="257">
        <v>53</v>
      </c>
      <c r="C197" s="266">
        <f t="shared" ca="1" si="4"/>
        <v>99404</v>
      </c>
      <c r="D197" s="267">
        <f ca="1">IF(OR(($B197+$D$5)&gt;112,$B197&lt;$C$75,ISNA(VLOOKUP($C$75&amp;"-1",年金金額,3,0)),VLOOKUP($B$99,$B$99:$E$99,$D$143,0)=1),"",ROUND(MAX(0,VLOOKUP($B$100,OP!$B$100:$E$100,$D$143,0)-SUM($C$145:C197)),IF($C$22="VACF",2,0)))</f>
        <v>0</v>
      </c>
    </row>
    <row r="198" spans="2:4">
      <c r="B198" s="257">
        <v>54</v>
      </c>
      <c r="C198" s="266">
        <f t="shared" ca="1" si="4"/>
        <v>99404</v>
      </c>
      <c r="D198" s="267">
        <f ca="1">IF(OR(($B198+$D$5)&gt;112,$B198&lt;$C$75,ISNA(VLOOKUP($C$75&amp;"-1",年金金額,3,0)),VLOOKUP($B$99,$B$99:$E$99,$D$143,0)=1),"",ROUND(MAX(0,VLOOKUP($B$100,OP!$B$100:$E$100,$D$143,0)-SUM($C$145:C198)),IF($C$22="VACF",2,0)))</f>
        <v>0</v>
      </c>
    </row>
    <row r="199" spans="2:4">
      <c r="B199" s="257">
        <v>55</v>
      </c>
      <c r="C199" s="266">
        <f t="shared" ca="1" si="4"/>
        <v>99404</v>
      </c>
      <c r="D199" s="267">
        <f ca="1">IF(OR(($B199+$D$5)&gt;112,$B199&lt;$C$75,ISNA(VLOOKUP($C$75&amp;"-1",年金金額,3,0)),VLOOKUP($B$99,$B$99:$E$99,$D$143,0)=1),"",ROUND(MAX(0,VLOOKUP($B$100,OP!$B$100:$E$100,$D$143,0)-SUM($C$145:C199)),IF($C$22="VACF",2,0)))</f>
        <v>0</v>
      </c>
    </row>
    <row r="200" spans="2:4">
      <c r="B200" s="257">
        <v>56</v>
      </c>
      <c r="C200" s="266">
        <f t="shared" ca="1" si="4"/>
        <v>99404</v>
      </c>
      <c r="D200" s="267">
        <f ca="1">IF(OR(($B200+$D$5)&gt;112,$B200&lt;$C$75,ISNA(VLOOKUP($C$75&amp;"-1",年金金額,3,0)),VLOOKUP($B$99,$B$99:$E$99,$D$143,0)=1),"",ROUND(MAX(0,VLOOKUP($B$100,OP!$B$100:$E$100,$D$143,0)-SUM($C$145:C200)),IF($C$22="VACF",2,0)))</f>
        <v>0</v>
      </c>
    </row>
    <row r="201" spans="2:4">
      <c r="B201" s="257">
        <v>57</v>
      </c>
      <c r="C201" s="266">
        <f t="shared" ca="1" si="4"/>
        <v>99404</v>
      </c>
      <c r="D201" s="267">
        <f ca="1">IF(OR(($B201+$D$5)&gt;112,$B201&lt;$C$75,ISNA(VLOOKUP($C$75&amp;"-1",年金金額,3,0)),VLOOKUP($B$99,$B$99:$E$99,$D$143,0)=1),"",ROUND(MAX(0,VLOOKUP($B$100,OP!$B$100:$E$100,$D$143,0)-SUM($C$145:C201)),IF($C$22="VACF",2,0)))</f>
        <v>0</v>
      </c>
    </row>
    <row r="202" spans="2:4">
      <c r="B202" s="257">
        <v>58</v>
      </c>
      <c r="C202" s="266" t="str">
        <f t="shared" ca="1" si="4"/>
        <v/>
      </c>
      <c r="D202" s="267" t="str">
        <f ca="1">IF(OR(($B202+$D$5)&gt;112,$B202&lt;$C$75,ISNA(VLOOKUP($C$75&amp;"-1",年金金額,3,0)),VLOOKUP($B$99,$B$99:$E$99,$D$143,0)=1),"",ROUND(MAX(0,VLOOKUP($B$100,OP!$B$100:$E$100,$D$143,0)-SUM($C$145:C202)),IF($C$22="VACF",2,0)))</f>
        <v/>
      </c>
    </row>
    <row r="203" spans="2:4">
      <c r="B203" s="257">
        <v>59</v>
      </c>
      <c r="C203" s="266" t="str">
        <f t="shared" ca="1" si="4"/>
        <v/>
      </c>
      <c r="D203" s="267" t="str">
        <f ca="1">IF(OR(($B203+$D$5)&gt;112,$B203&lt;$C$75,ISNA(VLOOKUP($C$75&amp;"-1",年金金額,3,0)),VLOOKUP($B$99,$B$99:$E$99,$D$143,0)=1),"",ROUND(MAX(0,VLOOKUP($B$100,OP!$B$100:$E$100,$D$143,0)-SUM($C$145:C203)),IF($C$22="VACF",2,0)))</f>
        <v/>
      </c>
    </row>
    <row r="204" spans="2:4">
      <c r="B204" s="257">
        <v>60</v>
      </c>
      <c r="C204" s="266" t="str">
        <f t="shared" ca="1" si="4"/>
        <v/>
      </c>
      <c r="D204" s="267" t="str">
        <f ca="1">IF(OR(($B204+$D$5)&gt;112,$B204&lt;$C$75,ISNA(VLOOKUP($C$75&amp;"-1",年金金額,3,0)),VLOOKUP($B$99,$B$99:$E$99,$D$143,0)=1),"",ROUND(MAX(0,VLOOKUP($B$100,OP!$B$100:$E$100,$D$143,0)-SUM($C$145:C204)),IF($C$22="VACF",2,0)))</f>
        <v/>
      </c>
    </row>
    <row r="205" spans="2:4">
      <c r="B205" s="257">
        <v>61</v>
      </c>
      <c r="C205" s="266" t="str">
        <f t="shared" ca="1" si="4"/>
        <v/>
      </c>
      <c r="D205" s="267" t="str">
        <f ca="1">IF(OR(($B205+$D$5)&gt;112,$B205&lt;$C$75,ISNA(VLOOKUP($C$75&amp;"-1",年金金額,3,0)),VLOOKUP($B$99,$B$99:$E$99,$D$143,0)=1),"",ROUND(MAX(0,VLOOKUP($B$100,OP!$B$100:$E$100,$D$143,0)-SUM($C$145:C205)),IF($C$22="VACF",2,0)))</f>
        <v/>
      </c>
    </row>
    <row r="206" spans="2:4">
      <c r="B206" s="257">
        <v>62</v>
      </c>
      <c r="C206" s="266" t="str">
        <f t="shared" ca="1" si="4"/>
        <v/>
      </c>
      <c r="D206" s="267" t="str">
        <f ca="1">IF(OR(($B206+$D$5)&gt;112,$B206&lt;$C$75,ISNA(VLOOKUP($C$75&amp;"-1",年金金額,3,0)),VLOOKUP($B$99,$B$99:$E$99,$D$143,0)=1),"",ROUND(MAX(0,VLOOKUP($B$100,OP!$B$100:$E$100,$D$143,0)-SUM($C$145:C206)),IF($C$22="VACF",2,0)))</f>
        <v/>
      </c>
    </row>
    <row r="207" spans="2:4">
      <c r="B207" s="257">
        <v>63</v>
      </c>
      <c r="C207" s="266" t="str">
        <f t="shared" ca="1" si="4"/>
        <v/>
      </c>
      <c r="D207" s="267" t="str">
        <f ca="1">IF(OR(($B207+$D$5)&gt;112,$B207&lt;$C$75,ISNA(VLOOKUP($C$75&amp;"-1",年金金額,3,0)),VLOOKUP($B$99,$B$99:$E$99,$D$143,0)=1),"",ROUND(MAX(0,VLOOKUP($B$100,OP!$B$100:$E$100,$D$143,0)-SUM($C$145:C207)),IF($C$22="VACF",2,0)))</f>
        <v/>
      </c>
    </row>
    <row r="208" spans="2:4">
      <c r="B208" s="257">
        <v>64</v>
      </c>
      <c r="C208" s="266" t="str">
        <f t="shared" ca="1" si="4"/>
        <v/>
      </c>
      <c r="D208" s="267" t="str">
        <f ca="1">IF(OR(($B208+$D$5)&gt;112,$B208&lt;$C$75,ISNA(VLOOKUP($C$75&amp;"-1",年金金額,3,0)),VLOOKUP($B$99,$B$99:$E$99,$D$143,0)=1),"",ROUND(MAX(0,VLOOKUP($B$100,OP!$B$100:$E$100,$D$143,0)-SUM($C$145:C208)),IF($C$22="VACF",2,0)))</f>
        <v/>
      </c>
    </row>
    <row r="209" spans="2:4">
      <c r="B209" s="257">
        <v>65</v>
      </c>
      <c r="C209" s="266" t="str">
        <f t="shared" ref="C209:C240" ca="1" si="5">IF(OR(AND($C$112=1,$B209&lt;&gt;$C$75),(B209+$D$5)&gt;112,B209&lt;$C$75,ISNA(VLOOKUP($C$75&amp;"-1",年金金額,3,0))),"",ROUND(VLOOKUP($C$75&amp;"-1",年金金額,$D$143,0),IF($C$22="VACF",2,0)))</f>
        <v/>
      </c>
      <c r="D209" s="267" t="str">
        <f ca="1">IF(OR(($B209+$D$5)&gt;112,$B209&lt;$C$75,ISNA(VLOOKUP($C$75&amp;"-1",年金金額,3,0)),VLOOKUP($B$99,$B$99:$E$99,$D$143,0)=1),"",ROUND(MAX(0,VLOOKUP($B$100,OP!$B$100:$E$100,$D$143,0)-SUM($C$145:C209)),IF($C$22="VACF",2,0)))</f>
        <v/>
      </c>
    </row>
    <row r="210" spans="2:4">
      <c r="B210" s="257">
        <v>66</v>
      </c>
      <c r="C210" s="266" t="str">
        <f t="shared" ca="1" si="5"/>
        <v/>
      </c>
      <c r="D210" s="267" t="str">
        <f ca="1">IF(OR(($B210+$D$5)&gt;112,$B210&lt;$C$75,ISNA(VLOOKUP($C$75&amp;"-1",年金金額,3,0)),VLOOKUP($B$99,$B$99:$E$99,$D$143,0)=1),"",ROUND(MAX(0,VLOOKUP($B$100,OP!$B$100:$E$100,$D$143,0)-SUM($C$145:C210)),IF($C$22="VACF",2,0)))</f>
        <v/>
      </c>
    </row>
    <row r="211" spans="2:4">
      <c r="B211" s="257">
        <v>67</v>
      </c>
      <c r="C211" s="266" t="str">
        <f t="shared" ca="1" si="5"/>
        <v/>
      </c>
      <c r="D211" s="267" t="str">
        <f ca="1">IF(OR(($B211+$D$5)&gt;112,$B211&lt;$C$75,ISNA(VLOOKUP($C$75&amp;"-1",年金金額,3,0)),VLOOKUP($B$99,$B$99:$E$99,$D$143,0)=1),"",ROUND(MAX(0,VLOOKUP($B$100,OP!$B$100:$E$100,$D$143,0)-SUM($C$145:C211)),IF($C$22="VACF",2,0)))</f>
        <v/>
      </c>
    </row>
    <row r="212" spans="2:4">
      <c r="B212" s="257">
        <v>68</v>
      </c>
      <c r="C212" s="266" t="str">
        <f t="shared" ca="1" si="5"/>
        <v/>
      </c>
      <c r="D212" s="267" t="str">
        <f ca="1">IF(OR(($B212+$D$5)&gt;112,$B212&lt;$C$75,ISNA(VLOOKUP($C$75&amp;"-1",年金金額,3,0)),VLOOKUP($B$99,$B$99:$E$99,$D$143,0)=1),"",ROUND(MAX(0,VLOOKUP($B$100,OP!$B$100:$E$100,$D$143,0)-SUM($C$145:C212)),IF($C$22="VACF",2,0)))</f>
        <v/>
      </c>
    </row>
    <row r="213" spans="2:4">
      <c r="B213" s="257">
        <v>69</v>
      </c>
      <c r="C213" s="266" t="str">
        <f t="shared" ca="1" si="5"/>
        <v/>
      </c>
      <c r="D213" s="267" t="str">
        <f ca="1">IF(OR(($B213+$D$5)&gt;112,$B213&lt;$C$75,ISNA(VLOOKUP($C$75&amp;"-1",年金金額,3,0)),VLOOKUP($B$99,$B$99:$E$99,$D$143,0)=1),"",ROUND(MAX(0,VLOOKUP($B$100,OP!$B$100:$E$100,$D$143,0)-SUM($C$145:C213)),IF($C$22="VACF",2,0)))</f>
        <v/>
      </c>
    </row>
    <row r="214" spans="2:4">
      <c r="B214" s="257">
        <v>70</v>
      </c>
      <c r="C214" s="266" t="str">
        <f t="shared" ca="1" si="5"/>
        <v/>
      </c>
      <c r="D214" s="267" t="str">
        <f ca="1">IF(OR(($B214+$D$5)&gt;112,$B214&lt;$C$75,ISNA(VLOOKUP($C$75&amp;"-1",年金金額,3,0)),VLOOKUP($B$99,$B$99:$E$99,$D$143,0)=1),"",ROUND(MAX(0,VLOOKUP($B$100,OP!$B$100:$E$100,$D$143,0)-SUM($C$145:C214)),IF($C$22="VACF",2,0)))</f>
        <v/>
      </c>
    </row>
    <row r="215" spans="2:4">
      <c r="B215" s="257">
        <v>71</v>
      </c>
      <c r="C215" s="266" t="str">
        <f t="shared" ca="1" si="5"/>
        <v/>
      </c>
      <c r="D215" s="267" t="str">
        <f ca="1">IF(OR(($B215+$D$5)&gt;112,$B215&lt;$C$75,ISNA(VLOOKUP($C$75&amp;"-1",年金金額,3,0)),VLOOKUP($B$99,$B$99:$E$99,$D$143,0)=1),"",ROUND(MAX(0,VLOOKUP($B$100,OP!$B$100:$E$100,$D$143,0)-SUM($C$145:C215)),IF($C$22="VACF",2,0)))</f>
        <v/>
      </c>
    </row>
    <row r="216" spans="2:4">
      <c r="B216" s="257">
        <v>72</v>
      </c>
      <c r="C216" s="266" t="str">
        <f t="shared" ca="1" si="5"/>
        <v/>
      </c>
      <c r="D216" s="267" t="str">
        <f ca="1">IF(OR(($B216+$D$5)&gt;112,$B216&lt;$C$75,ISNA(VLOOKUP($C$75&amp;"-1",年金金額,3,0)),VLOOKUP($B$99,$B$99:$E$99,$D$143,0)=1),"",ROUND(MAX(0,VLOOKUP($B$100,OP!$B$100:$E$100,$D$143,0)-SUM($C$145:C216)),IF($C$22="VACF",2,0)))</f>
        <v/>
      </c>
    </row>
    <row r="217" spans="2:4">
      <c r="B217" s="257">
        <v>73</v>
      </c>
      <c r="C217" s="266" t="str">
        <f t="shared" ca="1" si="5"/>
        <v/>
      </c>
      <c r="D217" s="267" t="str">
        <f ca="1">IF(OR(($B217+$D$5)&gt;112,$B217&lt;$C$75,ISNA(VLOOKUP($C$75&amp;"-1",年金金額,3,0)),VLOOKUP($B$99,$B$99:$E$99,$D$143,0)=1),"",ROUND(MAX(0,VLOOKUP($B$100,OP!$B$100:$E$100,$D$143,0)-SUM($C$145:C217)),IF($C$22="VACF",2,0)))</f>
        <v/>
      </c>
    </row>
    <row r="218" spans="2:4">
      <c r="B218" s="257">
        <v>74</v>
      </c>
      <c r="C218" s="266" t="str">
        <f t="shared" ca="1" si="5"/>
        <v/>
      </c>
      <c r="D218" s="267" t="str">
        <f ca="1">IF(OR(($B218+$D$5)&gt;112,$B218&lt;$C$75,ISNA(VLOOKUP($C$75&amp;"-1",年金金額,3,0)),VLOOKUP($B$99,$B$99:$E$99,$D$143,0)=1),"",ROUND(MAX(0,VLOOKUP($B$100,OP!$B$100:$E$100,$D$143,0)-SUM($C$145:C218)),IF($C$22="VACF",2,0)))</f>
        <v/>
      </c>
    </row>
    <row r="219" spans="2:4">
      <c r="B219" s="257">
        <v>75</v>
      </c>
      <c r="C219" s="266" t="str">
        <f t="shared" ca="1" si="5"/>
        <v/>
      </c>
      <c r="D219" s="267" t="str">
        <f ca="1">IF(OR(($B219+$D$5)&gt;112,$B219&lt;$C$75,ISNA(VLOOKUP($C$75&amp;"-1",年金金額,3,0)),VLOOKUP($B$99,$B$99:$E$99,$D$143,0)=1),"",ROUND(MAX(0,VLOOKUP($B$100,OP!$B$100:$E$100,$D$143,0)-SUM($C$145:C219)),IF($C$22="VACF",2,0)))</f>
        <v/>
      </c>
    </row>
    <row r="220" spans="2:4">
      <c r="B220" s="257">
        <v>76</v>
      </c>
      <c r="C220" s="266" t="str">
        <f t="shared" ca="1" si="5"/>
        <v/>
      </c>
      <c r="D220" s="267" t="str">
        <f ca="1">IF(OR(($B220+$D$5)&gt;112,$B220&lt;$C$75,ISNA(VLOOKUP($C$75&amp;"-1",年金金額,3,0)),VLOOKUP($B$99,$B$99:$E$99,$D$143,0)=1),"",ROUND(MAX(0,VLOOKUP($B$100,OP!$B$100:$E$100,$D$143,0)-SUM($C$145:C220)),IF($C$22="VACF",2,0)))</f>
        <v/>
      </c>
    </row>
    <row r="221" spans="2:4">
      <c r="B221" s="257">
        <v>77</v>
      </c>
      <c r="C221" s="266" t="str">
        <f t="shared" ca="1" si="5"/>
        <v/>
      </c>
      <c r="D221" s="267" t="str">
        <f ca="1">IF(OR(($B221+$D$5)&gt;112,$B221&lt;$C$75,ISNA(VLOOKUP($C$75&amp;"-1",年金金額,3,0)),VLOOKUP($B$99,$B$99:$E$99,$D$143,0)=1),"",ROUND(MAX(0,VLOOKUP($B$100,OP!$B$100:$E$100,$D$143,0)-SUM($C$145:C221)),IF($C$22="VACF",2,0)))</f>
        <v/>
      </c>
    </row>
    <row r="222" spans="2:4">
      <c r="B222" s="257">
        <v>78</v>
      </c>
      <c r="C222" s="266" t="str">
        <f t="shared" ca="1" si="5"/>
        <v/>
      </c>
      <c r="D222" s="267" t="str">
        <f ca="1">IF(OR(($B222+$D$5)&gt;112,$B222&lt;$C$75,ISNA(VLOOKUP($C$75&amp;"-1",年金金額,3,0)),VLOOKUP($B$99,$B$99:$E$99,$D$143,0)=1),"",ROUND(MAX(0,VLOOKUP($B$100,OP!$B$100:$E$100,$D$143,0)-SUM($C$145:C222)),IF($C$22="VACF",2,0)))</f>
        <v/>
      </c>
    </row>
    <row r="223" spans="2:4">
      <c r="B223" s="257">
        <v>79</v>
      </c>
      <c r="C223" s="266" t="str">
        <f t="shared" ca="1" si="5"/>
        <v/>
      </c>
      <c r="D223" s="267" t="str">
        <f ca="1">IF(OR(($B223+$D$5)&gt;112,$B223&lt;$C$75,ISNA(VLOOKUP($C$75&amp;"-1",年金金額,3,0)),VLOOKUP($B$99,$B$99:$E$99,$D$143,0)=1),"",ROUND(MAX(0,VLOOKUP($B$100,OP!$B$100:$E$100,$D$143,0)-SUM($C$145:C223)),IF($C$22="VACF",2,0)))</f>
        <v/>
      </c>
    </row>
    <row r="224" spans="2:4">
      <c r="B224" s="257">
        <v>80</v>
      </c>
      <c r="C224" s="266" t="str">
        <f t="shared" ca="1" si="5"/>
        <v/>
      </c>
      <c r="D224" s="267" t="str">
        <f ca="1">IF(OR(($B224+$D$5)&gt;112,$B224&lt;$C$75,ISNA(VLOOKUP($C$75&amp;"-1",年金金額,3,0)),VLOOKUP($B$99,$B$99:$E$99,$D$143,0)=1),"",ROUND(MAX(0,VLOOKUP($B$100,OP!$B$100:$E$100,$D$143,0)-SUM($C$145:C224)),IF($C$22="VACF",2,0)))</f>
        <v/>
      </c>
    </row>
    <row r="225" spans="2:4">
      <c r="B225" s="257">
        <v>81</v>
      </c>
      <c r="C225" s="266" t="str">
        <f t="shared" ca="1" si="5"/>
        <v/>
      </c>
      <c r="D225" s="267" t="str">
        <f ca="1">IF(OR(($B225+$D$5)&gt;112,$B225&lt;$C$75,ISNA(VLOOKUP($C$75&amp;"-1",年金金額,3,0)),VLOOKUP($B$99,$B$99:$E$99,$D$143,0)=1),"",ROUND(MAX(0,VLOOKUP($B$100,OP!$B$100:$E$100,$D$143,0)-SUM($C$145:C225)),IF($C$22="VACF",2,0)))</f>
        <v/>
      </c>
    </row>
    <row r="226" spans="2:4">
      <c r="B226" s="257">
        <v>82</v>
      </c>
      <c r="C226" s="266" t="str">
        <f t="shared" ca="1" si="5"/>
        <v/>
      </c>
      <c r="D226" s="267" t="str">
        <f ca="1">IF(OR(($B226+$D$5)&gt;112,$B226&lt;$C$75,ISNA(VLOOKUP($C$75&amp;"-1",年金金額,3,0)),VLOOKUP($B$99,$B$99:$E$99,$D$143,0)=1),"",ROUND(MAX(0,VLOOKUP($B$100,OP!$B$100:$E$100,$D$143,0)-SUM($C$145:C226)),IF($C$22="VACF",2,0)))</f>
        <v/>
      </c>
    </row>
    <row r="227" spans="2:4">
      <c r="B227" s="257">
        <v>83</v>
      </c>
      <c r="C227" s="266" t="str">
        <f t="shared" ca="1" si="5"/>
        <v/>
      </c>
      <c r="D227" s="267" t="str">
        <f ca="1">IF(OR(($B227+$D$5)&gt;112,$B227&lt;$C$75,ISNA(VLOOKUP($C$75&amp;"-1",年金金額,3,0)),VLOOKUP($B$99,$B$99:$E$99,$D$143,0)=1),"",ROUND(MAX(0,VLOOKUP($B$100,OP!$B$100:$E$100,$D$143,0)-SUM($C$145:C227)),IF($C$22="VACF",2,0)))</f>
        <v/>
      </c>
    </row>
    <row r="228" spans="2:4">
      <c r="B228" s="257">
        <v>84</v>
      </c>
      <c r="C228" s="266" t="str">
        <f t="shared" ca="1" si="5"/>
        <v/>
      </c>
      <c r="D228" s="267" t="str">
        <f ca="1">IF(OR(($B228+$D$5)&gt;112,$B228&lt;$C$75,ISNA(VLOOKUP($C$75&amp;"-1",年金金額,3,0)),VLOOKUP($B$99,$B$99:$E$99,$D$143,0)=1),"",ROUND(MAX(0,VLOOKUP($B$100,OP!$B$100:$E$100,$D$143,0)-SUM($C$145:C228)),IF($C$22="VACF",2,0)))</f>
        <v/>
      </c>
    </row>
    <row r="229" spans="2:4">
      <c r="B229" s="257">
        <v>85</v>
      </c>
      <c r="C229" s="266" t="str">
        <f t="shared" ca="1" si="5"/>
        <v/>
      </c>
      <c r="D229" s="267" t="str">
        <f ca="1">IF(OR(($B229+$D$5)&gt;112,$B229&lt;$C$75,ISNA(VLOOKUP($C$75&amp;"-1",年金金額,3,0)),VLOOKUP($B$99,$B$99:$E$99,$D$143,0)=1),"",ROUND(MAX(0,VLOOKUP($B$100,OP!$B$100:$E$100,$D$143,0)-SUM($C$145:C229)),IF($C$22="VACF",2,0)))</f>
        <v/>
      </c>
    </row>
    <row r="230" spans="2:4">
      <c r="B230" s="257">
        <v>86</v>
      </c>
      <c r="C230" s="266" t="str">
        <f t="shared" ca="1" si="5"/>
        <v/>
      </c>
      <c r="D230" s="267" t="str">
        <f ca="1">IF(OR(($B230+$D$5)&gt;112,$B230&lt;$C$75,ISNA(VLOOKUP($C$75&amp;"-1",年金金額,3,0)),VLOOKUP($B$99,$B$99:$E$99,$D$143,0)=1),"",ROUND(MAX(0,VLOOKUP($B$100,OP!$B$100:$E$100,$D$143,0)-SUM($C$145:C230)),IF($C$22="VACF",2,0)))</f>
        <v/>
      </c>
    </row>
    <row r="231" spans="2:4">
      <c r="B231" s="257">
        <v>87</v>
      </c>
      <c r="C231" s="266" t="str">
        <f t="shared" ca="1" si="5"/>
        <v/>
      </c>
      <c r="D231" s="267" t="str">
        <f ca="1">IF(OR(($B231+$D$5)&gt;112,$B231&lt;$C$75,ISNA(VLOOKUP($C$75&amp;"-1",年金金額,3,0)),VLOOKUP($B$99,$B$99:$E$99,$D$143,0)=1),"",ROUND(MAX(0,VLOOKUP($B$100,OP!$B$100:$E$100,$D$143,0)-SUM($C$145:C231)),IF($C$22="VACF",2,0)))</f>
        <v/>
      </c>
    </row>
    <row r="232" spans="2:4">
      <c r="B232" s="257">
        <v>88</v>
      </c>
      <c r="C232" s="266" t="str">
        <f t="shared" ca="1" si="5"/>
        <v/>
      </c>
      <c r="D232" s="267" t="str">
        <f ca="1">IF(OR(($B232+$D$5)&gt;112,$B232&lt;$C$75,ISNA(VLOOKUP($C$75&amp;"-1",年金金額,3,0)),VLOOKUP($B$99,$B$99:$E$99,$D$143,0)=1),"",ROUND(MAX(0,VLOOKUP($B$100,OP!$B$100:$E$100,$D$143,0)-SUM($C$145:C232)),IF($C$22="VACF",2,0)))</f>
        <v/>
      </c>
    </row>
    <row r="233" spans="2:4">
      <c r="B233" s="257">
        <v>89</v>
      </c>
      <c r="C233" s="266" t="str">
        <f t="shared" ca="1" si="5"/>
        <v/>
      </c>
      <c r="D233" s="267" t="str">
        <f ca="1">IF(OR(($B233+$D$5)&gt;112,$B233&lt;$C$75,ISNA(VLOOKUP($C$75&amp;"-1",年金金額,3,0)),VLOOKUP($B$99,$B$99:$E$99,$D$143,0)=1),"",ROUND(MAX(0,VLOOKUP($B$100,OP!$B$100:$E$100,$D$143,0)-SUM($C$145:C233)),IF($C$22="VACF",2,0)))</f>
        <v/>
      </c>
    </row>
    <row r="234" spans="2:4">
      <c r="B234" s="257">
        <v>90</v>
      </c>
      <c r="C234" s="266" t="str">
        <f t="shared" ca="1" si="5"/>
        <v/>
      </c>
      <c r="D234" s="267" t="str">
        <f ca="1">IF(OR(($B234+$D$5)&gt;112,$B234&lt;$C$75,ISNA(VLOOKUP($C$75&amp;"-1",年金金額,3,0)),VLOOKUP($B$99,$B$99:$E$99,$D$143,0)=1),"",ROUND(MAX(0,VLOOKUP($B$100,OP!$B$100:$E$100,$D$143,0)-SUM($C$145:C234)),IF($C$22="VACF",2,0)))</f>
        <v/>
      </c>
    </row>
    <row r="235" spans="2:4">
      <c r="B235" s="257">
        <v>91</v>
      </c>
      <c r="C235" s="266" t="str">
        <f t="shared" ca="1" si="5"/>
        <v/>
      </c>
      <c r="D235" s="267" t="str">
        <f ca="1">IF(OR(($B235+$D$5)&gt;112,$B235&lt;$C$75,ISNA(VLOOKUP($C$75&amp;"-1",年金金額,3,0)),VLOOKUP($B$99,$B$99:$E$99,$D$143,0)=1),"",ROUND(MAX(0,VLOOKUP($B$100,OP!$B$100:$E$100,$D$143,0)-SUM($C$145:C235)),IF($C$22="VACF",2,0)))</f>
        <v/>
      </c>
    </row>
    <row r="236" spans="2:4">
      <c r="B236" s="257">
        <v>92</v>
      </c>
      <c r="C236" s="266" t="str">
        <f t="shared" ca="1" si="5"/>
        <v/>
      </c>
      <c r="D236" s="267" t="str">
        <f ca="1">IF(OR(($B236+$D$5)&gt;112,$B236&lt;$C$75,ISNA(VLOOKUP($C$75&amp;"-1",年金金額,3,0)),VLOOKUP($B$99,$B$99:$E$99,$D$143,0)=1),"",ROUND(MAX(0,VLOOKUP($B$100,OP!$B$100:$E$100,$D$143,0)-SUM($C$145:C236)),IF($C$22="VACF",2,0)))</f>
        <v/>
      </c>
    </row>
    <row r="237" spans="2:4">
      <c r="B237" s="257">
        <v>93</v>
      </c>
      <c r="C237" s="266" t="str">
        <f t="shared" ca="1" si="5"/>
        <v/>
      </c>
      <c r="D237" s="267" t="str">
        <f ca="1">IF(OR(($B237+$D$5)&gt;112,$B237&lt;$C$75,ISNA(VLOOKUP($C$75&amp;"-1",年金金額,3,0)),VLOOKUP($B$99,$B$99:$E$99,$D$143,0)=1),"",ROUND(MAX(0,VLOOKUP($B$100,OP!$B$100:$E$100,$D$143,0)-SUM($C$145:C237)),IF($C$22="VACF",2,0)))</f>
        <v/>
      </c>
    </row>
    <row r="238" spans="2:4">
      <c r="B238" s="257">
        <v>94</v>
      </c>
      <c r="C238" s="266" t="str">
        <f t="shared" ca="1" si="5"/>
        <v/>
      </c>
      <c r="D238" s="267" t="str">
        <f ca="1">IF(OR(($B238+$D$5)&gt;112,$B238&lt;$C$75,ISNA(VLOOKUP($C$75&amp;"-1",年金金額,3,0)),VLOOKUP($B$99,$B$99:$E$99,$D$143,0)=1),"",ROUND(MAX(0,VLOOKUP($B$100,OP!$B$100:$E$100,$D$143,0)-SUM($C$145:C238)),IF($C$22="VACF",2,0)))</f>
        <v/>
      </c>
    </row>
    <row r="239" spans="2:4">
      <c r="B239" s="257">
        <v>95</v>
      </c>
      <c r="C239" s="266" t="str">
        <f t="shared" ca="1" si="5"/>
        <v/>
      </c>
      <c r="D239" s="267" t="str">
        <f ca="1">IF(OR(($B239+$D$5)&gt;112,$B239&lt;$C$75,ISNA(VLOOKUP($C$75&amp;"-1",年金金額,3,0)),VLOOKUP($B$99,$B$99:$E$99,$D$143,0)=1),"",ROUND(MAX(0,VLOOKUP($B$100,OP!$B$100:$E$100,$D$143,0)-SUM($C$145:C239)),IF($C$22="VACF",2,0)))</f>
        <v/>
      </c>
    </row>
    <row r="240" spans="2:4">
      <c r="B240" s="257">
        <v>96</v>
      </c>
      <c r="C240" s="266" t="str">
        <f t="shared" ca="1" si="5"/>
        <v/>
      </c>
      <c r="D240" s="267" t="str">
        <f ca="1">IF(OR(($B240+$D$5)&gt;112,$B240&lt;$C$75,ISNA(VLOOKUP($C$75&amp;"-1",年金金額,3,0)),VLOOKUP($B$99,$B$99:$E$99,$D$143,0)=1),"",ROUND(MAX(0,VLOOKUP($B$100,OP!$B$100:$E$100,$D$143,0)-SUM($C$145:C240)),IF($C$22="VACF",2,0)))</f>
        <v/>
      </c>
    </row>
    <row r="241" spans="2:4">
      <c r="B241" s="257">
        <v>97</v>
      </c>
      <c r="C241" s="266" t="str">
        <f t="shared" ref="C241:C256" ca="1" si="6">IF(OR(AND($C$112=1,$B241&lt;&gt;$C$75),(B241+$D$5)&gt;112,B241&lt;$C$75,ISNA(VLOOKUP($C$75&amp;"-1",年金金額,3,0))),"",ROUND(VLOOKUP($C$75&amp;"-1",年金金額,$D$143,0),IF($C$22="VACF",2,0)))</f>
        <v/>
      </c>
      <c r="D241" s="267" t="str">
        <f ca="1">IF(OR(($B241+$D$5)&gt;112,$B241&lt;$C$75,ISNA(VLOOKUP($C$75&amp;"-1",年金金額,3,0)),VLOOKUP($B$99,$B$99:$E$99,$D$143,0)=1),"",ROUND(MAX(0,VLOOKUP($B$100,OP!$B$100:$E$100,$D$143,0)-SUM($C$145:C241)),IF($C$22="VACF",2,0)))</f>
        <v/>
      </c>
    </row>
    <row r="242" spans="2:4">
      <c r="B242" s="257">
        <v>98</v>
      </c>
      <c r="C242" s="266" t="str">
        <f t="shared" ca="1" si="6"/>
        <v/>
      </c>
      <c r="D242" s="267" t="str">
        <f ca="1">IF(OR(($B242+$D$5)&gt;112,$B242&lt;$C$75,ISNA(VLOOKUP($C$75&amp;"-1",年金金額,3,0)),VLOOKUP($B$99,$B$99:$E$99,$D$143,0)=1),"",ROUND(MAX(0,VLOOKUP($B$100,OP!$B$100:$E$100,$D$143,0)-SUM($C$145:C242)),IF($C$22="VACF",2,0)))</f>
        <v/>
      </c>
    </row>
    <row r="243" spans="2:4">
      <c r="B243" s="257">
        <v>99</v>
      </c>
      <c r="C243" s="266" t="str">
        <f t="shared" ca="1" si="6"/>
        <v/>
      </c>
      <c r="D243" s="267" t="str">
        <f ca="1">IF(OR(($B243+$D$5)&gt;112,$B243&lt;$C$75,ISNA(VLOOKUP($C$75&amp;"-1",年金金額,3,0)),VLOOKUP($B$99,$B$99:$E$99,$D$143,0)=1),"",ROUND(MAX(0,VLOOKUP($B$100,OP!$B$100:$E$100,$D$143,0)-SUM($C$145:C243)),IF($C$22="VACF",2,0)))</f>
        <v/>
      </c>
    </row>
    <row r="244" spans="2:4">
      <c r="B244" s="257">
        <v>100</v>
      </c>
      <c r="C244" s="266" t="str">
        <f t="shared" ca="1" si="6"/>
        <v/>
      </c>
      <c r="D244" s="267" t="str">
        <f ca="1">IF(OR(($B244+$D$5)&gt;112,$B244&lt;$C$75,ISNA(VLOOKUP($C$75&amp;"-1",年金金額,3,0)),VLOOKUP($B$99,$B$99:$E$99,$D$143,0)=1),"",ROUND(MAX(0,VLOOKUP($B$100,OP!$B$100:$E$100,$D$143,0)-SUM($C$145:C244)),IF($C$22="VACF",2,0)))</f>
        <v/>
      </c>
    </row>
    <row r="245" spans="2:4">
      <c r="B245" s="257">
        <v>101</v>
      </c>
      <c r="C245" s="266" t="str">
        <f t="shared" ca="1" si="6"/>
        <v/>
      </c>
      <c r="D245" s="267" t="str">
        <f ca="1">IF(OR(($B245+$D$5)&gt;112,$B245&lt;$C$75,ISNA(VLOOKUP($C$75&amp;"-1",年金金額,3,0)),VLOOKUP($B$99,$B$99:$E$99,$D$143,0)=1),"",ROUND(MAX(0,VLOOKUP($B$100,OP!$B$100:$E$100,$D$143,0)-SUM($C$145:C245)),IF($C$22="VACF",2,0)))</f>
        <v/>
      </c>
    </row>
    <row r="246" spans="2:4">
      <c r="B246" s="257">
        <v>102</v>
      </c>
      <c r="C246" s="266" t="str">
        <f t="shared" ca="1" si="6"/>
        <v/>
      </c>
      <c r="D246" s="267" t="str">
        <f ca="1">IF(OR(($B246+$D$5)&gt;112,$B246&lt;$C$75,ISNA(VLOOKUP($C$75&amp;"-1",年金金額,3,0)),VLOOKUP($B$99,$B$99:$E$99,$D$143,0)=1),"",ROUND(MAX(0,VLOOKUP($B$100,OP!$B$100:$E$100,$D$143,0)-SUM($C$145:C246)),IF($C$22="VACF",2,0)))</f>
        <v/>
      </c>
    </row>
    <row r="247" spans="2:4">
      <c r="B247" s="257">
        <v>103</v>
      </c>
      <c r="C247" s="266" t="str">
        <f t="shared" ca="1" si="6"/>
        <v/>
      </c>
      <c r="D247" s="267" t="str">
        <f ca="1">IF(OR(($B247+$D$5)&gt;112,$B247&lt;$C$75,ISNA(VLOOKUP($C$75&amp;"-1",年金金額,3,0)),VLOOKUP($B$99,$B$99:$E$99,$D$143,0)=1),"",ROUND(MAX(0,VLOOKUP($B$100,OP!$B$100:$E$100,$D$143,0)-SUM($C$145:C247)),IF($C$22="VACF",2,0)))</f>
        <v/>
      </c>
    </row>
    <row r="248" spans="2:4">
      <c r="B248" s="257">
        <v>104</v>
      </c>
      <c r="C248" s="266" t="str">
        <f t="shared" ca="1" si="6"/>
        <v/>
      </c>
      <c r="D248" s="267" t="str">
        <f ca="1">IF(OR(($B248+$D$5)&gt;112,$B248&lt;$C$75,ISNA(VLOOKUP($C$75&amp;"-1",年金金額,3,0)),VLOOKUP($B$99,$B$99:$E$99,$D$143,0)=1),"",ROUND(MAX(0,VLOOKUP($B$100,OP!$B$100:$E$100,$D$143,0)-SUM($C$145:C248)),IF($C$22="VACF",2,0)))</f>
        <v/>
      </c>
    </row>
    <row r="249" spans="2:4">
      <c r="B249" s="257">
        <v>105</v>
      </c>
      <c r="C249" s="266" t="str">
        <f t="shared" ca="1" si="6"/>
        <v/>
      </c>
      <c r="D249" s="267" t="str">
        <f ca="1">IF(OR(($B249+$D$5)&gt;112,$B249&lt;$C$75,ISNA(VLOOKUP($C$75&amp;"-1",年金金額,3,0)),VLOOKUP($B$99,$B$99:$E$99,$D$143,0)=1),"",ROUND(MAX(0,VLOOKUP($B$100,OP!$B$100:$E$100,$D$143,0)-SUM($C$145:C249)),IF($C$22="VACF",2,0)))</f>
        <v/>
      </c>
    </row>
    <row r="250" spans="2:4">
      <c r="B250" s="257">
        <v>106</v>
      </c>
      <c r="C250" s="266" t="str">
        <f t="shared" ca="1" si="6"/>
        <v/>
      </c>
      <c r="D250" s="267" t="str">
        <f ca="1">IF(OR(($B250+$D$5)&gt;112,$B250&lt;$C$75,ISNA(VLOOKUP($C$75&amp;"-1",年金金額,3,0)),VLOOKUP($B$99,$B$99:$E$99,$D$143,0)=1),"",ROUND(MAX(0,VLOOKUP($B$100,OP!$B$100:$E$100,$D$143,0)-SUM($C$145:C250)),IF($C$22="VACF",2,0)))</f>
        <v/>
      </c>
    </row>
    <row r="251" spans="2:4">
      <c r="B251" s="257">
        <v>107</v>
      </c>
      <c r="C251" s="266" t="str">
        <f t="shared" ca="1" si="6"/>
        <v/>
      </c>
      <c r="D251" s="267" t="str">
        <f ca="1">IF(OR(($B251+$D$5)&gt;112,$B251&lt;$C$75,ISNA(VLOOKUP($C$75&amp;"-1",年金金額,3,0)),VLOOKUP($B$99,$B$99:$E$99,$D$143,0)=1),"",ROUND(MAX(0,VLOOKUP($B$100,OP!$B$100:$E$100,$D$143,0)-SUM($C$145:C251)),IF($C$22="VACF",2,0)))</f>
        <v/>
      </c>
    </row>
    <row r="252" spans="2:4">
      <c r="B252" s="257">
        <v>108</v>
      </c>
      <c r="C252" s="266" t="str">
        <f t="shared" ca="1" si="6"/>
        <v/>
      </c>
      <c r="D252" s="267" t="str">
        <f ca="1">IF(OR(($B252+$D$5)&gt;112,$B252&lt;$C$75,ISNA(VLOOKUP($C$75&amp;"-1",年金金額,3,0)),VLOOKUP($B$99,$B$99:$E$99,$D$143,0)=1),"",ROUND(MAX(0,VLOOKUP($B$100,OP!$B$100:$E$100,$D$143,0)-SUM($C$145:C252)),IF($C$22="VACF",2,0)))</f>
        <v/>
      </c>
    </row>
    <row r="253" spans="2:4">
      <c r="B253" s="257">
        <v>109</v>
      </c>
      <c r="C253" s="266" t="str">
        <f t="shared" ca="1" si="6"/>
        <v/>
      </c>
      <c r="D253" s="267" t="str">
        <f ca="1">IF(OR(($B253+$D$5)&gt;112,$B253&lt;$C$75,ISNA(VLOOKUP($C$75&amp;"-1",年金金額,3,0)),VLOOKUP($B$99,$B$99:$E$99,$D$143,0)=1),"",ROUND(MAX(0,VLOOKUP($B$100,OP!$B$100:$E$100,$D$143,0)-SUM($C$145:C253)),IF($C$22="VACF",2,0)))</f>
        <v/>
      </c>
    </row>
    <row r="254" spans="2:4">
      <c r="B254" s="257">
        <v>110</v>
      </c>
      <c r="C254" s="266" t="str">
        <f t="shared" ca="1" si="6"/>
        <v/>
      </c>
      <c r="D254" s="267" t="str">
        <f ca="1">IF(OR(($B254+$D$5)&gt;112,$B254&lt;$C$75,ISNA(VLOOKUP($C$75&amp;"-1",年金金額,3,0)),VLOOKUP($B$99,$B$99:$E$99,$D$143,0)=1),"",ROUND(MAX(0,VLOOKUP($B$100,OP!$B$100:$E$100,$D$143,0)-SUM($C$145:C254)),IF($C$22="VACF",2,0)))</f>
        <v/>
      </c>
    </row>
    <row r="255" spans="2:4">
      <c r="B255" s="257">
        <v>111</v>
      </c>
      <c r="C255" s="266" t="str">
        <f t="shared" ca="1" si="6"/>
        <v/>
      </c>
      <c r="D255" s="267" t="str">
        <f ca="1">IF(OR(($B255+$D$5)&gt;112,$B255&lt;$C$75,ISNA(VLOOKUP($C$75&amp;"-1",年金金額,3,0)),VLOOKUP($B$99,$B$99:$E$99,$D$143,0)=1),"",ROUND(MAX(0,VLOOKUP($B$100,OP!$B$100:$E$100,$D$143,0)-SUM($C$145:C255)),IF($C$22="VACF",2,0)))</f>
        <v/>
      </c>
    </row>
    <row r="256" spans="2:4">
      <c r="B256" s="257">
        <v>112</v>
      </c>
      <c r="C256" s="266" t="str">
        <f t="shared" ca="1" si="6"/>
        <v/>
      </c>
      <c r="D256" s="267" t="str">
        <f ca="1">IF(OR(($B256+$D$5)&gt;112,$B256&lt;$C$75,ISNA(VLOOKUP($C$75&amp;"-1",年金金額,3,0)),VLOOKUP($B$99,$B$99:$E$99,$D$143,0)=1),"",ROUND(MAX(0,VLOOKUP($B$100,OP!$B$100:$E$100,$D$143,0)-SUM($C$145:C256)),IF($C$22="VACF",2,0)))</f>
        <v/>
      </c>
    </row>
    <row r="258" spans="2:5">
      <c r="B258" t="s">
        <v>512</v>
      </c>
      <c r="C258"/>
      <c r="D258"/>
      <c r="E258"/>
    </row>
    <row r="259" spans="2:5">
      <c r="B259" t="s">
        <v>513</v>
      </c>
      <c r="C259" s="440" t="str">
        <f>輸入頁!$D$8</f>
        <v>富媽媽</v>
      </c>
      <c r="D259" t="s">
        <v>514</v>
      </c>
      <c r="E259" s="441">
        <v>1</v>
      </c>
    </row>
    <row r="260" spans="2:5">
      <c r="B260" t="s">
        <v>515</v>
      </c>
      <c r="C260" s="442" t="str">
        <f>IF(E259=0,C259,IF(OR(E260=1,C259="",C259=0)," ",IF(AND(E269=0),C261&amp;MID(C259,7,50),LEFT(C259,LEN(C259)-2)&amp;"○"&amp;RIGHT(C259,1))))</f>
        <v>富○媽</v>
      </c>
      <c r="D260" s="17" t="s">
        <v>516</v>
      </c>
      <c r="E260" s="35"/>
    </row>
    <row r="261" spans="2:5">
      <c r="B261" s="17" t="str">
        <f>IF(OR(E260=1,C259="",C259=0),"",IF(AND(E269=0),LEN(C259),""))</f>
        <v/>
      </c>
      <c r="C261" s="443" t="str">
        <f>IF(OR(B261=""),"",IF(ISERROR(VLOOKUP(B261,B262:C267,2,0)),C267,VLOOKUP(B261,B262:C267,2,0)))</f>
        <v/>
      </c>
      <c r="D261" s="444" t="s">
        <v>517</v>
      </c>
      <c r="E261" s="445">
        <f>IF(AND(ISNUMBER(C259),LEN(C259)=11),1,0)</f>
        <v>0</v>
      </c>
    </row>
    <row r="262" spans="2:5">
      <c r="B262" s="446">
        <v>1</v>
      </c>
      <c r="C262" s="446" t="s">
        <v>518</v>
      </c>
      <c r="D262" s="444" t="s">
        <v>519</v>
      </c>
      <c r="E262" s="445">
        <f>IF(AND(LEN(C259)=10,ISTEXT(LEFT(C259,1)),ISNUMBER(RIGHT(C259,1)*1)),1,0)</f>
        <v>0</v>
      </c>
    </row>
    <row r="263" spans="2:5">
      <c r="B263" s="446">
        <v>2</v>
      </c>
      <c r="C263" s="446" t="s">
        <v>520</v>
      </c>
      <c r="D263" s="444" t="s">
        <v>521</v>
      </c>
      <c r="E263" s="445">
        <f>IF(AND(ISNUMBER(C259),LEN(C259)=9),1,0)</f>
        <v>0</v>
      </c>
    </row>
    <row r="264" spans="2:5">
      <c r="B264" s="446">
        <v>3</v>
      </c>
      <c r="C264" s="446" t="s">
        <v>522</v>
      </c>
      <c r="D264" s="445"/>
      <c r="E264" s="445"/>
    </row>
    <row r="265" spans="2:5">
      <c r="B265" s="446">
        <v>4</v>
      </c>
      <c r="C265" s="446" t="s">
        <v>523</v>
      </c>
      <c r="D265" s="445"/>
      <c r="E265" s="445"/>
    </row>
    <row r="266" spans="2:5">
      <c r="B266" s="446">
        <v>5</v>
      </c>
      <c r="C266" s="446" t="s">
        <v>524</v>
      </c>
      <c r="D266" s="445"/>
      <c r="E266" s="445"/>
    </row>
    <row r="267" spans="2:5">
      <c r="B267" s="446">
        <v>6</v>
      </c>
      <c r="C267" s="446" t="s">
        <v>525</v>
      </c>
      <c r="D267" s="445"/>
      <c r="E267" s="445"/>
    </row>
    <row r="268" spans="2:5">
      <c r="B268" s="39" t="s">
        <v>526</v>
      </c>
      <c r="C268" s="447" t="str">
        <f>IF(OR(ISERROR(SEARCH(" ",C259)),CODE(C259)&gt;255),"",SEARCH(" ",C259))</f>
        <v/>
      </c>
      <c r="D268" s="445"/>
      <c r="E268" s="445"/>
    </row>
    <row r="269" spans="2:5">
      <c r="B269" s="39" t="s">
        <v>527</v>
      </c>
      <c r="C269" s="447" t="str">
        <f>IF(OR(ISERROR(SEARCH(" ",C259)),CODE(C259)&gt;255),"",UPPER(LEFT(C259,1)&amp;"."&amp;MID(C259,C268+1,1)))</f>
        <v/>
      </c>
      <c r="D269" s="17" t="s">
        <v>528</v>
      </c>
      <c r="E269" s="17">
        <f>IF(LEN(C259)*2=LENB(C259),1,0)</f>
        <v>1</v>
      </c>
    </row>
  </sheetData>
  <phoneticPr fontId="2" type="noConversion"/>
  <conditionalFormatting sqref="O4:O5 O2 O7:O13">
    <cfRule type="expression" dxfId="25" priority="1" stopIfTrue="1">
      <formula>$A$51=1</formula>
    </cfRule>
  </conditionalFormatting>
  <dataValidations count="12">
    <dataValidation type="list" allowBlank="1" showInputMessage="1" showErrorMessage="1" sqref="I102">
      <formula1>"業務、服展、北富銀,保經代"</formula1>
    </dataValidation>
    <dataValidation allowBlank="1" showInputMessage="1" showErrorMessage="1" prompt="生日-月" sqref="B3"/>
    <dataValidation allowBlank="1" showInputMessage="1" showErrorMessage="1" prompt="生日月份最終日" sqref="E3"/>
    <dataValidation allowBlank="1" showInputMessage="1" showErrorMessage="1" prompt="月驗證" sqref="E4"/>
    <dataValidation allowBlank="1" showInputMessage="1" showErrorMessage="1" prompt="日驗證" sqref="E5"/>
    <dataValidation type="list" allowBlank="1" showInputMessage="1" showErrorMessage="1" prompt="1.足歲_x000a_2.保險年齡" sqref="E16">
      <formula1>"1,2"</formula1>
    </dataValidation>
    <dataValidation allowBlank="1" showInputMessage="1" showErrorMessage="1" prompt="1.男性 2.女性" sqref="C18"/>
    <dataValidation allowBlank="1" showInputMessage="1" showErrorMessage="1" prompt="台幣小數點下四捨五入，外幣小數點下1位四捨五入" sqref="C31:C32"/>
    <dataValidation allowBlank="1" showInputMessage="1" showErrorMessage="1" prompt="台幣小數點下四捨五入，外幣小數點下捨去" sqref="C35"/>
    <dataValidation allowBlank="1" showInputMessage="1" showErrorMessage="1" prompt="1=悲觀情況_x000a_2=可能情況_x000a_3=樂觀情況" sqref="C83"/>
    <dataValidation allowBlank="1" showInputMessage="1" showErrorMessage="1" prompt="1.一次_x000a_2.分期" sqref="B99"/>
    <dataValidation allowBlank="1" showInputMessage="1" showErrorMessage="1" prompt="0-不遮_x000a_1-遮" sqref="E259"/>
  </dataValidation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1">
    <pageSetUpPr fitToPage="1"/>
  </sheetPr>
  <dimension ref="A1:O54"/>
  <sheetViews>
    <sheetView showGridLines="0" showRowColHeaders="0" tabSelected="1" topLeftCell="B1" workbookViewId="0">
      <selection activeCell="D8" sqref="D8:E8"/>
    </sheetView>
  </sheetViews>
  <sheetFormatPr defaultColWidth="0" defaultRowHeight="16.5" zeroHeight="1"/>
  <cols>
    <col min="1" max="1" width="3.625" style="25" customWidth="1"/>
    <col min="2" max="2" width="13.625" style="25" customWidth="1"/>
    <col min="3" max="3" width="9" style="242" customWidth="1"/>
    <col min="4" max="5" width="9" style="25" customWidth="1"/>
    <col min="6" max="6" width="17.25" style="25" customWidth="1"/>
    <col min="7" max="7" width="9" style="242" customWidth="1"/>
    <col min="8" max="9" width="9.625" style="25" bestFit="1" customWidth="1"/>
    <col min="10" max="10" width="15" style="25" customWidth="1"/>
    <col min="11" max="11" width="9" style="242" customWidth="1"/>
    <col min="12" max="12" width="9.125" style="25" bestFit="1" customWidth="1"/>
    <col min="13" max="13" width="12.5" style="25" bestFit="1" customWidth="1"/>
    <col min="14" max="15" width="3.625" style="25" customWidth="1"/>
    <col min="16" max="16384" width="0" style="25" hidden="1"/>
  </cols>
  <sheetData>
    <row r="1" spans="1:15" ht="9" customHeight="1">
      <c r="A1" s="230"/>
      <c r="B1" s="230"/>
      <c r="C1" s="231"/>
      <c r="D1" s="230"/>
      <c r="E1" s="230"/>
      <c r="F1" s="230"/>
      <c r="G1" s="231"/>
      <c r="H1" s="230"/>
      <c r="I1" s="230"/>
      <c r="J1" s="230"/>
      <c r="K1" s="231"/>
      <c r="L1" s="230"/>
      <c r="M1" s="230"/>
      <c r="N1" s="230"/>
      <c r="O1" s="230"/>
    </row>
    <row r="2" spans="1:15" ht="29.25" customHeight="1">
      <c r="A2" s="230"/>
      <c r="B2" s="482" t="str">
        <f>OP!C23&amp;"專案建議書"</f>
        <v>富邦人壽真有利變額年金保險專案建議書</v>
      </c>
      <c r="C2" s="482"/>
      <c r="D2" s="482"/>
      <c r="E2" s="482"/>
      <c r="F2" s="482"/>
      <c r="G2" s="482"/>
      <c r="H2" s="482"/>
      <c r="I2" s="482"/>
      <c r="J2" s="482"/>
      <c r="K2" s="482"/>
      <c r="L2" s="482"/>
      <c r="M2" s="482"/>
      <c r="N2" s="482"/>
      <c r="O2" s="230"/>
    </row>
    <row r="3" spans="1:15" ht="3" customHeight="1">
      <c r="A3" s="232"/>
      <c r="B3" s="232"/>
      <c r="C3" s="233"/>
      <c r="D3" s="232"/>
      <c r="E3" s="232"/>
      <c r="F3" s="232"/>
      <c r="G3" s="233"/>
      <c r="H3" s="232"/>
      <c r="I3" s="232"/>
      <c r="J3" s="232"/>
      <c r="K3" s="233"/>
      <c r="L3" s="232"/>
      <c r="M3" s="232"/>
      <c r="N3" s="232"/>
      <c r="O3" s="230"/>
    </row>
    <row r="4" spans="1:15" ht="4.5" customHeight="1">
      <c r="A4" s="232"/>
      <c r="B4" s="232"/>
      <c r="C4" s="231"/>
      <c r="D4" s="232"/>
      <c r="E4" s="232"/>
      <c r="F4" s="230"/>
      <c r="G4" s="231"/>
      <c r="H4" s="232"/>
      <c r="I4" s="232"/>
      <c r="J4" s="232"/>
      <c r="K4" s="233"/>
      <c r="L4" s="232"/>
      <c r="M4" s="232"/>
      <c r="N4" s="232"/>
      <c r="O4" s="230"/>
    </row>
    <row r="5" spans="1:15" ht="20.25" customHeight="1">
      <c r="A5" s="232"/>
      <c r="B5" s="232"/>
      <c r="C5" s="233"/>
      <c r="D5" s="232"/>
      <c r="E5" s="232"/>
      <c r="F5" s="232"/>
      <c r="G5" s="233"/>
      <c r="H5" s="232"/>
      <c r="I5" s="232"/>
      <c r="J5" s="328"/>
      <c r="K5" s="328"/>
      <c r="L5" s="328"/>
      <c r="M5" s="327" t="str">
        <f>IF(OP!D51=1,"首期保費需達50萬以上，請修正繳費內容","")</f>
        <v/>
      </c>
      <c r="N5" s="232"/>
      <c r="O5" s="230"/>
    </row>
    <row r="6" spans="1:15" ht="17.25" customHeight="1">
      <c r="A6" s="232"/>
      <c r="B6" s="232"/>
      <c r="C6" s="234" t="s">
        <v>200</v>
      </c>
      <c r="D6" s="232"/>
      <c r="E6" s="232"/>
      <c r="F6" s="232"/>
      <c r="G6" s="234" t="s">
        <v>201</v>
      </c>
      <c r="H6" s="232"/>
      <c r="I6" s="232"/>
      <c r="J6" s="232"/>
      <c r="K6" s="233"/>
      <c r="L6" s="232"/>
      <c r="M6" s="232"/>
      <c r="N6" s="232"/>
      <c r="O6" s="230"/>
    </row>
    <row r="7" spans="1:15" ht="3" customHeight="1">
      <c r="A7" s="232"/>
      <c r="B7" s="232"/>
      <c r="C7" s="233"/>
      <c r="D7" s="232"/>
      <c r="E7" s="232"/>
      <c r="F7" s="232"/>
      <c r="G7" s="233"/>
      <c r="H7" s="232"/>
      <c r="I7" s="232"/>
      <c r="J7" s="232"/>
      <c r="K7" s="233"/>
      <c r="L7" s="232"/>
      <c r="M7" s="232"/>
      <c r="N7" s="232"/>
      <c r="O7" s="230"/>
    </row>
    <row r="8" spans="1:15">
      <c r="A8" s="232"/>
      <c r="B8" s="232"/>
      <c r="C8" s="234" t="s">
        <v>202</v>
      </c>
      <c r="D8" s="484" t="s">
        <v>400</v>
      </c>
      <c r="E8" s="476"/>
      <c r="F8" s="232"/>
      <c r="G8" s="234" t="s">
        <v>203</v>
      </c>
      <c r="H8" s="483" t="s">
        <v>451</v>
      </c>
      <c r="I8" s="483"/>
      <c r="J8" s="232"/>
      <c r="K8" s="234" t="s">
        <v>204</v>
      </c>
      <c r="L8" s="475" t="s">
        <v>194</v>
      </c>
      <c r="M8" s="476"/>
      <c r="N8" s="205" t="str">
        <f>OP!H62</f>
        <v/>
      </c>
      <c r="O8" s="230"/>
    </row>
    <row r="9" spans="1:15" ht="3" customHeight="1">
      <c r="A9" s="232"/>
      <c r="B9" s="232"/>
      <c r="C9" s="233"/>
      <c r="D9" s="232"/>
      <c r="E9" s="232"/>
      <c r="F9" s="232"/>
      <c r="G9" s="233"/>
      <c r="H9" s="232"/>
      <c r="I9" s="232"/>
      <c r="J9" s="232"/>
      <c r="K9" s="235"/>
      <c r="L9" s="236"/>
      <c r="M9" s="236"/>
      <c r="N9" s="232"/>
      <c r="O9" s="232"/>
    </row>
    <row r="10" spans="1:15">
      <c r="A10" s="232"/>
      <c r="B10" s="232"/>
      <c r="C10" s="234" t="s">
        <v>205</v>
      </c>
      <c r="D10" s="475" t="s">
        <v>399</v>
      </c>
      <c r="E10" s="476"/>
      <c r="F10" s="232"/>
      <c r="G10" s="234" t="s">
        <v>206</v>
      </c>
      <c r="H10" s="486">
        <v>0.05</v>
      </c>
      <c r="I10" s="487"/>
      <c r="J10" s="232"/>
      <c r="K10" s="234" t="str">
        <f>IF(L8="彈性繳","","每期保險費：")</f>
        <v/>
      </c>
      <c r="L10" s="480">
        <v>50000</v>
      </c>
      <c r="M10" s="481"/>
      <c r="N10" s="236"/>
      <c r="O10" s="36" t="str">
        <f>IF(AND(L10="",L16=""),1,"")</f>
        <v/>
      </c>
    </row>
    <row r="11" spans="1:15" ht="3" customHeight="1">
      <c r="A11" s="232"/>
      <c r="B11" s="232"/>
      <c r="C11" s="233"/>
      <c r="D11" s="232"/>
      <c r="E11" s="232"/>
      <c r="F11" s="232"/>
      <c r="G11" s="233"/>
      <c r="H11" s="232"/>
      <c r="I11" s="232"/>
      <c r="J11" s="232"/>
      <c r="K11" s="235"/>
      <c r="L11" s="236"/>
      <c r="M11" s="236"/>
      <c r="N11" s="236"/>
      <c r="O11" s="230"/>
    </row>
    <row r="12" spans="1:15">
      <c r="A12" s="232"/>
      <c r="B12" s="232"/>
      <c r="C12" s="234" t="s">
        <v>207</v>
      </c>
      <c r="D12" s="475">
        <v>510505</v>
      </c>
      <c r="E12" s="476"/>
      <c r="F12" s="236"/>
      <c r="G12" s="234" t="s">
        <v>208</v>
      </c>
      <c r="H12" s="475" t="s">
        <v>412</v>
      </c>
      <c r="I12" s="476"/>
      <c r="J12" s="232"/>
      <c r="K12" s="463" t="str">
        <f>IF(L8="彈性繳","",IF(M13&lt;L13,"",TEXT(L13,"#,##0 元")&amp;" ~ "&amp;TEXT(M13,"#,##0 元")))</f>
        <v/>
      </c>
      <c r="L12" s="463"/>
      <c r="M12" s="463"/>
      <c r="N12" s="236"/>
      <c r="O12" s="230"/>
    </row>
    <row r="13" spans="1:15" ht="3" customHeight="1">
      <c r="A13" s="232"/>
      <c r="B13" s="232"/>
      <c r="C13" s="233"/>
      <c r="D13" s="232"/>
      <c r="E13" s="232"/>
      <c r="F13" s="236"/>
      <c r="G13" s="235"/>
      <c r="H13" s="236"/>
      <c r="I13" s="236"/>
      <c r="J13" s="232"/>
      <c r="K13" s="235"/>
      <c r="L13" s="237">
        <f>IF(H8="VBCT",2000,2000)</f>
        <v>2000</v>
      </c>
      <c r="M13" s="237">
        <f>IF(OP!$C$22="VABT",OP!$L$58-IF(L36&gt;L20,0,L32),IF(OP!$C$22="VBCT",MIN(OP!$L$59,OP!$L$58-IF(L36&gt;L20,0,L32)),""))</f>
        <v>60000000</v>
      </c>
      <c r="N13" s="236"/>
      <c r="O13" s="230"/>
    </row>
    <row r="14" spans="1:15">
      <c r="A14" s="232"/>
      <c r="B14" s="232"/>
      <c r="C14" s="234" t="s">
        <v>209</v>
      </c>
      <c r="D14" s="467">
        <f ca="1">OP!D5</f>
        <v>55</v>
      </c>
      <c r="E14" s="467"/>
      <c r="F14" s="236"/>
      <c r="G14" s="234" t="s">
        <v>269</v>
      </c>
      <c r="H14" s="473">
        <v>5</v>
      </c>
      <c r="I14" s="473"/>
      <c r="J14" s="232"/>
      <c r="K14" s="234"/>
      <c r="L14" s="238"/>
      <c r="M14" s="239" t="str">
        <f>IF(O10=1,"請設定繳費金額",IF(L8="月繳","月繳首期須繳 2個月共"&amp;TEXT(OP!$C$122,"#,##0 元"),""))</f>
        <v/>
      </c>
      <c r="N14" s="236"/>
      <c r="O14" s="230"/>
    </row>
    <row r="15" spans="1:15" ht="3" customHeight="1">
      <c r="A15" s="232"/>
      <c r="B15" s="408"/>
      <c r="C15" s="409"/>
      <c r="D15" s="408"/>
      <c r="E15" s="408"/>
      <c r="F15" s="410"/>
      <c r="G15" s="411"/>
      <c r="H15" s="410"/>
      <c r="I15" s="410"/>
      <c r="J15" s="408"/>
      <c r="K15" s="411"/>
      <c r="L15" s="410"/>
      <c r="M15" s="410"/>
      <c r="N15" s="410"/>
      <c r="O15" s="230"/>
    </row>
    <row r="16" spans="1:15" ht="17.25" customHeight="1">
      <c r="A16" s="232"/>
      <c r="B16" s="408"/>
      <c r="C16" s="234" t="s">
        <v>210</v>
      </c>
      <c r="D16" s="467">
        <f ca="1">OP!D6</f>
        <v>55</v>
      </c>
      <c r="E16" s="467"/>
      <c r="F16" s="232"/>
      <c r="G16" s="234" t="s">
        <v>211</v>
      </c>
      <c r="H16" s="478">
        <v>1120602</v>
      </c>
      <c r="I16" s="479"/>
      <c r="J16" s="408"/>
      <c r="K16" s="412" t="s">
        <v>405</v>
      </c>
      <c r="L16" s="480">
        <v>2000000</v>
      </c>
      <c r="M16" s="481"/>
      <c r="N16" s="410"/>
      <c r="O16" s="230"/>
    </row>
    <row r="17" spans="1:15" ht="3" customHeight="1">
      <c r="A17" s="232"/>
      <c r="B17" s="408"/>
      <c r="C17" s="233"/>
      <c r="D17" s="232"/>
      <c r="E17" s="232"/>
      <c r="F17" s="236"/>
      <c r="G17" s="235"/>
      <c r="H17" s="236"/>
      <c r="I17" s="236"/>
      <c r="J17" s="408"/>
      <c r="K17" s="235"/>
      <c r="L17" s="237"/>
      <c r="M17" s="237"/>
      <c r="N17" s="410"/>
      <c r="O17" s="230"/>
    </row>
    <row r="18" spans="1:15" ht="17.25" customHeight="1">
      <c r="A18" s="232"/>
      <c r="B18" s="408"/>
      <c r="C18" s="234" t="s">
        <v>212</v>
      </c>
      <c r="D18" s="460" t="str">
        <f>TEXT(OP!$C$16,"0 歲 ~ ")&amp;TEXT(OP!$C$15,"0 歲")</f>
        <v>0 歲 ~ 80 歲</v>
      </c>
      <c r="E18" s="460"/>
      <c r="F18" s="477" t="str">
        <f ca="1">$H$19&amp;" ~ "&amp;$I$19</f>
        <v>1120602 ~ 1520602</v>
      </c>
      <c r="G18" s="477"/>
      <c r="H18" s="477"/>
      <c r="I18" s="477"/>
      <c r="J18" s="408"/>
      <c r="K18" s="463" t="str">
        <f>IF(M19&lt;L19,"分期或彈性繳費錯誤",TEXT(L19,"#,##0 元")&amp;" ~ "&amp;TEXT(M19,"#,##0 元"))</f>
        <v>500,000 元 ~ 60,000,000 元</v>
      </c>
      <c r="L18" s="463"/>
      <c r="M18" s="463"/>
      <c r="N18" s="410"/>
      <c r="O18" s="230"/>
    </row>
    <row r="19" spans="1:15" ht="3" customHeight="1">
      <c r="A19" s="232"/>
      <c r="B19" s="408"/>
      <c r="C19" s="409"/>
      <c r="D19" s="408"/>
      <c r="E19" s="408"/>
      <c r="F19" s="236"/>
      <c r="G19" s="235"/>
      <c r="H19" s="237">
        <f ca="1">OP!L108</f>
        <v>1120602</v>
      </c>
      <c r="I19" s="237">
        <f ca="1">OP!L109</f>
        <v>1520602</v>
      </c>
      <c r="J19" s="408"/>
      <c r="K19" s="235"/>
      <c r="L19" s="237">
        <f>IF(L8="彈性繳",500000,MAX(500000,L10*O12))</f>
        <v>500000</v>
      </c>
      <c r="M19" s="237">
        <f>M13</f>
        <v>60000000</v>
      </c>
      <c r="N19" s="410"/>
      <c r="O19" s="230"/>
    </row>
    <row r="20" spans="1:15">
      <c r="A20" s="232"/>
      <c r="B20" s="232"/>
      <c r="C20" s="25"/>
      <c r="G20" s="234" t="s">
        <v>214</v>
      </c>
      <c r="H20" s="460">
        <f ca="1">IF(H16="","",OP!C75)</f>
        <v>7</v>
      </c>
      <c r="I20" s="460"/>
      <c r="J20" s="232"/>
      <c r="K20" s="234" t="s">
        <v>213</v>
      </c>
      <c r="L20" s="475">
        <v>1</v>
      </c>
      <c r="M20" s="476"/>
      <c r="N20" s="236"/>
      <c r="O20" s="230"/>
    </row>
    <row r="21" spans="1:15" ht="3" customHeight="1">
      <c r="A21" s="232"/>
      <c r="B21" s="232"/>
      <c r="C21" s="25"/>
      <c r="G21" s="25"/>
      <c r="J21" s="232"/>
      <c r="K21" s="235"/>
      <c r="L21" s="236"/>
      <c r="M21" s="236"/>
      <c r="N21" s="236"/>
      <c r="O21" s="230"/>
    </row>
    <row r="22" spans="1:15" ht="17.25" customHeight="1">
      <c r="A22" s="232"/>
      <c r="B22" s="474" t="str">
        <f ca="1">OP!D14&amp;"
"&amp;OP!D17&amp;"
"&amp;OP!D19</f>
        <v xml:space="preserve">
</v>
      </c>
      <c r="C22" s="474"/>
      <c r="D22" s="474"/>
      <c r="E22" s="474"/>
      <c r="G22" s="234" t="s">
        <v>260</v>
      </c>
      <c r="H22" s="464">
        <f>OP!$C$69</f>
        <v>1.4999999999999999E-2</v>
      </c>
      <c r="I22" s="464"/>
      <c r="J22" s="232"/>
      <c r="K22" s="231"/>
      <c r="L22" s="460" t="str">
        <f>IF(H16="","",L23&amp;" ~ "&amp;M23&amp;"年")</f>
        <v>1 ~ 1年</v>
      </c>
      <c r="M22" s="460"/>
      <c r="N22" s="236"/>
      <c r="O22" s="230"/>
    </row>
    <row r="23" spans="1:15" ht="3" customHeight="1">
      <c r="A23" s="232"/>
      <c r="B23" s="474"/>
      <c r="C23" s="474"/>
      <c r="D23" s="474"/>
      <c r="E23" s="474"/>
      <c r="G23" s="25"/>
      <c r="J23" s="232"/>
      <c r="K23" s="235"/>
      <c r="L23" s="205">
        <v>1</v>
      </c>
      <c r="M23" s="205">
        <f>IF(L8="彈性繳",1,OP!$E$66)</f>
        <v>1</v>
      </c>
      <c r="N23" s="236"/>
      <c r="O23" s="230"/>
    </row>
    <row r="24" spans="1:15">
      <c r="A24" s="232"/>
      <c r="B24" s="474"/>
      <c r="C24" s="474"/>
      <c r="D24" s="474"/>
      <c r="E24" s="474"/>
      <c r="F24" s="469" t="str">
        <f>OP!D87&amp;OP!D38</f>
        <v/>
      </c>
      <c r="G24" s="469"/>
      <c r="H24" s="469"/>
      <c r="I24" s="469"/>
      <c r="J24" s="232"/>
      <c r="K24" s="234" t="str">
        <f>IF(L8="彈性繳","繳費方式：","首期繳費方式：")</f>
        <v>繳費方式：</v>
      </c>
      <c r="L24" s="470" t="s">
        <v>63</v>
      </c>
      <c r="M24" s="471"/>
      <c r="N24" s="236"/>
      <c r="O24" s="36">
        <f>OP!H82</f>
        <v>1</v>
      </c>
    </row>
    <row r="25" spans="1:15" ht="3" customHeight="1">
      <c r="A25" s="232"/>
      <c r="B25" s="474"/>
      <c r="C25" s="474"/>
      <c r="D25" s="474"/>
      <c r="E25" s="474"/>
      <c r="F25" s="236"/>
      <c r="G25" s="235"/>
      <c r="H25" s="236"/>
      <c r="I25" s="236"/>
      <c r="J25" s="232"/>
      <c r="K25" s="235"/>
      <c r="L25" s="230"/>
      <c r="M25" s="230"/>
      <c r="N25" s="236"/>
      <c r="O25" s="36"/>
    </row>
    <row r="26" spans="1:15" ht="17.25" customHeight="1">
      <c r="A26" s="232"/>
      <c r="B26" s="474"/>
      <c r="C26" s="474"/>
      <c r="D26" s="474"/>
      <c r="E26" s="474"/>
      <c r="F26" s="232"/>
      <c r="J26" s="236"/>
      <c r="K26" s="234" t="str">
        <f>IF(L8="彈性繳","","續期繳費方式：")</f>
        <v/>
      </c>
      <c r="L26" s="470" t="s">
        <v>63</v>
      </c>
      <c r="M26" s="471"/>
      <c r="N26" s="236"/>
      <c r="O26" s="36">
        <f>OP!H87</f>
        <v>1</v>
      </c>
    </row>
    <row r="27" spans="1:15" ht="3" customHeight="1">
      <c r="A27" s="232"/>
      <c r="B27" s="313"/>
      <c r="C27" s="313"/>
      <c r="D27" s="313"/>
      <c r="E27" s="313"/>
      <c r="F27" s="232"/>
      <c r="J27" s="236"/>
      <c r="K27" s="235"/>
      <c r="L27" s="236"/>
      <c r="M27" s="236"/>
      <c r="N27" s="236"/>
      <c r="O27" s="36"/>
    </row>
    <row r="28" spans="1:15" ht="24.75" customHeight="1">
      <c r="A28" s="232"/>
      <c r="C28" s="124"/>
      <c r="D28" s="123"/>
      <c r="E28" s="123"/>
      <c r="F28" s="232"/>
      <c r="G28" s="25"/>
      <c r="J28" s="236"/>
      <c r="K28" s="231"/>
      <c r="L28" s="230"/>
      <c r="M28" s="230"/>
      <c r="N28" s="236"/>
      <c r="O28" s="36"/>
    </row>
    <row r="29" spans="1:15" ht="17.25" hidden="1" customHeight="1">
      <c r="A29" s="232"/>
      <c r="C29" s="124"/>
      <c r="D29" s="123"/>
      <c r="E29" s="123"/>
      <c r="F29" s="232"/>
      <c r="G29" s="235"/>
      <c r="H29" s="236"/>
      <c r="I29" s="236"/>
      <c r="J29" s="236"/>
      <c r="K29" s="235"/>
      <c r="L29" s="236"/>
      <c r="M29" s="414" t="s">
        <v>409</v>
      </c>
      <c r="N29" s="236"/>
      <c r="O29" s="36"/>
    </row>
    <row r="30" spans="1:15" ht="17.25" hidden="1" customHeight="1">
      <c r="A30" s="232"/>
      <c r="C30" s="329"/>
      <c r="D30" s="472"/>
      <c r="E30" s="473"/>
      <c r="F30" s="232"/>
      <c r="G30" s="25"/>
      <c r="J30" s="236"/>
      <c r="K30" s="234" t="s">
        <v>204</v>
      </c>
      <c r="L30" s="467" t="s">
        <v>194</v>
      </c>
      <c r="M30" s="467"/>
      <c r="N30" s="236"/>
      <c r="O30" s="36"/>
    </row>
    <row r="31" spans="1:15" ht="3" hidden="1" customHeight="1" thickBot="1">
      <c r="A31" s="232"/>
      <c r="C31" s="124"/>
      <c r="D31" s="123"/>
      <c r="E31" s="123"/>
      <c r="F31" s="232"/>
      <c r="G31" s="235"/>
      <c r="H31" s="236"/>
      <c r="I31" s="236"/>
      <c r="J31" s="236"/>
      <c r="K31" s="235"/>
      <c r="L31" s="236"/>
      <c r="M31" s="236"/>
      <c r="N31" s="236"/>
      <c r="O31" s="36"/>
    </row>
    <row r="32" spans="1:15" ht="17.25" hidden="1" thickBot="1">
      <c r="A32" s="232"/>
      <c r="C32" s="124"/>
      <c r="D32" s="123"/>
      <c r="E32" s="123"/>
      <c r="F32" s="232"/>
      <c r="G32" s="234" t="s">
        <v>453</v>
      </c>
      <c r="H32" s="237">
        <f>OP!C142</f>
        <v>10000</v>
      </c>
      <c r="I32" s="236"/>
      <c r="J32" s="232"/>
      <c r="K32" s="234" t="s">
        <v>215</v>
      </c>
      <c r="L32" s="465"/>
      <c r="M32" s="466"/>
      <c r="N32" s="236"/>
      <c r="O32" s="36"/>
    </row>
    <row r="33" spans="1:15" ht="3" hidden="1" customHeight="1" thickBot="1">
      <c r="A33" s="232"/>
      <c r="C33" s="124"/>
      <c r="D33" s="123"/>
      <c r="E33" s="123"/>
      <c r="F33" s="232"/>
      <c r="G33" s="235"/>
      <c r="H33" s="236"/>
      <c r="I33" s="236"/>
      <c r="J33" s="232"/>
      <c r="K33" s="235"/>
      <c r="L33" s="236"/>
      <c r="M33" s="236"/>
      <c r="N33" s="236"/>
      <c r="O33" s="36"/>
    </row>
    <row r="34" spans="1:15" ht="17.25" hidden="1" thickBot="1">
      <c r="A34" s="232"/>
      <c r="C34" s="124"/>
      <c r="D34" s="123"/>
      <c r="E34" s="123"/>
      <c r="F34" s="232"/>
      <c r="G34" s="234" t="s">
        <v>321</v>
      </c>
      <c r="H34" s="465"/>
      <c r="I34" s="485"/>
      <c r="J34" s="232"/>
      <c r="K34" s="463" t="str">
        <f>IF(M35&lt;L35,"已超過繳費上限",TEXT(L35,"#,##0 元")&amp;" ~ "&amp;TEXT(M35,"#,##0 元"))</f>
        <v>2,000 元 ~ 59,950,000 元</v>
      </c>
      <c r="L34" s="463"/>
      <c r="M34" s="463"/>
      <c r="N34" s="236"/>
      <c r="O34" s="36"/>
    </row>
    <row r="35" spans="1:15" ht="3" hidden="1" customHeight="1" thickBot="1">
      <c r="A35" s="232"/>
      <c r="C35" s="124"/>
      <c r="D35" s="123"/>
      <c r="E35" s="123"/>
      <c r="F35" s="232"/>
      <c r="G35" s="235"/>
      <c r="H35" s="236"/>
      <c r="I35" s="236"/>
      <c r="J35" s="236"/>
      <c r="K35" s="235"/>
      <c r="L35" s="237">
        <f>IF(H8="VABT",2000,2000)</f>
        <v>2000</v>
      </c>
      <c r="M35" s="240">
        <f>IF(OP!$C$22="VABT",OP!$L$58-IF(L36&gt;L20,0,L10),IF(OP!$C$22="VBCT",MIN(OP!$L$59,OP!$L$58-IF(L36&gt;L20,0,L10)),""))</f>
        <v>59950000</v>
      </c>
      <c r="N35" s="236"/>
      <c r="O35" s="36"/>
    </row>
    <row r="36" spans="1:15" ht="17.25" hidden="1" thickBot="1">
      <c r="A36" s="232"/>
      <c r="C36" s="329"/>
      <c r="D36" s="468"/>
      <c r="E36" s="468"/>
      <c r="F36" s="236"/>
      <c r="G36" s="233" t="s">
        <v>270</v>
      </c>
      <c r="H36" s="488" t="str">
        <f>"每次最低"&amp;TEXT(H32," #,##0 元")</f>
        <v>每次最低 10,000 元</v>
      </c>
      <c r="I36" s="488"/>
      <c r="J36" s="236"/>
      <c r="K36" s="234" t="s">
        <v>217</v>
      </c>
      <c r="L36" s="461"/>
      <c r="M36" s="462"/>
      <c r="N36" s="236"/>
      <c r="O36" s="36"/>
    </row>
    <row r="37" spans="1:15" ht="3" hidden="1" customHeight="1" thickBot="1">
      <c r="A37" s="230"/>
      <c r="C37" s="124"/>
      <c r="D37" s="123"/>
      <c r="E37" s="123"/>
      <c r="F37" s="232"/>
      <c r="G37" s="235"/>
      <c r="H37" s="237"/>
      <c r="I37" s="237">
        <v>10000</v>
      </c>
      <c r="J37" s="236"/>
      <c r="K37" s="231"/>
      <c r="L37" s="230"/>
      <c r="M37" s="230"/>
      <c r="N37" s="236"/>
      <c r="O37" s="36"/>
    </row>
    <row r="38" spans="1:15" ht="17.25" hidden="1" thickBot="1">
      <c r="A38" s="230"/>
      <c r="C38" s="329"/>
      <c r="D38" s="464"/>
      <c r="E38" s="464"/>
      <c r="F38" s="232"/>
      <c r="G38" s="234" t="s">
        <v>322</v>
      </c>
      <c r="H38" s="461"/>
      <c r="I38" s="485"/>
      <c r="J38" s="236"/>
      <c r="K38" s="231"/>
      <c r="L38" s="460" t="str">
        <f ca="1">IF(H16="","",L39&amp;" ~ "&amp;M39&amp;"年")</f>
        <v>2 ~ 6年</v>
      </c>
      <c r="M38" s="460"/>
      <c r="N38" s="236"/>
      <c r="O38" s="36"/>
    </row>
    <row r="39" spans="1:15" ht="3" hidden="1" customHeight="1" thickBot="1">
      <c r="A39" s="230"/>
      <c r="C39" s="124"/>
      <c r="D39" s="123"/>
      <c r="E39" s="123"/>
      <c r="F39" s="232"/>
      <c r="G39" s="235"/>
      <c r="H39" s="236"/>
      <c r="I39" s="236"/>
      <c r="J39" s="236"/>
      <c r="K39" s="233"/>
      <c r="L39" s="205">
        <v>2</v>
      </c>
      <c r="M39" s="205">
        <f ca="1">MIN(OP!$E$66,L40)</f>
        <v>6</v>
      </c>
      <c r="N39" s="236"/>
      <c r="O39" s="36"/>
    </row>
    <row r="40" spans="1:15" ht="17.25" hidden="1" thickBot="1">
      <c r="A40" s="230"/>
      <c r="B40" s="306" t="str">
        <f>IF(OP!$C$136="","",OP!$C$136)</f>
        <v/>
      </c>
      <c r="C40" s="124"/>
      <c r="D40" s="123"/>
      <c r="E40" s="123"/>
      <c r="F40" s="232"/>
      <c r="G40" s="231"/>
      <c r="H40" s="460" t="str">
        <f ca="1">IF(H16="","",H41&amp;" ~ "&amp;I41&amp;"年")</f>
        <v>1 ~ 6年</v>
      </c>
      <c r="I40" s="460"/>
      <c r="J40" s="236"/>
      <c r="K40" s="234" t="s">
        <v>218</v>
      </c>
      <c r="L40" s="461"/>
      <c r="M40" s="462"/>
      <c r="N40" s="236"/>
      <c r="O40" s="36"/>
    </row>
    <row r="41" spans="1:15" ht="3" hidden="1" customHeight="1" thickBot="1">
      <c r="A41" s="230"/>
      <c r="F41" s="236"/>
      <c r="G41" s="235"/>
      <c r="H41" s="237">
        <v>1</v>
      </c>
      <c r="I41" s="237">
        <f ca="1">OP!$E$66</f>
        <v>6</v>
      </c>
      <c r="J41" s="236"/>
      <c r="K41" s="233"/>
      <c r="L41" s="230"/>
      <c r="M41" s="230"/>
      <c r="N41" s="236"/>
      <c r="O41" s="36"/>
    </row>
    <row r="42" spans="1:15" ht="17.25" hidden="1" thickBot="1">
      <c r="A42" s="230"/>
      <c r="F42" s="236"/>
      <c r="G42" s="234" t="s">
        <v>323</v>
      </c>
      <c r="H42" s="461"/>
      <c r="I42" s="485"/>
      <c r="J42" s="236"/>
      <c r="K42" s="231"/>
      <c r="L42" s="460" t="str">
        <f ca="1">IF(H16="","",IF(OR(L36&lt;L39,L36&gt;M39),"請先設定開始年度",L43&amp;" ~ "&amp;M43&amp;"年"))</f>
        <v>請先設定開始年度</v>
      </c>
      <c r="M42" s="460"/>
      <c r="N42" s="236"/>
      <c r="O42" s="36"/>
    </row>
    <row r="43" spans="1:15" ht="3" hidden="1" customHeight="1" thickBot="1">
      <c r="A43" s="230"/>
      <c r="F43" s="236"/>
      <c r="G43" s="235"/>
      <c r="H43" s="230"/>
      <c r="I43" s="230"/>
      <c r="J43" s="236"/>
      <c r="K43" s="233"/>
      <c r="L43" s="205">
        <f>MAX(1,L36)</f>
        <v>1</v>
      </c>
      <c r="M43" s="205">
        <f ca="1">OP!$E$66</f>
        <v>6</v>
      </c>
      <c r="N43" s="236"/>
      <c r="O43" s="36"/>
    </row>
    <row r="44" spans="1:15" ht="17.25" hidden="1" thickBot="1">
      <c r="A44" s="230"/>
      <c r="F44" s="236"/>
      <c r="G44" s="231"/>
      <c r="H44" s="460" t="str">
        <f ca="1">IF(H16="","",IF(OR(H38&lt;H41,H38&gt;I41),"請先設定開始年度",H45&amp;" ~ "&amp;I45&amp;"年"))</f>
        <v>請先設定開始年度</v>
      </c>
      <c r="I44" s="460"/>
      <c r="J44" s="236"/>
      <c r="K44" s="234" t="s">
        <v>216</v>
      </c>
      <c r="L44" s="458" t="s">
        <v>63</v>
      </c>
      <c r="M44" s="459"/>
      <c r="N44" s="236"/>
      <c r="O44" s="36">
        <f>OP!H92</f>
        <v>1</v>
      </c>
    </row>
    <row r="45" spans="1:15" ht="3" hidden="1" customHeight="1">
      <c r="A45" s="230"/>
      <c r="F45" s="230"/>
      <c r="G45" s="231"/>
      <c r="H45" s="237">
        <f>MAX(1,H38)</f>
        <v>1</v>
      </c>
      <c r="I45" s="237">
        <f ca="1">OP!$E$66</f>
        <v>6</v>
      </c>
      <c r="J45" s="232"/>
      <c r="K45" s="233"/>
      <c r="L45" s="230"/>
      <c r="M45" s="230"/>
      <c r="N45" s="230"/>
      <c r="O45" s="290"/>
    </row>
    <row r="46" spans="1:15">
      <c r="A46" s="230"/>
      <c r="F46" s="230"/>
      <c r="G46" s="231"/>
      <c r="H46" s="230"/>
      <c r="I46" s="230"/>
      <c r="J46" s="230"/>
      <c r="K46" s="231"/>
      <c r="L46" s="230"/>
      <c r="M46" s="230"/>
      <c r="N46" s="230"/>
      <c r="O46" s="36"/>
    </row>
    <row r="47" spans="1:15">
      <c r="A47" s="230"/>
      <c r="B47" s="241" t="str">
        <f>OP!C55</f>
        <v>V4.2-1060517</v>
      </c>
      <c r="C47" s="231"/>
      <c r="D47" s="243"/>
      <c r="E47" s="230"/>
      <c r="F47" s="230"/>
      <c r="G47" s="256" t="str">
        <f>IF(H8="VADF","本保險計價幣別：美元","本保險計價幣別：新台幣")</f>
        <v>本保險計價幣別：新台幣</v>
      </c>
      <c r="H47" s="230"/>
      <c r="I47" s="230"/>
      <c r="J47" s="230"/>
      <c r="K47" s="234" t="str">
        <f>OP!H102&amp;OP!I102</f>
        <v>適用通路：業務、服展、北富銀</v>
      </c>
      <c r="L47" s="230"/>
      <c r="M47" s="230"/>
      <c r="N47" s="234" t="str">
        <f ca="1">"試算日："&amp;TEXT(TODAY(),"EEMMDD")</f>
        <v>試算日：1060602</v>
      </c>
      <c r="O47" s="230"/>
    </row>
    <row r="48" spans="1:15"/>
    <row r="49" spans="6:6" hidden="1">
      <c r="F49" s="203"/>
    </row>
    <row r="50" spans="6:6" hidden="1"/>
    <row r="51" spans="6:6" hidden="1"/>
    <row r="52" spans="6:6" hidden="1"/>
    <row r="53" spans="6:6" hidden="1"/>
    <row r="54" spans="6:6" hidden="1"/>
  </sheetData>
  <sheetProtection password="F4D4" sheet="1" objects="1" scenarios="1" selectLockedCells="1"/>
  <mergeCells count="43">
    <mergeCell ref="H42:I42"/>
    <mergeCell ref="H10:I10"/>
    <mergeCell ref="H40:I40"/>
    <mergeCell ref="H38:I38"/>
    <mergeCell ref="D12:E12"/>
    <mergeCell ref="H34:I34"/>
    <mergeCell ref="H36:I36"/>
    <mergeCell ref="D10:E10"/>
    <mergeCell ref="D16:E16"/>
    <mergeCell ref="H14:I14"/>
    <mergeCell ref="B2:N2"/>
    <mergeCell ref="H8:I8"/>
    <mergeCell ref="L10:M10"/>
    <mergeCell ref="D8:E8"/>
    <mergeCell ref="K12:M12"/>
    <mergeCell ref="L8:M8"/>
    <mergeCell ref="H12:I12"/>
    <mergeCell ref="L20:M20"/>
    <mergeCell ref="H20:I20"/>
    <mergeCell ref="F18:I18"/>
    <mergeCell ref="D14:E14"/>
    <mergeCell ref="H16:I16"/>
    <mergeCell ref="D18:E18"/>
    <mergeCell ref="L16:M16"/>
    <mergeCell ref="K18:M18"/>
    <mergeCell ref="L40:M40"/>
    <mergeCell ref="D38:E38"/>
    <mergeCell ref="D36:E36"/>
    <mergeCell ref="F24:I24"/>
    <mergeCell ref="L24:M24"/>
    <mergeCell ref="L26:M26"/>
    <mergeCell ref="D30:E30"/>
    <mergeCell ref="B22:E26"/>
    <mergeCell ref="L44:M44"/>
    <mergeCell ref="L38:M38"/>
    <mergeCell ref="L36:M36"/>
    <mergeCell ref="K34:M34"/>
    <mergeCell ref="H22:I22"/>
    <mergeCell ref="H44:I44"/>
    <mergeCell ref="L32:M32"/>
    <mergeCell ref="L42:M42"/>
    <mergeCell ref="L30:M30"/>
    <mergeCell ref="L22:M22"/>
  </mergeCells>
  <phoneticPr fontId="2" type="noConversion"/>
  <conditionalFormatting sqref="H38">
    <cfRule type="cellIs" dxfId="24" priority="6" stopIfTrue="1" operator="notBetween">
      <formula>$H$41</formula>
      <formula>$I$41</formula>
    </cfRule>
  </conditionalFormatting>
  <conditionalFormatting sqref="H42">
    <cfRule type="cellIs" dxfId="23" priority="7" stopIfTrue="1" operator="notBetween">
      <formula>$H$45</formula>
      <formula>$I$45</formula>
    </cfRule>
  </conditionalFormatting>
  <conditionalFormatting sqref="H34">
    <cfRule type="cellIs" dxfId="22" priority="21" stopIfTrue="1" operator="lessThan">
      <formula>$H$32</formula>
    </cfRule>
  </conditionalFormatting>
  <conditionalFormatting sqref="H16:I16">
    <cfRule type="cellIs" dxfId="21" priority="8" stopIfTrue="1" operator="notBetween">
      <formula>$H$19</formula>
      <formula>$I$19</formula>
    </cfRule>
  </conditionalFormatting>
  <conditionalFormatting sqref="L20:M20">
    <cfRule type="cellIs" dxfId="20" priority="9" stopIfTrue="1" operator="notBetween">
      <formula>$L$23</formula>
      <formula>$M$23</formula>
    </cfRule>
  </conditionalFormatting>
  <conditionalFormatting sqref="L10:M10">
    <cfRule type="expression" dxfId="19" priority="3" stopIfTrue="1">
      <formula>$L$8="彈性繳"</formula>
    </cfRule>
    <cfRule type="cellIs" dxfId="18" priority="10" stopIfTrue="1" operator="notBetween">
      <formula>$L$13</formula>
      <formula>$M$13</formula>
    </cfRule>
  </conditionalFormatting>
  <conditionalFormatting sqref="G14:I14">
    <cfRule type="expression" dxfId="17" priority="17" stopIfTrue="1">
      <formula>$H$12="一次年金"</formula>
    </cfRule>
  </conditionalFormatting>
  <conditionalFormatting sqref="L8:M8">
    <cfRule type="expression" dxfId="16" priority="18" stopIfTrue="1">
      <formula>$N$8=1</formula>
    </cfRule>
  </conditionalFormatting>
  <conditionalFormatting sqref="L24:M24">
    <cfRule type="cellIs" dxfId="15" priority="29" stopIfTrue="1" operator="equal">
      <formula>""</formula>
    </cfRule>
    <cfRule type="expression" dxfId="14" priority="30" stopIfTrue="1">
      <formula>$O$24&lt;&gt;1</formula>
    </cfRule>
  </conditionalFormatting>
  <conditionalFormatting sqref="L26:M26">
    <cfRule type="expression" dxfId="13" priority="2" stopIfTrue="1">
      <formula>$L$8="彈性繳"</formula>
    </cfRule>
    <cfRule type="expression" dxfId="12" priority="32" stopIfTrue="1">
      <formula>$O$26&lt;&gt;1</formula>
    </cfRule>
  </conditionalFormatting>
  <conditionalFormatting sqref="L44:M44">
    <cfRule type="cellIs" dxfId="11" priority="33" stopIfTrue="1" operator="equal">
      <formula>""</formula>
    </cfRule>
    <cfRule type="expression" dxfId="10" priority="34" stopIfTrue="1">
      <formula>$O$44&lt;&gt;1</formula>
    </cfRule>
  </conditionalFormatting>
  <conditionalFormatting sqref="L40:M40">
    <cfRule type="expression" dxfId="9" priority="35" stopIfTrue="1">
      <formula>$L$40=""</formula>
    </cfRule>
    <cfRule type="expression" dxfId="8" priority="36" stopIfTrue="1">
      <formula>OR($L$40&lt;$L$43,$L$40&gt;$M$43)</formula>
    </cfRule>
  </conditionalFormatting>
  <conditionalFormatting sqref="L36:M36">
    <cfRule type="expression" dxfId="7" priority="37" stopIfTrue="1">
      <formula>$L$36=""</formula>
    </cfRule>
    <cfRule type="expression" dxfId="6" priority="38" stopIfTrue="1">
      <formula>OR($L$36&lt;$L$39,$L$36&gt;$M$39)</formula>
    </cfRule>
  </conditionalFormatting>
  <conditionalFormatting sqref="L16:M16">
    <cfRule type="expression" dxfId="5" priority="1" stopIfTrue="1">
      <formula>OR($L$16&lt;$L$19,$L$16&gt;$M$19)</formula>
    </cfRule>
  </conditionalFormatting>
  <dataValidations xWindow="635" yWindow="589" count="18">
    <dataValidation type="whole" allowBlank="1" showInputMessage="1" showErrorMessage="1" sqref="L40:M40">
      <formula1>L43</formula1>
      <formula2>M43</formula2>
    </dataValidation>
    <dataValidation type="whole" allowBlank="1" showInputMessage="1" sqref="L36:M36">
      <formula1>L39</formula1>
      <formula2>M39</formula2>
    </dataValidation>
    <dataValidation type="whole" operator="greaterThanOrEqual" allowBlank="1" showInputMessage="1" prompt="如不設定部分提領請按'Delete'或用滑鼠右鍵選擇'清除內容'，清空本欄位數值。請勿輸入' 0 '。" sqref="H34">
      <formula1>H32</formula1>
    </dataValidation>
    <dataValidation type="whole" allowBlank="1" showInputMessage="1" showErrorMessage="1" sqref="H38">
      <formula1>$H$41</formula1>
      <formula2>$I$41</formula2>
    </dataValidation>
    <dataValidation type="whole" allowBlank="1" showInputMessage="1" showErrorMessage="1" sqref="H42">
      <formula1>$H$45</formula1>
      <formula2>$I$45</formula2>
    </dataValidation>
    <dataValidation type="list" allowBlank="1" showInputMessage="1" showErrorMessage="1" sqref="L44:M44">
      <formula1>彈首</formula1>
    </dataValidation>
    <dataValidation type="list" allowBlank="1" showInputMessage="1" showErrorMessage="1" sqref="L26:M26">
      <formula1>分續</formula1>
    </dataValidation>
    <dataValidation type="list" allowBlank="1" showInputMessage="1" showErrorMessage="1" sqref="L24:M24">
      <formula1>分首</formula1>
    </dataValidation>
    <dataValidation type="list" allowBlank="1" showInputMessage="1" showErrorMessage="1" sqref="L8:M8">
      <formula1>"彈性繳,年繳,半年繳,季繳,月繳"</formula1>
    </dataValidation>
    <dataValidation type="list" allowBlank="1" showInputMessage="1" showErrorMessage="1" sqref="H12:I12">
      <formula1>"一次年金,分期年金"</formula1>
    </dataValidation>
    <dataValidation type="whole" allowBlank="1" showInputMessage="1" showErrorMessage="1" prompt="如不需彈性繳請按'Delete'或用滑鼠右鍵選擇'清除內容'，清空本欄位數值。請勿輸入' 0 '。" sqref="L32:M32">
      <formula1>$L$35</formula1>
      <formula2>$M$35</formula2>
    </dataValidation>
    <dataValidation type="whole" allowBlank="1" showInputMessage="1" showErrorMessage="1" sqref="L20:M20">
      <formula1>$L$23</formula1>
      <formula2>$M$23</formula2>
    </dataValidation>
    <dataValidation type="whole" allowBlank="1" showInputMessage="1" showErrorMessage="1" prompt="如不需分期繳請按'Delete'或用滑鼠右鍵選擇'清除內容'，清空本欄位數值。請勿輸入' 0 '。" sqref="L10:M10">
      <formula1>$L$13</formula1>
      <formula2>$M$13</formula2>
    </dataValidation>
    <dataValidation type="decimal" allowBlank="1" showInputMessage="1" showErrorMessage="1" sqref="H10:I10">
      <formula1>0</formula1>
      <formula2>0.06</formula2>
    </dataValidation>
    <dataValidation type="whole" allowBlank="1" showInputMessage="1" showErrorMessage="1" prompt="7位數輸入_x000a_ex,民國110年8月8號→1100808" sqref="H16:I16">
      <formula1>N($H$19)</formula1>
      <formula2>N($I$19)</formula2>
    </dataValidation>
    <dataValidation type="list" allowBlank="1" showInputMessage="1" showErrorMessage="1" sqref="D10:E10">
      <formula1>"男,女"</formula1>
    </dataValidation>
    <dataValidation type="whole" allowBlank="1" showInputMessage="1" showErrorMessage="1" prompt="分期繳之首期保險費需大於_x000a_或等於每期保險費，如為月_x000a_繳需大於每期保費*2_x000a_首期保險費需_x000a_大於等於500,000" sqref="L16:M16">
      <formula1>L19</formula1>
      <formula2>M19</formula2>
    </dataValidation>
    <dataValidation allowBlank="1" showInputMessage="1" showErrorMessage="1" prompt="6或7位數輸入_x000a_ex,民國99年8月8號→990808_x000a_ex,民國100年12月8號→1001208" sqref="D12:E12"/>
  </dataValidations>
  <printOptions horizontalCentered="1"/>
  <pageMargins left="0.39370078740157483" right="0.39370078740157483" top="0.39370078740157483" bottom="0.39370078740157483" header="0.51181102362204722" footer="0.51181102362204722"/>
  <pageSetup paperSize="9" scale="67" orientation="portrait" r:id="rId1"/>
  <headerFooter alignWithMargins="0"/>
  <drawing r:id="rId2"/>
  <legacyDrawing r:id="rId3"/>
  <controls>
    <control shapeId="16429" r:id="rId4" name="CommandButton1"/>
  </controls>
</worksheet>
</file>

<file path=xl/worksheets/sheet6.xml><?xml version="1.0" encoding="utf-8"?>
<worksheet xmlns="http://schemas.openxmlformats.org/spreadsheetml/2006/main" xmlns:r="http://schemas.openxmlformats.org/officeDocument/2006/relationships">
  <sheetPr codeName="Sheet5"/>
  <dimension ref="A1:P65536"/>
  <sheetViews>
    <sheetView showGridLines="0" showRowColHeaders="0" view="pageBreakPreview" topLeftCell="A148" zoomScaleNormal="100" zoomScaleSheetLayoutView="100" workbookViewId="0">
      <selection activeCell="M148" sqref="M148"/>
    </sheetView>
  </sheetViews>
  <sheetFormatPr defaultColWidth="0" defaultRowHeight="16.5" zeroHeight="1"/>
  <cols>
    <col min="1" max="1" width="1.625" style="25" customWidth="1"/>
    <col min="2" max="2" width="1.5" style="24" customWidth="1"/>
    <col min="3" max="3" width="4.625" style="25" customWidth="1"/>
    <col min="4" max="4" width="5.75" style="24" customWidth="1"/>
    <col min="5" max="5" width="5.625" style="24" customWidth="1"/>
    <col min="6" max="6" width="10.625" style="25" customWidth="1"/>
    <col min="7" max="7" width="12.625" style="25" customWidth="1"/>
    <col min="8" max="8" width="9.625" style="25" customWidth="1"/>
    <col min="9" max="14" width="10.625" style="25" customWidth="1"/>
    <col min="15" max="16" width="1.625" style="25" customWidth="1"/>
    <col min="17" max="16384" width="0" style="25" hidden="1"/>
  </cols>
  <sheetData>
    <row r="1" spans="1:16" ht="6" customHeight="1"/>
    <row r="2" spans="1:16" ht="21.75" customHeight="1">
      <c r="A2" s="36" t="str">
        <f ca="1">IF(OR(OP!D86=1,OP!C21=1,OP!C21=2,OP!D58=1),1,"")</f>
        <v/>
      </c>
      <c r="B2" s="45"/>
      <c r="C2" s="517" t="str">
        <f ca="1">IF(A2=1,"",OP!C23&amp;"建議書")</f>
        <v>富邦人壽真有利變額年金保險建議書</v>
      </c>
      <c r="D2" s="517"/>
      <c r="E2" s="517"/>
      <c r="F2" s="517"/>
      <c r="G2" s="517"/>
      <c r="H2" s="517"/>
      <c r="I2" s="517"/>
      <c r="J2" s="517"/>
      <c r="K2" s="517"/>
      <c r="L2" s="517"/>
      <c r="M2" s="517"/>
      <c r="N2" s="517"/>
      <c r="O2" s="36"/>
      <c r="P2" s="36"/>
    </row>
    <row r="3" spans="1:16" ht="3" hidden="1" customHeight="1">
      <c r="A3" s="36"/>
      <c r="B3" s="45"/>
      <c r="O3" s="36"/>
      <c r="P3" s="36"/>
    </row>
    <row r="4" spans="1:16" ht="15" customHeight="1">
      <c r="A4" s="36"/>
      <c r="B4" s="45"/>
      <c r="C4" s="448" t="str">
        <f ca="1">IF($A$2=1,"","被保人："&amp;OP!$C$260&amp;"      生日："&amp;OP!$C$10&amp;"      保險年齡 ："&amp;OP!$D$5&amp;"歲"&amp;"      性別 ："&amp;IF(OP!$C$18=1,"男",IF(OP!$C$18=2,"女","無法辨別"))&amp;"      試算日："&amp;TEXT(OP!$C$3,"EEMMDD"))</f>
        <v>被保人：富○媽      生日：510505      保險年齡 ：55歲      性別 ：女      試算日：1060602</v>
      </c>
      <c r="D4" s="363"/>
      <c r="E4" s="363"/>
      <c r="F4" s="364"/>
      <c r="G4" s="364"/>
      <c r="H4" s="364"/>
      <c r="I4" s="364"/>
      <c r="J4" s="364"/>
      <c r="K4" s="365"/>
      <c r="L4" s="366"/>
      <c r="M4" s="367"/>
      <c r="N4" s="361" t="s">
        <v>381</v>
      </c>
      <c r="O4" s="44"/>
      <c r="P4" s="36"/>
    </row>
    <row r="5" spans="1:16" ht="3" customHeight="1" thickBot="1">
      <c r="A5" s="36"/>
      <c r="B5" s="45"/>
      <c r="C5" s="362"/>
      <c r="D5" s="363"/>
      <c r="E5" s="368"/>
      <c r="F5" s="363"/>
      <c r="G5" s="369"/>
      <c r="H5" s="369"/>
      <c r="I5" s="364"/>
      <c r="J5" s="370"/>
      <c r="K5" s="365"/>
      <c r="L5" s="371"/>
      <c r="M5" s="365"/>
      <c r="N5" s="372"/>
      <c r="O5" s="36"/>
      <c r="P5" s="36"/>
    </row>
    <row r="6" spans="1:16" ht="15" customHeight="1">
      <c r="A6" s="36"/>
      <c r="B6" s="45"/>
      <c r="C6" s="373" t="str">
        <f ca="1">IF($A$2=1,"","投保內容：")</f>
        <v>投保內容：</v>
      </c>
      <c r="D6" s="374"/>
      <c r="E6" s="518" t="str">
        <f ca="1">IF($A$2=1,"","商品名稱：")</f>
        <v>商品名稱：</v>
      </c>
      <c r="F6" s="518"/>
      <c r="G6" s="375" t="str">
        <f ca="1">IF($A$2=1,"",OP!$C$23&amp;"  代號：VBCT")</f>
        <v>富邦人壽真有利變額年金保險  代號：VBCT</v>
      </c>
      <c r="H6" s="375"/>
      <c r="I6" s="376"/>
      <c r="J6" s="376"/>
      <c r="K6" s="377"/>
      <c r="L6" s="378"/>
      <c r="M6" s="376"/>
      <c r="N6" s="379"/>
      <c r="O6" s="36"/>
      <c r="P6" s="36"/>
    </row>
    <row r="7" spans="1:16" ht="3" customHeight="1">
      <c r="A7" s="36"/>
      <c r="B7" s="45"/>
      <c r="C7" s="380"/>
      <c r="D7" s="363"/>
      <c r="E7" s="368"/>
      <c r="F7" s="363"/>
      <c r="G7" s="364"/>
      <c r="H7" s="364"/>
      <c r="I7" s="364"/>
      <c r="J7" s="369"/>
      <c r="K7" s="364"/>
      <c r="L7" s="364"/>
      <c r="M7" s="381"/>
      <c r="N7" s="382"/>
      <c r="O7" s="36"/>
      <c r="P7" s="36"/>
    </row>
    <row r="8" spans="1:16" ht="15" customHeight="1">
      <c r="A8" s="36"/>
      <c r="B8" s="45"/>
      <c r="C8" s="519" t="str">
        <f ca="1">IF($A$2=1,"",IF(繳費報酬率資料!A1=1,"遞延期間假設投資報酬率："&amp;TEXT(OP!$C$121,"0.00%"),"遞延期間假設投資報酬率請參閱下表各年度假設報酬率。")&amp;"  "&amp;"年金給付開始日："&amp;OP!C66&amp;"("&amp;OP!D75&amp;")"&amp;IF(輸入頁!H12="一次年金","","    保證期間："&amp;OP!C37&amp;" 年"))</f>
        <v>遞延期間假設投資報酬率：5.00%  年金給付開始日：1120602(第 7 保單年度)    保證期間：5 年</v>
      </c>
      <c r="D8" s="520"/>
      <c r="E8" s="520"/>
      <c r="F8" s="520"/>
      <c r="G8" s="520"/>
      <c r="H8" s="520"/>
      <c r="I8" s="520"/>
      <c r="J8" s="520"/>
      <c r="K8" s="520"/>
      <c r="L8" s="520"/>
      <c r="M8" s="520"/>
      <c r="N8" s="521"/>
      <c r="O8" s="36"/>
      <c r="P8" s="36"/>
    </row>
    <row r="9" spans="1:16" ht="3" customHeight="1">
      <c r="A9" s="36"/>
      <c r="B9" s="45"/>
      <c r="C9" s="380"/>
      <c r="D9" s="363"/>
      <c r="E9" s="368"/>
      <c r="F9" s="363"/>
      <c r="G9" s="364"/>
      <c r="H9" s="364"/>
      <c r="I9" s="364"/>
      <c r="J9" s="369"/>
      <c r="K9" s="364"/>
      <c r="L9" s="364"/>
      <c r="M9" s="381"/>
      <c r="N9" s="382"/>
      <c r="O9" s="36"/>
      <c r="P9" s="36"/>
    </row>
    <row r="10" spans="1:16" ht="15" customHeight="1">
      <c r="A10" s="36"/>
      <c r="B10" s="45">
        <f>繳費報酬率資料!A1</f>
        <v>1</v>
      </c>
      <c r="C10" s="383" t="str">
        <f ca="1">IF($A$2=1,"",IF(繳費報酬率資料!A1=0,"繳費及報酬率及部分提領設定內容請參閱附表。",OP!B129))</f>
        <v xml:space="preserve">繳別：彈性繳  首期保險費：2,000,000 元  </v>
      </c>
      <c r="D10" s="363"/>
      <c r="E10" s="384"/>
      <c r="F10" s="385"/>
      <c r="G10" s="364"/>
      <c r="H10" s="364"/>
      <c r="I10" s="364"/>
      <c r="J10" s="369"/>
      <c r="K10" s="364"/>
      <c r="L10" s="364"/>
      <c r="M10" s="381"/>
      <c r="N10" s="382"/>
      <c r="O10" s="36"/>
      <c r="P10" s="36"/>
    </row>
    <row r="11" spans="1:16" ht="3" customHeight="1">
      <c r="A11" s="36"/>
      <c r="B11" s="45"/>
      <c r="C11" s="383"/>
      <c r="D11" s="363"/>
      <c r="E11" s="384"/>
      <c r="F11" s="385"/>
      <c r="G11" s="364"/>
      <c r="H11" s="364"/>
      <c r="I11" s="364"/>
      <c r="J11" s="369"/>
      <c r="K11" s="364"/>
      <c r="L11" s="364"/>
      <c r="M11" s="381"/>
      <c r="N11" s="382"/>
      <c r="O11" s="36"/>
      <c r="P11" s="36"/>
    </row>
    <row r="12" spans="1:16" ht="15" customHeight="1">
      <c r="A12" s="36"/>
      <c r="B12" s="45"/>
      <c r="C12" s="383" t="str">
        <f ca="1">IF($A$2=1,"",IF(繳費報酬率資料!A1=0,"",OP!B136))</f>
        <v/>
      </c>
      <c r="D12" s="363"/>
      <c r="E12" s="384"/>
      <c r="F12" s="385"/>
      <c r="G12" s="364"/>
      <c r="H12" s="364"/>
      <c r="I12" s="364"/>
      <c r="J12" s="369"/>
      <c r="K12" s="364"/>
      <c r="L12" s="364"/>
      <c r="M12" s="381"/>
      <c r="N12" s="382"/>
      <c r="O12" s="36"/>
      <c r="P12" s="36"/>
    </row>
    <row r="13" spans="1:16" ht="3" customHeight="1">
      <c r="A13" s="36"/>
      <c r="B13" s="45"/>
      <c r="C13" s="383"/>
      <c r="D13" s="363"/>
      <c r="E13" s="384"/>
      <c r="F13" s="385"/>
      <c r="G13" s="364"/>
      <c r="H13" s="364"/>
      <c r="I13" s="364"/>
      <c r="J13" s="369"/>
      <c r="K13" s="364"/>
      <c r="L13" s="364"/>
      <c r="M13" s="381"/>
      <c r="N13" s="382"/>
      <c r="O13" s="36"/>
      <c r="P13" s="36"/>
    </row>
    <row r="14" spans="1:16" ht="15" customHeight="1">
      <c r="A14" s="36"/>
      <c r="B14" s="45"/>
      <c r="C14" s="508" t="str">
        <f ca="1">IF($A$2=1,"",IF(AND(OP!C76=2,OP!C112=1),"以"&amp;M148&amp;"計算年金金額低於5,000元，僅給付一次年金",IF(OP!$C$76=1,"","以"&amp;M148&amp;"計算年金金額，年給付為"&amp;TEXT(OP!$B$114,IF(OP!$C$22="VACF","#,##0.00","#,##0"))&amp;"，半年給付為"&amp;TEXT(OP!$C$114,IF(OP!$C$22="VACF","#,##0.00","#,##0"))&amp;"，季給付為"&amp;TEXT(OP!$D$114,IF(OP!$C$22="VACF","#,##0.00","#,##0"))&amp;"，月給付為"&amp;TEXT(OP!$E$114,IF(OP!$C$22="VACF","#,##0.00","#,##0"))&amp;"，年金計算預定利率為 "&amp;TEXT(OP!$E$111,"0.00%"))))</f>
        <v>以正報酬計算年金金額，年給付為99,404，半年給付為49,888，季給付為24,991，月給付為8,341，年金計算預定利率為 1.50%</v>
      </c>
      <c r="D14" s="509"/>
      <c r="E14" s="509"/>
      <c r="F14" s="509"/>
      <c r="G14" s="509"/>
      <c r="H14" s="509"/>
      <c r="I14" s="509"/>
      <c r="J14" s="509"/>
      <c r="K14" s="509"/>
      <c r="L14" s="509"/>
      <c r="M14" s="509"/>
      <c r="N14" s="510"/>
      <c r="O14" s="36"/>
      <c r="P14" s="36"/>
    </row>
    <row r="15" spans="1:16" ht="3" customHeight="1">
      <c r="A15" s="36"/>
      <c r="B15" s="45"/>
      <c r="C15" s="380"/>
      <c r="D15" s="363"/>
      <c r="E15" s="384"/>
      <c r="F15" s="363"/>
      <c r="G15" s="364"/>
      <c r="H15" s="364"/>
      <c r="I15" s="364"/>
      <c r="J15" s="369"/>
      <c r="K15" s="364"/>
      <c r="L15" s="364"/>
      <c r="M15" s="381"/>
      <c r="N15" s="382"/>
      <c r="O15" s="36"/>
      <c r="P15" s="36"/>
    </row>
    <row r="16" spans="1:16" ht="15" customHeight="1" thickBot="1">
      <c r="A16" s="36"/>
      <c r="B16" s="45"/>
      <c r="C16" s="386" t="str">
        <f ca="1">IF(OR($A$2=1,繳費報酬率資料!A1=0,OR(OP!C78=0,OP!C79=0,OP!C80=0)),"","部分提領：    金額："&amp;TEXT(OP!C78,"#,##0 元")&amp;"    開始年度："&amp;OP!C79&amp;" 年"&amp;"    結束年度："&amp;OP!C80&amp;" 年。(部分提領需自行提出申請，非保險給付項目)")</f>
        <v/>
      </c>
      <c r="D16" s="387"/>
      <c r="E16" s="387"/>
      <c r="F16" s="388"/>
      <c r="G16" s="389"/>
      <c r="H16" s="389"/>
      <c r="I16" s="388"/>
      <c r="J16" s="388"/>
      <c r="K16" s="390"/>
      <c r="L16" s="391"/>
      <c r="M16" s="392"/>
      <c r="N16" s="393"/>
      <c r="O16" s="36"/>
      <c r="P16" s="36"/>
    </row>
    <row r="17" spans="1:16" ht="15" customHeight="1">
      <c r="A17" s="36"/>
      <c r="B17" s="45" t="str">
        <f>IF(OR(F17&lt;0,F17&gt;70),1,"")</f>
        <v/>
      </c>
      <c r="C17" s="354" t="s">
        <v>366</v>
      </c>
      <c r="D17" s="27"/>
      <c r="E17" s="124"/>
      <c r="F17" s="27"/>
      <c r="G17" s="123"/>
      <c r="H17" s="123"/>
      <c r="I17" s="123"/>
      <c r="J17" s="123"/>
      <c r="K17" s="124"/>
      <c r="L17" s="28"/>
      <c r="M17" s="123"/>
      <c r="N17" s="123"/>
      <c r="O17" s="36"/>
      <c r="P17" s="36"/>
    </row>
    <row r="18" spans="1:16" ht="15" customHeight="1">
      <c r="A18" s="36"/>
      <c r="B18" s="45"/>
      <c r="C18" s="354" t="s">
        <v>378</v>
      </c>
      <c r="D18" s="27"/>
      <c r="E18" s="124"/>
      <c r="F18" s="27"/>
      <c r="G18" s="123"/>
      <c r="H18" s="123"/>
      <c r="I18" s="123"/>
      <c r="J18" s="123"/>
      <c r="K18" s="124"/>
      <c r="L18" s="28"/>
      <c r="M18" s="123"/>
      <c r="N18" s="123"/>
      <c r="O18" s="36"/>
      <c r="P18" s="36"/>
    </row>
    <row r="19" spans="1:16" ht="15" customHeight="1">
      <c r="A19" s="36"/>
      <c r="B19" s="45"/>
      <c r="C19" s="354" t="s">
        <v>377</v>
      </c>
      <c r="D19" s="27"/>
      <c r="E19" s="124"/>
      <c r="F19" s="27"/>
      <c r="G19" s="123"/>
      <c r="H19" s="123"/>
      <c r="I19" s="123"/>
      <c r="J19" s="123"/>
      <c r="K19" s="124"/>
      <c r="L19" s="28"/>
      <c r="M19" s="123"/>
      <c r="N19" s="123"/>
      <c r="O19" s="36"/>
      <c r="P19" s="36"/>
    </row>
    <row r="20" spans="1:16" ht="15" customHeight="1">
      <c r="A20" s="36"/>
      <c r="B20" s="45"/>
      <c r="C20" s="355" t="s">
        <v>382</v>
      </c>
      <c r="D20" s="27"/>
      <c r="E20" s="124"/>
      <c r="F20" s="27"/>
      <c r="G20" s="123"/>
      <c r="H20" s="123"/>
      <c r="I20" s="123"/>
      <c r="J20" s="123"/>
      <c r="K20" s="124"/>
      <c r="L20" s="28"/>
      <c r="M20" s="123"/>
      <c r="N20" s="123"/>
      <c r="O20" s="36"/>
      <c r="P20" s="36"/>
    </row>
    <row r="21" spans="1:16" ht="15" customHeight="1">
      <c r="A21" s="36"/>
      <c r="B21" s="45"/>
      <c r="C21" s="355" t="s">
        <v>342</v>
      </c>
      <c r="D21" s="27"/>
      <c r="E21" s="124"/>
      <c r="F21" s="27"/>
      <c r="G21" s="123"/>
      <c r="H21" s="123"/>
      <c r="I21" s="123"/>
      <c r="J21" s="123"/>
      <c r="K21" s="124"/>
      <c r="L21" s="28"/>
      <c r="M21" s="123"/>
      <c r="N21" s="123"/>
      <c r="O21" s="36"/>
      <c r="P21" s="36"/>
    </row>
    <row r="22" spans="1:16" ht="15" customHeight="1">
      <c r="A22" s="36"/>
      <c r="B22" s="45"/>
      <c r="C22" s="355" t="s">
        <v>343</v>
      </c>
      <c r="D22" s="27"/>
      <c r="E22" s="124"/>
      <c r="F22" s="27"/>
      <c r="G22" s="123"/>
      <c r="H22" s="123"/>
      <c r="I22" s="123"/>
      <c r="J22" s="123"/>
      <c r="K22" s="124"/>
      <c r="L22" s="28"/>
      <c r="M22" s="123"/>
      <c r="N22" s="123"/>
      <c r="O22" s="36"/>
      <c r="P22" s="36"/>
    </row>
    <row r="23" spans="1:16" ht="15" customHeight="1">
      <c r="A23" s="36"/>
      <c r="B23" s="45"/>
      <c r="C23" s="355" t="s">
        <v>344</v>
      </c>
      <c r="D23" s="27"/>
      <c r="E23" s="124"/>
      <c r="F23" s="27"/>
      <c r="G23" s="123"/>
      <c r="H23" s="123"/>
      <c r="I23" s="123"/>
      <c r="J23" s="123"/>
      <c r="K23" s="124"/>
      <c r="L23" s="28"/>
      <c r="M23" s="123"/>
      <c r="N23" s="123"/>
      <c r="O23" s="36"/>
      <c r="P23" s="36"/>
    </row>
    <row r="24" spans="1:16" ht="15" customHeight="1">
      <c r="A24" s="36"/>
      <c r="B24" s="45"/>
      <c r="C24" s="396" t="s">
        <v>392</v>
      </c>
      <c r="D24" s="27"/>
      <c r="E24" s="124"/>
      <c r="F24" s="27"/>
      <c r="G24" s="123"/>
      <c r="H24" s="123"/>
      <c r="I24" s="123"/>
      <c r="J24" s="123"/>
      <c r="K24" s="124"/>
      <c r="L24" s="28"/>
      <c r="M24" s="123"/>
      <c r="N24" s="123"/>
      <c r="O24" s="36"/>
      <c r="P24" s="36"/>
    </row>
    <row r="25" spans="1:16" ht="15" customHeight="1">
      <c r="A25" s="36"/>
      <c r="B25" s="45"/>
      <c r="C25" s="396" t="s">
        <v>393</v>
      </c>
      <c r="D25" s="27"/>
      <c r="E25" s="124"/>
      <c r="F25" s="27"/>
      <c r="G25" s="123"/>
      <c r="H25" s="123"/>
      <c r="I25" s="123"/>
      <c r="J25" s="123"/>
      <c r="K25" s="124"/>
      <c r="L25" s="28"/>
      <c r="M25" s="123"/>
      <c r="N25" s="123"/>
      <c r="O25" s="36"/>
      <c r="P25" s="36"/>
    </row>
    <row r="26" spans="1:16" ht="15" customHeight="1">
      <c r="A26" s="36"/>
      <c r="B26" s="45"/>
      <c r="C26" s="396" t="s">
        <v>394</v>
      </c>
      <c r="D26" s="27"/>
      <c r="E26" s="124"/>
      <c r="F26" s="27"/>
      <c r="G26" s="123"/>
      <c r="H26" s="123"/>
      <c r="I26" s="123"/>
      <c r="J26" s="123"/>
      <c r="K26" s="124"/>
      <c r="L26" s="28"/>
      <c r="M26" s="123"/>
      <c r="N26" s="123"/>
      <c r="O26" s="36"/>
      <c r="P26" s="36"/>
    </row>
    <row r="27" spans="1:16" ht="15" customHeight="1">
      <c r="A27" s="36"/>
      <c r="B27" s="45"/>
      <c r="C27" s="354" t="s">
        <v>395</v>
      </c>
      <c r="D27" s="27"/>
      <c r="E27" s="124"/>
      <c r="F27" s="27"/>
      <c r="G27" s="123"/>
      <c r="H27" s="123"/>
      <c r="I27" s="123"/>
      <c r="J27" s="123"/>
      <c r="K27" s="124"/>
      <c r="L27" s="28"/>
      <c r="M27" s="123"/>
      <c r="N27" s="123"/>
      <c r="O27" s="36"/>
      <c r="P27" s="36"/>
    </row>
    <row r="28" spans="1:16" ht="15" customHeight="1">
      <c r="A28" s="36"/>
      <c r="B28" s="45"/>
      <c r="C28" s="354" t="s">
        <v>396</v>
      </c>
      <c r="D28" s="27"/>
      <c r="E28" s="124"/>
      <c r="F28" s="27"/>
      <c r="G28" s="123"/>
      <c r="H28" s="123"/>
      <c r="I28" s="123"/>
      <c r="J28" s="123"/>
      <c r="K28" s="124"/>
      <c r="L28" s="28"/>
      <c r="M28" s="123"/>
      <c r="N28" s="123"/>
      <c r="O28" s="36"/>
      <c r="P28" s="36"/>
    </row>
    <row r="29" spans="1:16" ht="15" customHeight="1">
      <c r="A29" s="36"/>
      <c r="B29" s="45"/>
      <c r="C29" s="354" t="s">
        <v>454</v>
      </c>
      <c r="D29" s="27"/>
      <c r="E29" s="124"/>
      <c r="F29" s="27"/>
      <c r="G29" s="123"/>
      <c r="H29" s="123"/>
      <c r="I29" s="123"/>
      <c r="J29" s="123"/>
      <c r="K29" s="124"/>
      <c r="L29" s="28"/>
      <c r="M29" s="123"/>
      <c r="N29" s="123"/>
      <c r="O29" s="36"/>
      <c r="P29" s="36"/>
    </row>
    <row r="30" spans="1:16" ht="15" customHeight="1">
      <c r="A30" s="36"/>
      <c r="B30" s="45"/>
      <c r="C30" s="354" t="s">
        <v>383</v>
      </c>
      <c r="D30" s="27"/>
      <c r="E30" s="124"/>
      <c r="F30" s="27"/>
      <c r="G30" s="123"/>
      <c r="H30" s="123"/>
      <c r="I30" s="123"/>
      <c r="J30" s="123"/>
      <c r="K30" s="124"/>
      <c r="L30" s="28"/>
      <c r="M30" s="123"/>
      <c r="N30" s="123"/>
      <c r="O30" s="36"/>
      <c r="P30" s="36"/>
    </row>
    <row r="31" spans="1:16" ht="15" customHeight="1">
      <c r="A31" s="36"/>
      <c r="B31" s="45"/>
      <c r="C31" s="354" t="s">
        <v>345</v>
      </c>
      <c r="D31" s="27"/>
      <c r="E31" s="124"/>
      <c r="F31" s="27"/>
      <c r="G31" s="123"/>
      <c r="H31" s="123"/>
      <c r="I31" s="123"/>
      <c r="J31" s="123"/>
      <c r="K31" s="124"/>
      <c r="L31" s="28"/>
      <c r="M31" s="123"/>
      <c r="N31" s="123"/>
      <c r="O31" s="36"/>
      <c r="P31" s="36"/>
    </row>
    <row r="32" spans="1:16" ht="15" customHeight="1">
      <c r="A32" s="36"/>
      <c r="B32" s="45"/>
      <c r="C32" s="354" t="s">
        <v>346</v>
      </c>
      <c r="D32" s="27"/>
      <c r="E32" s="124"/>
      <c r="F32" s="27"/>
      <c r="G32" s="123"/>
      <c r="H32" s="123"/>
      <c r="I32" s="123"/>
      <c r="J32" s="123"/>
      <c r="K32" s="124"/>
      <c r="L32" s="28"/>
      <c r="M32" s="123"/>
      <c r="N32" s="123"/>
      <c r="O32" s="36"/>
      <c r="P32" s="36"/>
    </row>
    <row r="33" spans="1:16" ht="15" customHeight="1">
      <c r="A33" s="36"/>
      <c r="B33" s="45"/>
      <c r="C33" s="353" t="s">
        <v>384</v>
      </c>
      <c r="D33" s="27"/>
      <c r="E33" s="124"/>
      <c r="F33" s="27"/>
      <c r="G33" s="123"/>
      <c r="H33" s="123"/>
      <c r="I33" s="123"/>
      <c r="J33" s="123"/>
      <c r="K33" s="124"/>
      <c r="L33" s="28"/>
      <c r="M33" s="123"/>
      <c r="N33" s="123"/>
      <c r="O33" s="36"/>
      <c r="P33" s="36"/>
    </row>
    <row r="34" spans="1:16" ht="15" customHeight="1">
      <c r="A34" s="36"/>
      <c r="B34" s="45"/>
      <c r="C34" s="353" t="s">
        <v>347</v>
      </c>
      <c r="D34" s="27"/>
      <c r="E34" s="124"/>
      <c r="F34" s="27"/>
      <c r="G34" s="123"/>
      <c r="H34" s="123"/>
      <c r="I34" s="123"/>
      <c r="J34" s="123"/>
      <c r="K34" s="124"/>
      <c r="L34" s="28"/>
      <c r="M34" s="123"/>
      <c r="N34" s="123"/>
      <c r="O34" s="36"/>
      <c r="P34" s="36"/>
    </row>
    <row r="35" spans="1:16" ht="15" customHeight="1">
      <c r="A35" s="36"/>
      <c r="B35" s="45"/>
      <c r="C35" s="354" t="s">
        <v>401</v>
      </c>
      <c r="D35" s="27"/>
      <c r="E35" s="124"/>
      <c r="F35" s="27"/>
      <c r="G35" s="123"/>
      <c r="H35" s="123"/>
      <c r="I35" s="123"/>
      <c r="J35" s="123"/>
      <c r="K35" s="124"/>
      <c r="L35" s="28"/>
      <c r="M35" s="123"/>
      <c r="N35" s="123"/>
      <c r="O35" s="36"/>
      <c r="P35" s="36"/>
    </row>
    <row r="36" spans="1:16" ht="15" customHeight="1">
      <c r="A36" s="36"/>
      <c r="B36" s="45"/>
      <c r="C36" s="354" t="s">
        <v>348</v>
      </c>
      <c r="D36" s="27"/>
      <c r="E36" s="124"/>
      <c r="F36" s="27"/>
      <c r="G36" s="123"/>
      <c r="H36" s="123"/>
      <c r="I36" s="123"/>
      <c r="J36" s="123"/>
      <c r="K36" s="124"/>
      <c r="L36" s="28"/>
      <c r="M36" s="123"/>
      <c r="N36" s="123"/>
      <c r="O36" s="36"/>
      <c r="P36" s="36"/>
    </row>
    <row r="37" spans="1:16" ht="15" customHeight="1">
      <c r="A37" s="36"/>
      <c r="B37" s="45"/>
      <c r="C37" s="354" t="s">
        <v>369</v>
      </c>
      <c r="D37" s="27"/>
      <c r="E37" s="124"/>
      <c r="F37" s="27"/>
      <c r="G37" s="123"/>
      <c r="H37" s="123"/>
      <c r="I37" s="123"/>
      <c r="J37" s="123"/>
      <c r="K37" s="124"/>
      <c r="L37" s="28"/>
      <c r="M37" s="123"/>
      <c r="N37" s="123"/>
      <c r="O37" s="36"/>
      <c r="P37" s="36"/>
    </row>
    <row r="38" spans="1:16" ht="15" customHeight="1">
      <c r="A38" s="36"/>
      <c r="B38" s="45"/>
      <c r="C38" s="355" t="s">
        <v>349</v>
      </c>
      <c r="D38" s="27"/>
      <c r="E38" s="124"/>
      <c r="F38" s="27"/>
      <c r="G38" s="123"/>
      <c r="H38" s="123"/>
      <c r="I38" s="123"/>
      <c r="J38" s="123"/>
      <c r="K38" s="124"/>
      <c r="L38" s="28"/>
      <c r="M38" s="123"/>
      <c r="N38" s="123"/>
      <c r="O38" s="36"/>
      <c r="P38" s="36"/>
    </row>
    <row r="39" spans="1:16" ht="15" customHeight="1">
      <c r="A39" s="36"/>
      <c r="B39" s="45"/>
      <c r="C39" s="355" t="s">
        <v>385</v>
      </c>
      <c r="D39" s="27"/>
      <c r="E39" s="124"/>
      <c r="F39" s="27"/>
      <c r="G39" s="123"/>
      <c r="H39" s="123"/>
      <c r="I39" s="123"/>
      <c r="J39" s="123"/>
      <c r="K39" s="124"/>
      <c r="L39" s="28"/>
      <c r="M39" s="123"/>
      <c r="N39" s="123"/>
      <c r="O39" s="36"/>
      <c r="P39" s="36"/>
    </row>
    <row r="40" spans="1:16" ht="15" customHeight="1">
      <c r="A40" s="36"/>
      <c r="B40" s="45"/>
      <c r="C40" s="355" t="s">
        <v>373</v>
      </c>
      <c r="D40" s="27"/>
      <c r="E40" s="124"/>
      <c r="F40" s="27"/>
      <c r="G40" s="123"/>
      <c r="H40" s="123"/>
      <c r="I40" s="123"/>
      <c r="J40" s="123"/>
      <c r="K40" s="124"/>
      <c r="L40" s="28"/>
      <c r="M40" s="123"/>
      <c r="N40" s="123"/>
      <c r="O40" s="36"/>
      <c r="P40" s="36"/>
    </row>
    <row r="41" spans="1:16" ht="15" customHeight="1">
      <c r="A41" s="36"/>
      <c r="B41" s="45"/>
      <c r="C41" s="355" t="s">
        <v>386</v>
      </c>
      <c r="D41" s="27"/>
      <c r="E41" s="124"/>
      <c r="F41" s="27"/>
      <c r="G41" s="123"/>
      <c r="H41" s="123"/>
      <c r="I41" s="123"/>
      <c r="J41" s="123"/>
      <c r="K41" s="124"/>
      <c r="L41" s="28"/>
      <c r="M41" s="123"/>
      <c r="N41" s="123"/>
      <c r="O41" s="36"/>
      <c r="P41" s="36"/>
    </row>
    <row r="42" spans="1:16" ht="15" customHeight="1">
      <c r="A42" s="36"/>
      <c r="B42" s="45"/>
      <c r="C42" s="355" t="s">
        <v>350</v>
      </c>
      <c r="D42" s="27"/>
      <c r="E42" s="124"/>
      <c r="F42" s="27"/>
      <c r="G42" s="123"/>
      <c r="H42" s="123"/>
      <c r="I42" s="123"/>
      <c r="J42" s="123"/>
      <c r="K42" s="124"/>
      <c r="L42" s="28"/>
      <c r="M42" s="123"/>
      <c r="N42" s="123"/>
      <c r="O42" s="36"/>
      <c r="P42" s="36"/>
    </row>
    <row r="43" spans="1:16" ht="15" customHeight="1">
      <c r="A43" s="36"/>
      <c r="B43" s="45"/>
      <c r="C43" s="355" t="s">
        <v>351</v>
      </c>
      <c r="D43" s="27"/>
      <c r="E43" s="124"/>
      <c r="F43" s="27"/>
      <c r="G43" s="123"/>
      <c r="H43" s="123"/>
      <c r="I43" s="123"/>
      <c r="J43" s="123"/>
      <c r="K43" s="124"/>
      <c r="L43" s="28"/>
      <c r="M43" s="123"/>
      <c r="N43" s="123"/>
      <c r="O43" s="36"/>
      <c r="P43" s="36"/>
    </row>
    <row r="44" spans="1:16" ht="15" customHeight="1">
      <c r="A44" s="36"/>
      <c r="B44" s="45"/>
      <c r="C44" s="354" t="s">
        <v>352</v>
      </c>
      <c r="D44" s="27"/>
      <c r="E44" s="124"/>
      <c r="F44" s="27"/>
      <c r="G44" s="123"/>
      <c r="H44" s="123"/>
      <c r="I44" s="123"/>
      <c r="J44" s="123"/>
      <c r="K44" s="124"/>
      <c r="L44" s="28"/>
      <c r="M44" s="123"/>
      <c r="N44" s="123"/>
      <c r="O44" s="36"/>
      <c r="P44" s="36"/>
    </row>
    <row r="45" spans="1:16" ht="15" customHeight="1">
      <c r="A45" s="36"/>
      <c r="B45" s="45"/>
      <c r="C45" s="354" t="s">
        <v>374</v>
      </c>
      <c r="D45" s="27"/>
      <c r="E45" s="124"/>
      <c r="F45" s="27"/>
      <c r="G45" s="123"/>
      <c r="H45" s="123"/>
      <c r="I45" s="123"/>
      <c r="J45" s="123"/>
      <c r="K45" s="124"/>
      <c r="L45" s="28"/>
      <c r="M45" s="123"/>
      <c r="N45" s="123"/>
      <c r="O45" s="36"/>
      <c r="P45" s="36"/>
    </row>
    <row r="46" spans="1:16" ht="15" customHeight="1">
      <c r="A46" s="36"/>
      <c r="B46" s="45"/>
      <c r="C46" s="354" t="s">
        <v>375</v>
      </c>
      <c r="D46" s="27"/>
      <c r="E46" s="124"/>
      <c r="F46" s="27"/>
      <c r="G46" s="123"/>
      <c r="H46" s="123"/>
      <c r="I46" s="123"/>
      <c r="J46" s="123"/>
      <c r="K46" s="124"/>
      <c r="L46" s="28"/>
      <c r="M46" s="123"/>
      <c r="N46" s="123"/>
      <c r="O46" s="36"/>
      <c r="P46" s="36"/>
    </row>
    <row r="47" spans="1:16" ht="15" customHeight="1">
      <c r="A47" s="36"/>
      <c r="B47" s="45"/>
      <c r="C47" s="354" t="s">
        <v>353</v>
      </c>
      <c r="D47" s="27"/>
      <c r="E47" s="124"/>
      <c r="F47" s="27"/>
      <c r="G47" s="123"/>
      <c r="H47" s="123"/>
      <c r="I47" s="123"/>
      <c r="J47" s="123"/>
      <c r="K47" s="124"/>
      <c r="L47" s="28"/>
      <c r="M47" s="123"/>
      <c r="N47" s="123"/>
      <c r="O47" s="36"/>
      <c r="P47" s="36"/>
    </row>
    <row r="48" spans="1:16" ht="15" customHeight="1">
      <c r="A48" s="36"/>
      <c r="B48" s="45"/>
      <c r="C48" s="353" t="s">
        <v>376</v>
      </c>
      <c r="D48" s="27"/>
      <c r="E48" s="124"/>
      <c r="F48" s="27"/>
      <c r="G48" s="123"/>
      <c r="H48" s="123"/>
      <c r="I48" s="123"/>
      <c r="J48" s="123"/>
      <c r="K48" s="124"/>
      <c r="L48" s="28"/>
      <c r="M48" s="123"/>
      <c r="N48" s="123"/>
      <c r="O48" s="36"/>
      <c r="P48" s="36"/>
    </row>
    <row r="49" spans="1:16" ht="15" customHeight="1">
      <c r="A49" s="36"/>
      <c r="B49" s="45"/>
      <c r="C49" s="354" t="s">
        <v>532</v>
      </c>
      <c r="D49" s="27"/>
      <c r="E49" s="124"/>
      <c r="F49" s="27"/>
      <c r="G49" s="123"/>
      <c r="H49" s="123"/>
      <c r="I49" s="123"/>
      <c r="J49" s="123"/>
      <c r="K49" s="124"/>
      <c r="L49" s="28"/>
      <c r="M49" s="123"/>
      <c r="N49" s="123"/>
      <c r="O49" s="36"/>
      <c r="P49" s="36"/>
    </row>
    <row r="50" spans="1:16" ht="15" customHeight="1">
      <c r="A50" s="36"/>
      <c r="B50" s="45"/>
      <c r="C50" s="354" t="s">
        <v>533</v>
      </c>
      <c r="D50" s="27"/>
      <c r="E50" s="124"/>
      <c r="F50" s="27"/>
      <c r="G50" s="123"/>
      <c r="H50" s="123"/>
      <c r="I50" s="123"/>
      <c r="J50" s="123"/>
      <c r="K50" s="124"/>
      <c r="L50" s="28"/>
      <c r="M50" s="123"/>
      <c r="N50" s="123"/>
      <c r="O50" s="36"/>
      <c r="P50" s="36"/>
    </row>
    <row r="51" spans="1:16" ht="15" customHeight="1">
      <c r="A51" s="36"/>
      <c r="B51" s="45"/>
      <c r="C51" s="354" t="s">
        <v>534</v>
      </c>
      <c r="D51" s="27"/>
      <c r="E51" s="124"/>
      <c r="F51" s="27"/>
      <c r="G51" s="123"/>
      <c r="H51" s="123"/>
      <c r="I51" s="123"/>
      <c r="J51" s="123"/>
      <c r="K51" s="124"/>
      <c r="L51" s="28"/>
      <c r="M51" s="123"/>
      <c r="N51" s="123"/>
      <c r="O51" s="36"/>
      <c r="P51" s="36"/>
    </row>
    <row r="52" spans="1:16" ht="15" customHeight="1">
      <c r="A52" s="36"/>
      <c r="B52" s="45"/>
      <c r="C52" s="354" t="s">
        <v>535</v>
      </c>
      <c r="D52" s="27"/>
      <c r="E52" s="124"/>
      <c r="F52" s="27"/>
      <c r="G52" s="123"/>
      <c r="H52" s="123"/>
      <c r="I52" s="123"/>
      <c r="J52" s="123"/>
      <c r="K52" s="124"/>
      <c r="L52" s="28"/>
      <c r="M52" s="123"/>
      <c r="N52" s="123"/>
      <c r="O52" s="36"/>
      <c r="P52" s="36"/>
    </row>
    <row r="53" spans="1:16" ht="15" customHeight="1">
      <c r="A53" s="36"/>
      <c r="B53" s="45"/>
      <c r="C53" s="353" t="s">
        <v>354</v>
      </c>
      <c r="D53" s="27"/>
      <c r="E53" s="124"/>
      <c r="F53" s="27"/>
      <c r="G53" s="123"/>
      <c r="H53" s="123"/>
      <c r="I53" s="123"/>
      <c r="J53" s="123"/>
      <c r="K53" s="124"/>
      <c r="L53" s="28"/>
      <c r="M53" s="123"/>
      <c r="N53" s="123"/>
      <c r="O53" s="36"/>
      <c r="P53" s="36"/>
    </row>
    <row r="54" spans="1:16" ht="15" customHeight="1">
      <c r="A54" s="36"/>
      <c r="B54" s="45"/>
      <c r="C54" s="395" t="s">
        <v>391</v>
      </c>
      <c r="D54" s="27"/>
      <c r="E54" s="124"/>
      <c r="F54" s="27"/>
      <c r="G54" s="123"/>
      <c r="H54" s="123"/>
      <c r="I54" s="123"/>
      <c r="J54" s="123"/>
      <c r="K54" s="124"/>
      <c r="L54" s="28"/>
      <c r="M54" s="123"/>
      <c r="N54" s="123"/>
      <c r="O54" s="36"/>
      <c r="P54" s="36"/>
    </row>
    <row r="55" spans="1:16" ht="12" customHeight="1">
      <c r="A55" s="36"/>
      <c r="B55" s="45"/>
      <c r="C55" s="354" t="s">
        <v>355</v>
      </c>
      <c r="D55" s="27"/>
      <c r="E55" s="124"/>
      <c r="F55" s="27"/>
      <c r="G55" s="123"/>
      <c r="H55" s="123"/>
      <c r="I55" s="123"/>
      <c r="J55" s="123"/>
      <c r="K55" s="124"/>
      <c r="L55" s="28"/>
      <c r="M55" s="123"/>
      <c r="N55" s="123"/>
      <c r="O55" s="36"/>
      <c r="P55" s="36"/>
    </row>
    <row r="56" spans="1:16" ht="12" customHeight="1">
      <c r="A56" s="36"/>
      <c r="B56" s="45"/>
      <c r="C56" s="354" t="s">
        <v>311</v>
      </c>
      <c r="D56" s="27"/>
      <c r="E56" s="124"/>
      <c r="F56" s="27"/>
      <c r="G56" s="123"/>
      <c r="H56" s="123"/>
      <c r="I56" s="123"/>
      <c r="J56" s="123"/>
      <c r="K56" s="124"/>
      <c r="L56" s="28"/>
      <c r="M56" s="123"/>
      <c r="N56" s="123"/>
      <c r="O56" s="36"/>
      <c r="P56" s="36"/>
    </row>
    <row r="57" spans="1:16" ht="12" customHeight="1">
      <c r="A57" s="36"/>
      <c r="B57" s="45"/>
      <c r="C57" s="354" t="s">
        <v>356</v>
      </c>
      <c r="D57" s="27"/>
      <c r="E57" s="124"/>
      <c r="F57" s="27"/>
      <c r="G57" s="123"/>
      <c r="H57" s="123"/>
      <c r="I57" s="123"/>
      <c r="J57" s="123"/>
      <c r="K57" s="124"/>
      <c r="L57" s="28"/>
      <c r="M57" s="123"/>
      <c r="N57" s="123"/>
      <c r="O57" s="36"/>
      <c r="P57" s="36"/>
    </row>
    <row r="58" spans="1:16" ht="12" customHeight="1">
      <c r="A58" s="36"/>
      <c r="B58" s="45"/>
      <c r="C58" s="354" t="s">
        <v>313</v>
      </c>
      <c r="D58" s="27"/>
      <c r="E58" s="124"/>
      <c r="F58" s="27"/>
      <c r="G58" s="123"/>
      <c r="H58" s="123"/>
      <c r="I58" s="123"/>
      <c r="J58" s="123"/>
      <c r="K58" s="124"/>
      <c r="L58" s="28"/>
      <c r="M58" s="123"/>
      <c r="N58" s="123"/>
      <c r="O58" s="36"/>
      <c r="P58" s="36"/>
    </row>
    <row r="59" spans="1:16" ht="12" customHeight="1">
      <c r="A59" s="36"/>
      <c r="B59" s="45"/>
      <c r="C59" s="354" t="s">
        <v>357</v>
      </c>
      <c r="D59" s="27"/>
      <c r="E59" s="124"/>
      <c r="F59" s="27"/>
      <c r="G59" s="123"/>
      <c r="H59" s="123"/>
      <c r="I59" s="123"/>
      <c r="J59" s="123"/>
      <c r="K59" s="124"/>
      <c r="L59" s="28"/>
      <c r="M59" s="123"/>
      <c r="N59" s="123"/>
      <c r="O59" s="36"/>
      <c r="P59" s="36"/>
    </row>
    <row r="60" spans="1:16" ht="12" customHeight="1">
      <c r="A60" s="36"/>
      <c r="B60" s="45"/>
      <c r="C60" s="354" t="s">
        <v>358</v>
      </c>
      <c r="D60" s="27"/>
      <c r="E60" s="124"/>
      <c r="F60" s="27"/>
      <c r="G60" s="123"/>
      <c r="H60" s="123"/>
      <c r="I60" s="123"/>
      <c r="J60" s="123"/>
      <c r="K60" s="124"/>
      <c r="L60" s="28"/>
      <c r="M60" s="123"/>
      <c r="N60" s="123"/>
      <c r="O60" s="36"/>
      <c r="P60" s="36"/>
    </row>
    <row r="61" spans="1:16" ht="12" customHeight="1">
      <c r="A61" s="36"/>
      <c r="B61" s="45"/>
      <c r="C61" s="354" t="s">
        <v>312</v>
      </c>
      <c r="D61" s="27"/>
      <c r="E61" s="124"/>
      <c r="F61" s="27"/>
      <c r="G61" s="123"/>
      <c r="H61" s="123"/>
      <c r="I61" s="123"/>
      <c r="J61" s="123"/>
      <c r="K61" s="124"/>
      <c r="L61" s="28"/>
      <c r="M61" s="123"/>
      <c r="N61" s="123"/>
      <c r="O61" s="36"/>
      <c r="P61" s="36"/>
    </row>
    <row r="62" spans="1:16" ht="12" customHeight="1">
      <c r="A62" s="36"/>
      <c r="B62" s="45"/>
      <c r="C62" s="354" t="s">
        <v>359</v>
      </c>
      <c r="D62" s="27"/>
      <c r="E62" s="124"/>
      <c r="F62" s="27"/>
      <c r="G62" s="123"/>
      <c r="H62" s="123"/>
      <c r="I62" s="123"/>
      <c r="J62" s="123"/>
      <c r="K62" s="124"/>
      <c r="L62" s="28"/>
      <c r="M62" s="123"/>
      <c r="N62" s="123"/>
      <c r="O62" s="36"/>
      <c r="P62" s="36"/>
    </row>
    <row r="63" spans="1:16" ht="12" customHeight="1">
      <c r="A63" s="36"/>
      <c r="B63" s="45"/>
      <c r="C63" s="354" t="s">
        <v>314</v>
      </c>
      <c r="D63" s="27"/>
      <c r="E63" s="124"/>
      <c r="F63" s="27"/>
      <c r="G63" s="123"/>
      <c r="H63" s="123"/>
      <c r="I63" s="123"/>
      <c r="J63" s="123"/>
      <c r="K63" s="124"/>
      <c r="L63" s="28"/>
      <c r="M63" s="123"/>
      <c r="N63" s="123"/>
      <c r="O63" s="36"/>
      <c r="P63" s="36"/>
    </row>
    <row r="64" spans="1:16" ht="12" customHeight="1">
      <c r="A64" s="36"/>
      <c r="B64" s="45"/>
      <c r="C64" s="354" t="s">
        <v>360</v>
      </c>
      <c r="D64" s="27"/>
      <c r="E64" s="124"/>
      <c r="F64" s="27"/>
      <c r="G64" s="123"/>
      <c r="H64" s="123"/>
      <c r="I64" s="123"/>
      <c r="J64" s="123"/>
      <c r="K64" s="124"/>
      <c r="L64" s="28"/>
      <c r="M64" s="123"/>
      <c r="N64" s="123"/>
      <c r="O64" s="36"/>
      <c r="P64" s="36"/>
    </row>
    <row r="65" spans="1:16" ht="12" customHeight="1">
      <c r="A65" s="36"/>
      <c r="B65" s="45"/>
      <c r="C65" s="354" t="s">
        <v>361</v>
      </c>
      <c r="D65" s="27"/>
      <c r="E65" s="124"/>
      <c r="F65" s="27"/>
      <c r="G65" s="123"/>
      <c r="H65" s="123"/>
      <c r="I65" s="123"/>
      <c r="J65" s="123"/>
      <c r="K65" s="124"/>
      <c r="L65" s="28"/>
      <c r="M65" s="123"/>
      <c r="N65" s="123"/>
      <c r="O65" s="36"/>
      <c r="P65" s="36"/>
    </row>
    <row r="66" spans="1:16" ht="12" customHeight="1">
      <c r="A66" s="36"/>
      <c r="B66" s="45"/>
      <c r="C66" s="354" t="s">
        <v>315</v>
      </c>
      <c r="D66" s="27"/>
      <c r="E66" s="124"/>
      <c r="F66" s="27"/>
      <c r="G66" s="123"/>
      <c r="H66" s="123"/>
      <c r="I66" s="123"/>
      <c r="J66" s="123"/>
      <c r="K66" s="124"/>
      <c r="L66" s="28"/>
      <c r="M66" s="123"/>
      <c r="N66" s="123"/>
      <c r="O66" s="36"/>
      <c r="P66" s="36"/>
    </row>
    <row r="67" spans="1:16" ht="12" customHeight="1">
      <c r="A67" s="36"/>
      <c r="B67" s="45"/>
      <c r="C67" s="354" t="s">
        <v>362</v>
      </c>
      <c r="D67" s="27"/>
      <c r="E67" s="124"/>
      <c r="F67" s="27"/>
      <c r="G67" s="123"/>
      <c r="H67" s="123"/>
      <c r="I67" s="123"/>
      <c r="J67" s="123"/>
      <c r="K67" s="124"/>
      <c r="L67" s="28"/>
      <c r="M67" s="123"/>
      <c r="N67" s="123"/>
      <c r="O67" s="36"/>
      <c r="P67" s="36"/>
    </row>
    <row r="68" spans="1:16" ht="12" customHeight="1">
      <c r="A68" s="36"/>
      <c r="B68" s="45"/>
      <c r="C68" s="354" t="s">
        <v>318</v>
      </c>
      <c r="D68" s="27"/>
      <c r="E68" s="124"/>
      <c r="F68" s="27"/>
      <c r="G68" s="123"/>
      <c r="H68" s="123"/>
      <c r="I68" s="123"/>
      <c r="J68" s="123"/>
      <c r="K68" s="124"/>
      <c r="L68" s="28"/>
      <c r="M68" s="123"/>
      <c r="N68" s="123"/>
      <c r="O68" s="36"/>
      <c r="P68" s="36"/>
    </row>
    <row r="69" spans="1:16" ht="12" customHeight="1">
      <c r="A69" s="36"/>
      <c r="B69" s="45"/>
      <c r="C69" s="354" t="s">
        <v>316</v>
      </c>
      <c r="D69" s="27"/>
      <c r="E69" s="124"/>
      <c r="F69" s="27"/>
      <c r="G69" s="123"/>
      <c r="H69" s="123"/>
      <c r="I69" s="123"/>
      <c r="J69" s="123"/>
      <c r="K69" s="124"/>
      <c r="L69" s="28"/>
      <c r="M69" s="123"/>
      <c r="N69" s="123"/>
      <c r="O69" s="36"/>
      <c r="P69" s="36"/>
    </row>
    <row r="70" spans="1:16" ht="12" customHeight="1">
      <c r="A70" s="36"/>
      <c r="B70" s="45"/>
      <c r="C70" s="354" t="s">
        <v>363</v>
      </c>
      <c r="D70" s="27"/>
      <c r="E70" s="124"/>
      <c r="F70" s="27"/>
      <c r="G70" s="123"/>
      <c r="H70" s="123"/>
      <c r="I70" s="123"/>
      <c r="J70" s="123"/>
      <c r="K70" s="124"/>
      <c r="L70" s="28"/>
      <c r="M70" s="123"/>
      <c r="N70" s="123"/>
      <c r="O70" s="36"/>
      <c r="P70" s="36"/>
    </row>
    <row r="71" spans="1:16" ht="12" customHeight="1">
      <c r="A71" s="36"/>
      <c r="B71" s="45"/>
      <c r="C71" s="354" t="s">
        <v>319</v>
      </c>
      <c r="D71" s="27"/>
      <c r="E71" s="124"/>
      <c r="F71" s="27"/>
      <c r="G71" s="123"/>
      <c r="H71" s="123"/>
      <c r="I71" s="123"/>
      <c r="J71" s="123"/>
      <c r="K71" s="124"/>
      <c r="L71" s="28"/>
      <c r="M71" s="123"/>
      <c r="N71" s="123"/>
      <c r="O71" s="36"/>
      <c r="P71" s="36"/>
    </row>
    <row r="72" spans="1:16" ht="12" customHeight="1">
      <c r="A72" s="36"/>
      <c r="B72" s="45"/>
      <c r="C72" s="354" t="s">
        <v>320</v>
      </c>
      <c r="D72" s="27"/>
      <c r="E72" s="124"/>
      <c r="F72" s="27"/>
      <c r="G72" s="123"/>
      <c r="H72" s="123"/>
      <c r="I72" s="123"/>
      <c r="J72" s="123"/>
      <c r="K72" s="124"/>
      <c r="L72" s="28"/>
      <c r="M72" s="123"/>
      <c r="N72" s="123"/>
      <c r="O72" s="36"/>
      <c r="P72" s="36"/>
    </row>
    <row r="73" spans="1:16" ht="12" customHeight="1">
      <c r="A73" s="36"/>
      <c r="B73" s="45"/>
      <c r="C73" s="354" t="s">
        <v>317</v>
      </c>
      <c r="D73" s="397"/>
      <c r="E73" s="398"/>
      <c r="F73" s="397"/>
      <c r="G73" s="399"/>
      <c r="H73" s="399"/>
      <c r="I73" s="399"/>
      <c r="J73" s="399"/>
      <c r="K73" s="398"/>
      <c r="L73" s="400"/>
      <c r="M73" s="399"/>
      <c r="N73" s="399"/>
      <c r="O73" s="36"/>
      <c r="P73" s="36"/>
    </row>
    <row r="74" spans="1:16" ht="12" customHeight="1">
      <c r="A74" s="36"/>
      <c r="B74" s="45"/>
      <c r="C74" s="354" t="s">
        <v>364</v>
      </c>
      <c r="D74" s="397"/>
      <c r="E74" s="398"/>
      <c r="F74" s="397"/>
      <c r="G74" s="399"/>
      <c r="H74" s="399"/>
      <c r="I74" s="399"/>
      <c r="J74" s="399"/>
      <c r="K74" s="398"/>
      <c r="L74" s="400"/>
      <c r="M74" s="399"/>
      <c r="N74" s="399"/>
      <c r="O74" s="36"/>
      <c r="P74" s="36"/>
    </row>
    <row r="75" spans="1:16" ht="12" customHeight="1">
      <c r="A75" s="36"/>
      <c r="B75" s="45"/>
      <c r="C75" s="354" t="s">
        <v>365</v>
      </c>
      <c r="D75" s="397"/>
      <c r="E75" s="398"/>
      <c r="F75" s="397"/>
      <c r="G75" s="399"/>
      <c r="H75" s="399"/>
      <c r="I75" s="399"/>
      <c r="J75" s="399"/>
      <c r="K75" s="398"/>
      <c r="L75" s="400"/>
      <c r="M75" s="399"/>
      <c r="N75" s="399"/>
      <c r="O75" s="36"/>
      <c r="P75" s="36"/>
    </row>
    <row r="76" spans="1:16" ht="15" customHeight="1">
      <c r="A76" s="36"/>
      <c r="B76" s="45"/>
      <c r="C76" s="354"/>
      <c r="D76" s="397"/>
      <c r="E76" s="398"/>
      <c r="F76" s="397"/>
      <c r="G76" s="399"/>
      <c r="H76" s="399"/>
      <c r="I76" s="399"/>
      <c r="J76" s="399"/>
      <c r="K76" s="398"/>
      <c r="L76" s="400"/>
      <c r="M76" s="399"/>
      <c r="N76" s="399"/>
      <c r="O76" s="36"/>
      <c r="P76" s="36"/>
    </row>
    <row r="77" spans="1:16" ht="15.95" customHeight="1">
      <c r="A77" s="36"/>
      <c r="B77" s="45"/>
      <c r="C77" s="491" t="s">
        <v>387</v>
      </c>
      <c r="D77" s="491"/>
      <c r="E77" s="491"/>
      <c r="F77" s="491"/>
      <c r="G77" s="491"/>
      <c r="H77" s="491"/>
      <c r="I77" s="491"/>
      <c r="J77" s="491"/>
      <c r="K77" s="491"/>
      <c r="L77" s="491"/>
      <c r="M77" s="491"/>
      <c r="N77" s="491"/>
      <c r="O77" s="36"/>
      <c r="P77" s="36"/>
    </row>
    <row r="78" spans="1:16" ht="15.95" customHeight="1">
      <c r="A78" s="36"/>
      <c r="B78" s="45"/>
      <c r="C78" s="164"/>
      <c r="J78" s="178"/>
      <c r="K78" s="502" t="str">
        <f ca="1">OP!$C$55&amp;" 列印日："&amp;TEXT(NOW(),"EEMMDD")</f>
        <v>V4.2-1060517 列印日：1060602</v>
      </c>
      <c r="L78" s="502"/>
      <c r="M78" s="502"/>
      <c r="N78" s="502"/>
      <c r="O78" s="36"/>
      <c r="P78" s="36"/>
    </row>
    <row r="79" spans="1:16" ht="15.95" customHeight="1">
      <c r="A79" s="36"/>
      <c r="B79" s="45"/>
      <c r="C79" s="164"/>
      <c r="J79" s="178"/>
      <c r="K79" s="394"/>
      <c r="L79" s="394"/>
      <c r="M79" s="394"/>
      <c r="N79" s="394"/>
      <c r="O79" s="36"/>
      <c r="P79" s="36"/>
    </row>
    <row r="80" spans="1:16" ht="15.95" customHeight="1">
      <c r="A80" s="36"/>
      <c r="B80" s="45"/>
      <c r="C80" s="423" t="s">
        <v>367</v>
      </c>
      <c r="J80" s="178"/>
      <c r="K80" s="394"/>
      <c r="L80" s="394"/>
      <c r="M80" s="394"/>
      <c r="N80" s="394"/>
      <c r="O80" s="36"/>
      <c r="P80" s="36"/>
    </row>
    <row r="81" spans="1:16" ht="15.95" customHeight="1">
      <c r="A81" s="36"/>
      <c r="B81" s="45"/>
      <c r="C81" s="423" t="s">
        <v>455</v>
      </c>
      <c r="J81" s="178"/>
      <c r="K81" s="394"/>
      <c r="L81" s="394"/>
      <c r="M81" s="394"/>
      <c r="N81" s="394"/>
      <c r="O81" s="36"/>
      <c r="P81" s="36"/>
    </row>
    <row r="82" spans="1:16" ht="15.95" customHeight="1">
      <c r="A82" s="36"/>
      <c r="B82" s="45"/>
      <c r="C82" s="423" t="s">
        <v>456</v>
      </c>
      <c r="J82" s="178"/>
      <c r="K82" s="394"/>
      <c r="L82" s="394"/>
      <c r="M82" s="394"/>
      <c r="N82" s="394"/>
      <c r="O82" s="36"/>
      <c r="P82" s="36"/>
    </row>
    <row r="83" spans="1:16" ht="15.95" customHeight="1">
      <c r="A83" s="36"/>
      <c r="B83" s="45"/>
      <c r="C83" s="423" t="s">
        <v>457</v>
      </c>
      <c r="J83" s="178"/>
      <c r="K83" s="394"/>
      <c r="L83" s="394"/>
      <c r="M83" s="394"/>
      <c r="N83" s="394"/>
      <c r="O83" s="36"/>
      <c r="P83" s="36"/>
    </row>
    <row r="84" spans="1:16" ht="15.95" customHeight="1">
      <c r="A84" s="36"/>
      <c r="B84" s="45"/>
      <c r="C84" s="423" t="s">
        <v>458</v>
      </c>
      <c r="J84" s="178"/>
      <c r="K84" s="394"/>
      <c r="L84" s="394"/>
      <c r="M84" s="394"/>
      <c r="N84" s="394"/>
      <c r="O84" s="36"/>
      <c r="P84" s="36"/>
    </row>
    <row r="85" spans="1:16" ht="15.95" customHeight="1">
      <c r="A85" s="36"/>
      <c r="B85" s="45"/>
      <c r="C85" s="423" t="s">
        <v>459</v>
      </c>
      <c r="J85" s="178"/>
      <c r="K85" s="394"/>
      <c r="L85" s="394"/>
      <c r="M85" s="394"/>
      <c r="N85" s="394"/>
      <c r="O85" s="36"/>
      <c r="P85" s="36"/>
    </row>
    <row r="86" spans="1:16" ht="15.95" customHeight="1">
      <c r="A86" s="36"/>
      <c r="B86" s="45"/>
      <c r="C86" s="423" t="s">
        <v>460</v>
      </c>
      <c r="J86" s="178"/>
      <c r="K86" s="394"/>
      <c r="L86" s="394"/>
      <c r="M86" s="394"/>
      <c r="N86" s="394"/>
      <c r="O86" s="36"/>
      <c r="P86" s="36"/>
    </row>
    <row r="87" spans="1:16" ht="15.95" customHeight="1">
      <c r="A87" s="36"/>
      <c r="B87" s="45"/>
      <c r="C87" s="423" t="s">
        <v>461</v>
      </c>
      <c r="J87" s="178"/>
      <c r="K87" s="394"/>
      <c r="L87" s="394"/>
      <c r="M87" s="394"/>
      <c r="N87" s="394"/>
      <c r="O87" s="36"/>
      <c r="P87" s="36"/>
    </row>
    <row r="88" spans="1:16" ht="15.95" customHeight="1">
      <c r="A88" s="36"/>
      <c r="B88" s="45"/>
      <c r="C88" s="424" t="s">
        <v>462</v>
      </c>
      <c r="J88" s="178"/>
      <c r="K88" s="394"/>
      <c r="L88" s="394"/>
      <c r="M88" s="394"/>
      <c r="N88" s="394"/>
      <c r="O88" s="36"/>
      <c r="P88" s="36"/>
    </row>
    <row r="89" spans="1:16" ht="15.95" customHeight="1">
      <c r="A89" s="36"/>
      <c r="B89" s="45"/>
      <c r="C89" s="424" t="s">
        <v>463</v>
      </c>
      <c r="J89" s="178"/>
      <c r="K89" s="394"/>
      <c r="L89" s="394"/>
      <c r="M89" s="394"/>
      <c r="N89" s="394"/>
      <c r="O89" s="36"/>
      <c r="P89" s="36"/>
    </row>
    <row r="90" spans="1:16" ht="15.95" customHeight="1">
      <c r="A90" s="36"/>
      <c r="B90" s="45"/>
      <c r="C90" s="424" t="s">
        <v>464</v>
      </c>
      <c r="J90" s="178"/>
      <c r="K90" s="394"/>
      <c r="L90" s="394"/>
      <c r="M90" s="394"/>
      <c r="N90" s="394"/>
      <c r="O90" s="36"/>
      <c r="P90" s="36"/>
    </row>
    <row r="91" spans="1:16" ht="15.95" customHeight="1">
      <c r="A91" s="36"/>
      <c r="B91" s="45"/>
      <c r="C91" s="424" t="s">
        <v>465</v>
      </c>
      <c r="J91" s="178"/>
      <c r="K91" s="394"/>
      <c r="L91" s="394"/>
      <c r="M91" s="394"/>
      <c r="N91" s="394"/>
      <c r="O91" s="36"/>
      <c r="P91" s="36"/>
    </row>
    <row r="92" spans="1:16" ht="15.95" customHeight="1">
      <c r="A92" s="36"/>
      <c r="B92" s="45"/>
      <c r="C92" s="424" t="s">
        <v>466</v>
      </c>
      <c r="J92" s="178"/>
      <c r="K92" s="394"/>
      <c r="L92" s="394"/>
      <c r="M92" s="394"/>
      <c r="N92" s="394"/>
      <c r="O92" s="36"/>
      <c r="P92" s="36"/>
    </row>
    <row r="93" spans="1:16" ht="15.95" customHeight="1">
      <c r="A93" s="36"/>
      <c r="B93" s="45"/>
      <c r="C93" s="424" t="s">
        <v>467</v>
      </c>
      <c r="J93" s="178"/>
      <c r="K93" s="394"/>
      <c r="L93" s="394"/>
      <c r="M93" s="394"/>
      <c r="N93" s="394"/>
      <c r="O93" s="36"/>
      <c r="P93" s="36"/>
    </row>
    <row r="94" spans="1:16" ht="15.95" customHeight="1">
      <c r="A94" s="36"/>
      <c r="B94" s="45"/>
      <c r="C94" s="424" t="s">
        <v>468</v>
      </c>
      <c r="J94" s="178"/>
      <c r="K94" s="394"/>
      <c r="L94" s="394"/>
      <c r="M94" s="394"/>
      <c r="N94" s="394"/>
      <c r="O94" s="36"/>
      <c r="P94" s="36"/>
    </row>
    <row r="95" spans="1:16" ht="15.95" customHeight="1">
      <c r="A95" s="36"/>
      <c r="B95" s="45"/>
      <c r="C95" s="423" t="s">
        <v>469</v>
      </c>
      <c r="J95" s="178"/>
      <c r="K95" s="394"/>
      <c r="L95" s="394"/>
      <c r="M95" s="394"/>
      <c r="N95" s="394"/>
      <c r="O95" s="36"/>
      <c r="P95" s="36"/>
    </row>
    <row r="96" spans="1:16" ht="15.95" customHeight="1">
      <c r="A96" s="36"/>
      <c r="B96" s="45"/>
      <c r="C96" s="423" t="s">
        <v>470</v>
      </c>
      <c r="J96" s="178"/>
      <c r="K96" s="394"/>
      <c r="L96" s="394"/>
      <c r="M96" s="394"/>
      <c r="N96" s="394"/>
      <c r="O96" s="36"/>
      <c r="P96" s="36"/>
    </row>
    <row r="97" spans="1:16" ht="15.95" customHeight="1">
      <c r="A97" s="36"/>
      <c r="B97" s="45"/>
      <c r="C97" s="423" t="s">
        <v>471</v>
      </c>
      <c r="J97" s="178"/>
      <c r="K97" s="394"/>
      <c r="L97" s="394"/>
      <c r="M97" s="394"/>
      <c r="N97" s="394"/>
      <c r="O97" s="36"/>
      <c r="P97" s="36"/>
    </row>
    <row r="98" spans="1:16" ht="15.95" customHeight="1">
      <c r="A98" s="36"/>
      <c r="B98" s="45"/>
      <c r="C98" s="425" t="s">
        <v>472</v>
      </c>
      <c r="J98" s="178"/>
      <c r="K98" s="394"/>
      <c r="L98" s="394"/>
      <c r="M98" s="394"/>
      <c r="N98" s="394"/>
      <c r="O98" s="36"/>
      <c r="P98" s="36"/>
    </row>
    <row r="99" spans="1:16" ht="15.95" customHeight="1">
      <c r="A99" s="36"/>
      <c r="B99" s="45"/>
      <c r="C99" s="425" t="s">
        <v>473</v>
      </c>
      <c r="J99" s="178"/>
      <c r="K99" s="394"/>
      <c r="L99" s="394"/>
      <c r="M99" s="394"/>
      <c r="N99" s="394"/>
      <c r="O99" s="36"/>
      <c r="P99" s="36"/>
    </row>
    <row r="100" spans="1:16" ht="15.95" customHeight="1">
      <c r="A100" s="36"/>
      <c r="B100" s="45"/>
      <c r="C100" s="449" t="s">
        <v>531</v>
      </c>
      <c r="J100" s="178"/>
      <c r="K100" s="394"/>
      <c r="L100" s="394"/>
      <c r="M100" s="394"/>
      <c r="N100" s="394"/>
      <c r="O100" s="36"/>
      <c r="P100" s="36"/>
    </row>
    <row r="101" spans="1:16" ht="15.95" customHeight="1">
      <c r="A101" s="36"/>
      <c r="B101" s="45"/>
      <c r="C101" s="164"/>
      <c r="J101" s="178"/>
      <c r="K101" s="394"/>
      <c r="L101" s="394"/>
      <c r="M101" s="394"/>
      <c r="N101" s="394"/>
      <c r="O101" s="36"/>
      <c r="P101" s="36"/>
    </row>
    <row r="102" spans="1:16" ht="15.95" customHeight="1">
      <c r="A102" s="36"/>
      <c r="B102" s="45"/>
      <c r="C102" s="164"/>
      <c r="J102" s="178"/>
      <c r="K102" s="394"/>
      <c r="L102" s="394"/>
      <c r="M102" s="394"/>
      <c r="N102" s="394"/>
      <c r="O102" s="36"/>
      <c r="P102" s="36"/>
    </row>
    <row r="103" spans="1:16" ht="15.95" customHeight="1">
      <c r="A103" s="36"/>
      <c r="B103" s="45"/>
      <c r="C103" s="164"/>
      <c r="J103" s="178"/>
      <c r="K103" s="394"/>
      <c r="L103" s="394"/>
      <c r="M103" s="394"/>
      <c r="N103" s="394"/>
      <c r="O103" s="36"/>
      <c r="P103" s="36"/>
    </row>
    <row r="104" spans="1:16" ht="15.95" customHeight="1">
      <c r="A104" s="36"/>
      <c r="B104" s="45"/>
      <c r="C104" s="164"/>
      <c r="J104" s="178"/>
      <c r="K104" s="394"/>
      <c r="L104" s="394"/>
      <c r="M104" s="394"/>
      <c r="N104" s="394"/>
      <c r="O104" s="36"/>
      <c r="P104" s="36"/>
    </row>
    <row r="105" spans="1:16" ht="15.95" customHeight="1">
      <c r="A105" s="36"/>
      <c r="B105" s="45"/>
      <c r="C105" s="164"/>
      <c r="J105" s="178"/>
      <c r="K105" s="394"/>
      <c r="L105" s="394"/>
      <c r="M105" s="394"/>
      <c r="N105" s="394"/>
      <c r="O105" s="36"/>
      <c r="P105" s="36"/>
    </row>
    <row r="106" spans="1:16" ht="15.95" customHeight="1">
      <c r="A106" s="36"/>
      <c r="B106" s="45"/>
      <c r="C106" s="164"/>
      <c r="J106" s="178"/>
      <c r="K106" s="394"/>
      <c r="L106" s="394"/>
      <c r="M106" s="394"/>
      <c r="N106" s="394"/>
      <c r="O106" s="36"/>
      <c r="P106" s="36"/>
    </row>
    <row r="107" spans="1:16" ht="15.95" customHeight="1">
      <c r="A107" s="36"/>
      <c r="B107" s="45"/>
      <c r="C107" s="164"/>
      <c r="J107" s="178"/>
      <c r="K107" s="394"/>
      <c r="L107" s="394"/>
      <c r="M107" s="394"/>
      <c r="N107" s="394"/>
      <c r="O107" s="36"/>
      <c r="P107" s="36"/>
    </row>
    <row r="108" spans="1:16" ht="15.95" customHeight="1">
      <c r="A108" s="36"/>
      <c r="B108" s="45"/>
      <c r="C108" s="164"/>
      <c r="J108" s="178"/>
      <c r="K108" s="394"/>
      <c r="L108" s="394"/>
      <c r="M108" s="394"/>
      <c r="N108" s="394"/>
      <c r="O108" s="36"/>
      <c r="P108" s="36"/>
    </row>
    <row r="109" spans="1:16" ht="15.95" customHeight="1">
      <c r="A109" s="36"/>
      <c r="B109" s="45"/>
      <c r="C109" s="164"/>
      <c r="J109" s="178"/>
      <c r="K109" s="394"/>
      <c r="L109" s="394"/>
      <c r="M109" s="394"/>
      <c r="N109" s="394"/>
      <c r="O109" s="36"/>
      <c r="P109" s="36"/>
    </row>
    <row r="110" spans="1:16" ht="15.95" customHeight="1">
      <c r="A110" s="36"/>
      <c r="B110" s="45"/>
      <c r="C110" s="164"/>
      <c r="J110" s="178"/>
      <c r="K110" s="394"/>
      <c r="L110" s="394"/>
      <c r="M110" s="394"/>
      <c r="N110" s="394"/>
      <c r="O110" s="36"/>
      <c r="P110" s="36"/>
    </row>
    <row r="111" spans="1:16" ht="15.95" customHeight="1">
      <c r="A111" s="36"/>
      <c r="B111" s="45"/>
      <c r="C111" s="164"/>
      <c r="J111" s="178"/>
      <c r="K111" s="394"/>
      <c r="L111" s="394"/>
      <c r="M111" s="394"/>
      <c r="N111" s="394"/>
      <c r="O111" s="36"/>
      <c r="P111" s="36"/>
    </row>
    <row r="112" spans="1:16" ht="15.95" customHeight="1">
      <c r="A112" s="36"/>
      <c r="B112" s="45"/>
      <c r="C112" s="164"/>
      <c r="J112" s="178"/>
      <c r="K112" s="394"/>
      <c r="L112" s="394"/>
      <c r="M112" s="394"/>
      <c r="N112" s="394"/>
      <c r="O112" s="36"/>
      <c r="P112" s="36"/>
    </row>
    <row r="113" spans="1:16" ht="15.95" customHeight="1">
      <c r="A113" s="36"/>
      <c r="B113" s="45"/>
      <c r="C113" s="164"/>
      <c r="J113" s="178"/>
      <c r="K113" s="394"/>
      <c r="L113" s="394"/>
      <c r="M113" s="394"/>
      <c r="N113" s="394"/>
      <c r="O113" s="36"/>
      <c r="P113" s="36"/>
    </row>
    <row r="114" spans="1:16" ht="15.95" customHeight="1">
      <c r="A114" s="36"/>
      <c r="B114" s="45"/>
      <c r="C114" s="164"/>
      <c r="J114" s="178"/>
      <c r="K114" s="394"/>
      <c r="L114" s="394"/>
      <c r="M114" s="394"/>
      <c r="N114" s="394"/>
      <c r="O114" s="36"/>
      <c r="P114" s="36"/>
    </row>
    <row r="115" spans="1:16" ht="15.95" customHeight="1">
      <c r="A115" s="36"/>
      <c r="B115" s="45"/>
      <c r="C115" s="164"/>
      <c r="J115" s="178"/>
      <c r="K115" s="394"/>
      <c r="L115" s="394"/>
      <c r="M115" s="394"/>
      <c r="N115" s="394"/>
      <c r="O115" s="36"/>
      <c r="P115" s="36"/>
    </row>
    <row r="116" spans="1:16" ht="15.95" customHeight="1">
      <c r="A116" s="36"/>
      <c r="B116" s="45"/>
      <c r="C116" s="164"/>
      <c r="J116" s="178"/>
      <c r="K116" s="394"/>
      <c r="L116" s="394"/>
      <c r="M116" s="394"/>
      <c r="N116" s="394"/>
      <c r="O116" s="36"/>
      <c r="P116" s="36"/>
    </row>
    <row r="117" spans="1:16" ht="15.95" customHeight="1">
      <c r="A117" s="36"/>
      <c r="B117" s="45"/>
      <c r="C117" s="164"/>
      <c r="J117" s="178"/>
      <c r="K117" s="394"/>
      <c r="L117" s="394"/>
      <c r="M117" s="394"/>
      <c r="N117" s="394"/>
      <c r="O117" s="36"/>
      <c r="P117" s="36"/>
    </row>
    <row r="118" spans="1:16" ht="15.95" customHeight="1">
      <c r="A118" s="36"/>
      <c r="B118" s="45"/>
      <c r="C118" s="164"/>
      <c r="J118" s="178"/>
      <c r="K118" s="394"/>
      <c r="L118" s="394"/>
      <c r="M118" s="394"/>
      <c r="N118" s="394"/>
      <c r="O118" s="36"/>
      <c r="P118" s="36"/>
    </row>
    <row r="119" spans="1:16" ht="15.95" customHeight="1">
      <c r="A119" s="36"/>
      <c r="B119" s="45"/>
      <c r="C119" s="164"/>
      <c r="J119" s="178"/>
      <c r="K119" s="394"/>
      <c r="L119" s="394"/>
      <c r="M119" s="394"/>
      <c r="N119" s="394"/>
      <c r="O119" s="36"/>
      <c r="P119" s="36"/>
    </row>
    <row r="120" spans="1:16" ht="15.95" customHeight="1">
      <c r="A120" s="36"/>
      <c r="B120" s="45"/>
      <c r="C120" s="164"/>
      <c r="J120" s="178"/>
      <c r="K120" s="394"/>
      <c r="L120" s="394"/>
      <c r="M120" s="394"/>
      <c r="N120" s="394"/>
      <c r="O120" s="36"/>
      <c r="P120" s="36"/>
    </row>
    <row r="121" spans="1:16" ht="15.95" customHeight="1">
      <c r="A121" s="36"/>
      <c r="B121" s="45"/>
      <c r="C121" s="164"/>
      <c r="J121" s="178"/>
      <c r="K121" s="394"/>
      <c r="L121" s="394"/>
      <c r="M121" s="394"/>
      <c r="N121" s="394"/>
      <c r="O121" s="36"/>
      <c r="P121" s="36"/>
    </row>
    <row r="122" spans="1:16" ht="15.95" customHeight="1">
      <c r="A122" s="36"/>
      <c r="B122" s="45"/>
      <c r="C122" s="164"/>
      <c r="J122" s="178"/>
      <c r="K122" s="394"/>
      <c r="L122" s="394"/>
      <c r="M122" s="394"/>
      <c r="N122" s="394"/>
      <c r="O122" s="36"/>
      <c r="P122" s="36"/>
    </row>
    <row r="123" spans="1:16" ht="15.95" customHeight="1">
      <c r="A123" s="36"/>
      <c r="B123" s="45"/>
      <c r="C123" s="164"/>
      <c r="J123" s="178"/>
      <c r="K123" s="394"/>
      <c r="L123" s="394"/>
      <c r="M123" s="394"/>
      <c r="N123" s="394"/>
      <c r="O123" s="36"/>
      <c r="P123" s="36"/>
    </row>
    <row r="124" spans="1:16" ht="15.95" customHeight="1">
      <c r="A124" s="36"/>
      <c r="B124" s="45"/>
      <c r="C124" s="164"/>
      <c r="J124" s="178"/>
      <c r="K124" s="394"/>
      <c r="L124" s="394"/>
      <c r="M124" s="394"/>
      <c r="N124" s="394"/>
      <c r="O124" s="36"/>
      <c r="P124" s="36"/>
    </row>
    <row r="125" spans="1:16" ht="15.95" customHeight="1">
      <c r="A125" s="36"/>
      <c r="B125" s="45"/>
      <c r="C125" s="164"/>
      <c r="J125" s="178"/>
      <c r="K125" s="394"/>
      <c r="L125" s="394"/>
      <c r="M125" s="394"/>
      <c r="N125" s="394"/>
      <c r="O125" s="36"/>
      <c r="P125" s="36"/>
    </row>
    <row r="126" spans="1:16" ht="15.95" customHeight="1">
      <c r="A126" s="36"/>
      <c r="B126" s="45"/>
      <c r="C126" s="164"/>
      <c r="J126" s="178"/>
      <c r="K126" s="394"/>
      <c r="L126" s="394"/>
      <c r="M126" s="394"/>
      <c r="N126" s="394"/>
      <c r="O126" s="36"/>
      <c r="P126" s="36"/>
    </row>
    <row r="127" spans="1:16" ht="15.95" customHeight="1">
      <c r="A127" s="36"/>
      <c r="B127" s="45"/>
      <c r="C127" s="164"/>
      <c r="J127" s="178"/>
      <c r="K127" s="394"/>
      <c r="L127" s="394"/>
      <c r="M127" s="394"/>
      <c r="N127" s="394"/>
      <c r="O127" s="36"/>
      <c r="P127" s="36"/>
    </row>
    <row r="128" spans="1:16" ht="15.95" customHeight="1">
      <c r="A128" s="36"/>
      <c r="B128" s="45"/>
      <c r="C128" s="164"/>
      <c r="J128" s="178"/>
      <c r="K128" s="394"/>
      <c r="L128" s="394"/>
      <c r="M128" s="394"/>
      <c r="N128" s="394"/>
      <c r="O128" s="36"/>
      <c r="P128" s="36"/>
    </row>
    <row r="129" spans="1:16" ht="15.95" customHeight="1">
      <c r="A129" s="36"/>
      <c r="B129" s="45"/>
      <c r="C129" s="164"/>
      <c r="J129" s="178"/>
      <c r="K129" s="394"/>
      <c r="L129" s="394"/>
      <c r="M129" s="394"/>
      <c r="N129" s="394"/>
      <c r="O129" s="36"/>
      <c r="P129" s="36"/>
    </row>
    <row r="130" spans="1:16" ht="15.95" customHeight="1">
      <c r="A130" s="36"/>
      <c r="B130" s="45"/>
      <c r="C130" s="164"/>
      <c r="J130" s="178"/>
      <c r="K130" s="394"/>
      <c r="L130" s="394"/>
      <c r="M130" s="394"/>
      <c r="N130" s="394"/>
      <c r="O130" s="36"/>
      <c r="P130" s="36"/>
    </row>
    <row r="131" spans="1:16" ht="15.95" customHeight="1">
      <c r="A131" s="36"/>
      <c r="B131" s="45"/>
      <c r="C131" s="164"/>
      <c r="J131" s="178"/>
      <c r="K131" s="394"/>
      <c r="L131" s="394"/>
      <c r="M131" s="394"/>
      <c r="N131" s="394"/>
      <c r="O131" s="36"/>
      <c r="P131" s="36"/>
    </row>
    <row r="132" spans="1:16" ht="15.95" customHeight="1">
      <c r="A132" s="36"/>
      <c r="B132" s="45"/>
      <c r="C132" s="164"/>
      <c r="J132" s="178"/>
      <c r="K132" s="394"/>
      <c r="L132" s="394"/>
      <c r="M132" s="394"/>
      <c r="N132" s="394"/>
      <c r="O132" s="36"/>
      <c r="P132" s="36"/>
    </row>
    <row r="133" spans="1:16" ht="15.95" customHeight="1">
      <c r="A133" s="36"/>
      <c r="B133" s="45"/>
      <c r="C133" s="164"/>
      <c r="J133" s="178"/>
      <c r="K133" s="394"/>
      <c r="L133" s="394"/>
      <c r="M133" s="394"/>
      <c r="N133" s="394"/>
      <c r="O133" s="36"/>
      <c r="P133" s="36"/>
    </row>
    <row r="134" spans="1:16" ht="15.95" customHeight="1">
      <c r="A134" s="36"/>
      <c r="B134" s="45"/>
      <c r="C134" s="164"/>
      <c r="J134" s="178"/>
      <c r="K134" s="394"/>
      <c r="L134" s="394"/>
      <c r="M134" s="394"/>
      <c r="N134" s="394"/>
      <c r="O134" s="36"/>
      <c r="P134" s="36"/>
    </row>
    <row r="135" spans="1:16" ht="15.95" customHeight="1">
      <c r="A135" s="36"/>
      <c r="B135" s="45"/>
      <c r="C135" s="164"/>
      <c r="J135" s="178"/>
      <c r="K135" s="394"/>
      <c r="L135" s="394"/>
      <c r="M135" s="394"/>
      <c r="N135" s="394"/>
      <c r="O135" s="36"/>
      <c r="P135" s="36"/>
    </row>
    <row r="136" spans="1:16" ht="15.95" customHeight="1">
      <c r="A136" s="36"/>
      <c r="B136" s="45"/>
      <c r="C136" s="164"/>
      <c r="J136" s="178"/>
      <c r="K136" s="394"/>
      <c r="L136" s="394"/>
      <c r="M136" s="394"/>
      <c r="N136" s="394"/>
      <c r="O136" s="36"/>
      <c r="P136" s="36"/>
    </row>
    <row r="137" spans="1:16" ht="15.95" customHeight="1">
      <c r="A137" s="36"/>
      <c r="B137" s="45"/>
      <c r="C137" s="164"/>
      <c r="J137" s="178"/>
      <c r="K137" s="394"/>
      <c r="L137" s="394"/>
      <c r="M137" s="394"/>
      <c r="N137" s="394"/>
      <c r="O137" s="36"/>
      <c r="P137" s="36"/>
    </row>
    <row r="138" spans="1:16" ht="15.95" customHeight="1">
      <c r="A138" s="36"/>
      <c r="B138" s="45"/>
      <c r="C138" s="164"/>
      <c r="J138" s="178"/>
      <c r="K138" s="394"/>
      <c r="L138" s="394"/>
      <c r="M138" s="394"/>
      <c r="N138" s="394"/>
      <c r="O138" s="36"/>
      <c r="P138" s="36"/>
    </row>
    <row r="139" spans="1:16" ht="15.95" customHeight="1">
      <c r="A139" s="36"/>
      <c r="B139" s="45"/>
      <c r="C139" s="164"/>
      <c r="J139" s="178"/>
      <c r="K139" s="394"/>
      <c r="L139" s="394"/>
      <c r="M139" s="394"/>
      <c r="N139" s="394"/>
      <c r="O139" s="36"/>
      <c r="P139" s="36"/>
    </row>
    <row r="140" spans="1:16" ht="15.95" customHeight="1">
      <c r="A140" s="36"/>
      <c r="B140" s="45"/>
      <c r="C140" s="164"/>
      <c r="J140" s="178"/>
      <c r="K140" s="394"/>
      <c r="L140" s="394"/>
      <c r="M140" s="394"/>
      <c r="N140" s="394"/>
      <c r="O140" s="36"/>
      <c r="P140" s="36"/>
    </row>
    <row r="141" spans="1:16" ht="15.95" customHeight="1">
      <c r="A141" s="36"/>
      <c r="B141" s="45"/>
      <c r="C141" s="164"/>
      <c r="J141" s="178"/>
      <c r="K141" s="394"/>
      <c r="L141" s="394"/>
      <c r="M141" s="394"/>
      <c r="N141" s="394"/>
      <c r="O141" s="36"/>
      <c r="P141" s="36"/>
    </row>
    <row r="142" spans="1:16" ht="15.95" customHeight="1">
      <c r="A142" s="36"/>
      <c r="B142" s="45"/>
      <c r="C142" s="491" t="s">
        <v>387</v>
      </c>
      <c r="D142" s="491"/>
      <c r="E142" s="491"/>
      <c r="F142" s="491"/>
      <c r="G142" s="491"/>
      <c r="H142" s="491"/>
      <c r="I142" s="491"/>
      <c r="J142" s="491"/>
      <c r="K142" s="491"/>
      <c r="L142" s="491"/>
      <c r="M142" s="491"/>
      <c r="N142" s="491"/>
      <c r="O142" s="36"/>
      <c r="P142" s="36"/>
    </row>
    <row r="143" spans="1:16" ht="15.95" customHeight="1">
      <c r="A143" s="36"/>
      <c r="B143" s="45"/>
      <c r="C143" s="164"/>
      <c r="J143" s="178"/>
      <c r="K143" s="502" t="str">
        <f ca="1">OP!$C$55&amp;" 列印日："&amp;TEXT(NOW(),"EEMMDD")</f>
        <v>V4.2-1060517 列印日：1060602</v>
      </c>
      <c r="L143" s="502"/>
      <c r="M143" s="502"/>
      <c r="N143" s="502"/>
      <c r="O143" s="36"/>
      <c r="P143" s="36"/>
    </row>
    <row r="144" spans="1:16" ht="12" customHeight="1">
      <c r="A144" s="36"/>
      <c r="B144" s="45"/>
      <c r="C144" s="123"/>
      <c r="D144" s="27"/>
      <c r="E144" s="124"/>
      <c r="F144" s="27"/>
      <c r="G144" s="123"/>
      <c r="H144" s="123"/>
      <c r="I144" s="123"/>
      <c r="J144" s="123"/>
      <c r="K144" s="124"/>
      <c r="L144" s="28"/>
      <c r="M144" s="123"/>
      <c r="N144" s="123"/>
      <c r="O144" s="36"/>
      <c r="P144" s="36"/>
    </row>
    <row r="145" spans="2:14">
      <c r="C145" s="501" t="str">
        <f>IF(M148="","請先於下方藍色方格選擇用以計算年金金額之報酬","投     保     利     益     表")</f>
        <v>投     保     利     益     表</v>
      </c>
      <c r="D145" s="501"/>
      <c r="E145" s="501"/>
      <c r="F145" s="501"/>
      <c r="G145" s="501"/>
      <c r="H145" s="501"/>
      <c r="I145" s="501"/>
      <c r="J145" s="501"/>
      <c r="K145" s="501"/>
      <c r="L145" s="501"/>
      <c r="M145" s="501"/>
      <c r="N145" s="501"/>
    </row>
    <row r="146" spans="2:14" s="31" customFormat="1" ht="3" customHeight="1">
      <c r="B146" s="29" t="s">
        <v>31</v>
      </c>
      <c r="C146" s="30"/>
      <c r="D146" s="30"/>
      <c r="E146" s="30"/>
      <c r="F146" s="30">
        <v>4</v>
      </c>
      <c r="G146" s="30">
        <v>5</v>
      </c>
      <c r="H146" s="29">
        <v>6</v>
      </c>
      <c r="I146" s="29"/>
      <c r="J146" s="30">
        <v>8</v>
      </c>
      <c r="K146" s="30">
        <v>9</v>
      </c>
      <c r="L146" s="30">
        <v>10</v>
      </c>
      <c r="M146" s="30">
        <v>3</v>
      </c>
      <c r="N146" s="30">
        <f>IF(M148="負報酬",2,IF(M148="零報酬",3,IF(M148="正報酬",4,)))</f>
        <v>4</v>
      </c>
    </row>
    <row r="147" spans="2:14" s="32" customFormat="1" ht="27" customHeight="1">
      <c r="B147" s="511" t="s">
        <v>13</v>
      </c>
      <c r="C147" s="500" t="s">
        <v>174</v>
      </c>
      <c r="D147" s="500" t="s">
        <v>184</v>
      </c>
      <c r="E147" s="500" t="s">
        <v>219</v>
      </c>
      <c r="F147" s="500" t="s">
        <v>175</v>
      </c>
      <c r="G147" s="500" t="s">
        <v>176</v>
      </c>
      <c r="H147" s="506" t="s">
        <v>474</v>
      </c>
      <c r="I147" s="503" t="s">
        <v>177</v>
      </c>
      <c r="J147" s="504"/>
      <c r="K147" s="505"/>
      <c r="L147" s="512" t="s">
        <v>475</v>
      </c>
      <c r="M147" s="165" t="str">
        <f>OP!C67&amp;"
年金金額*"</f>
        <v>分期年金
年金金額*</v>
      </c>
      <c r="N147" s="500" t="s">
        <v>178</v>
      </c>
    </row>
    <row r="148" spans="2:14" s="32" customFormat="1" ht="15.75" customHeight="1">
      <c r="B148" s="511"/>
      <c r="C148" s="500"/>
      <c r="D148" s="500"/>
      <c r="E148" s="500"/>
      <c r="F148" s="500"/>
      <c r="G148" s="500"/>
      <c r="H148" s="507"/>
      <c r="I148" s="166" t="s">
        <v>220</v>
      </c>
      <c r="J148" s="166" t="s">
        <v>221</v>
      </c>
      <c r="K148" s="166" t="s">
        <v>222</v>
      </c>
      <c r="L148" s="513"/>
      <c r="M148" s="168" t="s">
        <v>271</v>
      </c>
      <c r="N148" s="500"/>
    </row>
    <row r="149" spans="2:14" ht="15.75" customHeight="1">
      <c r="B149" s="316">
        <f ca="1">TEXT(OP!C3,"EE")+C149-1</f>
        <v>106</v>
      </c>
      <c r="C149" s="173">
        <f ca="1">IF($A$2=1,"",1)</f>
        <v>1</v>
      </c>
      <c r="D149" s="173">
        <f ca="1">IF($A$2=1,"",OP!D5+C149-1)</f>
        <v>55</v>
      </c>
      <c r="E149" s="174">
        <f ca="1">IF(OR(J149="",$A$2=1),"",VLOOKUP(C149&amp;計算!$C$3,宣告利率,2,FALSE))</f>
        <v>0.05</v>
      </c>
      <c r="F149" s="187">
        <f t="shared" ref="F149:F180" ca="1" si="0">IF(OR(D149="",ISNA(VLOOKUP(C149,value,$F$146,FALSE)),$A$2=1),"",VLOOKUP(C149,value,$F$146,FALSE))</f>
        <v>2000000</v>
      </c>
      <c r="G149" s="187">
        <f t="shared" ref="G149:G180" ca="1" si="1">IF(OR(D149="",ISNA(VLOOKUP($C149,value,$G$146,FALSE)),$A$2=1),"",VLOOKUP($C149,value,$G$146,FALSE))</f>
        <v>2000000</v>
      </c>
      <c r="H149" s="262" t="str">
        <f ca="1">IF(OR(D149="",ISNA(VLOOKUP($C149,value,$H$146,FALSE)),$A$2=1),"",TEXT(VLOOKUP($C149,value,$H$146,FALSE),IF(OP!$C$22="VACF","#,##0.00","#,##0")))</f>
        <v>80,000</v>
      </c>
      <c r="I149" s="262" t="str">
        <f ca="1">IF(OR(D149="",ISNA(VLOOKUP($C149,value,$J$146,FALSE)),$A$2=1),"",TEXT(MAX(0,VLOOKUP($C149,value,$J$146,FALSE)),IF(OP!$C$22="VACF","#,##0.00","#,##0")))</f>
        <v>1,824,000</v>
      </c>
      <c r="J149" s="262" t="str">
        <f ca="1">IF(OR(D149="",ISNA(VLOOKUP($C149,value,$K$146,FALSE)),$A$2=1),"",TEXT(MAX(0,VLOOKUP($C149,value,$K$146,FALSE)),IF(OP!$C$22="VACF","#,##0.00","#,##0")))</f>
        <v>1,920,000</v>
      </c>
      <c r="K149" s="262" t="str">
        <f ca="1">IF(OR(D149="",ISNA(VLOOKUP($C149,value,$L$146,FALSE)),$A$2=1),"",TEXT(MAX(0,VLOOKUP($C149,value,$L$146,FALSE)),IF(OP!$C$22="VACF","#,##0.00","#,##0")))</f>
        <v>2,016,000</v>
      </c>
      <c r="L149" s="187">
        <f t="shared" ref="L149:L180" ca="1" si="2">IF(OR(D149="",ISNA(VLOOKUP($C149,value,$M$146,FALSE)),$A$2=1),"",MAX(0,VLOOKUP($C149,value,$M$146,FALSE)))</f>
        <v>0</v>
      </c>
      <c r="M149" s="264" t="str">
        <f ca="1">IF(OR(D149&gt;111,OP!$C145="",$A$2=1),"",TEXT(OP!$C145,IF(OP!$C$22="VACF","#,##0.00","#,##0")))</f>
        <v/>
      </c>
      <c r="N149" s="264" t="str">
        <f ca="1">IF($A$2=1,"",IF(OR(D149&gt;111,OP!$D145="",VLOOKUP(OP!$B$99,OP!$B$99:$E$99,$N$146,0)=1,OP!$D145=0),"",TEXT(OP!$D145,IF(OP!$C$22="VACF","#,##0.00","#,##0"))))</f>
        <v/>
      </c>
    </row>
    <row r="150" spans="2:14" ht="15.75" customHeight="1">
      <c r="B150" s="33">
        <f ca="1">IF(D150="","",B149+(D150-D149))</f>
        <v>107</v>
      </c>
      <c r="C150" s="173">
        <f ca="1">IF(D150="","",C149+(D150-D149))</f>
        <v>2</v>
      </c>
      <c r="D150" s="173">
        <f ca="1">IF($A$2=1,"",IF(MAX($D$149:D149)&gt;=110,"",D149+1))</f>
        <v>56</v>
      </c>
      <c r="E150" s="174">
        <f ca="1">IF(OR(J150="",$A$2=1),"",VLOOKUP(C150&amp;計算!$C$3,宣告利率,2,FALSE))</f>
        <v>0.05</v>
      </c>
      <c r="F150" s="187">
        <f t="shared" ca="1" si="0"/>
        <v>0</v>
      </c>
      <c r="G150" s="187">
        <f t="shared" ca="1" si="1"/>
        <v>2000000</v>
      </c>
      <c r="H150" s="262" t="str">
        <f ca="1">IF(OR(D150="",ISNA(VLOOKUP($C150,value,$H$146,FALSE)),$A$2=1),"",TEXT(VLOOKUP($C150,value,$H$146,FALSE),IF(OP!$C$22="VACF","#,##0.00","#,##0")))</f>
        <v>0</v>
      </c>
      <c r="I150" s="262" t="str">
        <f ca="1">IF(OR(D150="",ISNA(VLOOKUP($C150,value,$J$146,FALSE)),$A$2=1),"",TEXT(MAX(0,VLOOKUP($C150,value,$J$146,FALSE)),IF(OP!$C$22="VACF","#,##0.00","#,##0")))</f>
        <v>1,732,800</v>
      </c>
      <c r="J150" s="262" t="str">
        <f ca="1">IF(OR(D150="",ISNA(VLOOKUP($C150,value,$K$146,FALSE)),$A$2=1),"",TEXT(MAX(0,VLOOKUP($C150,value,$K$146,FALSE)),IF(OP!$C$22="VACF","#,##0.00","#,##0")))</f>
        <v>1,920,000</v>
      </c>
      <c r="K150" s="262" t="str">
        <f ca="1">IF(OR(D150="",ISNA(VLOOKUP($C150,value,$L$146,FALSE)),$A$2=1),"",TEXT(MAX(0,VLOOKUP($C150,value,$L$146,FALSE)),IF(OP!$C$22="VACF","#,##0.00","#,##0")))</f>
        <v>2,116,800</v>
      </c>
      <c r="L150" s="187">
        <f t="shared" ca="1" si="2"/>
        <v>0</v>
      </c>
      <c r="M150" s="264" t="str">
        <f ca="1">IF(OR(D150&gt;111,OP!$C146="",$A$2=1),"",TEXT(OP!$C146,IF(OP!$C$22="VACF","#,##0.00","#,##0")))</f>
        <v/>
      </c>
      <c r="N150" s="264" t="str">
        <f ca="1">IF($A$2=1,"",IF(OR(D150&gt;111,OP!$D146="",VLOOKUP(OP!$B$99,OP!$B$99:$E$99,$N$146,0)=1,OP!$D146=0),"",TEXT(OP!$D146,IF(OP!$C$22="VACF","#,##0.00","#,##0"))))</f>
        <v/>
      </c>
    </row>
    <row r="151" spans="2:14" ht="15.75" customHeight="1">
      <c r="B151" s="33">
        <f t="shared" ref="B151:B158" ca="1" si="3">IF(D151="","",B150+(D151-D150))</f>
        <v>108</v>
      </c>
      <c r="C151" s="173">
        <f t="shared" ref="C151:C158" ca="1" si="4">IF(D151="","",C150+(D151-D150))</f>
        <v>3</v>
      </c>
      <c r="D151" s="173">
        <f ca="1">IF($A$2=1,"",IF(MAX($D$149:D150)&gt;=110,"",D150+1))</f>
        <v>57</v>
      </c>
      <c r="E151" s="174">
        <f ca="1">IF(OR(J151="",$A$2=1),"",VLOOKUP(C151&amp;計算!$C$3,宣告利率,2,FALSE))</f>
        <v>0.05</v>
      </c>
      <c r="F151" s="187">
        <f t="shared" ca="1" si="0"/>
        <v>0</v>
      </c>
      <c r="G151" s="187">
        <f t="shared" ca="1" si="1"/>
        <v>2000000</v>
      </c>
      <c r="H151" s="262" t="str">
        <f ca="1">IF(OR(D151="",ISNA(VLOOKUP($C151,value,$H$146,FALSE)),$A$2=1),"",TEXT(VLOOKUP($C151,value,$H$146,FALSE),IF(OP!$C$22="VACF","#,##0.00","#,##0")))</f>
        <v>0</v>
      </c>
      <c r="I151" s="262" t="str">
        <f ca="1">IF(OR(D151="",ISNA(VLOOKUP($C151,value,$J$146,FALSE)),$A$2=1),"",TEXT(MAX(0,VLOOKUP($C151,value,$J$146,FALSE)),IF(OP!$C$22="VACF","#,##0.00","#,##0")))</f>
        <v>1,646,160</v>
      </c>
      <c r="J151" s="262" t="str">
        <f ca="1">IF(OR(D151="",ISNA(VLOOKUP($C151,value,$K$146,FALSE)),$A$2=1),"",TEXT(MAX(0,VLOOKUP($C151,value,$K$146,FALSE)),IF(OP!$C$22="VACF","#,##0.00","#,##0")))</f>
        <v>1,920,000</v>
      </c>
      <c r="K151" s="262" t="str">
        <f ca="1">IF(OR(D151="",ISNA(VLOOKUP($C151,value,$L$146,FALSE)),$A$2=1),"",TEXT(MAX(0,VLOOKUP($C151,value,$L$146,FALSE)),IF(OP!$C$22="VACF","#,##0.00","#,##0")))</f>
        <v>2,222,640</v>
      </c>
      <c r="L151" s="187">
        <f t="shared" ca="1" si="2"/>
        <v>0</v>
      </c>
      <c r="M151" s="264" t="str">
        <f ca="1">IF(OR(D151&gt;111,OP!$C147="",$A$2=1),"",TEXT(OP!$C147,IF(OP!$C$22="VACF","#,##0.00","#,##0")))</f>
        <v/>
      </c>
      <c r="N151" s="264" t="str">
        <f ca="1">IF($A$2=1,"",IF(OR(D151&gt;111,OP!$D147="",VLOOKUP(OP!$B$99,OP!$B$99:$E$99,$N$146,0)=1,OP!$D147=0),"",TEXT(OP!$D147,IF(OP!$C$22="VACF","#,##0.00","#,##0"))))</f>
        <v/>
      </c>
    </row>
    <row r="152" spans="2:14" ht="15.75" customHeight="1">
      <c r="B152" s="33">
        <f t="shared" ca="1" si="3"/>
        <v>109</v>
      </c>
      <c r="C152" s="173">
        <f t="shared" ca="1" si="4"/>
        <v>4</v>
      </c>
      <c r="D152" s="173">
        <f ca="1">IF($A$2=1,"",IF(MAX($D$149:D151)&gt;=110,"",D151+1))</f>
        <v>58</v>
      </c>
      <c r="E152" s="174">
        <f ca="1">IF(OR(J152="",$A$2=1),"",VLOOKUP(C152&amp;計算!$C$3,宣告利率,2,FALSE))</f>
        <v>0.05</v>
      </c>
      <c r="F152" s="187">
        <f t="shared" ca="1" si="0"/>
        <v>0</v>
      </c>
      <c r="G152" s="187">
        <f t="shared" ca="1" si="1"/>
        <v>2000000</v>
      </c>
      <c r="H152" s="262" t="str">
        <f ca="1">IF(OR(D152="",ISNA(VLOOKUP($C152,value,$H$146,FALSE)),$A$2=1),"",TEXT(VLOOKUP($C152,value,$H$146,FALSE),IF(OP!$C$22="VACF","#,##0.00","#,##0")))</f>
        <v>0</v>
      </c>
      <c r="I152" s="262" t="str">
        <f ca="1">IF(OR(D152="",ISNA(VLOOKUP($C152,value,$J$146,FALSE)),$A$2=1),"",TEXT(MAX(0,VLOOKUP($C152,value,$J$146,FALSE)),IF(OP!$C$22="VACF","#,##0.00","#,##0")))</f>
        <v>1,563,852</v>
      </c>
      <c r="J152" s="262" t="str">
        <f ca="1">IF(OR(D152="",ISNA(VLOOKUP($C152,value,$K$146,FALSE)),$A$2=1),"",TEXT(MAX(0,VLOOKUP($C152,value,$K$146,FALSE)),IF(OP!$C$22="VACF","#,##0.00","#,##0")))</f>
        <v>1,920,000</v>
      </c>
      <c r="K152" s="262" t="str">
        <f ca="1">IF(OR(D152="",ISNA(VLOOKUP($C152,value,$L$146,FALSE)),$A$2=1),"",TEXT(MAX(0,VLOOKUP($C152,value,$L$146,FALSE)),IF(OP!$C$22="VACF","#,##0.00","#,##0")))</f>
        <v>2,333,772</v>
      </c>
      <c r="L152" s="187">
        <f t="shared" ca="1" si="2"/>
        <v>0</v>
      </c>
      <c r="M152" s="264" t="str">
        <f ca="1">IF(OR(D152&gt;111,OP!$C148="",$A$2=1),"",TEXT(OP!$C148,IF(OP!$C$22="VACF","#,##0.00","#,##0")))</f>
        <v/>
      </c>
      <c r="N152" s="264" t="str">
        <f ca="1">IF($A$2=1,"",IF(OR(D152&gt;111,OP!$D148="",VLOOKUP(OP!$B$99,OP!$B$99:$E$99,$N$146,0)=1,OP!$D148=0),"",TEXT(OP!$D148,IF(OP!$C$22="VACF","#,##0.00","#,##0"))))</f>
        <v/>
      </c>
    </row>
    <row r="153" spans="2:14" ht="15.75" customHeight="1">
      <c r="B153" s="33">
        <f t="shared" ca="1" si="3"/>
        <v>110</v>
      </c>
      <c r="C153" s="173">
        <f t="shared" ca="1" si="4"/>
        <v>5</v>
      </c>
      <c r="D153" s="173">
        <f ca="1">IF($A$2=1,"",IF(MAX($D$149:D152)&gt;=110,"",D152+1))</f>
        <v>59</v>
      </c>
      <c r="E153" s="174">
        <f ca="1">IF(OR(J153="",$A$2=1),"",VLOOKUP(C153&amp;計算!$C$3,宣告利率,2,FALSE))</f>
        <v>0.05</v>
      </c>
      <c r="F153" s="187">
        <f t="shared" ca="1" si="0"/>
        <v>0</v>
      </c>
      <c r="G153" s="187">
        <f t="shared" ca="1" si="1"/>
        <v>2000000</v>
      </c>
      <c r="H153" s="262" t="str">
        <f ca="1">IF(OR(D153="",ISNA(VLOOKUP($C153,value,$H$146,FALSE)),$A$2=1),"",TEXT(VLOOKUP($C153,value,$H$146,FALSE),IF(OP!$C$22="VACF","#,##0.00","#,##0")))</f>
        <v>0</v>
      </c>
      <c r="I153" s="262" t="str">
        <f ca="1">IF(OR(D153="",ISNA(VLOOKUP($C153,value,$J$146,FALSE)),$A$2=1),"",TEXT(MAX(0,VLOOKUP($C153,value,$J$146,FALSE)),IF(OP!$C$22="VACF","#,##0.00","#,##0")))</f>
        <v>1,485,659</v>
      </c>
      <c r="J153" s="262" t="str">
        <f ca="1">IF(OR(D153="",ISNA(VLOOKUP($C153,value,$K$146,FALSE)),$A$2=1),"",TEXT(MAX(0,VLOOKUP($C153,value,$K$146,FALSE)),IF(OP!$C$22="VACF","#,##0.00","#,##0")))</f>
        <v>1,920,000</v>
      </c>
      <c r="K153" s="262" t="str">
        <f ca="1">IF(OR(D153="",ISNA(VLOOKUP($C153,value,$L$146,FALSE)),$A$2=1),"",TEXT(MAX(0,VLOOKUP($C153,value,$L$146,FALSE)),IF(OP!$C$22="VACF","#,##0.00","#,##0")))</f>
        <v>2,450,461</v>
      </c>
      <c r="L153" s="187">
        <f t="shared" ca="1" si="2"/>
        <v>0</v>
      </c>
      <c r="M153" s="264" t="str">
        <f ca="1">IF(OR(D153&gt;111,OP!$C149="",$A$2=1),"",TEXT(OP!$C149,IF(OP!$C$22="VACF","#,##0.00","#,##0")))</f>
        <v/>
      </c>
      <c r="N153" s="264" t="str">
        <f ca="1">IF($A$2=1,"",IF(OR(D153&gt;111,OP!$D149="",VLOOKUP(OP!$B$99,OP!$B$99:$E$99,$N$146,0)=1,OP!$D149=0),"",TEXT(OP!$D149,IF(OP!$C$22="VACF","#,##0.00","#,##0"))))</f>
        <v/>
      </c>
    </row>
    <row r="154" spans="2:14" ht="15.75" customHeight="1">
      <c r="B154" s="33">
        <f t="shared" ca="1" si="3"/>
        <v>111</v>
      </c>
      <c r="C154" s="46">
        <f t="shared" ca="1" si="4"/>
        <v>6</v>
      </c>
      <c r="D154" s="46">
        <f ca="1">IF($A$2=1,"",IF(MAX($D$149:D153)&gt;=110,"",D153+1))</f>
        <v>60</v>
      </c>
      <c r="E154" s="47">
        <f ca="1">IF(OR(J154="",$A$2=1),"",VLOOKUP(C154&amp;計算!$C$3,宣告利率,2,FALSE))</f>
        <v>0.05</v>
      </c>
      <c r="F154" s="188">
        <f t="shared" ca="1" si="0"/>
        <v>0</v>
      </c>
      <c r="G154" s="188">
        <f t="shared" ca="1" si="1"/>
        <v>2000000</v>
      </c>
      <c r="H154" s="263" t="str">
        <f ca="1">IF(OR(D154="",ISNA(VLOOKUP($C154,value,$H$146,FALSE)),$A$2=1),"",TEXT(VLOOKUP($C154,value,$H$146,FALSE),IF(OP!$C$22="VACF","#,##0.00","#,##0")))</f>
        <v>0</v>
      </c>
      <c r="I154" s="263" t="str">
        <f ca="1">IF(OR(D154="",ISNA(VLOOKUP($C154,value,$J$146,FALSE)),$A$2=1),"",TEXT(MAX(0,VLOOKUP($C154,value,$J$146,FALSE)),IF(OP!$C$22="VACF","#,##0.00","#,##0")))</f>
        <v>1,411,376</v>
      </c>
      <c r="J154" s="263" t="str">
        <f ca="1">IF(OR(D154="",ISNA(VLOOKUP($C154,value,$K$146,FALSE)),$A$2=1),"",TEXT(MAX(0,VLOOKUP($C154,value,$K$146,FALSE)),IF(OP!$C$22="VACF","#,##0.00","#,##0")))</f>
        <v>1,920,000</v>
      </c>
      <c r="K154" s="263" t="str">
        <f ca="1">IF(OR(D154="",ISNA(VLOOKUP($C154,value,$L$146,FALSE)),$A$2=1),"",TEXT(MAX(0,VLOOKUP($C154,value,$L$146,FALSE)),IF(OP!$C$22="VACF","#,##0.00","#,##0")))</f>
        <v>2,572,984</v>
      </c>
      <c r="L154" s="188">
        <f t="shared" ca="1" si="2"/>
        <v>0</v>
      </c>
      <c r="M154" s="265" t="str">
        <f ca="1">IF(OR(D154&gt;111,OP!$C150="",$A$2=1),"",TEXT(OP!$C150,IF(OP!$C$22="VACF","#,##0.00","#,##0")))</f>
        <v/>
      </c>
      <c r="N154" s="265" t="str">
        <f ca="1">IF($A$2=1,"",IF(OR(D154&gt;111,OP!$D150="",VLOOKUP(OP!$B$99,OP!$B$99:$E$99,$N$146,0)=1,OP!$D150=0),"",TEXT(OP!$D150,IF(OP!$C$22="VACF","#,##0.00","#,##0"))))</f>
        <v/>
      </c>
    </row>
    <row r="155" spans="2:14" ht="15.75" customHeight="1">
      <c r="B155" s="33">
        <f t="shared" ca="1" si="3"/>
        <v>112</v>
      </c>
      <c r="C155" s="46">
        <f t="shared" ca="1" si="4"/>
        <v>7</v>
      </c>
      <c r="D155" s="46">
        <f ca="1">IF($A$2=1,"",IF(MAX($D$149:D154)&gt;=110,"",D154+1))</f>
        <v>61</v>
      </c>
      <c r="E155" s="47" t="str">
        <f ca="1">IF(OR(J155="",$A$2=1),"",VLOOKUP(C155&amp;計算!$C$3,宣告利率,2,FALSE))</f>
        <v/>
      </c>
      <c r="F155" s="188" t="str">
        <f t="shared" ca="1" si="0"/>
        <v/>
      </c>
      <c r="G155" s="188" t="str">
        <f t="shared" ca="1" si="1"/>
        <v/>
      </c>
      <c r="H155" s="263" t="str">
        <f ca="1">IF(OR(D155="",ISNA(VLOOKUP($C155,value,$H$146,FALSE)),$A$2=1),"",TEXT(VLOOKUP($C155,value,$H$146,FALSE),IF(OP!$C$22="VACF","#,##0.00","#,##0")))</f>
        <v/>
      </c>
      <c r="I155" s="263" t="str">
        <f ca="1">IF(OR(D155="",ISNA(VLOOKUP($C155,value,$J$146,FALSE)),$A$2=1),"",TEXT(MAX(0,VLOOKUP($C155,value,$J$146,FALSE)),IF(OP!$C$22="VACF","#,##0.00","#,##0")))</f>
        <v/>
      </c>
      <c r="J155" s="263" t="str">
        <f ca="1">IF(OR(D155="",ISNA(VLOOKUP($C155,value,$K$146,FALSE)),$A$2=1),"",TEXT(MAX(0,VLOOKUP($C155,value,$K$146,FALSE)),IF(OP!$C$22="VACF","#,##0.00","#,##0")))</f>
        <v/>
      </c>
      <c r="K155" s="263" t="str">
        <f ca="1">IF(OR(D155="",ISNA(VLOOKUP($C155,value,$L$146,FALSE)),$A$2=1),"",TEXT(MAX(0,VLOOKUP($C155,value,$L$146,FALSE)),IF(OP!$C$22="VACF","#,##0.00","#,##0")))</f>
        <v/>
      </c>
      <c r="L155" s="188" t="str">
        <f t="shared" ca="1" si="2"/>
        <v/>
      </c>
      <c r="M155" s="265" t="str">
        <f ca="1">IF(OR(D155&gt;111,OP!$C151="",$A$2=1),"",TEXT(OP!$C151,IF(OP!$C$22="VACF","#,##0.00","#,##0")))</f>
        <v>99,404</v>
      </c>
      <c r="N155" s="265" t="str">
        <f ca="1">IF($A$2=1,"",IF(OR(D155&gt;111,OP!$D151="",VLOOKUP(OP!$B$99,OP!$B$99:$E$99,$N$146,0)=1,OP!$D151=0),"",TEXT(OP!$D151,IF(OP!$C$22="VACF","#,##0.00","#,##0"))))</f>
        <v>397,616</v>
      </c>
    </row>
    <row r="156" spans="2:14" ht="15.75" customHeight="1">
      <c r="B156" s="33">
        <f t="shared" ca="1" si="3"/>
        <v>113</v>
      </c>
      <c r="C156" s="46">
        <f t="shared" ca="1" si="4"/>
        <v>8</v>
      </c>
      <c r="D156" s="46">
        <f ca="1">IF($A$2=1,"",IF(MAX($D$149:D155)&gt;=110,"",D155+1))</f>
        <v>62</v>
      </c>
      <c r="E156" s="47" t="str">
        <f ca="1">IF(OR(J156="",$A$2=1),"",VLOOKUP(C156&amp;計算!$C$3,宣告利率,2,FALSE))</f>
        <v/>
      </c>
      <c r="F156" s="188" t="str">
        <f t="shared" ca="1" si="0"/>
        <v/>
      </c>
      <c r="G156" s="188" t="str">
        <f t="shared" ca="1" si="1"/>
        <v/>
      </c>
      <c r="H156" s="263" t="str">
        <f ca="1">IF(OR(D156="",ISNA(VLOOKUP($C156,value,$H$146,FALSE)),$A$2=1),"",TEXT(VLOOKUP($C156,value,$H$146,FALSE),IF(OP!$C$22="VACF","#,##0.00","#,##0")))</f>
        <v/>
      </c>
      <c r="I156" s="263" t="str">
        <f ca="1">IF(OR(D156="",ISNA(VLOOKUP($C156,value,$J$146,FALSE)),$A$2=1),"",TEXT(MAX(0,VLOOKUP($C156,value,$J$146,FALSE)),IF(OP!$C$22="VACF","#,##0.00","#,##0")))</f>
        <v/>
      </c>
      <c r="J156" s="263" t="str">
        <f ca="1">IF(OR(D156="",ISNA(VLOOKUP($C156,value,$K$146,FALSE)),$A$2=1),"",TEXT(MAX(0,VLOOKUP($C156,value,$K$146,FALSE)),IF(OP!$C$22="VACF","#,##0.00","#,##0")))</f>
        <v/>
      </c>
      <c r="K156" s="263" t="str">
        <f ca="1">IF(OR(D156="",ISNA(VLOOKUP($C156,value,$L$146,FALSE)),$A$2=1),"",TEXT(MAX(0,VLOOKUP($C156,value,$L$146,FALSE)),IF(OP!$C$22="VACF","#,##0.00","#,##0")))</f>
        <v/>
      </c>
      <c r="L156" s="188" t="str">
        <f t="shared" ca="1" si="2"/>
        <v/>
      </c>
      <c r="M156" s="265" t="str">
        <f ca="1">IF(OR(D156&gt;111,OP!$C152="",$A$2=1),"",TEXT(OP!$C152,IF(OP!$C$22="VACF","#,##0.00","#,##0")))</f>
        <v>99,404</v>
      </c>
      <c r="N156" s="265" t="str">
        <f ca="1">IF($A$2=1,"",IF(OR(D156&gt;111,OP!$D152="",VLOOKUP(OP!$B$99,OP!$B$99:$E$99,$N$146,0)=1,OP!$D152=0),"",TEXT(OP!$D152,IF(OP!$C$22="VACF","#,##0.00","#,##0"))))</f>
        <v>298,212</v>
      </c>
    </row>
    <row r="157" spans="2:14" ht="15.75" customHeight="1">
      <c r="B157" s="33">
        <f t="shared" ca="1" si="3"/>
        <v>114</v>
      </c>
      <c r="C157" s="46">
        <f t="shared" ca="1" si="4"/>
        <v>9</v>
      </c>
      <c r="D157" s="46">
        <f ca="1">IF($A$2=1,"",IF(MAX($D$149:D156)&gt;=110,"",D156+1))</f>
        <v>63</v>
      </c>
      <c r="E157" s="47" t="str">
        <f ca="1">IF(OR(J157="",$A$2=1),"",VLOOKUP(C157&amp;計算!$C$3,宣告利率,2,FALSE))</f>
        <v/>
      </c>
      <c r="F157" s="188" t="str">
        <f t="shared" ca="1" si="0"/>
        <v/>
      </c>
      <c r="G157" s="188" t="str">
        <f t="shared" ca="1" si="1"/>
        <v/>
      </c>
      <c r="H157" s="263" t="str">
        <f ca="1">IF(OR(D157="",ISNA(VLOOKUP($C157,value,$H$146,FALSE)),$A$2=1),"",TEXT(VLOOKUP($C157,value,$H$146,FALSE),IF(OP!$C$22="VACF","#,##0.00","#,##0")))</f>
        <v/>
      </c>
      <c r="I157" s="263" t="str">
        <f ca="1">IF(OR(D157="",ISNA(VLOOKUP($C157,value,$J$146,FALSE)),$A$2=1),"",TEXT(MAX(0,VLOOKUP($C157,value,$J$146,FALSE)),IF(OP!$C$22="VACF","#,##0.00","#,##0")))</f>
        <v/>
      </c>
      <c r="J157" s="263" t="str">
        <f ca="1">IF(OR(D157="",ISNA(VLOOKUP($C157,value,$K$146,FALSE)),$A$2=1),"",TEXT(MAX(0,VLOOKUP($C157,value,$K$146,FALSE)),IF(OP!$C$22="VACF","#,##0.00","#,##0")))</f>
        <v/>
      </c>
      <c r="K157" s="263" t="str">
        <f ca="1">IF(OR(D157="",ISNA(VLOOKUP($C157,value,$L$146,FALSE)),$A$2=1),"",TEXT(MAX(0,VLOOKUP($C157,value,$L$146,FALSE)),IF(OP!$C$22="VACF","#,##0.00","#,##0")))</f>
        <v/>
      </c>
      <c r="L157" s="188" t="str">
        <f t="shared" ca="1" si="2"/>
        <v/>
      </c>
      <c r="M157" s="265" t="str">
        <f ca="1">IF(OR(D157&gt;111,OP!$C153="",$A$2=1),"",TEXT(OP!$C153,IF(OP!$C$22="VACF","#,##0.00","#,##0")))</f>
        <v>99,404</v>
      </c>
      <c r="N157" s="265" t="str">
        <f ca="1">IF($A$2=1,"",IF(OR(D157&gt;111,OP!$D153="",VLOOKUP(OP!$B$99,OP!$B$99:$E$99,$N$146,0)=1,OP!$D153=0),"",TEXT(OP!$D153,IF(OP!$C$22="VACF","#,##0.00","#,##0"))))</f>
        <v>198,808</v>
      </c>
    </row>
    <row r="158" spans="2:14" ht="15.75" customHeight="1">
      <c r="B158" s="33">
        <f t="shared" ca="1" si="3"/>
        <v>115</v>
      </c>
      <c r="C158" s="46">
        <f t="shared" ca="1" si="4"/>
        <v>10</v>
      </c>
      <c r="D158" s="46">
        <f ca="1">IF($A$2=1,"",IF(MAX($D$149:D157)&gt;=110,"",D157+1))</f>
        <v>64</v>
      </c>
      <c r="E158" s="47" t="str">
        <f ca="1">IF(OR(J158="",$A$2=1),"",VLOOKUP(C158&amp;計算!$C$3,宣告利率,2,FALSE))</f>
        <v/>
      </c>
      <c r="F158" s="188" t="str">
        <f t="shared" ca="1" si="0"/>
        <v/>
      </c>
      <c r="G158" s="188" t="str">
        <f t="shared" ca="1" si="1"/>
        <v/>
      </c>
      <c r="H158" s="263" t="str">
        <f ca="1">IF(OR(D158="",ISNA(VLOOKUP($C158,value,$H$146,FALSE)),$A$2=1),"",TEXT(VLOOKUP($C158,value,$H$146,FALSE),IF(OP!$C$22="VACF","#,##0.00","#,##0")))</f>
        <v/>
      </c>
      <c r="I158" s="263" t="str">
        <f ca="1">IF(OR(D158="",ISNA(VLOOKUP($C158,value,$J$146,FALSE)),$A$2=1),"",TEXT(MAX(0,VLOOKUP($C158,value,$J$146,FALSE)),IF(OP!$C$22="VACF","#,##0.00","#,##0")))</f>
        <v/>
      </c>
      <c r="J158" s="263" t="str">
        <f ca="1">IF(OR(D158="",ISNA(VLOOKUP($C158,value,$K$146,FALSE)),$A$2=1),"",TEXT(MAX(0,VLOOKUP($C158,value,$K$146,FALSE)),IF(OP!$C$22="VACF","#,##0.00","#,##0")))</f>
        <v/>
      </c>
      <c r="K158" s="263" t="str">
        <f ca="1">IF(OR(D158="",ISNA(VLOOKUP($C158,value,$L$146,FALSE)),$A$2=1),"",TEXT(MAX(0,VLOOKUP($C158,value,$L$146,FALSE)),IF(OP!$C$22="VACF","#,##0.00","#,##0")))</f>
        <v/>
      </c>
      <c r="L158" s="188" t="str">
        <f t="shared" ca="1" si="2"/>
        <v/>
      </c>
      <c r="M158" s="265" t="str">
        <f ca="1">IF(OR(D158&gt;111,OP!$C154="",$A$2=1),"",TEXT(OP!$C154,IF(OP!$C$22="VACF","#,##0.00","#,##0")))</f>
        <v>99,404</v>
      </c>
      <c r="N158" s="265" t="str">
        <f ca="1">IF($A$2=1,"",IF(OR(D158&gt;111,OP!$D154="",VLOOKUP(OP!$B$99,OP!$B$99:$E$99,$N$146,0)=1,OP!$D154=0),"",TEXT(OP!$D154,IF(OP!$C$22="VACF","#,##0.00","#,##0"))))</f>
        <v>99,404</v>
      </c>
    </row>
    <row r="159" spans="2:14" ht="15.75" customHeight="1">
      <c r="B159" s="33">
        <f t="shared" ref="B159:B231" ca="1" si="5">IF(D159="","",B158+(D159-D158))</f>
        <v>116</v>
      </c>
      <c r="C159" s="173">
        <f t="shared" ref="C159:C231" ca="1" si="6">IF(D159="","",C158+(D159-D158))</f>
        <v>11</v>
      </c>
      <c r="D159" s="173">
        <f ca="1">IF($A$2=1,"",IF(MAX($D$149:D158)&gt;=110,"",D158+1))</f>
        <v>65</v>
      </c>
      <c r="E159" s="174" t="str">
        <f ca="1">IF(OR(J159="",$A$2=1),"",VLOOKUP(C159&amp;計算!$C$3,宣告利率,2,FALSE))</f>
        <v/>
      </c>
      <c r="F159" s="187" t="str">
        <f t="shared" ca="1" si="0"/>
        <v/>
      </c>
      <c r="G159" s="187" t="str">
        <f t="shared" ca="1" si="1"/>
        <v/>
      </c>
      <c r="H159" s="262" t="str">
        <f ca="1">IF(OR(D159="",ISNA(VLOOKUP($C159,value,$H$146,FALSE)),$A$2=1),"",TEXT(VLOOKUP($C159,value,$H$146,FALSE),IF(OP!$C$22="VACF","#,##0.00","#,##0")))</f>
        <v/>
      </c>
      <c r="I159" s="262" t="str">
        <f ca="1">IF(OR(D159="",ISNA(VLOOKUP($C159,value,$J$146,FALSE)),$A$2=1),"",TEXT(MAX(0,VLOOKUP($C159,value,$J$146,FALSE)),IF(OP!$C$22="VACF","#,##0.00","#,##0")))</f>
        <v/>
      </c>
      <c r="J159" s="262" t="str">
        <f ca="1">IF(OR(D159="",ISNA(VLOOKUP($C159,value,$K$146,FALSE)),$A$2=1),"",TEXT(MAX(0,VLOOKUP($C159,value,$K$146,FALSE)),IF(OP!$C$22="VACF","#,##0.00","#,##0")))</f>
        <v/>
      </c>
      <c r="K159" s="262" t="str">
        <f ca="1">IF(OR(D159="",ISNA(VLOOKUP($C159,value,$L$146,FALSE)),$A$2=1),"",TEXT(MAX(0,VLOOKUP($C159,value,$L$146,FALSE)),IF(OP!$C$22="VACF","#,##0.00","#,##0")))</f>
        <v/>
      </c>
      <c r="L159" s="187" t="str">
        <f t="shared" ca="1" si="2"/>
        <v/>
      </c>
      <c r="M159" s="264" t="str">
        <f ca="1">IF(OR(D159&gt;111,OP!$C155="",$A$2=1),"",TEXT(OP!$C155,IF(OP!$C$22="VACF","#,##0.00","#,##0")))</f>
        <v>99,404</v>
      </c>
      <c r="N159" s="264" t="str">
        <f ca="1">IF($A$2=1,"",IF(OR(D159&gt;111,OP!$D155="",VLOOKUP(OP!$B$99,OP!$B$99:$E$99,$N$146,0)=1,OP!$D155=0),"",TEXT(OP!$D155,IF(OP!$C$22="VACF","#,##0.00","#,##0"))))</f>
        <v/>
      </c>
    </row>
    <row r="160" spans="2:14" ht="15.75" customHeight="1">
      <c r="B160" s="33">
        <f t="shared" ca="1" si="5"/>
        <v>117</v>
      </c>
      <c r="C160" s="173">
        <f t="shared" ca="1" si="6"/>
        <v>12</v>
      </c>
      <c r="D160" s="173">
        <f ca="1">IF($A$2=1,"",IF(MAX($D$149:D159)&gt;=110,"",D159+1))</f>
        <v>66</v>
      </c>
      <c r="E160" s="174" t="str">
        <f ca="1">IF(OR(J160="",$A$2=1),"",VLOOKUP(C160&amp;計算!$C$3,宣告利率,2,FALSE))</f>
        <v/>
      </c>
      <c r="F160" s="187" t="str">
        <f t="shared" ca="1" si="0"/>
        <v/>
      </c>
      <c r="G160" s="187" t="str">
        <f t="shared" ca="1" si="1"/>
        <v/>
      </c>
      <c r="H160" s="262" t="str">
        <f ca="1">IF(OR(D160="",ISNA(VLOOKUP($C160,value,$H$146,FALSE)),$A$2=1),"",TEXT(VLOOKUP($C160,value,$H$146,FALSE),IF(OP!$C$22="VACF","#,##0.00","#,##0")))</f>
        <v/>
      </c>
      <c r="I160" s="262" t="str">
        <f ca="1">IF(OR(D160="",ISNA(VLOOKUP($C160,value,$J$146,FALSE)),$A$2=1),"",TEXT(MAX(0,VLOOKUP($C160,value,$J$146,FALSE)),IF(OP!$C$22="VACF","#,##0.00","#,##0")))</f>
        <v/>
      </c>
      <c r="J160" s="262" t="str">
        <f ca="1">IF(OR(D160="",ISNA(VLOOKUP($C160,value,$K$146,FALSE)),$A$2=1),"",TEXT(MAX(0,VLOOKUP($C160,value,$K$146,FALSE)),IF(OP!$C$22="VACF","#,##0.00","#,##0")))</f>
        <v/>
      </c>
      <c r="K160" s="262" t="str">
        <f ca="1">IF(OR(D160="",ISNA(VLOOKUP($C160,value,$L$146,FALSE)),$A$2=1),"",TEXT(MAX(0,VLOOKUP($C160,value,$L$146,FALSE)),IF(OP!$C$22="VACF","#,##0.00","#,##0")))</f>
        <v/>
      </c>
      <c r="L160" s="187" t="str">
        <f t="shared" ca="1" si="2"/>
        <v/>
      </c>
      <c r="M160" s="264" t="str">
        <f ca="1">IF(OR(D160&gt;111,OP!$C156="",$A$2=1),"",TEXT(OP!$C156,IF(OP!$C$22="VACF","#,##0.00","#,##0")))</f>
        <v>99,404</v>
      </c>
      <c r="N160" s="264" t="str">
        <f ca="1">IF($A$2=1,"",IF(OR(D160&gt;111,OP!$D156="",VLOOKUP(OP!$B$99,OP!$B$99:$E$99,$N$146,0)=1,OP!$D156=0),"",TEXT(OP!$D156,IF(OP!$C$22="VACF","#,##0.00","#,##0"))))</f>
        <v/>
      </c>
    </row>
    <row r="161" spans="2:14" ht="15.75" customHeight="1">
      <c r="B161" s="33">
        <f t="shared" ca="1" si="5"/>
        <v>118</v>
      </c>
      <c r="C161" s="173">
        <f t="shared" ca="1" si="6"/>
        <v>13</v>
      </c>
      <c r="D161" s="173">
        <f ca="1">IF($A$2=1,"",IF(MAX($D$149:D160)&gt;=110,"",D160+1))</f>
        <v>67</v>
      </c>
      <c r="E161" s="174" t="str">
        <f ca="1">IF(OR(J161="",$A$2=1),"",VLOOKUP(C161&amp;計算!$C$3,宣告利率,2,FALSE))</f>
        <v/>
      </c>
      <c r="F161" s="187" t="str">
        <f t="shared" ca="1" si="0"/>
        <v/>
      </c>
      <c r="G161" s="187" t="str">
        <f t="shared" ca="1" si="1"/>
        <v/>
      </c>
      <c r="H161" s="262" t="str">
        <f ca="1">IF(OR(D161="",ISNA(VLOOKUP($C161,value,$H$146,FALSE)),$A$2=1),"",TEXT(VLOOKUP($C161,value,$H$146,FALSE),IF(OP!$C$22="VACF","#,##0.00","#,##0")))</f>
        <v/>
      </c>
      <c r="I161" s="262" t="str">
        <f ca="1">IF(OR(D161="",ISNA(VLOOKUP($C161,value,$J$146,FALSE)),$A$2=1),"",TEXT(MAX(0,VLOOKUP($C161,value,$J$146,FALSE)),IF(OP!$C$22="VACF","#,##0.00","#,##0")))</f>
        <v/>
      </c>
      <c r="J161" s="262" t="str">
        <f ca="1">IF(OR(D161="",ISNA(VLOOKUP($C161,value,$K$146,FALSE)),$A$2=1),"",TEXT(MAX(0,VLOOKUP($C161,value,$K$146,FALSE)),IF(OP!$C$22="VACF","#,##0.00","#,##0")))</f>
        <v/>
      </c>
      <c r="K161" s="262" t="str">
        <f ca="1">IF(OR(D161="",ISNA(VLOOKUP($C161,value,$L$146,FALSE)),$A$2=1),"",TEXT(MAX(0,VLOOKUP($C161,value,$L$146,FALSE)),IF(OP!$C$22="VACF","#,##0.00","#,##0")))</f>
        <v/>
      </c>
      <c r="L161" s="187" t="str">
        <f t="shared" ca="1" si="2"/>
        <v/>
      </c>
      <c r="M161" s="264" t="str">
        <f ca="1">IF(OR(D161&gt;111,OP!$C157="",$A$2=1),"",TEXT(OP!$C157,IF(OP!$C$22="VACF","#,##0.00","#,##0")))</f>
        <v>99,404</v>
      </c>
      <c r="N161" s="264" t="str">
        <f ca="1">IF($A$2=1,"",IF(OR(D161&gt;111,OP!$D157="",VLOOKUP(OP!$B$99,OP!$B$99:$E$99,$N$146,0)=1,OP!$D157=0),"",TEXT(OP!$D157,IF(OP!$C$22="VACF","#,##0.00","#,##0"))))</f>
        <v/>
      </c>
    </row>
    <row r="162" spans="2:14" ht="15.75" customHeight="1">
      <c r="B162" s="33">
        <f t="shared" ca="1" si="5"/>
        <v>119</v>
      </c>
      <c r="C162" s="173">
        <f t="shared" ca="1" si="6"/>
        <v>14</v>
      </c>
      <c r="D162" s="173">
        <f ca="1">IF($A$2=1,"",IF(MAX($D$149:D161)&gt;=110,"",D161+1))</f>
        <v>68</v>
      </c>
      <c r="E162" s="174" t="str">
        <f ca="1">IF(OR(J162="",$A$2=1),"",VLOOKUP(C162&amp;計算!$C$3,宣告利率,2,FALSE))</f>
        <v/>
      </c>
      <c r="F162" s="187" t="str">
        <f t="shared" ca="1" si="0"/>
        <v/>
      </c>
      <c r="G162" s="187" t="str">
        <f t="shared" ca="1" si="1"/>
        <v/>
      </c>
      <c r="H162" s="262" t="str">
        <f ca="1">IF(OR(D162="",ISNA(VLOOKUP($C162,value,$H$146,FALSE)),$A$2=1),"",TEXT(VLOOKUP($C162,value,$H$146,FALSE),IF(OP!$C$22="VACF","#,##0.00","#,##0")))</f>
        <v/>
      </c>
      <c r="I162" s="262" t="str">
        <f ca="1">IF(OR(D162="",ISNA(VLOOKUP($C162,value,$J$146,FALSE)),$A$2=1),"",TEXT(MAX(0,VLOOKUP($C162,value,$J$146,FALSE)),IF(OP!$C$22="VACF","#,##0.00","#,##0")))</f>
        <v/>
      </c>
      <c r="J162" s="262" t="str">
        <f ca="1">IF(OR(D162="",ISNA(VLOOKUP($C162,value,$K$146,FALSE)),$A$2=1),"",TEXT(MAX(0,VLOOKUP($C162,value,$K$146,FALSE)),IF(OP!$C$22="VACF","#,##0.00","#,##0")))</f>
        <v/>
      </c>
      <c r="K162" s="262" t="str">
        <f ca="1">IF(OR(D162="",ISNA(VLOOKUP($C162,value,$L$146,FALSE)),$A$2=1),"",TEXT(MAX(0,VLOOKUP($C162,value,$L$146,FALSE)),IF(OP!$C$22="VACF","#,##0.00","#,##0")))</f>
        <v/>
      </c>
      <c r="L162" s="187" t="str">
        <f t="shared" ca="1" si="2"/>
        <v/>
      </c>
      <c r="M162" s="264" t="str">
        <f ca="1">IF(OR(D162&gt;111,OP!$C158="",$A$2=1),"",TEXT(OP!$C158,IF(OP!$C$22="VACF","#,##0.00","#,##0")))</f>
        <v>99,404</v>
      </c>
      <c r="N162" s="264" t="str">
        <f ca="1">IF($A$2=1,"",IF(OR(D162&gt;111,OP!$D158="",VLOOKUP(OP!$B$99,OP!$B$99:$E$99,$N$146,0)=1,OP!$D158=0),"",TEXT(OP!$D158,IF(OP!$C$22="VACF","#,##0.00","#,##0"))))</f>
        <v/>
      </c>
    </row>
    <row r="163" spans="2:14" ht="15.75" customHeight="1">
      <c r="B163" s="33">
        <f t="shared" ca="1" si="5"/>
        <v>120</v>
      </c>
      <c r="C163" s="173">
        <f t="shared" ca="1" si="6"/>
        <v>15</v>
      </c>
      <c r="D163" s="173">
        <f ca="1">IF($A$2=1,"",IF(MAX($D$149:D162)&gt;=110,"",D162+1))</f>
        <v>69</v>
      </c>
      <c r="E163" s="174" t="str">
        <f ca="1">IF(OR(J163="",$A$2=1),"",VLOOKUP(C163&amp;計算!$C$3,宣告利率,2,FALSE))</f>
        <v/>
      </c>
      <c r="F163" s="187" t="str">
        <f t="shared" ca="1" si="0"/>
        <v/>
      </c>
      <c r="G163" s="187" t="str">
        <f t="shared" ca="1" si="1"/>
        <v/>
      </c>
      <c r="H163" s="262" t="str">
        <f ca="1">IF(OR(D163="",ISNA(VLOOKUP($C163,value,$H$146,FALSE)),$A$2=1),"",TEXT(VLOOKUP($C163,value,$H$146,FALSE),IF(OP!$C$22="VACF","#,##0.00","#,##0")))</f>
        <v/>
      </c>
      <c r="I163" s="262" t="str">
        <f ca="1">IF(OR(D163="",ISNA(VLOOKUP($C163,value,$J$146,FALSE)),$A$2=1),"",TEXT(MAX(0,VLOOKUP($C163,value,$J$146,FALSE)),IF(OP!$C$22="VACF","#,##0.00","#,##0")))</f>
        <v/>
      </c>
      <c r="J163" s="262" t="str">
        <f ca="1">IF(OR(D163="",ISNA(VLOOKUP($C163,value,$K$146,FALSE)),$A$2=1),"",TEXT(MAX(0,VLOOKUP($C163,value,$K$146,FALSE)),IF(OP!$C$22="VACF","#,##0.00","#,##0")))</f>
        <v/>
      </c>
      <c r="K163" s="262" t="str">
        <f ca="1">IF(OR(D163="",ISNA(VLOOKUP($C163,value,$L$146,FALSE)),$A$2=1),"",TEXT(MAX(0,VLOOKUP($C163,value,$L$146,FALSE)),IF(OP!$C$22="VACF","#,##0.00","#,##0")))</f>
        <v/>
      </c>
      <c r="L163" s="187" t="str">
        <f t="shared" ca="1" si="2"/>
        <v/>
      </c>
      <c r="M163" s="264" t="str">
        <f ca="1">IF(OR(D163&gt;111,OP!$C159="",$A$2=1),"",TEXT(OP!$C159,IF(OP!$C$22="VACF","#,##0.00","#,##0")))</f>
        <v>99,404</v>
      </c>
      <c r="N163" s="264" t="str">
        <f ca="1">IF($A$2=1,"",IF(OR(D163&gt;111,OP!$D159="",VLOOKUP(OP!$B$99,OP!$B$99:$E$99,$N$146,0)=1,OP!$D159=0),"",TEXT(OP!$D159,IF(OP!$C$22="VACF","#,##0.00","#,##0"))))</f>
        <v/>
      </c>
    </row>
    <row r="164" spans="2:14" ht="15.75" customHeight="1">
      <c r="B164" s="33">
        <f t="shared" ca="1" si="5"/>
        <v>121</v>
      </c>
      <c r="C164" s="46">
        <f t="shared" ca="1" si="6"/>
        <v>16</v>
      </c>
      <c r="D164" s="46">
        <f ca="1">IF($A$2=1,"",IF(MAX($D$149:D163)&gt;=110,"",D163+1))</f>
        <v>70</v>
      </c>
      <c r="E164" s="47" t="str">
        <f ca="1">IF(OR(J164="",$A$2=1),"",VLOOKUP(C164&amp;計算!$C$3,宣告利率,2,FALSE))</f>
        <v/>
      </c>
      <c r="F164" s="188" t="str">
        <f t="shared" ca="1" si="0"/>
        <v/>
      </c>
      <c r="G164" s="188" t="str">
        <f t="shared" ca="1" si="1"/>
        <v/>
      </c>
      <c r="H164" s="263" t="str">
        <f ca="1">IF(OR(D164="",ISNA(VLOOKUP($C164,value,$H$146,FALSE)),$A$2=1),"",TEXT(VLOOKUP($C164,value,$H$146,FALSE),IF(OP!$C$22="VACF","#,##0.00","#,##0")))</f>
        <v/>
      </c>
      <c r="I164" s="263" t="str">
        <f ca="1">IF(OR(D164="",ISNA(VLOOKUP($C164,value,$J$146,FALSE)),$A$2=1),"",TEXT(MAX(0,VLOOKUP($C164,value,$J$146,FALSE)),IF(OP!$C$22="VACF","#,##0.00","#,##0")))</f>
        <v/>
      </c>
      <c r="J164" s="263" t="str">
        <f ca="1">IF(OR(D164="",ISNA(VLOOKUP($C164,value,$K$146,FALSE)),$A$2=1),"",TEXT(MAX(0,VLOOKUP($C164,value,$K$146,FALSE)),IF(OP!$C$22="VACF","#,##0.00","#,##0")))</f>
        <v/>
      </c>
      <c r="K164" s="263" t="str">
        <f ca="1">IF(OR(D164="",ISNA(VLOOKUP($C164,value,$L$146,FALSE)),$A$2=1),"",TEXT(MAX(0,VLOOKUP($C164,value,$L$146,FALSE)),IF(OP!$C$22="VACF","#,##0.00","#,##0")))</f>
        <v/>
      </c>
      <c r="L164" s="188" t="str">
        <f t="shared" ca="1" si="2"/>
        <v/>
      </c>
      <c r="M164" s="265" t="str">
        <f ca="1">IF(OR(D164&gt;111,OP!$C160="",$A$2=1),"",TEXT(OP!$C160,IF(OP!$C$22="VACF","#,##0.00","#,##0")))</f>
        <v>99,404</v>
      </c>
      <c r="N164" s="265" t="str">
        <f ca="1">IF($A$2=1,"",IF(OR(D164&gt;111,OP!$D160="",VLOOKUP(OP!$B$99,OP!$B$99:$E$99,$N$146,0)=1,OP!$D160=0),"",TEXT(OP!$D160,IF(OP!$C$22="VACF","#,##0.00","#,##0"))))</f>
        <v/>
      </c>
    </row>
    <row r="165" spans="2:14" ht="15.75" customHeight="1">
      <c r="B165" s="33">
        <f t="shared" ca="1" si="5"/>
        <v>122</v>
      </c>
      <c r="C165" s="46">
        <f t="shared" ca="1" si="6"/>
        <v>17</v>
      </c>
      <c r="D165" s="46">
        <f ca="1">IF($A$2=1,"",IF(MAX($D$149:D164)&gt;=110,"",D164+1))</f>
        <v>71</v>
      </c>
      <c r="E165" s="47" t="str">
        <f ca="1">IF(OR(J165="",$A$2=1),"",VLOOKUP(C165&amp;計算!$C$3,宣告利率,2,FALSE))</f>
        <v/>
      </c>
      <c r="F165" s="188" t="str">
        <f t="shared" ca="1" si="0"/>
        <v/>
      </c>
      <c r="G165" s="188" t="str">
        <f t="shared" ca="1" si="1"/>
        <v/>
      </c>
      <c r="H165" s="263" t="str">
        <f ca="1">IF(OR(D165="",ISNA(VLOOKUP($C165,value,$H$146,FALSE)),$A$2=1),"",TEXT(VLOOKUP($C165,value,$H$146,FALSE),IF(OP!$C$22="VACF","#,##0.00","#,##0")))</f>
        <v/>
      </c>
      <c r="I165" s="263" t="str">
        <f ca="1">IF(OR(D165="",ISNA(VLOOKUP($C165,value,$J$146,FALSE)),$A$2=1),"",TEXT(MAX(0,VLOOKUP($C165,value,$J$146,FALSE)),IF(OP!$C$22="VACF","#,##0.00","#,##0")))</f>
        <v/>
      </c>
      <c r="J165" s="263" t="str">
        <f ca="1">IF(OR(D165="",ISNA(VLOOKUP($C165,value,$K$146,FALSE)),$A$2=1),"",TEXT(MAX(0,VLOOKUP($C165,value,$K$146,FALSE)),IF(OP!$C$22="VACF","#,##0.00","#,##0")))</f>
        <v/>
      </c>
      <c r="K165" s="263" t="str">
        <f ca="1">IF(OR(D165="",ISNA(VLOOKUP($C165,value,$L$146,FALSE)),$A$2=1),"",TEXT(MAX(0,VLOOKUP($C165,value,$L$146,FALSE)),IF(OP!$C$22="VACF","#,##0.00","#,##0")))</f>
        <v/>
      </c>
      <c r="L165" s="188" t="str">
        <f t="shared" ca="1" si="2"/>
        <v/>
      </c>
      <c r="M165" s="265" t="str">
        <f ca="1">IF(OR(D165&gt;111,OP!$C161="",$A$2=1),"",TEXT(OP!$C161,IF(OP!$C$22="VACF","#,##0.00","#,##0")))</f>
        <v>99,404</v>
      </c>
      <c r="N165" s="265" t="str">
        <f ca="1">IF($A$2=1,"",IF(OR(D165&gt;111,OP!$D161="",VLOOKUP(OP!$B$99,OP!$B$99:$E$99,$N$146,0)=1,OP!$D161=0),"",TEXT(OP!$D161,IF(OP!$C$22="VACF","#,##0.00","#,##0"))))</f>
        <v/>
      </c>
    </row>
    <row r="166" spans="2:14" ht="15.75" customHeight="1">
      <c r="B166" s="33">
        <f t="shared" ca="1" si="5"/>
        <v>123</v>
      </c>
      <c r="C166" s="46">
        <f t="shared" ca="1" si="6"/>
        <v>18</v>
      </c>
      <c r="D166" s="46">
        <f ca="1">IF($A$2=1,"",IF(MAX($D$149:D165)&gt;=110,"",D165+1))</f>
        <v>72</v>
      </c>
      <c r="E166" s="47" t="str">
        <f ca="1">IF(OR(J166="",$A$2=1),"",VLOOKUP(C166&amp;計算!$C$3,宣告利率,2,FALSE))</f>
        <v/>
      </c>
      <c r="F166" s="188" t="str">
        <f t="shared" ca="1" si="0"/>
        <v/>
      </c>
      <c r="G166" s="188" t="str">
        <f t="shared" ca="1" si="1"/>
        <v/>
      </c>
      <c r="H166" s="263" t="str">
        <f ca="1">IF(OR(D166="",ISNA(VLOOKUP($C166,value,$H$146,FALSE)),$A$2=1),"",TEXT(VLOOKUP($C166,value,$H$146,FALSE),IF(OP!$C$22="VACF","#,##0.00","#,##0")))</f>
        <v/>
      </c>
      <c r="I166" s="263" t="str">
        <f ca="1">IF(OR(D166="",ISNA(VLOOKUP($C166,value,$J$146,FALSE)),$A$2=1),"",TEXT(MAX(0,VLOOKUP($C166,value,$J$146,FALSE)),IF(OP!$C$22="VACF","#,##0.00","#,##0")))</f>
        <v/>
      </c>
      <c r="J166" s="263" t="str">
        <f ca="1">IF(OR(D166="",ISNA(VLOOKUP($C166,value,$K$146,FALSE)),$A$2=1),"",TEXT(MAX(0,VLOOKUP($C166,value,$K$146,FALSE)),IF(OP!$C$22="VACF","#,##0.00","#,##0")))</f>
        <v/>
      </c>
      <c r="K166" s="263" t="str">
        <f ca="1">IF(OR(D166="",ISNA(VLOOKUP($C166,value,$L$146,FALSE)),$A$2=1),"",TEXT(MAX(0,VLOOKUP($C166,value,$L$146,FALSE)),IF(OP!$C$22="VACF","#,##0.00","#,##0")))</f>
        <v/>
      </c>
      <c r="L166" s="188" t="str">
        <f t="shared" ca="1" si="2"/>
        <v/>
      </c>
      <c r="M166" s="265" t="str">
        <f ca="1">IF(OR(D166&gt;111,OP!$C162="",$A$2=1),"",TEXT(OP!$C162,IF(OP!$C$22="VACF","#,##0.00","#,##0")))</f>
        <v>99,404</v>
      </c>
      <c r="N166" s="265" t="str">
        <f ca="1">IF($A$2=1,"",IF(OR(D166&gt;111,OP!$D162="",VLOOKUP(OP!$B$99,OP!$B$99:$E$99,$N$146,0)=1,OP!$D162=0),"",TEXT(OP!$D162,IF(OP!$C$22="VACF","#,##0.00","#,##0"))))</f>
        <v/>
      </c>
    </row>
    <row r="167" spans="2:14" ht="15.75" customHeight="1">
      <c r="B167" s="33">
        <f t="shared" ca="1" si="5"/>
        <v>124</v>
      </c>
      <c r="C167" s="46">
        <f t="shared" ca="1" si="6"/>
        <v>19</v>
      </c>
      <c r="D167" s="46">
        <f ca="1">IF($A$2=1,"",IF(MAX($D$149:D166)&gt;=110,"",D166+1))</f>
        <v>73</v>
      </c>
      <c r="E167" s="47" t="str">
        <f ca="1">IF(OR(J167="",$A$2=1),"",VLOOKUP(C167&amp;計算!$C$3,宣告利率,2,FALSE))</f>
        <v/>
      </c>
      <c r="F167" s="188" t="str">
        <f t="shared" ca="1" si="0"/>
        <v/>
      </c>
      <c r="G167" s="188" t="str">
        <f t="shared" ca="1" si="1"/>
        <v/>
      </c>
      <c r="H167" s="263" t="str">
        <f ca="1">IF(OR(D167="",ISNA(VLOOKUP($C167,value,$H$146,FALSE)),$A$2=1),"",TEXT(VLOOKUP($C167,value,$H$146,FALSE),IF(OP!$C$22="VACF","#,##0.00","#,##0")))</f>
        <v/>
      </c>
      <c r="I167" s="263" t="str">
        <f ca="1">IF(OR(D167="",ISNA(VLOOKUP($C167,value,$J$146,FALSE)),$A$2=1),"",TEXT(MAX(0,VLOOKUP($C167,value,$J$146,FALSE)),IF(OP!$C$22="VACF","#,##0.00","#,##0")))</f>
        <v/>
      </c>
      <c r="J167" s="263" t="str">
        <f ca="1">IF(OR(D167="",ISNA(VLOOKUP($C167,value,$K$146,FALSE)),$A$2=1),"",TEXT(MAX(0,VLOOKUP($C167,value,$K$146,FALSE)),IF(OP!$C$22="VACF","#,##0.00","#,##0")))</f>
        <v/>
      </c>
      <c r="K167" s="263" t="str">
        <f ca="1">IF(OR(D167="",ISNA(VLOOKUP($C167,value,$L$146,FALSE)),$A$2=1),"",TEXT(MAX(0,VLOOKUP($C167,value,$L$146,FALSE)),IF(OP!$C$22="VACF","#,##0.00","#,##0")))</f>
        <v/>
      </c>
      <c r="L167" s="188" t="str">
        <f t="shared" ca="1" si="2"/>
        <v/>
      </c>
      <c r="M167" s="265" t="str">
        <f ca="1">IF(OR(D167&gt;111,OP!$C163="",$A$2=1),"",TEXT(OP!$C163,IF(OP!$C$22="VACF","#,##0.00","#,##0")))</f>
        <v>99,404</v>
      </c>
      <c r="N167" s="265" t="str">
        <f ca="1">IF($A$2=1,"",IF(OR(D167&gt;111,OP!$D163="",VLOOKUP(OP!$B$99,OP!$B$99:$E$99,$N$146,0)=1,OP!$D163=0),"",TEXT(OP!$D163,IF(OP!$C$22="VACF","#,##0.00","#,##0"))))</f>
        <v/>
      </c>
    </row>
    <row r="168" spans="2:14" ht="15.75" customHeight="1">
      <c r="B168" s="33">
        <f t="shared" ca="1" si="5"/>
        <v>125</v>
      </c>
      <c r="C168" s="46">
        <f t="shared" ca="1" si="6"/>
        <v>20</v>
      </c>
      <c r="D168" s="46">
        <f ca="1">IF($A$2=1,"",IF(MAX($D$149:D167)&gt;=110,"",D167+1))</f>
        <v>74</v>
      </c>
      <c r="E168" s="47" t="str">
        <f ca="1">IF(OR(J168="",$A$2=1),"",VLOOKUP(C168&amp;計算!$C$3,宣告利率,2,FALSE))</f>
        <v/>
      </c>
      <c r="F168" s="188" t="str">
        <f t="shared" ca="1" si="0"/>
        <v/>
      </c>
      <c r="G168" s="188" t="str">
        <f t="shared" ca="1" si="1"/>
        <v/>
      </c>
      <c r="H168" s="263" t="str">
        <f ca="1">IF(OR(D168="",ISNA(VLOOKUP($C168,value,$H$146,FALSE)),$A$2=1),"",TEXT(VLOOKUP($C168,value,$H$146,FALSE),IF(OP!$C$22="VACF","#,##0.00","#,##0")))</f>
        <v/>
      </c>
      <c r="I168" s="263" t="str">
        <f ca="1">IF(OR(D168="",ISNA(VLOOKUP($C168,value,$J$146,FALSE)),$A$2=1),"",TEXT(MAX(0,VLOOKUP($C168,value,$J$146,FALSE)),IF(OP!$C$22="VACF","#,##0.00","#,##0")))</f>
        <v/>
      </c>
      <c r="J168" s="263" t="str">
        <f ca="1">IF(OR(D168="",ISNA(VLOOKUP($C168,value,$K$146,FALSE)),$A$2=1),"",TEXT(MAX(0,VLOOKUP($C168,value,$K$146,FALSE)),IF(OP!$C$22="VACF","#,##0.00","#,##0")))</f>
        <v/>
      </c>
      <c r="K168" s="263" t="str">
        <f ca="1">IF(OR(D168="",ISNA(VLOOKUP($C168,value,$L$146,FALSE)),$A$2=1),"",TEXT(MAX(0,VLOOKUP($C168,value,$L$146,FALSE)),IF(OP!$C$22="VACF","#,##0.00","#,##0")))</f>
        <v/>
      </c>
      <c r="L168" s="188" t="str">
        <f t="shared" ca="1" si="2"/>
        <v/>
      </c>
      <c r="M168" s="265" t="str">
        <f ca="1">IF(OR(D168&gt;111,OP!$C164="",$A$2=1),"",TEXT(OP!$C164,IF(OP!$C$22="VACF","#,##0.00","#,##0")))</f>
        <v>99,404</v>
      </c>
      <c r="N168" s="265" t="str">
        <f ca="1">IF($A$2=1,"",IF(OR(D168&gt;111,OP!$D164="",VLOOKUP(OP!$B$99,OP!$B$99:$E$99,$N$146,0)=1,OP!$D164=0),"",TEXT(OP!$D164,IF(OP!$C$22="VACF","#,##0.00","#,##0"))))</f>
        <v/>
      </c>
    </row>
    <row r="169" spans="2:14" ht="15.75" customHeight="1">
      <c r="B169" s="33">
        <f t="shared" ca="1" si="5"/>
        <v>126</v>
      </c>
      <c r="C169" s="173">
        <f t="shared" ca="1" si="6"/>
        <v>21</v>
      </c>
      <c r="D169" s="173">
        <f ca="1">IF($A$2=1,"",IF(MAX($D$149:D168)&gt;=110,"",D168+1))</f>
        <v>75</v>
      </c>
      <c r="E169" s="174" t="str">
        <f ca="1">IF(OR(J169="",$A$2=1),"",VLOOKUP(C169&amp;計算!$C$3,宣告利率,2,FALSE))</f>
        <v/>
      </c>
      <c r="F169" s="187" t="str">
        <f t="shared" ca="1" si="0"/>
        <v/>
      </c>
      <c r="G169" s="187" t="str">
        <f t="shared" ca="1" si="1"/>
        <v/>
      </c>
      <c r="H169" s="262" t="str">
        <f ca="1">IF(OR(D169="",ISNA(VLOOKUP($C169,value,$H$146,FALSE)),$A$2=1),"",TEXT(VLOOKUP($C169,value,$H$146,FALSE),IF(OP!$C$22="VACF","#,##0.00","#,##0")))</f>
        <v/>
      </c>
      <c r="I169" s="262" t="str">
        <f ca="1">IF(OR(D169="",ISNA(VLOOKUP($C169,value,$J$146,FALSE)),$A$2=1),"",TEXT(MAX(0,VLOOKUP($C169,value,$J$146,FALSE)),IF(OP!$C$22="VACF","#,##0.00","#,##0")))</f>
        <v/>
      </c>
      <c r="J169" s="262" t="str">
        <f ca="1">IF(OR(D169="",ISNA(VLOOKUP($C169,value,$K$146,FALSE)),$A$2=1),"",TEXT(MAX(0,VLOOKUP($C169,value,$K$146,FALSE)),IF(OP!$C$22="VACF","#,##0.00","#,##0")))</f>
        <v/>
      </c>
      <c r="K169" s="262" t="str">
        <f ca="1">IF(OR(D169="",ISNA(VLOOKUP($C169,value,$L$146,FALSE)),$A$2=1),"",TEXT(MAX(0,VLOOKUP($C169,value,$L$146,FALSE)),IF(OP!$C$22="VACF","#,##0.00","#,##0")))</f>
        <v/>
      </c>
      <c r="L169" s="187" t="str">
        <f t="shared" ca="1" si="2"/>
        <v/>
      </c>
      <c r="M169" s="264" t="str">
        <f ca="1">IF(OR(D169&gt;111,OP!$C165="",$A$2=1),"",TEXT(OP!$C165,IF(OP!$C$22="VACF","#,##0.00","#,##0")))</f>
        <v>99,404</v>
      </c>
      <c r="N169" s="264" t="str">
        <f ca="1">IF($A$2=1,"",IF(OR(D169&gt;111,OP!$D165="",VLOOKUP(OP!$B$99,OP!$B$99:$E$99,$N$146,0)=1,OP!$D165=0),"",TEXT(OP!$D165,IF(OP!$C$22="VACF","#,##0.00","#,##0"))))</f>
        <v/>
      </c>
    </row>
    <row r="170" spans="2:14" ht="15.75" customHeight="1">
      <c r="B170" s="33">
        <f t="shared" ca="1" si="5"/>
        <v>127</v>
      </c>
      <c r="C170" s="173">
        <f t="shared" ca="1" si="6"/>
        <v>22</v>
      </c>
      <c r="D170" s="173">
        <f ca="1">IF($A$2=1,"",IF(MAX($D$149:D169)&gt;=110,"",D169+1))</f>
        <v>76</v>
      </c>
      <c r="E170" s="174" t="str">
        <f ca="1">IF(OR(J170="",$A$2=1),"",VLOOKUP(C170&amp;計算!$C$3,宣告利率,2,FALSE))</f>
        <v/>
      </c>
      <c r="F170" s="187" t="str">
        <f t="shared" ca="1" si="0"/>
        <v/>
      </c>
      <c r="G170" s="187" t="str">
        <f t="shared" ca="1" si="1"/>
        <v/>
      </c>
      <c r="H170" s="262" t="str">
        <f ca="1">IF(OR(D170="",ISNA(VLOOKUP($C170,value,$H$146,FALSE)),$A$2=1),"",TEXT(VLOOKUP($C170,value,$H$146,FALSE),IF(OP!$C$22="VACF","#,##0.00","#,##0")))</f>
        <v/>
      </c>
      <c r="I170" s="262" t="str">
        <f ca="1">IF(OR(D170="",ISNA(VLOOKUP($C170,value,$J$146,FALSE)),$A$2=1),"",TEXT(MAX(0,VLOOKUP($C170,value,$J$146,FALSE)),IF(OP!$C$22="VACF","#,##0.00","#,##0")))</f>
        <v/>
      </c>
      <c r="J170" s="262" t="str">
        <f ca="1">IF(OR(D170="",ISNA(VLOOKUP($C170,value,$K$146,FALSE)),$A$2=1),"",TEXT(MAX(0,VLOOKUP($C170,value,$K$146,FALSE)),IF(OP!$C$22="VACF","#,##0.00","#,##0")))</f>
        <v/>
      </c>
      <c r="K170" s="262" t="str">
        <f ca="1">IF(OR(D170="",ISNA(VLOOKUP($C170,value,$L$146,FALSE)),$A$2=1),"",TEXT(MAX(0,VLOOKUP($C170,value,$L$146,FALSE)),IF(OP!$C$22="VACF","#,##0.00","#,##0")))</f>
        <v/>
      </c>
      <c r="L170" s="187" t="str">
        <f t="shared" ca="1" si="2"/>
        <v/>
      </c>
      <c r="M170" s="264" t="str">
        <f ca="1">IF(OR(D170&gt;111,OP!$C166="",$A$2=1),"",TEXT(OP!$C166,IF(OP!$C$22="VACF","#,##0.00","#,##0")))</f>
        <v>99,404</v>
      </c>
      <c r="N170" s="264" t="str">
        <f ca="1">IF($A$2=1,"",IF(OR(D170&gt;111,OP!$D166="",VLOOKUP(OP!$B$99,OP!$B$99:$E$99,$N$146,0)=1,OP!$D166=0),"",TEXT(OP!$D166,IF(OP!$C$22="VACF","#,##0.00","#,##0"))))</f>
        <v/>
      </c>
    </row>
    <row r="171" spans="2:14" ht="15.75" customHeight="1">
      <c r="B171" s="33">
        <f t="shared" ca="1" si="5"/>
        <v>128</v>
      </c>
      <c r="C171" s="173">
        <f t="shared" ca="1" si="6"/>
        <v>23</v>
      </c>
      <c r="D171" s="173">
        <f ca="1">IF($A$2=1,"",IF(MAX($D$149:D170)&gt;=110,"",D170+1))</f>
        <v>77</v>
      </c>
      <c r="E171" s="174" t="str">
        <f ca="1">IF(OR(J171="",$A$2=1),"",VLOOKUP(C171&amp;計算!$C$3,宣告利率,2,FALSE))</f>
        <v/>
      </c>
      <c r="F171" s="187" t="str">
        <f t="shared" ca="1" si="0"/>
        <v/>
      </c>
      <c r="G171" s="187" t="str">
        <f t="shared" ca="1" si="1"/>
        <v/>
      </c>
      <c r="H171" s="262" t="str">
        <f ca="1">IF(OR(D171="",ISNA(VLOOKUP($C171,value,$H$146,FALSE)),$A$2=1),"",TEXT(VLOOKUP($C171,value,$H$146,FALSE),IF(OP!$C$22="VACF","#,##0.00","#,##0")))</f>
        <v/>
      </c>
      <c r="I171" s="262" t="str">
        <f ca="1">IF(OR(D171="",ISNA(VLOOKUP($C171,value,$J$146,FALSE)),$A$2=1),"",TEXT(MAX(0,VLOOKUP($C171,value,$J$146,FALSE)),IF(OP!$C$22="VACF","#,##0.00","#,##0")))</f>
        <v/>
      </c>
      <c r="J171" s="262" t="str">
        <f ca="1">IF(OR(D171="",ISNA(VLOOKUP($C171,value,$K$146,FALSE)),$A$2=1),"",TEXT(MAX(0,VLOOKUP($C171,value,$K$146,FALSE)),IF(OP!$C$22="VACF","#,##0.00","#,##0")))</f>
        <v/>
      </c>
      <c r="K171" s="262" t="str">
        <f ca="1">IF(OR(D171="",ISNA(VLOOKUP($C171,value,$L$146,FALSE)),$A$2=1),"",TEXT(MAX(0,VLOOKUP($C171,value,$L$146,FALSE)),IF(OP!$C$22="VACF","#,##0.00","#,##0")))</f>
        <v/>
      </c>
      <c r="L171" s="187" t="str">
        <f t="shared" ca="1" si="2"/>
        <v/>
      </c>
      <c r="M171" s="264" t="str">
        <f ca="1">IF(OR(D171&gt;111,OP!$C167="",$A$2=1),"",TEXT(OP!$C167,IF(OP!$C$22="VACF","#,##0.00","#,##0")))</f>
        <v>99,404</v>
      </c>
      <c r="N171" s="264" t="str">
        <f ca="1">IF($A$2=1,"",IF(OR(D171&gt;111,OP!$D167="",VLOOKUP(OP!$B$99,OP!$B$99:$E$99,$N$146,0)=1,OP!$D167=0),"",TEXT(OP!$D167,IF(OP!$C$22="VACF","#,##0.00","#,##0"))))</f>
        <v/>
      </c>
    </row>
    <row r="172" spans="2:14" ht="15.75" customHeight="1">
      <c r="B172" s="33">
        <f t="shared" ca="1" si="5"/>
        <v>129</v>
      </c>
      <c r="C172" s="173">
        <f t="shared" ca="1" si="6"/>
        <v>24</v>
      </c>
      <c r="D172" s="173">
        <f ca="1">IF($A$2=1,"",IF(MAX($D$149:D171)&gt;=110,"",D171+1))</f>
        <v>78</v>
      </c>
      <c r="E172" s="174" t="str">
        <f ca="1">IF(OR(J172="",$A$2=1),"",VLOOKUP(C172&amp;計算!$C$3,宣告利率,2,FALSE))</f>
        <v/>
      </c>
      <c r="F172" s="187" t="str">
        <f t="shared" ca="1" si="0"/>
        <v/>
      </c>
      <c r="G172" s="187" t="str">
        <f t="shared" ca="1" si="1"/>
        <v/>
      </c>
      <c r="H172" s="262" t="str">
        <f ca="1">IF(OR(D172="",ISNA(VLOOKUP($C172,value,$H$146,FALSE)),$A$2=1),"",TEXT(VLOOKUP($C172,value,$H$146,FALSE),IF(OP!$C$22="VACF","#,##0.00","#,##0")))</f>
        <v/>
      </c>
      <c r="I172" s="262" t="str">
        <f ca="1">IF(OR(D172="",ISNA(VLOOKUP($C172,value,$J$146,FALSE)),$A$2=1),"",TEXT(MAX(0,VLOOKUP($C172,value,$J$146,FALSE)),IF(OP!$C$22="VACF","#,##0.00","#,##0")))</f>
        <v/>
      </c>
      <c r="J172" s="262" t="str">
        <f ca="1">IF(OR(D172="",ISNA(VLOOKUP($C172,value,$K$146,FALSE)),$A$2=1),"",TEXT(MAX(0,VLOOKUP($C172,value,$K$146,FALSE)),IF(OP!$C$22="VACF","#,##0.00","#,##0")))</f>
        <v/>
      </c>
      <c r="K172" s="262" t="str">
        <f ca="1">IF(OR(D172="",ISNA(VLOOKUP($C172,value,$L$146,FALSE)),$A$2=1),"",TEXT(MAX(0,VLOOKUP($C172,value,$L$146,FALSE)),IF(OP!$C$22="VACF","#,##0.00","#,##0")))</f>
        <v/>
      </c>
      <c r="L172" s="187" t="str">
        <f t="shared" ca="1" si="2"/>
        <v/>
      </c>
      <c r="M172" s="264" t="str">
        <f ca="1">IF(OR(D172&gt;111,OP!$C168="",$A$2=1),"",TEXT(OP!$C168,IF(OP!$C$22="VACF","#,##0.00","#,##0")))</f>
        <v>99,404</v>
      </c>
      <c r="N172" s="264" t="str">
        <f ca="1">IF($A$2=1,"",IF(OR(D172&gt;111,OP!$D168="",VLOOKUP(OP!$B$99,OP!$B$99:$E$99,$N$146,0)=1,OP!$D168=0),"",TEXT(OP!$D168,IF(OP!$C$22="VACF","#,##0.00","#,##0"))))</f>
        <v/>
      </c>
    </row>
    <row r="173" spans="2:14" ht="15.75" customHeight="1">
      <c r="B173" s="33">
        <f t="shared" ca="1" si="5"/>
        <v>130</v>
      </c>
      <c r="C173" s="173">
        <f t="shared" ca="1" si="6"/>
        <v>25</v>
      </c>
      <c r="D173" s="173">
        <f ca="1">IF($A$2=1,"",IF(MAX($D$149:D172)&gt;=110,"",D172+1))</f>
        <v>79</v>
      </c>
      <c r="E173" s="174" t="str">
        <f ca="1">IF(OR(J173="",$A$2=1),"",VLOOKUP(C173&amp;計算!$C$3,宣告利率,2,FALSE))</f>
        <v/>
      </c>
      <c r="F173" s="187" t="str">
        <f t="shared" ca="1" si="0"/>
        <v/>
      </c>
      <c r="G173" s="187" t="str">
        <f t="shared" ca="1" si="1"/>
        <v/>
      </c>
      <c r="H173" s="262" t="str">
        <f ca="1">IF(OR(D173="",ISNA(VLOOKUP($C173,value,$H$146,FALSE)),$A$2=1),"",TEXT(VLOOKUP($C173,value,$H$146,FALSE),IF(OP!$C$22="VACF","#,##0.00","#,##0")))</f>
        <v/>
      </c>
      <c r="I173" s="262" t="str">
        <f ca="1">IF(OR(D173="",ISNA(VLOOKUP($C173,value,$J$146,FALSE)),$A$2=1),"",TEXT(MAX(0,VLOOKUP($C173,value,$J$146,FALSE)),IF(OP!$C$22="VACF","#,##0.00","#,##0")))</f>
        <v/>
      </c>
      <c r="J173" s="262" t="str">
        <f ca="1">IF(OR(D173="",ISNA(VLOOKUP($C173,value,$K$146,FALSE)),$A$2=1),"",TEXT(MAX(0,VLOOKUP($C173,value,$K$146,FALSE)),IF(OP!$C$22="VACF","#,##0.00","#,##0")))</f>
        <v/>
      </c>
      <c r="K173" s="262" t="str">
        <f ca="1">IF(OR(D173="",ISNA(VLOOKUP($C173,value,$L$146,FALSE)),$A$2=1),"",TEXT(MAX(0,VLOOKUP($C173,value,$L$146,FALSE)),IF(OP!$C$22="VACF","#,##0.00","#,##0")))</f>
        <v/>
      </c>
      <c r="L173" s="187" t="str">
        <f t="shared" ca="1" si="2"/>
        <v/>
      </c>
      <c r="M173" s="264" t="str">
        <f ca="1">IF(OR(D173&gt;111,OP!$C169="",$A$2=1),"",TEXT(OP!$C169,IF(OP!$C$22="VACF","#,##0.00","#,##0")))</f>
        <v>99,404</v>
      </c>
      <c r="N173" s="264" t="str">
        <f ca="1">IF($A$2=1,"",IF(OR(D173&gt;111,OP!$D169="",VLOOKUP(OP!$B$99,OP!$B$99:$E$99,$N$146,0)=1,OP!$D169=0),"",TEXT(OP!$D169,IF(OP!$C$22="VACF","#,##0.00","#,##0"))))</f>
        <v/>
      </c>
    </row>
    <row r="174" spans="2:14" ht="15.75" customHeight="1">
      <c r="B174" s="33">
        <f t="shared" ca="1" si="5"/>
        <v>131</v>
      </c>
      <c r="C174" s="46">
        <f t="shared" ca="1" si="6"/>
        <v>26</v>
      </c>
      <c r="D174" s="46">
        <f ca="1">IF($A$2=1,"",IF(MAX($D$149:D173)&gt;=110,"",D173+1))</f>
        <v>80</v>
      </c>
      <c r="E174" s="47" t="str">
        <f ca="1">IF(OR(J174="",$A$2=1),"",VLOOKUP(C174&amp;計算!$C$3,宣告利率,2,FALSE))</f>
        <v/>
      </c>
      <c r="F174" s="188" t="str">
        <f t="shared" ca="1" si="0"/>
        <v/>
      </c>
      <c r="G174" s="188" t="str">
        <f t="shared" ca="1" si="1"/>
        <v/>
      </c>
      <c r="H174" s="263" t="str">
        <f ca="1">IF(OR(D174="",ISNA(VLOOKUP($C174,value,$H$146,FALSE)),$A$2=1),"",TEXT(VLOOKUP($C174,value,$H$146,FALSE),IF(OP!$C$22="VACF","#,##0.00","#,##0")))</f>
        <v/>
      </c>
      <c r="I174" s="263" t="str">
        <f ca="1">IF(OR(D174="",ISNA(VLOOKUP($C174,value,$J$146,FALSE)),$A$2=1),"",TEXT(MAX(0,VLOOKUP($C174,value,$J$146,FALSE)),IF(OP!$C$22="VACF","#,##0.00","#,##0")))</f>
        <v/>
      </c>
      <c r="J174" s="263" t="str">
        <f ca="1">IF(OR(D174="",ISNA(VLOOKUP($C174,value,$K$146,FALSE)),$A$2=1),"",TEXT(MAX(0,VLOOKUP($C174,value,$K$146,FALSE)),IF(OP!$C$22="VACF","#,##0.00","#,##0")))</f>
        <v/>
      </c>
      <c r="K174" s="263" t="str">
        <f ca="1">IF(OR(D174="",ISNA(VLOOKUP($C174,value,$L$146,FALSE)),$A$2=1),"",TEXT(MAX(0,VLOOKUP($C174,value,$L$146,FALSE)),IF(OP!$C$22="VACF","#,##0.00","#,##0")))</f>
        <v/>
      </c>
      <c r="L174" s="188" t="str">
        <f t="shared" ca="1" si="2"/>
        <v/>
      </c>
      <c r="M174" s="265" t="str">
        <f ca="1">IF(OR(D174&gt;111,OP!$C170="",$A$2=1),"",TEXT(OP!$C170,IF(OP!$C$22="VACF","#,##0.00","#,##0")))</f>
        <v>99,404</v>
      </c>
      <c r="N174" s="265" t="str">
        <f ca="1">IF($A$2=1,"",IF(OR(D174&gt;111,OP!$D170="",VLOOKUP(OP!$B$99,OP!$B$99:$E$99,$N$146,0)=1,OP!$D170=0),"",TEXT(OP!$D170,IF(OP!$C$22="VACF","#,##0.00","#,##0"))))</f>
        <v/>
      </c>
    </row>
    <row r="175" spans="2:14" ht="15.75" customHeight="1">
      <c r="B175" s="33">
        <f t="shared" ca="1" si="5"/>
        <v>132</v>
      </c>
      <c r="C175" s="46">
        <f t="shared" ca="1" si="6"/>
        <v>27</v>
      </c>
      <c r="D175" s="46">
        <f ca="1">IF($A$2=1,"",IF(MAX($D$149:D174)&gt;=110,"",D174+1))</f>
        <v>81</v>
      </c>
      <c r="E175" s="47" t="str">
        <f ca="1">IF(OR(J175="",$A$2=1),"",VLOOKUP(C175&amp;計算!$C$3,宣告利率,2,FALSE))</f>
        <v/>
      </c>
      <c r="F175" s="188" t="str">
        <f t="shared" ca="1" si="0"/>
        <v/>
      </c>
      <c r="G175" s="188" t="str">
        <f t="shared" ca="1" si="1"/>
        <v/>
      </c>
      <c r="H175" s="263" t="str">
        <f ca="1">IF(OR(D175="",ISNA(VLOOKUP($C175,value,$H$146,FALSE)),$A$2=1),"",TEXT(VLOOKUP($C175,value,$H$146,FALSE),IF(OP!$C$22="VACF","#,##0.00","#,##0")))</f>
        <v/>
      </c>
      <c r="I175" s="263" t="str">
        <f ca="1">IF(OR(D175="",ISNA(VLOOKUP($C175,value,$J$146,FALSE)),$A$2=1),"",TEXT(MAX(0,VLOOKUP($C175,value,$J$146,FALSE)),IF(OP!$C$22="VACF","#,##0.00","#,##0")))</f>
        <v/>
      </c>
      <c r="J175" s="263" t="str">
        <f ca="1">IF(OR(D175="",ISNA(VLOOKUP($C175,value,$K$146,FALSE)),$A$2=1),"",TEXT(MAX(0,VLOOKUP($C175,value,$K$146,FALSE)),IF(OP!$C$22="VACF","#,##0.00","#,##0")))</f>
        <v/>
      </c>
      <c r="K175" s="263" t="str">
        <f ca="1">IF(OR(D175="",ISNA(VLOOKUP($C175,value,$L$146,FALSE)),$A$2=1),"",TEXT(MAX(0,VLOOKUP($C175,value,$L$146,FALSE)),IF(OP!$C$22="VACF","#,##0.00","#,##0")))</f>
        <v/>
      </c>
      <c r="L175" s="188" t="str">
        <f t="shared" ca="1" si="2"/>
        <v/>
      </c>
      <c r="M175" s="265" t="str">
        <f ca="1">IF(OR(D175&gt;111,OP!$C171="",$A$2=1),"",TEXT(OP!$C171,IF(OP!$C$22="VACF","#,##0.00","#,##0")))</f>
        <v>99,404</v>
      </c>
      <c r="N175" s="265" t="str">
        <f ca="1">IF($A$2=1,"",IF(OR(D175&gt;111,OP!$D171="",VLOOKUP(OP!$B$99,OP!$B$99:$E$99,$N$146,0)=1,OP!$D171=0),"",TEXT(OP!$D171,IF(OP!$C$22="VACF","#,##0.00","#,##0"))))</f>
        <v/>
      </c>
    </row>
    <row r="176" spans="2:14" ht="15.75" customHeight="1">
      <c r="B176" s="33">
        <f t="shared" ca="1" si="5"/>
        <v>133</v>
      </c>
      <c r="C176" s="46">
        <f t="shared" ca="1" si="6"/>
        <v>28</v>
      </c>
      <c r="D176" s="46">
        <f ca="1">IF($A$2=1,"",IF(MAX($D$149:D175)&gt;=110,"",D175+1))</f>
        <v>82</v>
      </c>
      <c r="E176" s="47" t="str">
        <f ca="1">IF(OR(J176="",$A$2=1),"",VLOOKUP(C176&amp;計算!$C$3,宣告利率,2,FALSE))</f>
        <v/>
      </c>
      <c r="F176" s="188" t="str">
        <f t="shared" ca="1" si="0"/>
        <v/>
      </c>
      <c r="G176" s="188" t="str">
        <f t="shared" ca="1" si="1"/>
        <v/>
      </c>
      <c r="H176" s="263" t="str">
        <f ca="1">IF(OR(D176="",ISNA(VLOOKUP($C176,value,$H$146,FALSE)),$A$2=1),"",TEXT(VLOOKUP($C176,value,$H$146,FALSE),IF(OP!$C$22="VACF","#,##0.00","#,##0")))</f>
        <v/>
      </c>
      <c r="I176" s="263" t="str">
        <f ca="1">IF(OR(D176="",ISNA(VLOOKUP($C176,value,$J$146,FALSE)),$A$2=1),"",TEXT(MAX(0,VLOOKUP($C176,value,$J$146,FALSE)),IF(OP!$C$22="VACF","#,##0.00","#,##0")))</f>
        <v/>
      </c>
      <c r="J176" s="263" t="str">
        <f ca="1">IF(OR(D176="",ISNA(VLOOKUP($C176,value,$K$146,FALSE)),$A$2=1),"",TEXT(MAX(0,VLOOKUP($C176,value,$K$146,FALSE)),IF(OP!$C$22="VACF","#,##0.00","#,##0")))</f>
        <v/>
      </c>
      <c r="K176" s="263" t="str">
        <f ca="1">IF(OR(D176="",ISNA(VLOOKUP($C176,value,$L$146,FALSE)),$A$2=1),"",TEXT(MAX(0,VLOOKUP($C176,value,$L$146,FALSE)),IF(OP!$C$22="VACF","#,##0.00","#,##0")))</f>
        <v/>
      </c>
      <c r="L176" s="188" t="str">
        <f t="shared" ca="1" si="2"/>
        <v/>
      </c>
      <c r="M176" s="265" t="str">
        <f ca="1">IF(OR(D176&gt;111,OP!$C172="",$A$2=1),"",TEXT(OP!$C172,IF(OP!$C$22="VACF","#,##0.00","#,##0")))</f>
        <v>99,404</v>
      </c>
      <c r="N176" s="265" t="str">
        <f ca="1">IF($A$2=1,"",IF(OR(D176&gt;111,OP!$D172="",VLOOKUP(OP!$B$99,OP!$B$99:$E$99,$N$146,0)=1,OP!$D172=0),"",TEXT(OP!$D172,IF(OP!$C$22="VACF","#,##0.00","#,##0"))))</f>
        <v/>
      </c>
    </row>
    <row r="177" spans="2:14" ht="15.75" customHeight="1">
      <c r="B177" s="33">
        <f t="shared" ca="1" si="5"/>
        <v>134</v>
      </c>
      <c r="C177" s="46">
        <f t="shared" ca="1" si="6"/>
        <v>29</v>
      </c>
      <c r="D177" s="46">
        <f ca="1">IF($A$2=1,"",IF(MAX($D$149:D176)&gt;=110,"",D176+1))</f>
        <v>83</v>
      </c>
      <c r="E177" s="47" t="str">
        <f ca="1">IF(OR(J177="",$A$2=1),"",VLOOKUP(C177&amp;計算!$C$3,宣告利率,2,FALSE))</f>
        <v/>
      </c>
      <c r="F177" s="188" t="str">
        <f t="shared" ca="1" si="0"/>
        <v/>
      </c>
      <c r="G177" s="188" t="str">
        <f t="shared" ca="1" si="1"/>
        <v/>
      </c>
      <c r="H177" s="263" t="str">
        <f ca="1">IF(OR(D177="",ISNA(VLOOKUP($C177,value,$H$146,FALSE)),$A$2=1),"",TEXT(VLOOKUP($C177,value,$H$146,FALSE),IF(OP!$C$22="VACF","#,##0.00","#,##0")))</f>
        <v/>
      </c>
      <c r="I177" s="263" t="str">
        <f ca="1">IF(OR(D177="",ISNA(VLOOKUP($C177,value,$J$146,FALSE)),$A$2=1),"",TEXT(MAX(0,VLOOKUP($C177,value,$J$146,FALSE)),IF(OP!$C$22="VACF","#,##0.00","#,##0")))</f>
        <v/>
      </c>
      <c r="J177" s="263" t="str">
        <f ca="1">IF(OR(D177="",ISNA(VLOOKUP($C177,value,$K$146,FALSE)),$A$2=1),"",TEXT(MAX(0,VLOOKUP($C177,value,$K$146,FALSE)),IF(OP!$C$22="VACF","#,##0.00","#,##0")))</f>
        <v/>
      </c>
      <c r="K177" s="263" t="str">
        <f ca="1">IF(OR(D177="",ISNA(VLOOKUP($C177,value,$L$146,FALSE)),$A$2=1),"",TEXT(MAX(0,VLOOKUP($C177,value,$L$146,FALSE)),IF(OP!$C$22="VACF","#,##0.00","#,##0")))</f>
        <v/>
      </c>
      <c r="L177" s="188" t="str">
        <f t="shared" ca="1" si="2"/>
        <v/>
      </c>
      <c r="M177" s="265" t="str">
        <f ca="1">IF(OR(D177&gt;111,OP!$C173="",$A$2=1),"",TEXT(OP!$C173,IF(OP!$C$22="VACF","#,##0.00","#,##0")))</f>
        <v>99,404</v>
      </c>
      <c r="N177" s="265" t="str">
        <f ca="1">IF($A$2=1,"",IF(OR(D177&gt;111,OP!$D173="",VLOOKUP(OP!$B$99,OP!$B$99:$E$99,$N$146,0)=1,OP!$D173=0),"",TEXT(OP!$D173,IF(OP!$C$22="VACF","#,##0.00","#,##0"))))</f>
        <v/>
      </c>
    </row>
    <row r="178" spans="2:14" ht="15.75" customHeight="1">
      <c r="B178" s="33">
        <f t="shared" ca="1" si="5"/>
        <v>135</v>
      </c>
      <c r="C178" s="46">
        <f t="shared" ca="1" si="6"/>
        <v>30</v>
      </c>
      <c r="D178" s="46">
        <f ca="1">IF($A$2=1,"",IF(MAX($D$149:D177)&gt;=110,"",D177+1))</f>
        <v>84</v>
      </c>
      <c r="E178" s="47" t="str">
        <f ca="1">IF(OR(J178="",$A$2=1),"",VLOOKUP(C178&amp;計算!$C$3,宣告利率,2,FALSE))</f>
        <v/>
      </c>
      <c r="F178" s="188" t="str">
        <f t="shared" ca="1" si="0"/>
        <v/>
      </c>
      <c r="G178" s="188" t="str">
        <f t="shared" ca="1" si="1"/>
        <v/>
      </c>
      <c r="H178" s="263" t="str">
        <f ca="1">IF(OR(D178="",ISNA(VLOOKUP($C178,value,$H$146,FALSE)),$A$2=1),"",TEXT(VLOOKUP($C178,value,$H$146,FALSE),IF(OP!$C$22="VACF","#,##0.00","#,##0")))</f>
        <v/>
      </c>
      <c r="I178" s="263" t="str">
        <f ca="1">IF(OR(D178="",ISNA(VLOOKUP($C178,value,$J$146,FALSE)),$A$2=1),"",TEXT(MAX(0,VLOOKUP($C178,value,$J$146,FALSE)),IF(OP!$C$22="VACF","#,##0.00","#,##0")))</f>
        <v/>
      </c>
      <c r="J178" s="263" t="str">
        <f ca="1">IF(OR(D178="",ISNA(VLOOKUP($C178,value,$K$146,FALSE)),$A$2=1),"",TEXT(MAX(0,VLOOKUP($C178,value,$K$146,FALSE)),IF(OP!$C$22="VACF","#,##0.00","#,##0")))</f>
        <v/>
      </c>
      <c r="K178" s="263" t="str">
        <f ca="1">IF(OR(D178="",ISNA(VLOOKUP($C178,value,$L$146,FALSE)),$A$2=1),"",TEXT(MAX(0,VLOOKUP($C178,value,$L$146,FALSE)),IF(OP!$C$22="VACF","#,##0.00","#,##0")))</f>
        <v/>
      </c>
      <c r="L178" s="188" t="str">
        <f t="shared" ca="1" si="2"/>
        <v/>
      </c>
      <c r="M178" s="265" t="str">
        <f ca="1">IF(OR(D178&gt;111,OP!$C174="",$A$2=1),"",TEXT(OP!$C174,IF(OP!$C$22="VACF","#,##0.00","#,##0")))</f>
        <v>99,404</v>
      </c>
      <c r="N178" s="265" t="str">
        <f ca="1">IF($A$2=1,"",IF(OR(D178&gt;111,OP!$D174="",VLOOKUP(OP!$B$99,OP!$B$99:$E$99,$N$146,0)=1,OP!$D174=0),"",TEXT(OP!$D174,IF(OP!$C$22="VACF","#,##0.00","#,##0"))))</f>
        <v/>
      </c>
    </row>
    <row r="179" spans="2:14" ht="15.75" customHeight="1">
      <c r="B179" s="33">
        <f t="shared" ca="1" si="5"/>
        <v>136</v>
      </c>
      <c r="C179" s="173">
        <f t="shared" ca="1" si="6"/>
        <v>31</v>
      </c>
      <c r="D179" s="173">
        <f ca="1">IF($A$2=1,"",IF(MAX($D$149:D178)&gt;=110,"",D178+1))</f>
        <v>85</v>
      </c>
      <c r="E179" s="174" t="str">
        <f ca="1">IF(OR(J179="",$A$2=1),"",VLOOKUP(C179&amp;計算!$C$3,宣告利率,2,FALSE))</f>
        <v/>
      </c>
      <c r="F179" s="187" t="str">
        <f t="shared" ca="1" si="0"/>
        <v/>
      </c>
      <c r="G179" s="187" t="str">
        <f t="shared" ca="1" si="1"/>
        <v/>
      </c>
      <c r="H179" s="262" t="str">
        <f ca="1">IF(OR(D179="",ISNA(VLOOKUP($C179,value,$H$146,FALSE)),$A$2=1),"",TEXT(VLOOKUP($C179,value,$H$146,FALSE),IF(OP!$C$22="VACF","#,##0.00","#,##0")))</f>
        <v/>
      </c>
      <c r="I179" s="262" t="str">
        <f ca="1">IF(OR(D179="",ISNA(VLOOKUP($C179,value,$J$146,FALSE)),$A$2=1),"",TEXT(MAX(0,VLOOKUP($C179,value,$J$146,FALSE)),IF(OP!$C$22="VACF","#,##0.00","#,##0")))</f>
        <v/>
      </c>
      <c r="J179" s="262" t="str">
        <f ca="1">IF(OR(D179="",ISNA(VLOOKUP($C179,value,$K$146,FALSE)),$A$2=1),"",TEXT(MAX(0,VLOOKUP($C179,value,$K$146,FALSE)),IF(OP!$C$22="VACF","#,##0.00","#,##0")))</f>
        <v/>
      </c>
      <c r="K179" s="262" t="str">
        <f ca="1">IF(OR(D179="",ISNA(VLOOKUP($C179,value,$L$146,FALSE)),$A$2=1),"",TEXT(MAX(0,VLOOKUP($C179,value,$L$146,FALSE)),IF(OP!$C$22="VACF","#,##0.00","#,##0")))</f>
        <v/>
      </c>
      <c r="L179" s="187" t="str">
        <f t="shared" ca="1" si="2"/>
        <v/>
      </c>
      <c r="M179" s="264" t="str">
        <f ca="1">IF(OR(D179&gt;111,OP!$C175="",$A$2=1),"",TEXT(OP!$C175,IF(OP!$C$22="VACF","#,##0.00","#,##0")))</f>
        <v>99,404</v>
      </c>
      <c r="N179" s="264" t="str">
        <f ca="1">IF($A$2=1,"",IF(OR(D179&gt;111,OP!$D175="",VLOOKUP(OP!$B$99,OP!$B$99:$E$99,$N$146,0)=1,OP!$D175=0),"",TEXT(OP!$D175,IF(OP!$C$22="VACF","#,##0.00","#,##0"))))</f>
        <v/>
      </c>
    </row>
    <row r="180" spans="2:14" ht="15.75" customHeight="1">
      <c r="B180" s="33">
        <f t="shared" ca="1" si="5"/>
        <v>137</v>
      </c>
      <c r="C180" s="173">
        <f t="shared" ca="1" si="6"/>
        <v>32</v>
      </c>
      <c r="D180" s="173">
        <f ca="1">IF($A$2=1,"",IF(MAX($D$149:D179)&gt;=110,"",D179+1))</f>
        <v>86</v>
      </c>
      <c r="E180" s="174" t="str">
        <f ca="1">IF(OR(J180="",$A$2=1),"",VLOOKUP(C180&amp;計算!$C$3,宣告利率,2,FALSE))</f>
        <v/>
      </c>
      <c r="F180" s="187" t="str">
        <f t="shared" ca="1" si="0"/>
        <v/>
      </c>
      <c r="G180" s="187" t="str">
        <f t="shared" ca="1" si="1"/>
        <v/>
      </c>
      <c r="H180" s="262" t="str">
        <f ca="1">IF(OR(D180="",ISNA(VLOOKUP($C180,value,$H$146,FALSE)),$A$2=1),"",TEXT(VLOOKUP($C180,value,$H$146,FALSE),IF(OP!$C$22="VACF","#,##0.00","#,##0")))</f>
        <v/>
      </c>
      <c r="I180" s="262" t="str">
        <f ca="1">IF(OR(D180="",ISNA(VLOOKUP($C180,value,$J$146,FALSE)),$A$2=1),"",TEXT(MAX(0,VLOOKUP($C180,value,$J$146,FALSE)),IF(OP!$C$22="VACF","#,##0.00","#,##0")))</f>
        <v/>
      </c>
      <c r="J180" s="262" t="str">
        <f ca="1">IF(OR(D180="",ISNA(VLOOKUP($C180,value,$K$146,FALSE)),$A$2=1),"",TEXT(MAX(0,VLOOKUP($C180,value,$K$146,FALSE)),IF(OP!$C$22="VACF","#,##0.00","#,##0")))</f>
        <v/>
      </c>
      <c r="K180" s="262" t="str">
        <f ca="1">IF(OR(D180="",ISNA(VLOOKUP($C180,value,$L$146,FALSE)),$A$2=1),"",TEXT(MAX(0,VLOOKUP($C180,value,$L$146,FALSE)),IF(OP!$C$22="VACF","#,##0.00","#,##0")))</f>
        <v/>
      </c>
      <c r="L180" s="187" t="str">
        <f t="shared" ca="1" si="2"/>
        <v/>
      </c>
      <c r="M180" s="264" t="str">
        <f ca="1">IF(OR(D180&gt;111,OP!$C176="",$A$2=1),"",TEXT(OP!$C176,IF(OP!$C$22="VACF","#,##0.00","#,##0")))</f>
        <v>99,404</v>
      </c>
      <c r="N180" s="264" t="str">
        <f ca="1">IF($A$2=1,"",IF(OR(D180&gt;111,OP!$D176="",VLOOKUP(OP!$B$99,OP!$B$99:$E$99,$N$146,0)=1,OP!$D176=0),"",TEXT(OP!$D176,IF(OP!$C$22="VACF","#,##0.00","#,##0"))))</f>
        <v/>
      </c>
    </row>
    <row r="181" spans="2:14" ht="15.75" customHeight="1">
      <c r="B181" s="33">
        <f t="shared" ca="1" si="5"/>
        <v>138</v>
      </c>
      <c r="C181" s="173">
        <f t="shared" ca="1" si="6"/>
        <v>33</v>
      </c>
      <c r="D181" s="173">
        <f ca="1">IF($A$2=1,"",IF(MAX($D$149:D180)&gt;=110,"",D180+1))</f>
        <v>87</v>
      </c>
      <c r="E181" s="174" t="str">
        <f ca="1">IF(OR(J181="",$A$2=1),"",VLOOKUP(C181&amp;計算!$C$3,宣告利率,2,FALSE))</f>
        <v/>
      </c>
      <c r="F181" s="187" t="str">
        <f t="shared" ref="F181:F203" ca="1" si="7">IF(OR(D181="",ISNA(VLOOKUP(C181,value,$F$146,FALSE)),$A$2=1),"",VLOOKUP(C181,value,$F$146,FALSE))</f>
        <v/>
      </c>
      <c r="G181" s="187" t="str">
        <f t="shared" ref="G181:G203" ca="1" si="8">IF(OR(D181="",ISNA(VLOOKUP($C181,value,$G$146,FALSE)),$A$2=1),"",VLOOKUP($C181,value,$G$146,FALSE))</f>
        <v/>
      </c>
      <c r="H181" s="262" t="str">
        <f ca="1">IF(OR(D181="",ISNA(VLOOKUP($C181,value,$H$146,FALSE)),$A$2=1),"",TEXT(VLOOKUP($C181,value,$H$146,FALSE),IF(OP!$C$22="VACF","#,##0.00","#,##0")))</f>
        <v/>
      </c>
      <c r="I181" s="262" t="str">
        <f ca="1">IF(OR(D181="",ISNA(VLOOKUP($C181,value,$J$146,FALSE)),$A$2=1),"",TEXT(MAX(0,VLOOKUP($C181,value,$J$146,FALSE)),IF(OP!$C$22="VACF","#,##0.00","#,##0")))</f>
        <v/>
      </c>
      <c r="J181" s="262" t="str">
        <f ca="1">IF(OR(D181="",ISNA(VLOOKUP($C181,value,$K$146,FALSE)),$A$2=1),"",TEXT(MAX(0,VLOOKUP($C181,value,$K$146,FALSE)),IF(OP!$C$22="VACF","#,##0.00","#,##0")))</f>
        <v/>
      </c>
      <c r="K181" s="262" t="str">
        <f ca="1">IF(OR(D181="",ISNA(VLOOKUP($C181,value,$L$146,FALSE)),$A$2=1),"",TEXT(MAX(0,VLOOKUP($C181,value,$L$146,FALSE)),IF(OP!$C$22="VACF","#,##0.00","#,##0")))</f>
        <v/>
      </c>
      <c r="L181" s="187" t="str">
        <f t="shared" ref="L181:L203" ca="1" si="9">IF(OR(D181="",ISNA(VLOOKUP($C181,value,$M$146,FALSE)),$A$2=1),"",MAX(0,VLOOKUP($C181,value,$M$146,FALSE)))</f>
        <v/>
      </c>
      <c r="M181" s="264" t="str">
        <f ca="1">IF(OR(D181&gt;111,OP!$C177="",$A$2=1),"",TEXT(OP!$C177,IF(OP!$C$22="VACF","#,##0.00","#,##0")))</f>
        <v>99,404</v>
      </c>
      <c r="N181" s="264" t="str">
        <f ca="1">IF($A$2=1,"",IF(OR(D181&gt;111,OP!$D177="",VLOOKUP(OP!$B$99,OP!$B$99:$E$99,$N$146,0)=1,OP!$D177=0),"",TEXT(OP!$D177,IF(OP!$C$22="VACF","#,##0.00","#,##0"))))</f>
        <v/>
      </c>
    </row>
    <row r="182" spans="2:14" ht="15.75" customHeight="1">
      <c r="B182" s="33">
        <f t="shared" ca="1" si="5"/>
        <v>139</v>
      </c>
      <c r="C182" s="173">
        <f t="shared" ca="1" si="6"/>
        <v>34</v>
      </c>
      <c r="D182" s="173">
        <f ca="1">IF($A$2=1,"",IF(MAX($D$149:D181)&gt;=110,"",D181+1))</f>
        <v>88</v>
      </c>
      <c r="E182" s="174" t="str">
        <f ca="1">IF(OR(J182="",$A$2=1),"",VLOOKUP(C182&amp;計算!$C$3,宣告利率,2,FALSE))</f>
        <v/>
      </c>
      <c r="F182" s="187" t="str">
        <f t="shared" ca="1" si="7"/>
        <v/>
      </c>
      <c r="G182" s="187" t="str">
        <f t="shared" ca="1" si="8"/>
        <v/>
      </c>
      <c r="H182" s="262" t="str">
        <f ca="1">IF(OR(D182="",ISNA(VLOOKUP($C182,value,$H$146,FALSE)),$A$2=1),"",TEXT(VLOOKUP($C182,value,$H$146,FALSE),IF(OP!$C$22="VACF","#,##0.00","#,##0")))</f>
        <v/>
      </c>
      <c r="I182" s="262" t="str">
        <f ca="1">IF(OR(D182="",ISNA(VLOOKUP($C182,value,$J$146,FALSE)),$A$2=1),"",TEXT(MAX(0,VLOOKUP($C182,value,$J$146,FALSE)),IF(OP!$C$22="VACF","#,##0.00","#,##0")))</f>
        <v/>
      </c>
      <c r="J182" s="262" t="str">
        <f ca="1">IF(OR(D182="",ISNA(VLOOKUP($C182,value,$K$146,FALSE)),$A$2=1),"",TEXT(MAX(0,VLOOKUP($C182,value,$K$146,FALSE)),IF(OP!$C$22="VACF","#,##0.00","#,##0")))</f>
        <v/>
      </c>
      <c r="K182" s="262" t="str">
        <f ca="1">IF(OR(D182="",ISNA(VLOOKUP($C182,value,$L$146,FALSE)),$A$2=1),"",TEXT(MAX(0,VLOOKUP($C182,value,$L$146,FALSE)),IF(OP!$C$22="VACF","#,##0.00","#,##0")))</f>
        <v/>
      </c>
      <c r="L182" s="187" t="str">
        <f t="shared" ca="1" si="9"/>
        <v/>
      </c>
      <c r="M182" s="264" t="str">
        <f ca="1">IF(OR(D182&gt;111,OP!$C178="",$A$2=1),"",TEXT(OP!$C178,IF(OP!$C$22="VACF","#,##0.00","#,##0")))</f>
        <v>99,404</v>
      </c>
      <c r="N182" s="264" t="str">
        <f ca="1">IF($A$2=1,"",IF(OR(D182&gt;111,OP!$D178="",VLOOKUP(OP!$B$99,OP!$B$99:$E$99,$N$146,0)=1,OP!$D178=0),"",TEXT(OP!$D178,IF(OP!$C$22="VACF","#,##0.00","#,##0"))))</f>
        <v/>
      </c>
    </row>
    <row r="183" spans="2:14" ht="15.75" customHeight="1">
      <c r="B183" s="33">
        <f t="shared" ca="1" si="5"/>
        <v>140</v>
      </c>
      <c r="C183" s="173">
        <f t="shared" ca="1" si="6"/>
        <v>35</v>
      </c>
      <c r="D183" s="173">
        <f ca="1">IF($A$2=1,"",IF(MAX($D$149:D182)&gt;=110,"",D182+1))</f>
        <v>89</v>
      </c>
      <c r="E183" s="174" t="str">
        <f ca="1">IF(OR(J183="",$A$2=1),"",VLOOKUP(C183&amp;計算!$C$3,宣告利率,2,FALSE))</f>
        <v/>
      </c>
      <c r="F183" s="187" t="str">
        <f t="shared" ca="1" si="7"/>
        <v/>
      </c>
      <c r="G183" s="187" t="str">
        <f t="shared" ca="1" si="8"/>
        <v/>
      </c>
      <c r="H183" s="262" t="str">
        <f ca="1">IF(OR(D183="",ISNA(VLOOKUP($C183,value,$H$146,FALSE)),$A$2=1),"",TEXT(VLOOKUP($C183,value,$H$146,FALSE),IF(OP!$C$22="VACF","#,##0.00","#,##0")))</f>
        <v/>
      </c>
      <c r="I183" s="262" t="str">
        <f ca="1">IF(OR(D183="",ISNA(VLOOKUP($C183,value,$J$146,FALSE)),$A$2=1),"",TEXT(MAX(0,VLOOKUP($C183,value,$J$146,FALSE)),IF(OP!$C$22="VACF","#,##0.00","#,##0")))</f>
        <v/>
      </c>
      <c r="J183" s="262" t="str">
        <f ca="1">IF(OR(D183="",ISNA(VLOOKUP($C183,value,$K$146,FALSE)),$A$2=1),"",TEXT(MAX(0,VLOOKUP($C183,value,$K$146,FALSE)),IF(OP!$C$22="VACF","#,##0.00","#,##0")))</f>
        <v/>
      </c>
      <c r="K183" s="262" t="str">
        <f ca="1">IF(OR(D183="",ISNA(VLOOKUP($C183,value,$L$146,FALSE)),$A$2=1),"",TEXT(MAX(0,VLOOKUP($C183,value,$L$146,FALSE)),IF(OP!$C$22="VACF","#,##0.00","#,##0")))</f>
        <v/>
      </c>
      <c r="L183" s="187" t="str">
        <f t="shared" ca="1" si="9"/>
        <v/>
      </c>
      <c r="M183" s="264" t="str">
        <f ca="1">IF(OR(D183&gt;111,OP!$C179="",$A$2=1),"",TEXT(OP!$C179,IF(OP!$C$22="VACF","#,##0.00","#,##0")))</f>
        <v>99,404</v>
      </c>
      <c r="N183" s="264" t="str">
        <f ca="1">IF($A$2=1,"",IF(OR(D183&gt;111,OP!$D179="",VLOOKUP(OP!$B$99,OP!$B$99:$E$99,$N$146,0)=1,OP!$D179=0),"",TEXT(OP!$D179,IF(OP!$C$22="VACF","#,##0.00","#,##0"))))</f>
        <v/>
      </c>
    </row>
    <row r="184" spans="2:14" ht="15.75" customHeight="1">
      <c r="B184" s="33">
        <f t="shared" ca="1" si="5"/>
        <v>141</v>
      </c>
      <c r="C184" s="46">
        <f t="shared" ca="1" si="6"/>
        <v>36</v>
      </c>
      <c r="D184" s="46">
        <f ca="1">IF($A$2=1,"",IF(MAX($D$149:D183)&gt;=110,"",D183+1))</f>
        <v>90</v>
      </c>
      <c r="E184" s="47" t="str">
        <f ca="1">IF(OR(J184="",$A$2=1),"",VLOOKUP(C184&amp;計算!$C$3,宣告利率,2,FALSE))</f>
        <v/>
      </c>
      <c r="F184" s="188" t="str">
        <f t="shared" ca="1" si="7"/>
        <v/>
      </c>
      <c r="G184" s="188" t="str">
        <f t="shared" ca="1" si="8"/>
        <v/>
      </c>
      <c r="H184" s="263" t="str">
        <f ca="1">IF(OR(D184="",ISNA(VLOOKUP($C184,value,$H$146,FALSE)),$A$2=1),"",TEXT(VLOOKUP($C184,value,$H$146,FALSE),IF(OP!$C$22="VACF","#,##0.00","#,##0")))</f>
        <v/>
      </c>
      <c r="I184" s="263" t="str">
        <f ca="1">IF(OR(D184="",ISNA(VLOOKUP($C184,value,$J$146,FALSE)),$A$2=1),"",TEXT(MAX(0,VLOOKUP($C184,value,$J$146,FALSE)),IF(OP!$C$22="VACF","#,##0.00","#,##0")))</f>
        <v/>
      </c>
      <c r="J184" s="263" t="str">
        <f ca="1">IF(OR(D184="",ISNA(VLOOKUP($C184,value,$K$146,FALSE)),$A$2=1),"",TEXT(MAX(0,VLOOKUP($C184,value,$K$146,FALSE)),IF(OP!$C$22="VACF","#,##0.00","#,##0")))</f>
        <v/>
      </c>
      <c r="K184" s="263" t="str">
        <f ca="1">IF(OR(D184="",ISNA(VLOOKUP($C184,value,$L$146,FALSE)),$A$2=1),"",TEXT(MAX(0,VLOOKUP($C184,value,$L$146,FALSE)),IF(OP!$C$22="VACF","#,##0.00","#,##0")))</f>
        <v/>
      </c>
      <c r="L184" s="188" t="str">
        <f t="shared" ca="1" si="9"/>
        <v/>
      </c>
      <c r="M184" s="265" t="str">
        <f ca="1">IF(OR(D184&gt;111,OP!$C180="",$A$2=1),"",TEXT(OP!$C180,IF(OP!$C$22="VACF","#,##0.00","#,##0")))</f>
        <v>99,404</v>
      </c>
      <c r="N184" s="265" t="str">
        <f ca="1">IF($A$2=1,"",IF(OR(D184&gt;111,OP!$D180="",VLOOKUP(OP!$B$99,OP!$B$99:$E$99,$N$146,0)=1,OP!$D180=0),"",TEXT(OP!$D180,IF(OP!$C$22="VACF","#,##0.00","#,##0"))))</f>
        <v/>
      </c>
    </row>
    <row r="185" spans="2:14" ht="15.75" customHeight="1">
      <c r="B185" s="33">
        <f t="shared" ca="1" si="5"/>
        <v>142</v>
      </c>
      <c r="C185" s="46">
        <f t="shared" ca="1" si="6"/>
        <v>37</v>
      </c>
      <c r="D185" s="46">
        <f ca="1">IF($A$2=1,"",IF(MAX($D$149:D184)&gt;=110,"",D184+1))</f>
        <v>91</v>
      </c>
      <c r="E185" s="47" t="str">
        <f ca="1">IF(OR(J185="",$A$2=1),"",VLOOKUP(C185&amp;計算!$C$3,宣告利率,2,FALSE))</f>
        <v/>
      </c>
      <c r="F185" s="188" t="str">
        <f t="shared" ca="1" si="7"/>
        <v/>
      </c>
      <c r="G185" s="188" t="str">
        <f t="shared" ca="1" si="8"/>
        <v/>
      </c>
      <c r="H185" s="263" t="str">
        <f ca="1">IF(OR(D185="",ISNA(VLOOKUP($C185,value,$H$146,FALSE)),$A$2=1),"",TEXT(VLOOKUP($C185,value,$H$146,FALSE),IF(OP!$C$22="VACF","#,##0.00","#,##0")))</f>
        <v/>
      </c>
      <c r="I185" s="263" t="str">
        <f ca="1">IF(OR(D185="",ISNA(VLOOKUP($C185,value,$J$146,FALSE)),$A$2=1),"",TEXT(MAX(0,VLOOKUP($C185,value,$J$146,FALSE)),IF(OP!$C$22="VACF","#,##0.00","#,##0")))</f>
        <v/>
      </c>
      <c r="J185" s="263" t="str">
        <f ca="1">IF(OR(D185="",ISNA(VLOOKUP($C185,value,$K$146,FALSE)),$A$2=1),"",TEXT(MAX(0,VLOOKUP($C185,value,$K$146,FALSE)),IF(OP!$C$22="VACF","#,##0.00","#,##0")))</f>
        <v/>
      </c>
      <c r="K185" s="263" t="str">
        <f ca="1">IF(OR(D185="",ISNA(VLOOKUP($C185,value,$L$146,FALSE)),$A$2=1),"",TEXT(MAX(0,VLOOKUP($C185,value,$L$146,FALSE)),IF(OP!$C$22="VACF","#,##0.00","#,##0")))</f>
        <v/>
      </c>
      <c r="L185" s="188" t="str">
        <f t="shared" ca="1" si="9"/>
        <v/>
      </c>
      <c r="M185" s="265" t="str">
        <f ca="1">IF(OR(D185&gt;111,OP!$C181="",$A$2=1),"",TEXT(OP!$C181,IF(OP!$C$22="VACF","#,##0.00","#,##0")))</f>
        <v>99,404</v>
      </c>
      <c r="N185" s="265" t="str">
        <f ca="1">IF($A$2=1,"",IF(OR(D185&gt;111,OP!$D181="",VLOOKUP(OP!$B$99,OP!$B$99:$E$99,$N$146,0)=1,OP!$D181=0),"",TEXT(OP!$D181,IF(OP!$C$22="VACF","#,##0.00","#,##0"))))</f>
        <v/>
      </c>
    </row>
    <row r="186" spans="2:14" ht="15.75" customHeight="1">
      <c r="B186" s="33">
        <f t="shared" ca="1" si="5"/>
        <v>143</v>
      </c>
      <c r="C186" s="46">
        <f t="shared" ca="1" si="6"/>
        <v>38</v>
      </c>
      <c r="D186" s="46">
        <f ca="1">IF($A$2=1,"",IF(MAX($D$149:D185)&gt;=110,"",D185+1))</f>
        <v>92</v>
      </c>
      <c r="E186" s="47" t="str">
        <f ca="1">IF(OR(J186="",$A$2=1),"",VLOOKUP(C186&amp;計算!$C$3,宣告利率,2,FALSE))</f>
        <v/>
      </c>
      <c r="F186" s="188" t="str">
        <f t="shared" ca="1" si="7"/>
        <v/>
      </c>
      <c r="G186" s="188" t="str">
        <f t="shared" ca="1" si="8"/>
        <v/>
      </c>
      <c r="H186" s="263" t="str">
        <f ca="1">IF(OR(D186="",ISNA(VLOOKUP($C186,value,$H$146,FALSE)),$A$2=1),"",TEXT(VLOOKUP($C186,value,$H$146,FALSE),IF(OP!$C$22="VACF","#,##0.00","#,##0")))</f>
        <v/>
      </c>
      <c r="I186" s="263" t="str">
        <f ca="1">IF(OR(D186="",ISNA(VLOOKUP($C186,value,$J$146,FALSE)),$A$2=1),"",TEXT(MAX(0,VLOOKUP($C186,value,$J$146,FALSE)),IF(OP!$C$22="VACF","#,##0.00","#,##0")))</f>
        <v/>
      </c>
      <c r="J186" s="263" t="str">
        <f ca="1">IF(OR(D186="",ISNA(VLOOKUP($C186,value,$K$146,FALSE)),$A$2=1),"",TEXT(MAX(0,VLOOKUP($C186,value,$K$146,FALSE)),IF(OP!$C$22="VACF","#,##0.00","#,##0")))</f>
        <v/>
      </c>
      <c r="K186" s="263" t="str">
        <f ca="1">IF(OR(D186="",ISNA(VLOOKUP($C186,value,$L$146,FALSE)),$A$2=1),"",TEXT(MAX(0,VLOOKUP($C186,value,$L$146,FALSE)),IF(OP!$C$22="VACF","#,##0.00","#,##0")))</f>
        <v/>
      </c>
      <c r="L186" s="188" t="str">
        <f t="shared" ca="1" si="9"/>
        <v/>
      </c>
      <c r="M186" s="265" t="str">
        <f ca="1">IF(OR(D186&gt;111,OP!$C182="",$A$2=1),"",TEXT(OP!$C182,IF(OP!$C$22="VACF","#,##0.00","#,##0")))</f>
        <v>99,404</v>
      </c>
      <c r="N186" s="265" t="str">
        <f ca="1">IF($A$2=1,"",IF(OR(D186&gt;111,OP!$D182="",VLOOKUP(OP!$B$99,OP!$B$99:$E$99,$N$146,0)=1,OP!$D182=0),"",TEXT(OP!$D182,IF(OP!$C$22="VACF","#,##0.00","#,##0"))))</f>
        <v/>
      </c>
    </row>
    <row r="187" spans="2:14" ht="15.75" customHeight="1">
      <c r="B187" s="33">
        <f t="shared" ca="1" si="5"/>
        <v>144</v>
      </c>
      <c r="C187" s="46">
        <f t="shared" ca="1" si="6"/>
        <v>39</v>
      </c>
      <c r="D187" s="46">
        <f ca="1">IF($A$2=1,"",IF(MAX($D$149:D186)&gt;=110,"",D186+1))</f>
        <v>93</v>
      </c>
      <c r="E187" s="47" t="str">
        <f ca="1">IF(OR(J187="",$A$2=1),"",VLOOKUP(C187&amp;計算!$C$3,宣告利率,2,FALSE))</f>
        <v/>
      </c>
      <c r="F187" s="188" t="str">
        <f t="shared" ca="1" si="7"/>
        <v/>
      </c>
      <c r="G187" s="188" t="str">
        <f t="shared" ca="1" si="8"/>
        <v/>
      </c>
      <c r="H187" s="263" t="str">
        <f ca="1">IF(OR(D187="",ISNA(VLOOKUP($C187,value,$H$146,FALSE)),$A$2=1),"",TEXT(VLOOKUP($C187,value,$H$146,FALSE),IF(OP!$C$22="VACF","#,##0.00","#,##0")))</f>
        <v/>
      </c>
      <c r="I187" s="263" t="str">
        <f ca="1">IF(OR(D187="",ISNA(VLOOKUP($C187,value,$J$146,FALSE)),$A$2=1),"",TEXT(MAX(0,VLOOKUP($C187,value,$J$146,FALSE)),IF(OP!$C$22="VACF","#,##0.00","#,##0")))</f>
        <v/>
      </c>
      <c r="J187" s="263" t="str">
        <f ca="1">IF(OR(D187="",ISNA(VLOOKUP($C187,value,$K$146,FALSE)),$A$2=1),"",TEXT(MAX(0,VLOOKUP($C187,value,$K$146,FALSE)),IF(OP!$C$22="VACF","#,##0.00","#,##0")))</f>
        <v/>
      </c>
      <c r="K187" s="263" t="str">
        <f ca="1">IF(OR(D187="",ISNA(VLOOKUP($C187,value,$L$146,FALSE)),$A$2=1),"",TEXT(MAX(0,VLOOKUP($C187,value,$L$146,FALSE)),IF(OP!$C$22="VACF","#,##0.00","#,##0")))</f>
        <v/>
      </c>
      <c r="L187" s="188" t="str">
        <f t="shared" ca="1" si="9"/>
        <v/>
      </c>
      <c r="M187" s="265" t="str">
        <f ca="1">IF(OR(D187&gt;111,OP!$C183="",$A$2=1),"",TEXT(OP!$C183,IF(OP!$C$22="VACF","#,##0.00","#,##0")))</f>
        <v>99,404</v>
      </c>
      <c r="N187" s="265" t="str">
        <f ca="1">IF($A$2=1,"",IF(OR(D187&gt;111,OP!$D183="",VLOOKUP(OP!$B$99,OP!$B$99:$E$99,$N$146,0)=1,OP!$D183=0),"",TEXT(OP!$D183,IF(OP!$C$22="VACF","#,##0.00","#,##0"))))</f>
        <v/>
      </c>
    </row>
    <row r="188" spans="2:14" ht="15.75" customHeight="1">
      <c r="B188" s="33">
        <f t="shared" ca="1" si="5"/>
        <v>145</v>
      </c>
      <c r="C188" s="46">
        <f t="shared" ca="1" si="6"/>
        <v>40</v>
      </c>
      <c r="D188" s="46">
        <f ca="1">IF($A$2=1,"",IF(MAX($D$149:D187)&gt;=110,"",D187+1))</f>
        <v>94</v>
      </c>
      <c r="E188" s="47" t="str">
        <f ca="1">IF(OR(J188="",$A$2=1),"",VLOOKUP(C188&amp;計算!$C$3,宣告利率,2,FALSE))</f>
        <v/>
      </c>
      <c r="F188" s="188" t="str">
        <f t="shared" ca="1" si="7"/>
        <v/>
      </c>
      <c r="G188" s="188" t="str">
        <f t="shared" ca="1" si="8"/>
        <v/>
      </c>
      <c r="H188" s="263" t="str">
        <f ca="1">IF(OR(D188="",ISNA(VLOOKUP($C188,value,$H$146,FALSE)),$A$2=1),"",TEXT(VLOOKUP($C188,value,$H$146,FALSE),IF(OP!$C$22="VACF","#,##0.00","#,##0")))</f>
        <v/>
      </c>
      <c r="I188" s="263" t="str">
        <f ca="1">IF(OR(D188="",ISNA(VLOOKUP($C188,value,$J$146,FALSE)),$A$2=1),"",TEXT(MAX(0,VLOOKUP($C188,value,$J$146,FALSE)),IF(OP!$C$22="VACF","#,##0.00","#,##0")))</f>
        <v/>
      </c>
      <c r="J188" s="263" t="str">
        <f ca="1">IF(OR(D188="",ISNA(VLOOKUP($C188,value,$K$146,FALSE)),$A$2=1),"",TEXT(MAX(0,VLOOKUP($C188,value,$K$146,FALSE)),IF(OP!$C$22="VACF","#,##0.00","#,##0")))</f>
        <v/>
      </c>
      <c r="K188" s="263" t="str">
        <f ca="1">IF(OR(D188="",ISNA(VLOOKUP($C188,value,$L$146,FALSE)),$A$2=1),"",TEXT(MAX(0,VLOOKUP($C188,value,$L$146,FALSE)),IF(OP!$C$22="VACF","#,##0.00","#,##0")))</f>
        <v/>
      </c>
      <c r="L188" s="188" t="str">
        <f t="shared" ca="1" si="9"/>
        <v/>
      </c>
      <c r="M188" s="265" t="str">
        <f ca="1">IF(OR(D188&gt;111,OP!$C184="",$A$2=1),"",TEXT(OP!$C184,IF(OP!$C$22="VACF","#,##0.00","#,##0")))</f>
        <v>99,404</v>
      </c>
      <c r="N188" s="265" t="str">
        <f ca="1">IF($A$2=1,"",IF(OR(D188&gt;111,OP!$D184="",VLOOKUP(OP!$B$99,OP!$B$99:$E$99,$N$146,0)=1,OP!$D184=0),"",TEXT(OP!$D184,IF(OP!$C$22="VACF","#,##0.00","#,##0"))))</f>
        <v/>
      </c>
    </row>
    <row r="189" spans="2:14" ht="15.75" customHeight="1">
      <c r="B189" s="33">
        <f t="shared" ca="1" si="5"/>
        <v>146</v>
      </c>
      <c r="C189" s="173">
        <f t="shared" ca="1" si="6"/>
        <v>41</v>
      </c>
      <c r="D189" s="173">
        <f ca="1">IF($A$2=1,"",IF(MAX($D$149:D188)&gt;=110,"",D188+1))</f>
        <v>95</v>
      </c>
      <c r="E189" s="174" t="str">
        <f ca="1">IF(OR(J189="",$A$2=1),"",VLOOKUP(C189&amp;計算!$C$3,宣告利率,2,FALSE))</f>
        <v/>
      </c>
      <c r="F189" s="187" t="str">
        <f t="shared" ca="1" si="7"/>
        <v/>
      </c>
      <c r="G189" s="187" t="str">
        <f t="shared" ca="1" si="8"/>
        <v/>
      </c>
      <c r="H189" s="262" t="str">
        <f ca="1">IF(OR(D189="",ISNA(VLOOKUP($C189,value,$H$146,FALSE)),$A$2=1),"",TEXT(VLOOKUP($C189,value,$H$146,FALSE),IF(OP!$C$22="VACF","#,##0.00","#,##0")))</f>
        <v/>
      </c>
      <c r="I189" s="262" t="str">
        <f ca="1">IF(OR(D189="",ISNA(VLOOKUP($C189,value,$J$146,FALSE)),$A$2=1),"",TEXT(MAX(0,VLOOKUP($C189,value,$J$146,FALSE)),IF(OP!$C$22="VACF","#,##0.00","#,##0")))</f>
        <v/>
      </c>
      <c r="J189" s="262" t="str">
        <f ca="1">IF(OR(D189="",ISNA(VLOOKUP($C189,value,$K$146,FALSE)),$A$2=1),"",TEXT(MAX(0,VLOOKUP($C189,value,$K$146,FALSE)),IF(OP!$C$22="VACF","#,##0.00","#,##0")))</f>
        <v/>
      </c>
      <c r="K189" s="262" t="str">
        <f ca="1">IF(OR(D189="",ISNA(VLOOKUP($C189,value,$L$146,FALSE)),$A$2=1),"",TEXT(MAX(0,VLOOKUP($C189,value,$L$146,FALSE)),IF(OP!$C$22="VACF","#,##0.00","#,##0")))</f>
        <v/>
      </c>
      <c r="L189" s="187" t="str">
        <f t="shared" ca="1" si="9"/>
        <v/>
      </c>
      <c r="M189" s="264" t="str">
        <f ca="1">IF(OR(D189&gt;111,OP!$C185="",$A$2=1),"",TEXT(OP!$C185,IF(OP!$C$22="VACF","#,##0.00","#,##0")))</f>
        <v>99,404</v>
      </c>
      <c r="N189" s="264" t="str">
        <f ca="1">IF($A$2=1,"",IF(OR(D189&gt;111,OP!$D185="",VLOOKUP(OP!$B$99,OP!$B$99:$E$99,$N$146,0)=1,OP!$D185=0),"",TEXT(OP!$D185,IF(OP!$C$22="VACF","#,##0.00","#,##0"))))</f>
        <v/>
      </c>
    </row>
    <row r="190" spans="2:14" ht="15.75" customHeight="1">
      <c r="B190" s="33">
        <f t="shared" ca="1" si="5"/>
        <v>147</v>
      </c>
      <c r="C190" s="173">
        <f t="shared" ca="1" si="6"/>
        <v>42</v>
      </c>
      <c r="D190" s="173">
        <f ca="1">IF($A$2=1,"",IF(MAX($D$149:D189)&gt;=110,"",D189+1))</f>
        <v>96</v>
      </c>
      <c r="E190" s="174" t="str">
        <f ca="1">IF(OR(J190="",$A$2=1),"",VLOOKUP(C190&amp;計算!$C$3,宣告利率,2,FALSE))</f>
        <v/>
      </c>
      <c r="F190" s="187" t="str">
        <f t="shared" ca="1" si="7"/>
        <v/>
      </c>
      <c r="G190" s="187" t="str">
        <f t="shared" ca="1" si="8"/>
        <v/>
      </c>
      <c r="H190" s="262" t="str">
        <f ca="1">IF(OR(D190="",ISNA(VLOOKUP($C190,value,$H$146,FALSE)),$A$2=1),"",TEXT(VLOOKUP($C190,value,$H$146,FALSE),IF(OP!$C$22="VACF","#,##0.00","#,##0")))</f>
        <v/>
      </c>
      <c r="I190" s="262" t="str">
        <f ca="1">IF(OR(D190="",ISNA(VLOOKUP($C190,value,$J$146,FALSE)),$A$2=1),"",TEXT(MAX(0,VLOOKUP($C190,value,$J$146,FALSE)),IF(OP!$C$22="VACF","#,##0.00","#,##0")))</f>
        <v/>
      </c>
      <c r="J190" s="262" t="str">
        <f ca="1">IF(OR(D190="",ISNA(VLOOKUP($C190,value,$K$146,FALSE)),$A$2=1),"",TEXT(MAX(0,VLOOKUP($C190,value,$K$146,FALSE)),IF(OP!$C$22="VACF","#,##0.00","#,##0")))</f>
        <v/>
      </c>
      <c r="K190" s="262" t="str">
        <f ca="1">IF(OR(D190="",ISNA(VLOOKUP($C190,value,$L$146,FALSE)),$A$2=1),"",TEXT(MAX(0,VLOOKUP($C190,value,$L$146,FALSE)),IF(OP!$C$22="VACF","#,##0.00","#,##0")))</f>
        <v/>
      </c>
      <c r="L190" s="187" t="str">
        <f t="shared" ca="1" si="9"/>
        <v/>
      </c>
      <c r="M190" s="264" t="str">
        <f ca="1">IF(OR(D190&gt;111,OP!$C186="",$A$2=1),"",TEXT(OP!$C186,IF(OP!$C$22="VACF","#,##0.00","#,##0")))</f>
        <v>99,404</v>
      </c>
      <c r="N190" s="264" t="str">
        <f ca="1">IF($A$2=1,"",IF(OR(D190&gt;111,OP!$D186="",VLOOKUP(OP!$B$99,OP!$B$99:$E$99,$N$146,0)=1,OP!$D186=0),"",TEXT(OP!$D186,IF(OP!$C$22="VACF","#,##0.00","#,##0"))))</f>
        <v/>
      </c>
    </row>
    <row r="191" spans="2:14" ht="15.75" customHeight="1">
      <c r="B191" s="33">
        <f t="shared" ca="1" si="5"/>
        <v>148</v>
      </c>
      <c r="C191" s="173">
        <f t="shared" ca="1" si="6"/>
        <v>43</v>
      </c>
      <c r="D191" s="173">
        <f ca="1">IF($A$2=1,"",IF(MAX($D$149:D190)&gt;=110,"",D190+1))</f>
        <v>97</v>
      </c>
      <c r="E191" s="174" t="str">
        <f ca="1">IF(OR(J191="",$A$2=1),"",VLOOKUP(C191&amp;計算!$C$3,宣告利率,2,FALSE))</f>
        <v/>
      </c>
      <c r="F191" s="187" t="str">
        <f t="shared" ca="1" si="7"/>
        <v/>
      </c>
      <c r="G191" s="187" t="str">
        <f t="shared" ca="1" si="8"/>
        <v/>
      </c>
      <c r="H191" s="262" t="str">
        <f ca="1">IF(OR(D191="",ISNA(VLOOKUP($C191,value,$H$146,FALSE)),$A$2=1),"",TEXT(VLOOKUP($C191,value,$H$146,FALSE),IF(OP!$C$22="VACF","#,##0.00","#,##0")))</f>
        <v/>
      </c>
      <c r="I191" s="262" t="str">
        <f ca="1">IF(OR(D191="",ISNA(VLOOKUP($C191,value,$J$146,FALSE)),$A$2=1),"",TEXT(MAX(0,VLOOKUP($C191,value,$J$146,FALSE)),IF(OP!$C$22="VACF","#,##0.00","#,##0")))</f>
        <v/>
      </c>
      <c r="J191" s="262" t="str">
        <f ca="1">IF(OR(D191="",ISNA(VLOOKUP($C191,value,$K$146,FALSE)),$A$2=1),"",TEXT(MAX(0,VLOOKUP($C191,value,$K$146,FALSE)),IF(OP!$C$22="VACF","#,##0.00","#,##0")))</f>
        <v/>
      </c>
      <c r="K191" s="262" t="str">
        <f ca="1">IF(OR(D191="",ISNA(VLOOKUP($C191,value,$L$146,FALSE)),$A$2=1),"",TEXT(MAX(0,VLOOKUP($C191,value,$L$146,FALSE)),IF(OP!$C$22="VACF","#,##0.00","#,##0")))</f>
        <v/>
      </c>
      <c r="L191" s="187" t="str">
        <f t="shared" ca="1" si="9"/>
        <v/>
      </c>
      <c r="M191" s="264" t="str">
        <f ca="1">IF(OR(D191&gt;111,OP!$C187="",$A$2=1),"",TEXT(OP!$C187,IF(OP!$C$22="VACF","#,##0.00","#,##0")))</f>
        <v>99,404</v>
      </c>
      <c r="N191" s="264" t="str">
        <f ca="1">IF($A$2=1,"",IF(OR(D191&gt;111,OP!$D187="",VLOOKUP(OP!$B$99,OP!$B$99:$E$99,$N$146,0)=1,OP!$D187=0),"",TEXT(OP!$D187,IF(OP!$C$22="VACF","#,##0.00","#,##0"))))</f>
        <v/>
      </c>
    </row>
    <row r="192" spans="2:14" ht="15.75" customHeight="1">
      <c r="B192" s="33">
        <f t="shared" ca="1" si="5"/>
        <v>149</v>
      </c>
      <c r="C192" s="173">
        <f t="shared" ca="1" si="6"/>
        <v>44</v>
      </c>
      <c r="D192" s="173">
        <f ca="1">IF($A$2=1,"",IF(MAX($D$149:D191)&gt;=110,"",D191+1))</f>
        <v>98</v>
      </c>
      <c r="E192" s="174" t="str">
        <f ca="1">IF(OR(J192="",$A$2=1),"",VLOOKUP(C192&amp;計算!$C$3,宣告利率,2,FALSE))</f>
        <v/>
      </c>
      <c r="F192" s="187" t="str">
        <f t="shared" ca="1" si="7"/>
        <v/>
      </c>
      <c r="G192" s="187" t="str">
        <f t="shared" ca="1" si="8"/>
        <v/>
      </c>
      <c r="H192" s="262" t="str">
        <f ca="1">IF(OR(D192="",ISNA(VLOOKUP($C192,value,$H$146,FALSE)),$A$2=1),"",TEXT(VLOOKUP($C192,value,$H$146,FALSE),IF(OP!$C$22="VACF","#,##0.00","#,##0")))</f>
        <v/>
      </c>
      <c r="I192" s="262" t="str">
        <f ca="1">IF(OR(D192="",ISNA(VLOOKUP($C192,value,$J$146,FALSE)),$A$2=1),"",TEXT(MAX(0,VLOOKUP($C192,value,$J$146,FALSE)),IF(OP!$C$22="VACF","#,##0.00","#,##0")))</f>
        <v/>
      </c>
      <c r="J192" s="262" t="str">
        <f ca="1">IF(OR(D192="",ISNA(VLOOKUP($C192,value,$K$146,FALSE)),$A$2=1),"",TEXT(MAX(0,VLOOKUP($C192,value,$K$146,FALSE)),IF(OP!$C$22="VACF","#,##0.00","#,##0")))</f>
        <v/>
      </c>
      <c r="K192" s="262" t="str">
        <f ca="1">IF(OR(D192="",ISNA(VLOOKUP($C192,value,$L$146,FALSE)),$A$2=1),"",TEXT(MAX(0,VLOOKUP($C192,value,$L$146,FALSE)),IF(OP!$C$22="VACF","#,##0.00","#,##0")))</f>
        <v/>
      </c>
      <c r="L192" s="187" t="str">
        <f t="shared" ca="1" si="9"/>
        <v/>
      </c>
      <c r="M192" s="264" t="str">
        <f ca="1">IF(OR(D192&gt;111,OP!$C188="",$A$2=1),"",TEXT(OP!$C188,IF(OP!$C$22="VACF","#,##0.00","#,##0")))</f>
        <v>99,404</v>
      </c>
      <c r="N192" s="264" t="str">
        <f ca="1">IF($A$2=1,"",IF(OR(D192&gt;111,OP!$D188="",VLOOKUP(OP!$B$99,OP!$B$99:$E$99,$N$146,0)=1,OP!$D188=0),"",TEXT(OP!$D188,IF(OP!$C$22="VACF","#,##0.00","#,##0"))))</f>
        <v/>
      </c>
    </row>
    <row r="193" spans="2:14" ht="15.75" customHeight="1">
      <c r="B193" s="33">
        <f t="shared" ca="1" si="5"/>
        <v>150</v>
      </c>
      <c r="C193" s="173">
        <f t="shared" ca="1" si="6"/>
        <v>45</v>
      </c>
      <c r="D193" s="173">
        <f ca="1">IF($A$2=1,"",IF(MAX($D$149:D192)&gt;=110,"",D192+1))</f>
        <v>99</v>
      </c>
      <c r="E193" s="174" t="str">
        <f ca="1">IF(OR(J193="",$A$2=1),"",VLOOKUP(C193&amp;計算!$C$3,宣告利率,2,FALSE))</f>
        <v/>
      </c>
      <c r="F193" s="187" t="str">
        <f t="shared" ca="1" si="7"/>
        <v/>
      </c>
      <c r="G193" s="187" t="str">
        <f t="shared" ca="1" si="8"/>
        <v/>
      </c>
      <c r="H193" s="262" t="str">
        <f ca="1">IF(OR(D193="",ISNA(VLOOKUP($C193,value,$H$146,FALSE)),$A$2=1),"",TEXT(VLOOKUP($C193,value,$H$146,FALSE),IF(OP!$C$22="VACF","#,##0.00","#,##0")))</f>
        <v/>
      </c>
      <c r="I193" s="262" t="str">
        <f ca="1">IF(OR(D193="",ISNA(VLOOKUP($C193,value,$J$146,FALSE)),$A$2=1),"",TEXT(MAX(0,VLOOKUP($C193,value,$J$146,FALSE)),IF(OP!$C$22="VACF","#,##0.00","#,##0")))</f>
        <v/>
      </c>
      <c r="J193" s="262" t="str">
        <f ca="1">IF(OR(D193="",ISNA(VLOOKUP($C193,value,$K$146,FALSE)),$A$2=1),"",TEXT(MAX(0,VLOOKUP($C193,value,$K$146,FALSE)),IF(OP!$C$22="VACF","#,##0.00","#,##0")))</f>
        <v/>
      </c>
      <c r="K193" s="262" t="str">
        <f ca="1">IF(OR(D193="",ISNA(VLOOKUP($C193,value,$L$146,FALSE)),$A$2=1),"",TEXT(MAX(0,VLOOKUP($C193,value,$L$146,FALSE)),IF(OP!$C$22="VACF","#,##0.00","#,##0")))</f>
        <v/>
      </c>
      <c r="L193" s="187" t="str">
        <f t="shared" ca="1" si="9"/>
        <v/>
      </c>
      <c r="M193" s="264" t="str">
        <f ca="1">IF(OR(D193&gt;111,OP!$C189="",$A$2=1),"",TEXT(OP!$C189,IF(OP!$C$22="VACF","#,##0.00","#,##0")))</f>
        <v>99,404</v>
      </c>
      <c r="N193" s="264" t="str">
        <f ca="1">IF($A$2=1,"",IF(OR(D193&gt;111,OP!$D189="",VLOOKUP(OP!$B$99,OP!$B$99:$E$99,$N$146,0)=1,OP!$D189=0),"",TEXT(OP!$D189,IF(OP!$C$22="VACF","#,##0.00","#,##0"))))</f>
        <v/>
      </c>
    </row>
    <row r="194" spans="2:14" ht="15.75" customHeight="1">
      <c r="B194" s="33">
        <f t="shared" ca="1" si="5"/>
        <v>151</v>
      </c>
      <c r="C194" s="46">
        <f t="shared" ca="1" si="6"/>
        <v>46</v>
      </c>
      <c r="D194" s="46">
        <f ca="1">IF($A$2=1,"",IF(MAX($D$149:D193)&gt;=110,"",D193+1))</f>
        <v>100</v>
      </c>
      <c r="E194" s="47" t="str">
        <f ca="1">IF(OR(J194="",$A$2=1),"",VLOOKUP(C194&amp;計算!$C$3,宣告利率,2,FALSE))</f>
        <v/>
      </c>
      <c r="F194" s="188" t="str">
        <f t="shared" ca="1" si="7"/>
        <v/>
      </c>
      <c r="G194" s="188" t="str">
        <f t="shared" ca="1" si="8"/>
        <v/>
      </c>
      <c r="H194" s="263" t="str">
        <f ca="1">IF(OR(D194="",ISNA(VLOOKUP($C194,value,$H$146,FALSE)),$A$2=1),"",TEXT(VLOOKUP($C194,value,$H$146,FALSE),IF(OP!$C$22="VACF","#,##0.00","#,##0")))</f>
        <v/>
      </c>
      <c r="I194" s="263" t="str">
        <f ca="1">IF(OR(D194="",ISNA(VLOOKUP($C194,value,$J$146,FALSE)),$A$2=1),"",TEXT(MAX(0,VLOOKUP($C194,value,$J$146,FALSE)),IF(OP!$C$22="VACF","#,##0.00","#,##0")))</f>
        <v/>
      </c>
      <c r="J194" s="263" t="str">
        <f ca="1">IF(OR(D194="",ISNA(VLOOKUP($C194,value,$K$146,FALSE)),$A$2=1),"",TEXT(MAX(0,VLOOKUP($C194,value,$K$146,FALSE)),IF(OP!$C$22="VACF","#,##0.00","#,##0")))</f>
        <v/>
      </c>
      <c r="K194" s="263" t="str">
        <f ca="1">IF(OR(D194="",ISNA(VLOOKUP($C194,value,$L$146,FALSE)),$A$2=1),"",TEXT(MAX(0,VLOOKUP($C194,value,$L$146,FALSE)),IF(OP!$C$22="VACF","#,##0.00","#,##0")))</f>
        <v/>
      </c>
      <c r="L194" s="188" t="str">
        <f t="shared" ca="1" si="9"/>
        <v/>
      </c>
      <c r="M194" s="265" t="str">
        <f ca="1">IF(OR(D194&gt;111,OP!$C190="",$A$2=1),"",TEXT(OP!$C190,IF(OP!$C$22="VACF","#,##0.00","#,##0")))</f>
        <v>99,404</v>
      </c>
      <c r="N194" s="265" t="str">
        <f ca="1">IF($A$2=1,"",IF(OR(D194&gt;111,OP!$D190="",VLOOKUP(OP!$B$99,OP!$B$99:$E$99,$N$146,0)=1,OP!$D190=0),"",TEXT(OP!$D190,IF(OP!$C$22="VACF","#,##0.00","#,##0"))))</f>
        <v/>
      </c>
    </row>
    <row r="195" spans="2:14" ht="15.75" customHeight="1">
      <c r="B195" s="33">
        <f t="shared" ca="1" si="5"/>
        <v>152</v>
      </c>
      <c r="C195" s="46">
        <f t="shared" ca="1" si="6"/>
        <v>47</v>
      </c>
      <c r="D195" s="46">
        <f ca="1">IF($A$2=1,"",IF(MAX($D$149:D194)&gt;=110,"",D194+1))</f>
        <v>101</v>
      </c>
      <c r="E195" s="47" t="str">
        <f ca="1">IF(OR(J195="",$A$2=1),"",VLOOKUP(C195&amp;計算!$C$3,宣告利率,2,FALSE))</f>
        <v/>
      </c>
      <c r="F195" s="188" t="str">
        <f t="shared" ca="1" si="7"/>
        <v/>
      </c>
      <c r="G195" s="188" t="str">
        <f t="shared" ca="1" si="8"/>
        <v/>
      </c>
      <c r="H195" s="263" t="str">
        <f ca="1">IF(OR(D195="",ISNA(VLOOKUP($C195,value,$H$146,FALSE)),$A$2=1),"",TEXT(VLOOKUP($C195,value,$H$146,FALSE),IF(OP!$C$22="VACF","#,##0.00","#,##0")))</f>
        <v/>
      </c>
      <c r="I195" s="263" t="str">
        <f ca="1">IF(OR(D195="",ISNA(VLOOKUP($C195,value,$J$146,FALSE)),$A$2=1),"",TEXT(MAX(0,VLOOKUP($C195,value,$J$146,FALSE)),IF(OP!$C$22="VACF","#,##0.00","#,##0")))</f>
        <v/>
      </c>
      <c r="J195" s="263" t="str">
        <f ca="1">IF(OR(D195="",ISNA(VLOOKUP($C195,value,$K$146,FALSE)),$A$2=1),"",TEXT(MAX(0,VLOOKUP($C195,value,$K$146,FALSE)),IF(OP!$C$22="VACF","#,##0.00","#,##0")))</f>
        <v/>
      </c>
      <c r="K195" s="263" t="str">
        <f ca="1">IF(OR(D195="",ISNA(VLOOKUP($C195,value,$L$146,FALSE)),$A$2=1),"",TEXT(MAX(0,VLOOKUP($C195,value,$L$146,FALSE)),IF(OP!$C$22="VACF","#,##0.00","#,##0")))</f>
        <v/>
      </c>
      <c r="L195" s="188" t="str">
        <f t="shared" ca="1" si="9"/>
        <v/>
      </c>
      <c r="M195" s="265" t="str">
        <f ca="1">IF(OR(D195&gt;111,OP!$C191="",$A$2=1),"",TEXT(OP!$C191,IF(OP!$C$22="VACF","#,##0.00","#,##0")))</f>
        <v>99,404</v>
      </c>
      <c r="N195" s="265" t="str">
        <f ca="1">IF($A$2=1,"",IF(OR(D195&gt;111,OP!$D191="",VLOOKUP(OP!$B$99,OP!$B$99:$E$99,$N$146,0)=1,OP!$D191=0),"",TEXT(OP!$D191,IF(OP!$C$22="VACF","#,##0.00","#,##0"))))</f>
        <v/>
      </c>
    </row>
    <row r="196" spans="2:14" ht="15.75" customHeight="1">
      <c r="B196" s="33">
        <f t="shared" ca="1" si="5"/>
        <v>153</v>
      </c>
      <c r="C196" s="46">
        <f t="shared" ca="1" si="6"/>
        <v>48</v>
      </c>
      <c r="D196" s="46">
        <f ca="1">IF($A$2=1,"",IF(MAX($D$149:D195)&gt;=110,"",D195+1))</f>
        <v>102</v>
      </c>
      <c r="E196" s="47" t="str">
        <f ca="1">IF(OR(J196="",$A$2=1),"",VLOOKUP(C196&amp;計算!$C$3,宣告利率,2,FALSE))</f>
        <v/>
      </c>
      <c r="F196" s="188" t="str">
        <f t="shared" ca="1" si="7"/>
        <v/>
      </c>
      <c r="G196" s="188" t="str">
        <f t="shared" ca="1" si="8"/>
        <v/>
      </c>
      <c r="H196" s="263" t="str">
        <f ca="1">IF(OR(D196="",ISNA(VLOOKUP($C196,value,$H$146,FALSE)),$A$2=1),"",TEXT(VLOOKUP($C196,value,$H$146,FALSE),IF(OP!$C$22="VACF","#,##0.00","#,##0")))</f>
        <v/>
      </c>
      <c r="I196" s="263" t="str">
        <f ca="1">IF(OR(D196="",ISNA(VLOOKUP($C196,value,$J$146,FALSE)),$A$2=1),"",TEXT(MAX(0,VLOOKUP($C196,value,$J$146,FALSE)),IF(OP!$C$22="VACF","#,##0.00","#,##0")))</f>
        <v/>
      </c>
      <c r="J196" s="263" t="str">
        <f ca="1">IF(OR(D196="",ISNA(VLOOKUP($C196,value,$K$146,FALSE)),$A$2=1),"",TEXT(MAX(0,VLOOKUP($C196,value,$K$146,FALSE)),IF(OP!$C$22="VACF","#,##0.00","#,##0")))</f>
        <v/>
      </c>
      <c r="K196" s="263" t="str">
        <f ca="1">IF(OR(D196="",ISNA(VLOOKUP($C196,value,$L$146,FALSE)),$A$2=1),"",TEXT(MAX(0,VLOOKUP($C196,value,$L$146,FALSE)),IF(OP!$C$22="VACF","#,##0.00","#,##0")))</f>
        <v/>
      </c>
      <c r="L196" s="188" t="str">
        <f t="shared" ca="1" si="9"/>
        <v/>
      </c>
      <c r="M196" s="265" t="str">
        <f ca="1">IF(OR(D196&gt;111,OP!$C192="",$A$2=1),"",TEXT(OP!$C192,IF(OP!$C$22="VACF","#,##0.00","#,##0")))</f>
        <v>99,404</v>
      </c>
      <c r="N196" s="265" t="str">
        <f ca="1">IF($A$2=1,"",IF(OR(D196&gt;111,OP!$D192="",VLOOKUP(OP!$B$99,OP!$B$99:$E$99,$N$146,0)=1,OP!$D192=0),"",TEXT(OP!$D192,IF(OP!$C$22="VACF","#,##0.00","#,##0"))))</f>
        <v/>
      </c>
    </row>
    <row r="197" spans="2:14" ht="15.75" customHeight="1">
      <c r="B197" s="33">
        <f t="shared" ca="1" si="5"/>
        <v>154</v>
      </c>
      <c r="C197" s="46">
        <f t="shared" ca="1" si="6"/>
        <v>49</v>
      </c>
      <c r="D197" s="46">
        <f ca="1">IF($A$2=1,"",IF(MAX($D$149:D196)&gt;=110,"",D196+1))</f>
        <v>103</v>
      </c>
      <c r="E197" s="47" t="str">
        <f ca="1">IF(OR(J197="",$A$2=1),"",VLOOKUP(C197&amp;計算!$C$3,宣告利率,2,FALSE))</f>
        <v/>
      </c>
      <c r="F197" s="188" t="str">
        <f t="shared" ca="1" si="7"/>
        <v/>
      </c>
      <c r="G197" s="188" t="str">
        <f t="shared" ca="1" si="8"/>
        <v/>
      </c>
      <c r="H197" s="263" t="str">
        <f ca="1">IF(OR(D197="",ISNA(VLOOKUP($C197,value,$H$146,FALSE)),$A$2=1),"",TEXT(VLOOKUP($C197,value,$H$146,FALSE),IF(OP!$C$22="VACF","#,##0.00","#,##0")))</f>
        <v/>
      </c>
      <c r="I197" s="263" t="str">
        <f ca="1">IF(OR(D197="",ISNA(VLOOKUP($C197,value,$J$146,FALSE)),$A$2=1),"",TEXT(MAX(0,VLOOKUP($C197,value,$J$146,FALSE)),IF(OP!$C$22="VACF","#,##0.00","#,##0")))</f>
        <v/>
      </c>
      <c r="J197" s="263" t="str">
        <f ca="1">IF(OR(D197="",ISNA(VLOOKUP($C197,value,$K$146,FALSE)),$A$2=1),"",TEXT(MAX(0,VLOOKUP($C197,value,$K$146,FALSE)),IF(OP!$C$22="VACF","#,##0.00","#,##0")))</f>
        <v/>
      </c>
      <c r="K197" s="263" t="str">
        <f ca="1">IF(OR(D197="",ISNA(VLOOKUP($C197,value,$L$146,FALSE)),$A$2=1),"",TEXT(MAX(0,VLOOKUP($C197,value,$L$146,FALSE)),IF(OP!$C$22="VACF","#,##0.00","#,##0")))</f>
        <v/>
      </c>
      <c r="L197" s="188" t="str">
        <f t="shared" ca="1" si="9"/>
        <v/>
      </c>
      <c r="M197" s="265" t="str">
        <f ca="1">IF(OR(D197&gt;111,OP!$C193="",$A$2=1),"",TEXT(OP!$C193,IF(OP!$C$22="VACF","#,##0.00","#,##0")))</f>
        <v>99,404</v>
      </c>
      <c r="N197" s="265" t="str">
        <f ca="1">IF($A$2=1,"",IF(OR(D197&gt;111,OP!$D193="",VLOOKUP(OP!$B$99,OP!$B$99:$E$99,$N$146,0)=1,OP!$D193=0),"",TEXT(OP!$D193,IF(OP!$C$22="VACF","#,##0.00","#,##0"))))</f>
        <v/>
      </c>
    </row>
    <row r="198" spans="2:14" ht="15.75" customHeight="1">
      <c r="B198" s="33">
        <f t="shared" ca="1" si="5"/>
        <v>155</v>
      </c>
      <c r="C198" s="46">
        <f t="shared" ca="1" si="6"/>
        <v>50</v>
      </c>
      <c r="D198" s="46">
        <f ca="1">IF($A$2=1,"",IF(MAX($D$149:D197)&gt;=110,"",D197+1))</f>
        <v>104</v>
      </c>
      <c r="E198" s="47" t="str">
        <f ca="1">IF(OR(J198="",$A$2=1),"",VLOOKUP(C198&amp;計算!$C$3,宣告利率,2,FALSE))</f>
        <v/>
      </c>
      <c r="F198" s="188" t="str">
        <f t="shared" ca="1" si="7"/>
        <v/>
      </c>
      <c r="G198" s="188" t="str">
        <f t="shared" ca="1" si="8"/>
        <v/>
      </c>
      <c r="H198" s="263" t="str">
        <f ca="1">IF(OR(D198="",ISNA(VLOOKUP($C198,value,$H$146,FALSE)),$A$2=1),"",TEXT(VLOOKUP($C198,value,$H$146,FALSE),IF(OP!$C$22="VACF","#,##0.00","#,##0")))</f>
        <v/>
      </c>
      <c r="I198" s="263" t="str">
        <f ca="1">IF(OR(D198="",ISNA(VLOOKUP($C198,value,$J$146,FALSE)),$A$2=1),"",TEXT(MAX(0,VLOOKUP($C198,value,$J$146,FALSE)),IF(OP!$C$22="VACF","#,##0.00","#,##0")))</f>
        <v/>
      </c>
      <c r="J198" s="263" t="str">
        <f ca="1">IF(OR(D198="",ISNA(VLOOKUP($C198,value,$K$146,FALSE)),$A$2=1),"",TEXT(MAX(0,VLOOKUP($C198,value,$K$146,FALSE)),IF(OP!$C$22="VACF","#,##0.00","#,##0")))</f>
        <v/>
      </c>
      <c r="K198" s="263" t="str">
        <f ca="1">IF(OR(D198="",ISNA(VLOOKUP($C198,value,$L$146,FALSE)),$A$2=1),"",TEXT(MAX(0,VLOOKUP($C198,value,$L$146,FALSE)),IF(OP!$C$22="VACF","#,##0.00","#,##0")))</f>
        <v/>
      </c>
      <c r="L198" s="188" t="str">
        <f t="shared" ca="1" si="9"/>
        <v/>
      </c>
      <c r="M198" s="265" t="str">
        <f ca="1">IF(OR(D198&gt;111,OP!$C194="",$A$2=1),"",TEXT(OP!$C194,IF(OP!$C$22="VACF","#,##0.00","#,##0")))</f>
        <v>99,404</v>
      </c>
      <c r="N198" s="265" t="str">
        <f ca="1">IF($A$2=1,"",IF(OR(D198&gt;111,OP!$D194="",VLOOKUP(OP!$B$99,OP!$B$99:$E$99,$N$146,0)=1,OP!$D194=0),"",TEXT(OP!$D194,IF(OP!$C$22="VACF","#,##0.00","#,##0"))))</f>
        <v/>
      </c>
    </row>
    <row r="199" spans="2:14" ht="15.75" customHeight="1">
      <c r="B199" s="33">
        <f ca="1">IF(D199="","",B198+(D199-D198))</f>
        <v>156</v>
      </c>
      <c r="C199" s="173">
        <f ca="1">IF(D199="","",C198+(D199-D198))</f>
        <v>51</v>
      </c>
      <c r="D199" s="173">
        <f ca="1">IF($A$2=1,"",IF(MAX($D$149:D198)&gt;=110,"",D198+1))</f>
        <v>105</v>
      </c>
      <c r="E199" s="174" t="str">
        <f ca="1">IF(OR(J199="",$A$2=1),"",VLOOKUP(C199&amp;計算!$C$3,宣告利率,2,FALSE))</f>
        <v/>
      </c>
      <c r="F199" s="187" t="str">
        <f t="shared" ca="1" si="7"/>
        <v/>
      </c>
      <c r="G199" s="187" t="str">
        <f t="shared" ca="1" si="8"/>
        <v/>
      </c>
      <c r="H199" s="262" t="str">
        <f ca="1">IF(OR(D199="",ISNA(VLOOKUP($C199,value,$H$146,FALSE)),$A$2=1),"",TEXT(VLOOKUP($C199,value,$H$146,FALSE),IF(OP!$C$22="VACF","#,##0.00","#,##0")))</f>
        <v/>
      </c>
      <c r="I199" s="262" t="str">
        <f ca="1">IF(OR(D199="",ISNA(VLOOKUP($C199,value,$J$146,FALSE)),$A$2=1),"",TEXT(MAX(0,VLOOKUP($C199,value,$J$146,FALSE)),IF(OP!$C$22="VACF","#,##0.00","#,##0")))</f>
        <v/>
      </c>
      <c r="J199" s="262" t="str">
        <f ca="1">IF(OR(D199="",ISNA(VLOOKUP($C199,value,$K$146,FALSE)),$A$2=1),"",TEXT(MAX(0,VLOOKUP($C199,value,$K$146,FALSE)),IF(OP!$C$22="VACF","#,##0.00","#,##0")))</f>
        <v/>
      </c>
      <c r="K199" s="262" t="str">
        <f ca="1">IF(OR(D199="",ISNA(VLOOKUP($C199,value,$L$146,FALSE)),$A$2=1),"",TEXT(MAX(0,VLOOKUP($C199,value,$L$146,FALSE)),IF(OP!$C$22="VACF","#,##0.00","#,##0")))</f>
        <v/>
      </c>
      <c r="L199" s="187" t="str">
        <f t="shared" ca="1" si="9"/>
        <v/>
      </c>
      <c r="M199" s="264" t="str">
        <f ca="1">IF(OR(D199&gt;111,OP!$C195="",$A$2=1),"",TEXT(OP!$C195,IF(OP!$C$22="VACF","#,##0.00","#,##0")))</f>
        <v>99,404</v>
      </c>
      <c r="N199" s="264" t="str">
        <f ca="1">IF($A$2=1,"",IF(OR(D199&gt;111,OP!$D195="",VLOOKUP(OP!$B$99,OP!$B$99:$E$99,$N$146,0)=1,OP!$D195=0),"",TEXT(OP!$D195,IF(OP!$C$22="VACF","#,##0.00","#,##0"))))</f>
        <v/>
      </c>
    </row>
    <row r="200" spans="2:14" ht="15.75" customHeight="1">
      <c r="B200" s="33">
        <f ca="1">IF(D200="","",B199+(D200-D199))</f>
        <v>157</v>
      </c>
      <c r="C200" s="173">
        <f ca="1">IF(D200="","",C199+(D200-D199))</f>
        <v>52</v>
      </c>
      <c r="D200" s="173">
        <f ca="1">IF($A$2=1,"",IF(MAX($D$149:$D$198,D199:D199)&gt;=110,"",D199+1))</f>
        <v>106</v>
      </c>
      <c r="E200" s="174" t="str">
        <f ca="1">IF(OR(J200="",$A$2=1),"",VLOOKUP(C200&amp;計算!$C$3,宣告利率,2,FALSE))</f>
        <v/>
      </c>
      <c r="F200" s="187" t="str">
        <f t="shared" ca="1" si="7"/>
        <v/>
      </c>
      <c r="G200" s="187" t="str">
        <f t="shared" ca="1" si="8"/>
        <v/>
      </c>
      <c r="H200" s="262" t="str">
        <f ca="1">IF(OR(D200="",ISNA(VLOOKUP($C200,value,$H$146,FALSE)),$A$2=1),"",TEXT(VLOOKUP($C200,value,$H$146,FALSE),IF(OP!$C$22="VACF","#,##0.00","#,##0")))</f>
        <v/>
      </c>
      <c r="I200" s="262" t="str">
        <f ca="1">IF(OR(D200="",ISNA(VLOOKUP($C200,value,$J$146,FALSE)),$A$2=1),"",TEXT(MAX(0,VLOOKUP($C200,value,$J$146,FALSE)),IF(OP!$C$22="VACF","#,##0.00","#,##0")))</f>
        <v/>
      </c>
      <c r="J200" s="262" t="str">
        <f ca="1">IF(OR(D200="",ISNA(VLOOKUP($C200,value,$K$146,FALSE)),$A$2=1),"",TEXT(MAX(0,VLOOKUP($C200,value,$K$146,FALSE)),IF(OP!$C$22="VACF","#,##0.00","#,##0")))</f>
        <v/>
      </c>
      <c r="K200" s="262" t="str">
        <f ca="1">IF(OR(D200="",ISNA(VLOOKUP($C200,value,$L$146,FALSE)),$A$2=1),"",TEXT(MAX(0,VLOOKUP($C200,value,$L$146,FALSE)),IF(OP!$C$22="VACF","#,##0.00","#,##0")))</f>
        <v/>
      </c>
      <c r="L200" s="187" t="str">
        <f t="shared" ca="1" si="9"/>
        <v/>
      </c>
      <c r="M200" s="264" t="str">
        <f ca="1">IF(OR(D200&gt;111,OP!$C196="",$A$2=1),"",TEXT(OP!$C196,IF(OP!$C$22="VACF","#,##0.00","#,##0")))</f>
        <v>99,404</v>
      </c>
      <c r="N200" s="264" t="str">
        <f ca="1">IF($A$2=1,"",IF(OR(D200&gt;111,OP!$D196="",VLOOKUP(OP!$B$99,OP!$B$99:$E$99,$N$146,0)=1,OP!$D196=0),"",TEXT(OP!$D196,IF(OP!$C$22="VACF","#,##0.00","#,##0"))))</f>
        <v/>
      </c>
    </row>
    <row r="201" spans="2:14" ht="15.75" customHeight="1">
      <c r="B201" s="33">
        <f ca="1">IF(D201="","",B200+(D201-D200))</f>
        <v>158</v>
      </c>
      <c r="C201" s="173">
        <f ca="1">IF(D201="","",C200+(D201-D200))</f>
        <v>53</v>
      </c>
      <c r="D201" s="173">
        <f ca="1">IF($A$2=1,"",IF(MAX($D$149:$D$198,$D$199:D200)&gt;=110,"",D200+1))</f>
        <v>107</v>
      </c>
      <c r="E201" s="174" t="str">
        <f ca="1">IF(OR(J201="",$A$2=1),"",VLOOKUP(C201&amp;計算!$C$3,宣告利率,2,FALSE))</f>
        <v/>
      </c>
      <c r="F201" s="187" t="str">
        <f t="shared" ca="1" si="7"/>
        <v/>
      </c>
      <c r="G201" s="187" t="str">
        <f t="shared" ca="1" si="8"/>
        <v/>
      </c>
      <c r="H201" s="262" t="str">
        <f ca="1">IF(OR(D201="",ISNA(VLOOKUP($C201,value,$H$146,FALSE)),$A$2=1),"",TEXT(VLOOKUP($C201,value,$H$146,FALSE),IF(OP!$C$22="VACF","#,##0.00","#,##0")))</f>
        <v/>
      </c>
      <c r="I201" s="262" t="str">
        <f ca="1">IF(OR(D201="",ISNA(VLOOKUP($C201,value,$J$146,FALSE)),$A$2=1),"",TEXT(MAX(0,VLOOKUP($C201,value,$J$146,FALSE)),IF(OP!$C$22="VACF","#,##0.00","#,##0")))</f>
        <v/>
      </c>
      <c r="J201" s="262" t="str">
        <f ca="1">IF(OR(D201="",ISNA(VLOOKUP($C201,value,$K$146,FALSE)),$A$2=1),"",TEXT(MAX(0,VLOOKUP($C201,value,$K$146,FALSE)),IF(OP!$C$22="VACF","#,##0.00","#,##0")))</f>
        <v/>
      </c>
      <c r="K201" s="262" t="str">
        <f ca="1">IF(OR(D201="",ISNA(VLOOKUP($C201,value,$L$146,FALSE)),$A$2=1),"",TEXT(MAX(0,VLOOKUP($C201,value,$L$146,FALSE)),IF(OP!$C$22="VACF","#,##0.00","#,##0")))</f>
        <v/>
      </c>
      <c r="L201" s="187" t="str">
        <f t="shared" ca="1" si="9"/>
        <v/>
      </c>
      <c r="M201" s="264" t="str">
        <f ca="1">IF(OR(D201&gt;111,OP!$C197="",$A$2=1),"",TEXT(OP!$C197,IF(OP!$C$22="VACF","#,##0.00","#,##0")))</f>
        <v>99,404</v>
      </c>
      <c r="N201" s="264" t="str">
        <f ca="1">IF($A$2=1,"",IF(OR(D201&gt;111,OP!$D197="",VLOOKUP(OP!$B$99,OP!$B$99:$E$99,$N$146,0)=1,OP!$D197=0),"",TEXT(OP!$D197,IF(OP!$C$22="VACF","#,##0.00","#,##0"))))</f>
        <v/>
      </c>
    </row>
    <row r="202" spans="2:14" ht="15.75" customHeight="1">
      <c r="B202" s="33">
        <f ca="1">IF(D202="","",B201+(D202-D201))</f>
        <v>159</v>
      </c>
      <c r="C202" s="173">
        <f ca="1">IF(D202="","",C201+(D202-D201))</f>
        <v>54</v>
      </c>
      <c r="D202" s="173">
        <f ca="1">IF($A$2=1,"",IF(MAX($D$149:$D$198,$D$199:D201)&gt;=110,"",D201+1))</f>
        <v>108</v>
      </c>
      <c r="E202" s="174" t="str">
        <f ca="1">IF(OR(J202="",$A$2=1),"",VLOOKUP(C202&amp;計算!$C$3,宣告利率,2,FALSE))</f>
        <v/>
      </c>
      <c r="F202" s="187" t="str">
        <f t="shared" ca="1" si="7"/>
        <v/>
      </c>
      <c r="G202" s="187" t="str">
        <f t="shared" ca="1" si="8"/>
        <v/>
      </c>
      <c r="H202" s="262" t="str">
        <f ca="1">IF(OR(D202="",ISNA(VLOOKUP($C202,value,$H$146,FALSE)),$A$2=1),"",TEXT(VLOOKUP($C202,value,$H$146,FALSE),IF(OP!$C$22="VACF","#,##0.00","#,##0")))</f>
        <v/>
      </c>
      <c r="I202" s="262" t="str">
        <f ca="1">IF(OR(D202="",ISNA(VLOOKUP($C202,value,$J$146,FALSE)),$A$2=1),"",TEXT(MAX(0,VLOOKUP($C202,value,$J$146,FALSE)),IF(OP!$C$22="VACF","#,##0.00","#,##0")))</f>
        <v/>
      </c>
      <c r="J202" s="262" t="str">
        <f ca="1">IF(OR(D202="",ISNA(VLOOKUP($C202,value,$K$146,FALSE)),$A$2=1),"",TEXT(MAX(0,VLOOKUP($C202,value,$K$146,FALSE)),IF(OP!$C$22="VACF","#,##0.00","#,##0")))</f>
        <v/>
      </c>
      <c r="K202" s="262" t="str">
        <f ca="1">IF(OR(D202="",ISNA(VLOOKUP($C202,value,$L$146,FALSE)),$A$2=1),"",TEXT(MAX(0,VLOOKUP($C202,value,$L$146,FALSE)),IF(OP!$C$22="VACF","#,##0.00","#,##0")))</f>
        <v/>
      </c>
      <c r="L202" s="187" t="str">
        <f t="shared" ca="1" si="9"/>
        <v/>
      </c>
      <c r="M202" s="264" t="str">
        <f ca="1">IF(OR(D202&gt;111,OP!$C198="",$A$2=1),"",TEXT(OP!$C198,IF(OP!$C$22="VACF","#,##0.00","#,##0")))</f>
        <v>99,404</v>
      </c>
      <c r="N202" s="264" t="str">
        <f ca="1">IF($A$2=1,"",IF(OR(D202&gt;111,OP!$D198="",VLOOKUP(OP!$B$99,OP!$B$99:$E$99,$N$146,0)=1,OP!$D198=0),"",TEXT(OP!$D198,IF(OP!$C$22="VACF","#,##0.00","#,##0"))))</f>
        <v/>
      </c>
    </row>
    <row r="203" spans="2:14" ht="15.75" customHeight="1">
      <c r="B203" s="33">
        <f ca="1">IF(D203="","",B202+(D203-D202))</f>
        <v>160</v>
      </c>
      <c r="C203" s="173">
        <f ca="1">IF(D203="","",C202+(D203-D202))</f>
        <v>55</v>
      </c>
      <c r="D203" s="173">
        <f ca="1">IF($A$2=1,"",IF(MAX($D$149:$D$198,$D$199:D202)&gt;=110,"",D202+1))</f>
        <v>109</v>
      </c>
      <c r="E203" s="174" t="str">
        <f ca="1">IF(OR(J203="",$A$2=1),"",VLOOKUP(C203&amp;計算!$C$3,宣告利率,2,FALSE))</f>
        <v/>
      </c>
      <c r="F203" s="187" t="str">
        <f t="shared" ca="1" si="7"/>
        <v/>
      </c>
      <c r="G203" s="187" t="str">
        <f t="shared" ca="1" si="8"/>
        <v/>
      </c>
      <c r="H203" s="262" t="str">
        <f ca="1">IF(OR(D203="",ISNA(VLOOKUP($C203,value,$H$146,FALSE)),$A$2=1),"",TEXT(VLOOKUP($C203,value,$H$146,FALSE),IF(OP!$C$22="VACF","#,##0.00","#,##0")))</f>
        <v/>
      </c>
      <c r="I203" s="262" t="str">
        <f ca="1">IF(OR(D203="",ISNA(VLOOKUP($C203,value,$J$146,FALSE)),$A$2=1),"",TEXT(MAX(0,VLOOKUP($C203,value,$J$146,FALSE)),IF(OP!$C$22="VACF","#,##0.00","#,##0")))</f>
        <v/>
      </c>
      <c r="J203" s="262" t="str">
        <f ca="1">IF(OR(D203="",ISNA(VLOOKUP($C203,value,$K$146,FALSE)),$A$2=1),"",TEXT(MAX(0,VLOOKUP($C203,value,$K$146,FALSE)),IF(OP!$C$22="VACF","#,##0.00","#,##0")))</f>
        <v/>
      </c>
      <c r="K203" s="262" t="str">
        <f ca="1">IF(OR(D203="",ISNA(VLOOKUP($C203,value,$L$146,FALSE)),$A$2=1),"",TEXT(MAX(0,VLOOKUP($C203,value,$L$146,FALSE)),IF(OP!$C$22="VACF","#,##0.00","#,##0")))</f>
        <v/>
      </c>
      <c r="L203" s="187" t="str">
        <f t="shared" ca="1" si="9"/>
        <v/>
      </c>
      <c r="M203" s="264" t="str">
        <f ca="1">IF(OR(D203&gt;111,OP!$C199="",$A$2=1),"",TEXT(OP!$C199,IF(OP!$C$22="VACF","#,##0.00","#,##0")))</f>
        <v>99,404</v>
      </c>
      <c r="N203" s="264" t="str">
        <f ca="1">IF($A$2=1,"",IF(OR(D203&gt;111,OP!$D199="",VLOOKUP(OP!$B$99,OP!$B$99:$E$99,$N$146,0)=1,OP!$D199=0),"",TEXT(OP!$D199,IF(OP!$C$22="VACF","#,##0.00","#,##0"))))</f>
        <v/>
      </c>
    </row>
    <row r="204" spans="2:14" ht="15.75" customHeight="1">
      <c r="B204" s="128"/>
      <c r="C204" s="359" t="s">
        <v>338</v>
      </c>
      <c r="D204" s="223"/>
      <c r="E204" s="224"/>
      <c r="F204" s="356"/>
      <c r="G204" s="356"/>
      <c r="H204" s="357"/>
      <c r="I204" s="357"/>
      <c r="J204" s="357"/>
      <c r="K204" s="357"/>
      <c r="L204" s="356"/>
      <c r="M204" s="358"/>
      <c r="N204" s="358"/>
    </row>
    <row r="205" spans="2:14" ht="15.75" customHeight="1">
      <c r="B205" s="128"/>
      <c r="C205" s="401" t="s">
        <v>397</v>
      </c>
      <c r="D205" s="223"/>
      <c r="E205" s="224"/>
      <c r="F205" s="225"/>
      <c r="G205" s="225"/>
      <c r="H205" s="225"/>
      <c r="I205" s="225"/>
      <c r="J205" s="225"/>
      <c r="K205" s="225"/>
      <c r="L205" s="225"/>
      <c r="M205" s="226"/>
      <c r="N205" s="226"/>
    </row>
    <row r="206" spans="2:14" ht="15.75" customHeight="1">
      <c r="B206" s="128"/>
      <c r="C206" s="401" t="s">
        <v>398</v>
      </c>
      <c r="D206" s="223"/>
      <c r="E206" s="224"/>
      <c r="F206" s="225"/>
      <c r="G206" s="225"/>
      <c r="H206" s="225"/>
      <c r="I206" s="225"/>
      <c r="J206" s="225"/>
      <c r="K206" s="225"/>
      <c r="L206" s="225"/>
      <c r="M206" s="226"/>
      <c r="N206" s="226"/>
    </row>
    <row r="207" spans="2:14" ht="15.75" customHeight="1">
      <c r="B207" s="128"/>
      <c r="C207" s="402" t="str">
        <f>"‧以上分期年金金額為假設年金預定利率及宣告利率皆為"&amp;TEXT(OP!$E$111,"0.00%")&amp;"且固定不變之條件下計算所得之數值。"</f>
        <v>‧以上分期年金金額為假設年金預定利率及宣告利率皆為1.50%且固定不變之條件下計算所得之數值。</v>
      </c>
    </row>
    <row r="208" spans="2:14" ht="15.75" customHeight="1">
      <c r="B208" s="128"/>
      <c r="C208" s="491" t="s">
        <v>387</v>
      </c>
      <c r="D208" s="491"/>
      <c r="E208" s="491"/>
      <c r="F208" s="491"/>
      <c r="G208" s="491"/>
      <c r="H208" s="491"/>
      <c r="I208" s="491"/>
      <c r="J208" s="491"/>
      <c r="K208" s="491"/>
      <c r="L208" s="491"/>
      <c r="M208" s="491"/>
      <c r="N208" s="491"/>
    </row>
    <row r="209" spans="2:15" ht="15.75" customHeight="1">
      <c r="B209" s="128"/>
      <c r="C209" s="164"/>
      <c r="J209" s="178"/>
      <c r="K209" s="502" t="str">
        <f ca="1">OP!$C$55&amp;" 列印日："&amp;TEXT(NOW(),"EEMMDD")</f>
        <v>V4.2-1060517 列印日：1060602</v>
      </c>
      <c r="L209" s="502"/>
      <c r="M209" s="502"/>
      <c r="N209" s="502"/>
    </row>
    <row r="210" spans="2:15" ht="15.75" customHeight="1">
      <c r="B210" s="128"/>
      <c r="C210" s="164"/>
      <c r="J210" s="178"/>
      <c r="K210" s="38"/>
      <c r="M210" s="177"/>
      <c r="N210" s="177"/>
    </row>
    <row r="211" spans="2:15" ht="27" customHeight="1">
      <c r="B211" s="33"/>
      <c r="C211" s="500" t="s">
        <v>174</v>
      </c>
      <c r="D211" s="500" t="s">
        <v>184</v>
      </c>
      <c r="E211" s="500" t="s">
        <v>219</v>
      </c>
      <c r="F211" s="500" t="s">
        <v>175</v>
      </c>
      <c r="G211" s="500" t="s">
        <v>176</v>
      </c>
      <c r="H211" s="506" t="s">
        <v>476</v>
      </c>
      <c r="I211" s="503" t="s">
        <v>177</v>
      </c>
      <c r="J211" s="504"/>
      <c r="K211" s="505"/>
      <c r="L211" s="512" t="s">
        <v>475</v>
      </c>
      <c r="M211" s="165" t="str">
        <f>M147</f>
        <v>分期年金
年金金額*</v>
      </c>
      <c r="N211" s="500" t="s">
        <v>178</v>
      </c>
      <c r="O211" s="36" t="str">
        <f ca="1">IF(AND(I198="",J198="",K198="",M198="",L198=""),1,"")</f>
        <v/>
      </c>
    </row>
    <row r="212" spans="2:15" ht="15.75" customHeight="1">
      <c r="B212" s="33"/>
      <c r="C212" s="500"/>
      <c r="D212" s="500"/>
      <c r="E212" s="500"/>
      <c r="F212" s="500"/>
      <c r="G212" s="500"/>
      <c r="H212" s="507"/>
      <c r="I212" s="166" t="s">
        <v>220</v>
      </c>
      <c r="J212" s="166" t="s">
        <v>221</v>
      </c>
      <c r="K212" s="166" t="s">
        <v>222</v>
      </c>
      <c r="L212" s="513"/>
      <c r="M212" s="166" t="str">
        <f>M148</f>
        <v>正報酬</v>
      </c>
      <c r="N212" s="500"/>
    </row>
    <row r="213" spans="2:15" ht="15.75" customHeight="1">
      <c r="B213" s="33">
        <f ca="1">IF(D213="","",B203+(D213-D203))</f>
        <v>161</v>
      </c>
      <c r="C213" s="46">
        <f ca="1">IF(D213="","",C203+(D213-D203))</f>
        <v>56</v>
      </c>
      <c r="D213" s="46">
        <f ca="1">IF($A$2=1,"",IF(MAX($D$149:$D$204)&gt;=110,"",D203+1))</f>
        <v>110</v>
      </c>
      <c r="E213" s="47" t="str">
        <f ca="1">IF(OR(J213="",$A$2=1),"",VLOOKUP(C213&amp;計算!$C$3,宣告利率,2,FALSE))</f>
        <v/>
      </c>
      <c r="F213" s="188" t="str">
        <f t="shared" ref="F213:F244" ca="1" si="10">IF(OR(D213="",ISNA(VLOOKUP(C213,value,$F$146,FALSE)),$A$2=1),"",VLOOKUP(C213,value,$F$146,FALSE))</f>
        <v/>
      </c>
      <c r="G213" s="188" t="str">
        <f t="shared" ref="G213:G244" ca="1" si="11">IF(OR(D213="",ISNA(VLOOKUP($C213,value,$G$146,FALSE)),$A$2=1),"",VLOOKUP($C213,value,$G$146,FALSE))</f>
        <v/>
      </c>
      <c r="H213" s="263" t="str">
        <f ca="1">IF(OR(D213="",ISNA(VLOOKUP($C213,value,$H$146,FALSE)),$A$2=1),"",TEXT(VLOOKUP($C213,value,$H$146,FALSE),IF(OP!$C$22="VACF","#,##0.00","#,##0")))</f>
        <v/>
      </c>
      <c r="I213" s="263" t="str">
        <f ca="1">IF(OR(D213="",ISNA(VLOOKUP($C213,value,$J$146,FALSE)),$A$2=1),"",TEXT(MAX(0,VLOOKUP($C213,value,$J$146,FALSE)),IF(OP!$C$22="VACF","#,##0.00","#,##0")))</f>
        <v/>
      </c>
      <c r="J213" s="263" t="str">
        <f ca="1">IF(OR(D213="",ISNA(VLOOKUP($C213,value,$K$146,FALSE)),$A$2=1),"",TEXT(MAX(0,VLOOKUP($C213,value,$K$146,FALSE)),IF(OP!$C$22="VACF","#,##0.00","#,##0")))</f>
        <v/>
      </c>
      <c r="K213" s="263" t="str">
        <f ca="1">IF(OR(D213="",ISNA(VLOOKUP($C213,value,$L$146,FALSE)),$A$2=1),"",TEXT(MAX(0,VLOOKUP($C213,value,$L$146,FALSE)),IF(OP!$C$22="VACF","#,##0.00","#,##0")))</f>
        <v/>
      </c>
      <c r="L213" s="188" t="str">
        <f t="shared" ref="L213:L244" ca="1" si="12">IF(OR(D213="",ISNA(VLOOKUP($C213,value,$M$146,FALSE)),$A$2=1),"",MAX(0,VLOOKUP($C213,value,$M$146,FALSE)))</f>
        <v/>
      </c>
      <c r="M213" s="265" t="str">
        <f ca="1">IF(OR(D213&gt;111,OP!$C200="",$A$2=1),"",TEXT(OP!$C200,IF(OP!$C$22="VACF","#,##0.00","#,##0")))</f>
        <v>99,404</v>
      </c>
      <c r="N213" s="265" t="str">
        <f ca="1">IF($A$2=1,"",IF(OR(D213&gt;111,OP!$D200="",VLOOKUP(OP!$B$99,OP!$B$99:$E$99,$N$146,0)=1,OP!$D200=0),"",TEXT(OP!$D200,IF(OP!$C$22="VACF","#,##0.00","#,##0"))))</f>
        <v/>
      </c>
    </row>
    <row r="214" spans="2:15" ht="15.75" customHeight="1">
      <c r="B214" s="33" t="str">
        <f t="shared" ca="1" si="5"/>
        <v/>
      </c>
      <c r="C214" s="46" t="str">
        <f t="shared" ca="1" si="6"/>
        <v/>
      </c>
      <c r="D214" s="46" t="str">
        <f ca="1">IF($A$2=1,"",IF(MAX($D$149:$D$203,$D$213:D213)&gt;=110,"",D213+1))</f>
        <v/>
      </c>
      <c r="E214" s="47" t="str">
        <f ca="1">IF(OR(J214="",$A$2=1),"",VLOOKUP(C214&amp;計算!$C$3,宣告利率,2,FALSE))</f>
        <v/>
      </c>
      <c r="F214" s="188" t="str">
        <f t="shared" ca="1" si="10"/>
        <v/>
      </c>
      <c r="G214" s="188" t="str">
        <f t="shared" ca="1" si="11"/>
        <v/>
      </c>
      <c r="H214" s="263" t="str">
        <f ca="1">IF(OR(D214="",ISNA(VLOOKUP($C214,value,$H$146,FALSE)),$A$2=1),"",TEXT(VLOOKUP($C214,value,$H$146,FALSE),IF(OP!$C$22="VACF","#,##0.00","#,##0")))</f>
        <v/>
      </c>
      <c r="I214" s="263" t="str">
        <f ca="1">IF(OR(D214="",ISNA(VLOOKUP($C214,value,$J$146,FALSE)),$A$2=1),"",TEXT(MAX(0,VLOOKUP($C214,value,$J$146,FALSE)),IF(OP!$C$22="VACF","#,##0.00","#,##0")))</f>
        <v/>
      </c>
      <c r="J214" s="263" t="str">
        <f ca="1">IF(OR(D214="",ISNA(VLOOKUP($C214,value,$K$146,FALSE)),$A$2=1),"",TEXT(MAX(0,VLOOKUP($C214,value,$K$146,FALSE)),IF(OP!$C$22="VACF","#,##0.00","#,##0")))</f>
        <v/>
      </c>
      <c r="K214" s="263" t="str">
        <f ca="1">IF(OR(D214="",ISNA(VLOOKUP($C214,value,$L$146,FALSE)),$A$2=1),"",TEXT(MAX(0,VLOOKUP($C214,value,$L$146,FALSE)),IF(OP!$C$22="VACF","#,##0.00","#,##0")))</f>
        <v/>
      </c>
      <c r="L214" s="188" t="str">
        <f t="shared" ca="1" si="12"/>
        <v/>
      </c>
      <c r="M214" s="265" t="str">
        <f ca="1">IF(OR(D214&gt;111,OP!$C201="",$A$2=1),"",TEXT(OP!$C201,IF(OP!$C$22="VACF","#,##0.00","#,##0")))</f>
        <v/>
      </c>
      <c r="N214" s="265" t="str">
        <f ca="1">IF($A$2=1,"",IF(OR(D214&gt;111,OP!$D201="",VLOOKUP(OP!$B$99,OP!$B$99:$E$99,$N$146,0)=1,OP!$D201=0),"",TEXT(OP!$D201,IF(OP!$C$22="VACF","#,##0.00","#,##0"))))</f>
        <v/>
      </c>
    </row>
    <row r="215" spans="2:15" ht="15.75" customHeight="1">
      <c r="B215" s="33" t="str">
        <f t="shared" ca="1" si="5"/>
        <v/>
      </c>
      <c r="C215" s="46" t="str">
        <f t="shared" ca="1" si="6"/>
        <v/>
      </c>
      <c r="D215" s="46" t="str">
        <f ca="1">IF($A$2=1,"",IF(MAX($D$149:$D$203,$D$213:D214)&gt;=110,"",D214+1))</f>
        <v/>
      </c>
      <c r="E215" s="47" t="str">
        <f ca="1">IF(OR(J215="",$A$2=1),"",VLOOKUP(C215&amp;計算!$C$3,宣告利率,2,FALSE))</f>
        <v/>
      </c>
      <c r="F215" s="188" t="str">
        <f t="shared" ca="1" si="10"/>
        <v/>
      </c>
      <c r="G215" s="188" t="str">
        <f t="shared" ca="1" si="11"/>
        <v/>
      </c>
      <c r="H215" s="263" t="str">
        <f ca="1">IF(OR(D215="",ISNA(VLOOKUP($C215,value,$H$146,FALSE)),$A$2=1),"",TEXT(VLOOKUP($C215,value,$H$146,FALSE),IF(OP!$C$22="VACF","#,##0.00","#,##0")))</f>
        <v/>
      </c>
      <c r="I215" s="263" t="str">
        <f ca="1">IF(OR(D215="",ISNA(VLOOKUP($C215,value,$J$146,FALSE)),$A$2=1),"",TEXT(MAX(0,VLOOKUP($C215,value,$J$146,FALSE)),IF(OP!$C$22="VACF","#,##0.00","#,##0")))</f>
        <v/>
      </c>
      <c r="J215" s="263" t="str">
        <f ca="1">IF(OR(D215="",ISNA(VLOOKUP($C215,value,$K$146,FALSE)),$A$2=1),"",TEXT(MAX(0,VLOOKUP($C215,value,$K$146,FALSE)),IF(OP!$C$22="VACF","#,##0.00","#,##0")))</f>
        <v/>
      </c>
      <c r="K215" s="263" t="str">
        <f ca="1">IF(OR(D215="",ISNA(VLOOKUP($C215,value,$L$146,FALSE)),$A$2=1),"",TEXT(MAX(0,VLOOKUP($C215,value,$L$146,FALSE)),IF(OP!$C$22="VACF","#,##0.00","#,##0")))</f>
        <v/>
      </c>
      <c r="L215" s="188" t="str">
        <f t="shared" ca="1" si="12"/>
        <v/>
      </c>
      <c r="M215" s="265" t="str">
        <f ca="1">IF(OR(D215&gt;111,OP!$C202="",$A$2=1),"",TEXT(OP!$C202,IF(OP!$C$22="VACF","#,##0.00","#,##0")))</f>
        <v/>
      </c>
      <c r="N215" s="265" t="str">
        <f ca="1">IF($A$2=1,"",IF(OR(D215&gt;111,OP!$D202="",VLOOKUP(OP!$B$99,OP!$B$99:$E$99,$N$146,0)=1,OP!$D202=0),"",TEXT(OP!$D202,IF(OP!$C$22="VACF","#,##0.00","#,##0"))))</f>
        <v/>
      </c>
    </row>
    <row r="216" spans="2:15" ht="15.75" customHeight="1">
      <c r="B216" s="33" t="str">
        <f t="shared" ca="1" si="5"/>
        <v/>
      </c>
      <c r="C216" s="46" t="str">
        <f t="shared" ca="1" si="6"/>
        <v/>
      </c>
      <c r="D216" s="46" t="str">
        <f ca="1">IF($A$2=1,"",IF(MAX($D$149:$D$203,$D$213:D215)&gt;=110,"",D215+1))</f>
        <v/>
      </c>
      <c r="E216" s="47" t="str">
        <f ca="1">IF(OR(J216="",$A$2=1),"",VLOOKUP(C216&amp;計算!$C$3,宣告利率,2,FALSE))</f>
        <v/>
      </c>
      <c r="F216" s="188" t="str">
        <f t="shared" ca="1" si="10"/>
        <v/>
      </c>
      <c r="G216" s="188" t="str">
        <f t="shared" ca="1" si="11"/>
        <v/>
      </c>
      <c r="H216" s="263" t="str">
        <f ca="1">IF(OR(D216="",ISNA(VLOOKUP($C216,value,$H$146,FALSE)),$A$2=1),"",TEXT(VLOOKUP($C216,value,$H$146,FALSE),IF(OP!$C$22="VACF","#,##0.00","#,##0")))</f>
        <v/>
      </c>
      <c r="I216" s="263" t="str">
        <f ca="1">IF(OR(D216="",ISNA(VLOOKUP($C216,value,$J$146,FALSE)),$A$2=1),"",TEXT(MAX(0,VLOOKUP($C216,value,$J$146,FALSE)),IF(OP!$C$22="VACF","#,##0.00","#,##0")))</f>
        <v/>
      </c>
      <c r="J216" s="263" t="str">
        <f ca="1">IF(OR(D216="",ISNA(VLOOKUP($C216,value,$K$146,FALSE)),$A$2=1),"",TEXT(MAX(0,VLOOKUP($C216,value,$K$146,FALSE)),IF(OP!$C$22="VACF","#,##0.00","#,##0")))</f>
        <v/>
      </c>
      <c r="K216" s="263" t="str">
        <f ca="1">IF(OR(D216="",ISNA(VLOOKUP($C216,value,$L$146,FALSE)),$A$2=1),"",TEXT(MAX(0,VLOOKUP($C216,value,$L$146,FALSE)),IF(OP!$C$22="VACF","#,##0.00","#,##0")))</f>
        <v/>
      </c>
      <c r="L216" s="188" t="str">
        <f t="shared" ca="1" si="12"/>
        <v/>
      </c>
      <c r="M216" s="265" t="str">
        <f ca="1">IF(OR(D216&gt;111,OP!$C203="",$A$2=1),"",TEXT(OP!$C203,IF(OP!$C$22="VACF","#,##0.00","#,##0")))</f>
        <v/>
      </c>
      <c r="N216" s="265" t="str">
        <f ca="1">IF($A$2=1,"",IF(OR(D216&gt;111,OP!$D203="",VLOOKUP(OP!$B$99,OP!$B$99:$E$99,$N$146,0)=1,OP!$D203=0),"",TEXT(OP!$D203,IF(OP!$C$22="VACF","#,##0.00","#,##0"))))</f>
        <v/>
      </c>
    </row>
    <row r="217" spans="2:15" ht="15.75" customHeight="1">
      <c r="B217" s="33" t="str">
        <f t="shared" ca="1" si="5"/>
        <v/>
      </c>
      <c r="C217" s="46" t="str">
        <f t="shared" ca="1" si="6"/>
        <v/>
      </c>
      <c r="D217" s="46" t="str">
        <f ca="1">IF($A$2=1,"",IF(MAX($D$149:$D$203,$D$213:D216)&gt;=110,"",D216+1))</f>
        <v/>
      </c>
      <c r="E217" s="47" t="str">
        <f ca="1">IF(OR(J217="",$A$2=1),"",VLOOKUP(C217&amp;計算!$C$3,宣告利率,2,FALSE))</f>
        <v/>
      </c>
      <c r="F217" s="188" t="str">
        <f t="shared" ca="1" si="10"/>
        <v/>
      </c>
      <c r="G217" s="188" t="str">
        <f t="shared" ca="1" si="11"/>
        <v/>
      </c>
      <c r="H217" s="263" t="str">
        <f ca="1">IF(OR(D217="",ISNA(VLOOKUP($C217,value,$H$146,FALSE)),$A$2=1),"",TEXT(VLOOKUP($C217,value,$H$146,FALSE),IF(OP!$C$22="VACF","#,##0.00","#,##0")))</f>
        <v/>
      </c>
      <c r="I217" s="263" t="str">
        <f ca="1">IF(OR(D217="",ISNA(VLOOKUP($C217,value,$J$146,FALSE)),$A$2=1),"",TEXT(MAX(0,VLOOKUP($C217,value,$J$146,FALSE)),IF(OP!$C$22="VACF","#,##0.00","#,##0")))</f>
        <v/>
      </c>
      <c r="J217" s="263" t="str">
        <f ca="1">IF(OR(D217="",ISNA(VLOOKUP($C217,value,$K$146,FALSE)),$A$2=1),"",TEXT(MAX(0,VLOOKUP($C217,value,$K$146,FALSE)),IF(OP!$C$22="VACF","#,##0.00","#,##0")))</f>
        <v/>
      </c>
      <c r="K217" s="263" t="str">
        <f ca="1">IF(OR(D217="",ISNA(VLOOKUP($C217,value,$L$146,FALSE)),$A$2=1),"",TEXT(MAX(0,VLOOKUP($C217,value,$L$146,FALSE)),IF(OP!$C$22="VACF","#,##0.00","#,##0")))</f>
        <v/>
      </c>
      <c r="L217" s="188" t="str">
        <f t="shared" ca="1" si="12"/>
        <v/>
      </c>
      <c r="M217" s="265" t="str">
        <f ca="1">IF(OR(D217&gt;111,OP!$C204="",$A$2=1),"",TEXT(OP!$C204,IF(OP!$C$22="VACF","#,##0.00","#,##0")))</f>
        <v/>
      </c>
      <c r="N217" s="265" t="str">
        <f ca="1">IF($A$2=1,"",IF(OR(D217&gt;111,OP!$D204="",VLOOKUP(OP!$B$99,OP!$B$99:$E$99,$N$146,0)=1,OP!$D204=0),"",TEXT(OP!$D204,IF(OP!$C$22="VACF","#,##0.00","#,##0"))))</f>
        <v/>
      </c>
    </row>
    <row r="218" spans="2:15" ht="15.75" customHeight="1">
      <c r="B218" s="33" t="str">
        <f ca="1">IF(D218="","",B217+(D218-D217))</f>
        <v/>
      </c>
      <c r="C218" s="173" t="str">
        <f ca="1">IF(D218="","",C217+(D218-D217))</f>
        <v/>
      </c>
      <c r="D218" s="173" t="str">
        <f ca="1">IF($A$2=1,"",IF(MAX($D$149:$D$203,$D$213:D217)&gt;=110,"",D217+1))</f>
        <v/>
      </c>
      <c r="E218" s="174" t="str">
        <f ca="1">IF(OR(J218="",$A$2=1),"",VLOOKUP(C218&amp;計算!$C$3,宣告利率,2,FALSE))</f>
        <v/>
      </c>
      <c r="F218" s="187" t="str">
        <f t="shared" ca="1" si="10"/>
        <v/>
      </c>
      <c r="G218" s="187" t="str">
        <f t="shared" ca="1" si="11"/>
        <v/>
      </c>
      <c r="H218" s="262" t="str">
        <f ca="1">IF(OR(D218="",ISNA(VLOOKUP($C218,value,$H$146,FALSE)),$A$2=1),"",TEXT(VLOOKUP($C218,value,$H$146,FALSE),IF(OP!$C$22="VACF","#,##0.00","#,##0")))</f>
        <v/>
      </c>
      <c r="I218" s="262" t="str">
        <f ca="1">IF(OR(D218="",ISNA(VLOOKUP($C218,value,$J$146,FALSE)),$A$2=1),"",TEXT(MAX(0,VLOOKUP($C218,value,$J$146,FALSE)),IF(OP!$C$22="VACF","#,##0.00","#,##0")))</f>
        <v/>
      </c>
      <c r="J218" s="262" t="str">
        <f ca="1">IF(OR(D218="",ISNA(VLOOKUP($C218,value,$K$146,FALSE)),$A$2=1),"",TEXT(MAX(0,VLOOKUP($C218,value,$K$146,FALSE)),IF(OP!$C$22="VACF","#,##0.00","#,##0")))</f>
        <v/>
      </c>
      <c r="K218" s="262" t="str">
        <f ca="1">IF(OR(D218="",ISNA(VLOOKUP($C218,value,$L$146,FALSE)),$A$2=1),"",TEXT(MAX(0,VLOOKUP($C218,value,$L$146,FALSE)),IF(OP!$C$22="VACF","#,##0.00","#,##0")))</f>
        <v/>
      </c>
      <c r="L218" s="187" t="str">
        <f t="shared" ca="1" si="12"/>
        <v/>
      </c>
      <c r="M218" s="264" t="str">
        <f ca="1">IF(OR(D218&gt;111,OP!$C205="",$A$2=1),"",TEXT(OP!$C205,IF(OP!$C$22="VACF","#,##0.00","#,##0")))</f>
        <v/>
      </c>
      <c r="N218" s="264" t="str">
        <f ca="1">IF($A$2=1,"",IF(OR(D218&gt;111,OP!$D205="",VLOOKUP(OP!$B$99,OP!$B$99:$E$99,$N$146,0)=1,OP!$D205=0),"",TEXT(OP!$D205,IF(OP!$C$22="VACF","#,##0.00","#,##0"))))</f>
        <v/>
      </c>
    </row>
    <row r="219" spans="2:15" ht="15.75" customHeight="1">
      <c r="B219" s="33" t="str">
        <f t="shared" ca="1" si="5"/>
        <v/>
      </c>
      <c r="C219" s="173" t="str">
        <f t="shared" ca="1" si="6"/>
        <v/>
      </c>
      <c r="D219" s="173" t="str">
        <f ca="1">IF($A$2=1,"",IF(MAX($D$149:$D$203,$D$213:D218)&gt;=110,"",D218+1))</f>
        <v/>
      </c>
      <c r="E219" s="174" t="str">
        <f ca="1">IF(OR(J219="",$A$2=1),"",VLOOKUP(C219&amp;計算!$C$3,宣告利率,2,FALSE))</f>
        <v/>
      </c>
      <c r="F219" s="187" t="str">
        <f t="shared" ca="1" si="10"/>
        <v/>
      </c>
      <c r="G219" s="187" t="str">
        <f t="shared" ca="1" si="11"/>
        <v/>
      </c>
      <c r="H219" s="262" t="str">
        <f ca="1">IF(OR(D219="",ISNA(VLOOKUP($C219,value,$H$146,FALSE)),$A$2=1),"",TEXT(VLOOKUP($C219,value,$H$146,FALSE),IF(OP!$C$22="VACF","#,##0.00","#,##0")))</f>
        <v/>
      </c>
      <c r="I219" s="262" t="str">
        <f ca="1">IF(OR(D219="",ISNA(VLOOKUP($C219,value,$J$146,FALSE)),$A$2=1),"",TEXT(MAX(0,VLOOKUP($C219,value,$J$146,FALSE)),IF(OP!$C$22="VACF","#,##0.00","#,##0")))</f>
        <v/>
      </c>
      <c r="J219" s="262" t="str">
        <f ca="1">IF(OR(D219="",ISNA(VLOOKUP($C219,value,$K$146,FALSE)),$A$2=1),"",TEXT(MAX(0,VLOOKUP($C219,value,$K$146,FALSE)),IF(OP!$C$22="VACF","#,##0.00","#,##0")))</f>
        <v/>
      </c>
      <c r="K219" s="262" t="str">
        <f ca="1">IF(OR(D219="",ISNA(VLOOKUP($C219,value,$L$146,FALSE)),$A$2=1),"",TEXT(MAX(0,VLOOKUP($C219,value,$L$146,FALSE)),IF(OP!$C$22="VACF","#,##0.00","#,##0")))</f>
        <v/>
      </c>
      <c r="L219" s="187" t="str">
        <f t="shared" ca="1" si="12"/>
        <v/>
      </c>
      <c r="M219" s="264" t="str">
        <f ca="1">IF(OR(D219&gt;111,OP!$C206="",$A$2=1),"",TEXT(OP!$C206,IF(OP!$C$22="VACF","#,##0.00","#,##0")))</f>
        <v/>
      </c>
      <c r="N219" s="264" t="str">
        <f ca="1">IF($A$2=1,"",IF(OR(D219&gt;111,OP!$D206="",VLOOKUP(OP!$B$99,OP!$B$99:$E$99,$N$146,0)=1,OP!$D206=0),"",TEXT(OP!$D206,IF(OP!$C$22="VACF","#,##0.00","#,##0"))))</f>
        <v/>
      </c>
    </row>
    <row r="220" spans="2:15" ht="15.75" customHeight="1">
      <c r="B220" s="33" t="str">
        <f ca="1">IF(D220="","",B219+(D220-D219))</f>
        <v/>
      </c>
      <c r="C220" s="173" t="str">
        <f ca="1">IF(D220="","",C219+(D220-D219))</f>
        <v/>
      </c>
      <c r="D220" s="173" t="str">
        <f ca="1">IF($A$2=1,"",IF(MAX($D$149:$D$203,$D$213:D219)&gt;=110,"",D219+1))</f>
        <v/>
      </c>
      <c r="E220" s="174" t="str">
        <f ca="1">IF(OR(J220="",$A$2=1),"",VLOOKUP(C220&amp;計算!$C$3,宣告利率,2,FALSE))</f>
        <v/>
      </c>
      <c r="F220" s="187" t="str">
        <f t="shared" ca="1" si="10"/>
        <v/>
      </c>
      <c r="G220" s="187" t="str">
        <f t="shared" ca="1" si="11"/>
        <v/>
      </c>
      <c r="H220" s="262" t="str">
        <f ca="1">IF(OR(D220="",ISNA(VLOOKUP($C220,value,$H$146,FALSE)),$A$2=1),"",TEXT(VLOOKUP($C220,value,$H$146,FALSE),IF(OP!$C$22="VACF","#,##0.00","#,##0")))</f>
        <v/>
      </c>
      <c r="I220" s="262" t="str">
        <f ca="1">IF(OR(D220="",ISNA(VLOOKUP($C220,value,$J$146,FALSE)),$A$2=1),"",TEXT(MAX(0,VLOOKUP($C220,value,$J$146,FALSE)),IF(OP!$C$22="VACF","#,##0.00","#,##0")))</f>
        <v/>
      </c>
      <c r="J220" s="262" t="str">
        <f ca="1">IF(OR(D220="",ISNA(VLOOKUP($C220,value,$K$146,FALSE)),$A$2=1),"",TEXT(MAX(0,VLOOKUP($C220,value,$K$146,FALSE)),IF(OP!$C$22="VACF","#,##0.00","#,##0")))</f>
        <v/>
      </c>
      <c r="K220" s="262" t="str">
        <f ca="1">IF(OR(D220="",ISNA(VLOOKUP($C220,value,$L$146,FALSE)),$A$2=1),"",TEXT(MAX(0,VLOOKUP($C220,value,$L$146,FALSE)),IF(OP!$C$22="VACF","#,##0.00","#,##0")))</f>
        <v/>
      </c>
      <c r="L220" s="187" t="str">
        <f t="shared" ca="1" si="12"/>
        <v/>
      </c>
      <c r="M220" s="264" t="str">
        <f ca="1">IF(OR(D220&gt;111,OP!$C207="",$A$2=1),"",TEXT(OP!$C207,IF(OP!$C$22="VACF","#,##0.00","#,##0")))</f>
        <v/>
      </c>
      <c r="N220" s="264" t="str">
        <f ca="1">IF($A$2=1,"",IF(OR(D220&gt;111,OP!$D207="",VLOOKUP(OP!$B$99,OP!$B$99:$E$99,$N$146,0)=1,OP!$D207=0),"",TEXT(OP!$D207,IF(OP!$C$22="VACF","#,##0.00","#,##0"))))</f>
        <v/>
      </c>
    </row>
    <row r="221" spans="2:15" ht="15.75" customHeight="1">
      <c r="B221" s="33" t="str">
        <f t="shared" ca="1" si="5"/>
        <v/>
      </c>
      <c r="C221" s="173" t="str">
        <f t="shared" ca="1" si="6"/>
        <v/>
      </c>
      <c r="D221" s="173" t="str">
        <f ca="1">IF($A$2=1,"",IF(MAX($D$149:$D$203,$D$213:D220)&gt;=110,"",D220+1))</f>
        <v/>
      </c>
      <c r="E221" s="174" t="str">
        <f ca="1">IF(OR(J221="",$A$2=1),"",VLOOKUP(C221&amp;計算!$C$3,宣告利率,2,FALSE))</f>
        <v/>
      </c>
      <c r="F221" s="187" t="str">
        <f t="shared" ca="1" si="10"/>
        <v/>
      </c>
      <c r="G221" s="187" t="str">
        <f t="shared" ca="1" si="11"/>
        <v/>
      </c>
      <c r="H221" s="262" t="str">
        <f ca="1">IF(OR(D221="",ISNA(VLOOKUP($C221,value,$H$146,FALSE)),$A$2=1),"",TEXT(VLOOKUP($C221,value,$H$146,FALSE),IF(OP!$C$22="VACF","#,##0.00","#,##0")))</f>
        <v/>
      </c>
      <c r="I221" s="262" t="str">
        <f ca="1">IF(OR(D221="",ISNA(VLOOKUP($C221,value,$J$146,FALSE)),$A$2=1),"",TEXT(MAX(0,VLOOKUP($C221,value,$J$146,FALSE)),IF(OP!$C$22="VACF","#,##0.00","#,##0")))</f>
        <v/>
      </c>
      <c r="J221" s="262" t="str">
        <f ca="1">IF(OR(D221="",ISNA(VLOOKUP($C221,value,$K$146,FALSE)),$A$2=1),"",TEXT(MAX(0,VLOOKUP($C221,value,$K$146,FALSE)),IF(OP!$C$22="VACF","#,##0.00","#,##0")))</f>
        <v/>
      </c>
      <c r="K221" s="262" t="str">
        <f ca="1">IF(OR(D221="",ISNA(VLOOKUP($C221,value,$L$146,FALSE)),$A$2=1),"",TEXT(MAX(0,VLOOKUP($C221,value,$L$146,FALSE)),IF(OP!$C$22="VACF","#,##0.00","#,##0")))</f>
        <v/>
      </c>
      <c r="L221" s="187" t="str">
        <f t="shared" ca="1" si="12"/>
        <v/>
      </c>
      <c r="M221" s="264" t="str">
        <f ca="1">IF(OR(D221&gt;111,OP!$C208="",$A$2=1),"",TEXT(OP!$C208,IF(OP!$C$22="VACF","#,##0.00","#,##0")))</f>
        <v/>
      </c>
      <c r="N221" s="264" t="str">
        <f ca="1">IF($A$2=1,"",IF(OR(D221&gt;111,OP!$D208="",VLOOKUP(OP!$B$99,OP!$B$99:$E$99,$N$146,0)=1,OP!$D208=0),"",TEXT(OP!$D208,IF(OP!$C$22="VACF","#,##0.00","#,##0"))))</f>
        <v/>
      </c>
    </row>
    <row r="222" spans="2:15" ht="15.75" customHeight="1">
      <c r="B222" s="33" t="str">
        <f ca="1">IF(D222="","",B221+(D222-D221))</f>
        <v/>
      </c>
      <c r="C222" s="173" t="str">
        <f ca="1">IF(D222="","",C221+(D222-D221))</f>
        <v/>
      </c>
      <c r="D222" s="173" t="str">
        <f ca="1">IF($A$2=1,"",IF(MAX($D$149:$D$203,$D$213:D221)&gt;=110,"",D221+1))</f>
        <v/>
      </c>
      <c r="E222" s="174" t="str">
        <f ca="1">IF(OR(J222="",$A$2=1),"",VLOOKUP(C222&amp;計算!$C$3,宣告利率,2,FALSE))</f>
        <v/>
      </c>
      <c r="F222" s="187" t="str">
        <f t="shared" ca="1" si="10"/>
        <v/>
      </c>
      <c r="G222" s="187" t="str">
        <f t="shared" ca="1" si="11"/>
        <v/>
      </c>
      <c r="H222" s="262" t="str">
        <f ca="1">IF(OR(D222="",ISNA(VLOOKUP($C222,value,$H$146,FALSE)),$A$2=1),"",TEXT(VLOOKUP($C222,value,$H$146,FALSE),IF(OP!$C$22="VACF","#,##0.00","#,##0")))</f>
        <v/>
      </c>
      <c r="I222" s="262" t="str">
        <f ca="1">IF(OR(D222="",ISNA(VLOOKUP($C222,value,$J$146,FALSE)),$A$2=1),"",TEXT(MAX(0,VLOOKUP($C222,value,$J$146,FALSE)),IF(OP!$C$22="VACF","#,##0.00","#,##0")))</f>
        <v/>
      </c>
      <c r="J222" s="262" t="str">
        <f ca="1">IF(OR(D222="",ISNA(VLOOKUP($C222,value,$K$146,FALSE)),$A$2=1),"",TEXT(MAX(0,VLOOKUP($C222,value,$K$146,FALSE)),IF(OP!$C$22="VACF","#,##0.00","#,##0")))</f>
        <v/>
      </c>
      <c r="K222" s="262" t="str">
        <f ca="1">IF(OR(D222="",ISNA(VLOOKUP($C222,value,$L$146,FALSE)),$A$2=1),"",TEXT(MAX(0,VLOOKUP($C222,value,$L$146,FALSE)),IF(OP!$C$22="VACF","#,##0.00","#,##0")))</f>
        <v/>
      </c>
      <c r="L222" s="187" t="str">
        <f t="shared" ca="1" si="12"/>
        <v/>
      </c>
      <c r="M222" s="264" t="str">
        <f ca="1">IF(OR(D222&gt;111,OP!$C209="",$A$2=1),"",TEXT(OP!$C209,IF(OP!$C$22="VACF","#,##0.00","#,##0")))</f>
        <v/>
      </c>
      <c r="N222" s="264" t="str">
        <f ca="1">IF($A$2=1,"",IF(OR(D222&gt;111,OP!$D209="",VLOOKUP(OP!$B$99,OP!$B$99:$E$99,$N$146,0)=1,OP!$D209=0),"",TEXT(OP!$D209,IF(OP!$C$22="VACF","#,##0.00","#,##0"))))</f>
        <v/>
      </c>
    </row>
    <row r="223" spans="2:15" ht="15.75" customHeight="1">
      <c r="B223" s="33" t="str">
        <f t="shared" ca="1" si="5"/>
        <v/>
      </c>
      <c r="C223" s="46" t="str">
        <f t="shared" ca="1" si="6"/>
        <v/>
      </c>
      <c r="D223" s="46" t="str">
        <f ca="1">IF($A$2=1,"",IF(MAX($D$149:$D$203,$D$213:D222)&gt;=110,"",D222+1))</f>
        <v/>
      </c>
      <c r="E223" s="47" t="str">
        <f ca="1">IF(OR(J223="",$A$2=1),"",VLOOKUP(C223&amp;計算!$C$3,宣告利率,2,FALSE))</f>
        <v/>
      </c>
      <c r="F223" s="188" t="str">
        <f t="shared" ca="1" si="10"/>
        <v/>
      </c>
      <c r="G223" s="188" t="str">
        <f t="shared" ca="1" si="11"/>
        <v/>
      </c>
      <c r="H223" s="263" t="str">
        <f ca="1">IF(OR(D223="",ISNA(VLOOKUP($C223,value,$H$146,FALSE)),$A$2=1),"",TEXT(VLOOKUP($C223,value,$H$146,FALSE),IF(OP!$C$22="VACF","#,##0.00","#,##0")))</f>
        <v/>
      </c>
      <c r="I223" s="263" t="str">
        <f ca="1">IF(OR(D223="",ISNA(VLOOKUP($C223,value,$J$146,FALSE)),$A$2=1),"",TEXT(MAX(0,VLOOKUP($C223,value,$J$146,FALSE)),IF(OP!$C$22="VACF","#,##0.00","#,##0")))</f>
        <v/>
      </c>
      <c r="J223" s="263" t="str">
        <f ca="1">IF(OR(D223="",ISNA(VLOOKUP($C223,value,$K$146,FALSE)),$A$2=1),"",TEXT(MAX(0,VLOOKUP($C223,value,$K$146,FALSE)),IF(OP!$C$22="VACF","#,##0.00","#,##0")))</f>
        <v/>
      </c>
      <c r="K223" s="263" t="str">
        <f ca="1">IF(OR(D223="",ISNA(VLOOKUP($C223,value,$L$146,FALSE)),$A$2=1),"",TEXT(MAX(0,VLOOKUP($C223,value,$L$146,FALSE)),IF(OP!$C$22="VACF","#,##0.00","#,##0")))</f>
        <v/>
      </c>
      <c r="L223" s="188" t="str">
        <f t="shared" ca="1" si="12"/>
        <v/>
      </c>
      <c r="M223" s="265" t="str">
        <f ca="1">IF(OR(D223&gt;111,OP!$C210="",$A$2=1),"",TEXT(OP!$C210,IF(OP!$C$22="VACF","#,##0.00","#,##0")))</f>
        <v/>
      </c>
      <c r="N223" s="265" t="str">
        <f ca="1">IF($A$2=1,"",IF(OR(D223&gt;111,OP!$D210="",VLOOKUP(OP!$B$99,OP!$B$99:$E$99,$N$146,0)=1,OP!$D210=0),"",TEXT(OP!$D210,IF(OP!$C$22="VACF","#,##0.00","#,##0"))))</f>
        <v/>
      </c>
    </row>
    <row r="224" spans="2:15" ht="15.75" customHeight="1">
      <c r="B224" s="33" t="str">
        <f t="shared" ca="1" si="5"/>
        <v/>
      </c>
      <c r="C224" s="46" t="str">
        <f t="shared" ca="1" si="6"/>
        <v/>
      </c>
      <c r="D224" s="46" t="str">
        <f ca="1">IF($A$2=1,"",IF(MAX($D$149:$D$203,$D$213:D223)&gt;=110,"",D223+1))</f>
        <v/>
      </c>
      <c r="E224" s="47" t="str">
        <f ca="1">IF(OR(J224="",$A$2=1),"",VLOOKUP(C224&amp;計算!$C$3,宣告利率,2,FALSE))</f>
        <v/>
      </c>
      <c r="F224" s="188" t="str">
        <f t="shared" ca="1" si="10"/>
        <v/>
      </c>
      <c r="G224" s="188" t="str">
        <f t="shared" ca="1" si="11"/>
        <v/>
      </c>
      <c r="H224" s="263" t="str">
        <f ca="1">IF(OR(D224="",ISNA(VLOOKUP($C224,value,$H$146,FALSE)),$A$2=1),"",TEXT(VLOOKUP($C224,value,$H$146,FALSE),IF(OP!$C$22="VACF","#,##0.00","#,##0")))</f>
        <v/>
      </c>
      <c r="I224" s="263" t="str">
        <f ca="1">IF(OR(D224="",ISNA(VLOOKUP($C224,value,$J$146,FALSE)),$A$2=1),"",TEXT(MAX(0,VLOOKUP($C224,value,$J$146,FALSE)),IF(OP!$C$22="VACF","#,##0.00","#,##0")))</f>
        <v/>
      </c>
      <c r="J224" s="263" t="str">
        <f ca="1">IF(OR(D224="",ISNA(VLOOKUP($C224,value,$K$146,FALSE)),$A$2=1),"",TEXT(MAX(0,VLOOKUP($C224,value,$K$146,FALSE)),IF(OP!$C$22="VACF","#,##0.00","#,##0")))</f>
        <v/>
      </c>
      <c r="K224" s="263" t="str">
        <f ca="1">IF(OR(D224="",ISNA(VLOOKUP($C224,value,$L$146,FALSE)),$A$2=1),"",TEXT(MAX(0,VLOOKUP($C224,value,$L$146,FALSE)),IF(OP!$C$22="VACF","#,##0.00","#,##0")))</f>
        <v/>
      </c>
      <c r="L224" s="188" t="str">
        <f t="shared" ca="1" si="12"/>
        <v/>
      </c>
      <c r="M224" s="265" t="str">
        <f ca="1">IF(OR(D224&gt;111,OP!$C211="",$A$2=1),"",TEXT(OP!$C211,IF(OP!$C$22="VACF","#,##0.00","#,##0")))</f>
        <v/>
      </c>
      <c r="N224" s="265" t="str">
        <f ca="1">IF($A$2=1,"",IF(OR(D224&gt;111,OP!$D211="",VLOOKUP(OP!$B$99,OP!$B$99:$E$99,$N$146,0)=1,OP!$D211=0),"",TEXT(OP!$D211,IF(OP!$C$22="VACF","#,##0.00","#,##0"))))</f>
        <v/>
      </c>
    </row>
    <row r="225" spans="2:14" ht="15.75" customHeight="1">
      <c r="B225" s="33" t="str">
        <f t="shared" ca="1" si="5"/>
        <v/>
      </c>
      <c r="C225" s="46" t="str">
        <f t="shared" ca="1" si="6"/>
        <v/>
      </c>
      <c r="D225" s="46" t="str">
        <f ca="1">IF($A$2=1,"",IF(MAX($D$149:$D$203,$D$213:D224)&gt;=110,"",D224+1))</f>
        <v/>
      </c>
      <c r="E225" s="47" t="str">
        <f ca="1">IF(OR(J225="",$A$2=1),"",VLOOKUP(C225&amp;計算!$C$3,宣告利率,2,FALSE))</f>
        <v/>
      </c>
      <c r="F225" s="188" t="str">
        <f t="shared" ca="1" si="10"/>
        <v/>
      </c>
      <c r="G225" s="188" t="str">
        <f t="shared" ca="1" si="11"/>
        <v/>
      </c>
      <c r="H225" s="263" t="str">
        <f ca="1">IF(OR(D225="",ISNA(VLOOKUP($C225,value,$H$146,FALSE)),$A$2=1),"",TEXT(VLOOKUP($C225,value,$H$146,FALSE),IF(OP!$C$22="VACF","#,##0.00","#,##0")))</f>
        <v/>
      </c>
      <c r="I225" s="263" t="str">
        <f ca="1">IF(OR(D225="",ISNA(VLOOKUP($C225,value,$J$146,FALSE)),$A$2=1),"",TEXT(MAX(0,VLOOKUP($C225,value,$J$146,FALSE)),IF(OP!$C$22="VACF","#,##0.00","#,##0")))</f>
        <v/>
      </c>
      <c r="J225" s="263" t="str">
        <f ca="1">IF(OR(D225="",ISNA(VLOOKUP($C225,value,$K$146,FALSE)),$A$2=1),"",TEXT(MAX(0,VLOOKUP($C225,value,$K$146,FALSE)),IF(OP!$C$22="VACF","#,##0.00","#,##0")))</f>
        <v/>
      </c>
      <c r="K225" s="263" t="str">
        <f ca="1">IF(OR(D225="",ISNA(VLOOKUP($C225,value,$L$146,FALSE)),$A$2=1),"",TEXT(MAX(0,VLOOKUP($C225,value,$L$146,FALSE)),IF(OP!$C$22="VACF","#,##0.00","#,##0")))</f>
        <v/>
      </c>
      <c r="L225" s="188" t="str">
        <f t="shared" ca="1" si="12"/>
        <v/>
      </c>
      <c r="M225" s="265" t="str">
        <f ca="1">IF(OR(D225&gt;111,OP!$C212="",$A$2=1),"",TEXT(OP!$C212,IF(OP!$C$22="VACF","#,##0.00","#,##0")))</f>
        <v/>
      </c>
      <c r="N225" s="265" t="str">
        <f ca="1">IF($A$2=1,"",IF(OR(D225&gt;111,OP!$D212="",VLOOKUP(OP!$B$99,OP!$B$99:$E$99,$N$146,0)=1,OP!$D212=0),"",TEXT(OP!$D212,IF(OP!$C$22="VACF","#,##0.00","#,##0"))))</f>
        <v/>
      </c>
    </row>
    <row r="226" spans="2:14" ht="15.75" customHeight="1">
      <c r="B226" s="33" t="str">
        <f t="shared" ca="1" si="5"/>
        <v/>
      </c>
      <c r="C226" s="46" t="str">
        <f t="shared" ca="1" si="6"/>
        <v/>
      </c>
      <c r="D226" s="46" t="str">
        <f ca="1">IF($A$2=1,"",IF(MAX($D$149:$D$203,$D$213:D225)&gt;=110,"",D225+1))</f>
        <v/>
      </c>
      <c r="E226" s="47" t="str">
        <f ca="1">IF(OR(J226="",$A$2=1),"",VLOOKUP(C226&amp;計算!$C$3,宣告利率,2,FALSE))</f>
        <v/>
      </c>
      <c r="F226" s="188" t="str">
        <f t="shared" ca="1" si="10"/>
        <v/>
      </c>
      <c r="G226" s="188" t="str">
        <f t="shared" ca="1" si="11"/>
        <v/>
      </c>
      <c r="H226" s="263" t="str">
        <f ca="1">IF(OR(D226="",ISNA(VLOOKUP($C226,value,$H$146,FALSE)),$A$2=1),"",TEXT(VLOOKUP($C226,value,$H$146,FALSE),IF(OP!$C$22="VACF","#,##0.00","#,##0")))</f>
        <v/>
      </c>
      <c r="I226" s="263" t="str">
        <f ca="1">IF(OR(D226="",ISNA(VLOOKUP($C226,value,$J$146,FALSE)),$A$2=1),"",TEXT(MAX(0,VLOOKUP($C226,value,$J$146,FALSE)),IF(OP!$C$22="VACF","#,##0.00","#,##0")))</f>
        <v/>
      </c>
      <c r="J226" s="263" t="str">
        <f ca="1">IF(OR(D226="",ISNA(VLOOKUP($C226,value,$K$146,FALSE)),$A$2=1),"",TEXT(MAX(0,VLOOKUP($C226,value,$K$146,FALSE)),IF(OP!$C$22="VACF","#,##0.00","#,##0")))</f>
        <v/>
      </c>
      <c r="K226" s="263" t="str">
        <f ca="1">IF(OR(D226="",ISNA(VLOOKUP($C226,value,$L$146,FALSE)),$A$2=1),"",TEXT(MAX(0,VLOOKUP($C226,value,$L$146,FALSE)),IF(OP!$C$22="VACF","#,##0.00","#,##0")))</f>
        <v/>
      </c>
      <c r="L226" s="188" t="str">
        <f t="shared" ca="1" si="12"/>
        <v/>
      </c>
      <c r="M226" s="265" t="str">
        <f ca="1">IF(OR(D226&gt;111,OP!$C213="",$A$2=1),"",TEXT(OP!$C213,IF(OP!$C$22="VACF","#,##0.00","#,##0")))</f>
        <v/>
      </c>
      <c r="N226" s="265" t="str">
        <f ca="1">IF($A$2=1,"",IF(OR(D226&gt;111,OP!$D213="",VLOOKUP(OP!$B$99,OP!$B$99:$E$99,$N$146,0)=1,OP!$D213=0),"",TEXT(OP!$D213,IF(OP!$C$22="VACF","#,##0.00","#,##0"))))</f>
        <v/>
      </c>
    </row>
    <row r="227" spans="2:14" ht="15.75" customHeight="1">
      <c r="B227" s="33" t="str">
        <f t="shared" ca="1" si="5"/>
        <v/>
      </c>
      <c r="C227" s="46" t="str">
        <f t="shared" ca="1" si="6"/>
        <v/>
      </c>
      <c r="D227" s="46" t="str">
        <f ca="1">IF($A$2=1,"",IF(MAX($D$149:$D$203,$D$213:D226)&gt;=110,"",D226+1))</f>
        <v/>
      </c>
      <c r="E227" s="47" t="str">
        <f ca="1">IF(OR(J227="",$A$2=1),"",VLOOKUP(C227&amp;計算!$C$3,宣告利率,2,FALSE))</f>
        <v/>
      </c>
      <c r="F227" s="188" t="str">
        <f t="shared" ca="1" si="10"/>
        <v/>
      </c>
      <c r="G227" s="188" t="str">
        <f t="shared" ca="1" si="11"/>
        <v/>
      </c>
      <c r="H227" s="263" t="str">
        <f ca="1">IF(OR(D227="",ISNA(VLOOKUP($C227,value,$H$146,FALSE)),$A$2=1),"",TEXT(VLOOKUP($C227,value,$H$146,FALSE),IF(OP!$C$22="VACF","#,##0.00","#,##0")))</f>
        <v/>
      </c>
      <c r="I227" s="263" t="str">
        <f ca="1">IF(OR(D227="",ISNA(VLOOKUP($C227,value,$J$146,FALSE)),$A$2=1),"",TEXT(MAX(0,VLOOKUP($C227,value,$J$146,FALSE)),IF(OP!$C$22="VACF","#,##0.00","#,##0")))</f>
        <v/>
      </c>
      <c r="J227" s="263" t="str">
        <f ca="1">IF(OR(D227="",ISNA(VLOOKUP($C227,value,$K$146,FALSE)),$A$2=1),"",TEXT(MAX(0,VLOOKUP($C227,value,$K$146,FALSE)),IF(OP!$C$22="VACF","#,##0.00","#,##0")))</f>
        <v/>
      </c>
      <c r="K227" s="263" t="str">
        <f ca="1">IF(OR(D227="",ISNA(VLOOKUP($C227,value,$L$146,FALSE)),$A$2=1),"",TEXT(MAX(0,VLOOKUP($C227,value,$L$146,FALSE)),IF(OP!$C$22="VACF","#,##0.00","#,##0")))</f>
        <v/>
      </c>
      <c r="L227" s="188" t="str">
        <f t="shared" ca="1" si="12"/>
        <v/>
      </c>
      <c r="M227" s="265" t="str">
        <f ca="1">IF(OR(D227&gt;111,OP!$C214="",$A$2=1),"",TEXT(OP!$C214,IF(OP!$C$22="VACF","#,##0.00","#,##0")))</f>
        <v/>
      </c>
      <c r="N227" s="265" t="str">
        <f ca="1">IF($A$2=1,"",IF(OR(D227&gt;111,OP!$D214="",VLOOKUP(OP!$B$99,OP!$B$99:$E$99,$N$146,0)=1,OP!$D214=0),"",TEXT(OP!$D214,IF(OP!$C$22="VACF","#,##0.00","#,##0"))))</f>
        <v/>
      </c>
    </row>
    <row r="228" spans="2:14" ht="15.75" customHeight="1">
      <c r="B228" s="33" t="str">
        <f t="shared" ca="1" si="5"/>
        <v/>
      </c>
      <c r="C228" s="173" t="str">
        <f t="shared" ca="1" si="6"/>
        <v/>
      </c>
      <c r="D228" s="173" t="str">
        <f ca="1">IF($A$2=1,"",IF(MAX($D$149:$D$203,$D$213:D227)&gt;=110,"",D227+1))</f>
        <v/>
      </c>
      <c r="E228" s="174" t="str">
        <f ca="1">IF(OR(J228="",$A$2=1),"",VLOOKUP(C228&amp;計算!$C$3,宣告利率,2,FALSE))</f>
        <v/>
      </c>
      <c r="F228" s="187" t="str">
        <f t="shared" ca="1" si="10"/>
        <v/>
      </c>
      <c r="G228" s="187" t="str">
        <f t="shared" ca="1" si="11"/>
        <v/>
      </c>
      <c r="H228" s="262" t="str">
        <f ca="1">IF(OR(D228="",ISNA(VLOOKUP($C228,value,$H$146,FALSE)),$A$2=1),"",TEXT(VLOOKUP($C228,value,$H$146,FALSE),IF(OP!$C$22="VACF","#,##0.00","#,##0")))</f>
        <v/>
      </c>
      <c r="I228" s="262" t="str">
        <f ca="1">IF(OR(D228="",ISNA(VLOOKUP($C228,value,$J$146,FALSE)),$A$2=1),"",TEXT(MAX(0,VLOOKUP($C228,value,$J$146,FALSE)),IF(OP!$C$22="VACF","#,##0.00","#,##0")))</f>
        <v/>
      </c>
      <c r="J228" s="262" t="str">
        <f ca="1">IF(OR(D228="",ISNA(VLOOKUP($C228,value,$K$146,FALSE)),$A$2=1),"",TEXT(MAX(0,VLOOKUP($C228,value,$K$146,FALSE)),IF(OP!$C$22="VACF","#,##0.00","#,##0")))</f>
        <v/>
      </c>
      <c r="K228" s="262" t="str">
        <f ca="1">IF(OR(D228="",ISNA(VLOOKUP($C228,value,$L$146,FALSE)),$A$2=1),"",TEXT(MAX(0,VLOOKUP($C228,value,$L$146,FALSE)),IF(OP!$C$22="VACF","#,##0.00","#,##0")))</f>
        <v/>
      </c>
      <c r="L228" s="187" t="str">
        <f t="shared" ca="1" si="12"/>
        <v/>
      </c>
      <c r="M228" s="264" t="str">
        <f ca="1">IF(OR(D228&gt;111,OP!$C215="",$A$2=1),"",TEXT(OP!$C215,IF(OP!$C$22="VACF","#,##0.00","#,##0")))</f>
        <v/>
      </c>
      <c r="N228" s="264" t="str">
        <f ca="1">IF($A$2=1,"",IF(OR(D228&gt;111,OP!$D215="",VLOOKUP(OP!$B$99,OP!$B$99:$E$99,$N$146,0)=1,OP!$D215=0),"",TEXT(OP!$D215,IF(OP!$C$22="VACF","#,##0.00","#,##0"))))</f>
        <v/>
      </c>
    </row>
    <row r="229" spans="2:14" ht="15.75" customHeight="1">
      <c r="B229" s="33" t="str">
        <f t="shared" ca="1" si="5"/>
        <v/>
      </c>
      <c r="C229" s="173" t="str">
        <f t="shared" ca="1" si="6"/>
        <v/>
      </c>
      <c r="D229" s="173" t="str">
        <f ca="1">IF($A$2=1,"",IF(MAX($D$149:$D$203,$D$213:D228)&gt;=110,"",D228+1))</f>
        <v/>
      </c>
      <c r="E229" s="174" t="str">
        <f ca="1">IF(OR(J229="",$A$2=1),"",VLOOKUP(C229&amp;計算!$C$3,宣告利率,2,FALSE))</f>
        <v/>
      </c>
      <c r="F229" s="187" t="str">
        <f t="shared" ca="1" si="10"/>
        <v/>
      </c>
      <c r="G229" s="187" t="str">
        <f t="shared" ca="1" si="11"/>
        <v/>
      </c>
      <c r="H229" s="262" t="str">
        <f ca="1">IF(OR(D229="",ISNA(VLOOKUP($C229,value,$H$146,FALSE)),$A$2=1),"",TEXT(VLOOKUP($C229,value,$H$146,FALSE),IF(OP!$C$22="VACF","#,##0.00","#,##0")))</f>
        <v/>
      </c>
      <c r="I229" s="262" t="str">
        <f ca="1">IF(OR(D229="",ISNA(VLOOKUP($C229,value,$J$146,FALSE)),$A$2=1),"",TEXT(MAX(0,VLOOKUP($C229,value,$J$146,FALSE)),IF(OP!$C$22="VACF","#,##0.00","#,##0")))</f>
        <v/>
      </c>
      <c r="J229" s="262" t="str">
        <f ca="1">IF(OR(D229="",ISNA(VLOOKUP($C229,value,$K$146,FALSE)),$A$2=1),"",TEXT(MAX(0,VLOOKUP($C229,value,$K$146,FALSE)),IF(OP!$C$22="VACF","#,##0.00","#,##0")))</f>
        <v/>
      </c>
      <c r="K229" s="262" t="str">
        <f ca="1">IF(OR(D229="",ISNA(VLOOKUP($C229,value,$L$146,FALSE)),$A$2=1),"",TEXT(MAX(0,VLOOKUP($C229,value,$L$146,FALSE)),IF(OP!$C$22="VACF","#,##0.00","#,##0")))</f>
        <v/>
      </c>
      <c r="L229" s="187" t="str">
        <f t="shared" ca="1" si="12"/>
        <v/>
      </c>
      <c r="M229" s="264" t="str">
        <f ca="1">IF(OR(D229&gt;111,OP!$C216="",$A$2=1),"",TEXT(OP!$C216,IF(OP!$C$22="VACF","#,##0.00","#,##0")))</f>
        <v/>
      </c>
      <c r="N229" s="264" t="str">
        <f ca="1">IF($A$2=1,"",IF(OR(D229&gt;111,OP!$D216="",VLOOKUP(OP!$B$99,OP!$B$99:$E$99,$N$146,0)=1,OP!$D216=0),"",TEXT(OP!$D216,IF(OP!$C$22="VACF","#,##0.00","#,##0"))))</f>
        <v/>
      </c>
    </row>
    <row r="230" spans="2:14" ht="15.75" customHeight="1">
      <c r="B230" s="33" t="str">
        <f t="shared" ca="1" si="5"/>
        <v/>
      </c>
      <c r="C230" s="173" t="str">
        <f t="shared" ca="1" si="6"/>
        <v/>
      </c>
      <c r="D230" s="173" t="str">
        <f ca="1">IF($A$2=1,"",IF(MAX($D$149:$D$203,$D$213:D229)&gt;=110,"",D229+1))</f>
        <v/>
      </c>
      <c r="E230" s="174" t="str">
        <f ca="1">IF(OR(J230="",$A$2=1),"",VLOOKUP(C230&amp;計算!$C$3,宣告利率,2,FALSE))</f>
        <v/>
      </c>
      <c r="F230" s="187" t="str">
        <f t="shared" ca="1" si="10"/>
        <v/>
      </c>
      <c r="G230" s="187" t="str">
        <f t="shared" ca="1" si="11"/>
        <v/>
      </c>
      <c r="H230" s="262" t="str">
        <f ca="1">IF(OR(D230="",ISNA(VLOOKUP($C230,value,$H$146,FALSE)),$A$2=1),"",TEXT(VLOOKUP($C230,value,$H$146,FALSE),IF(OP!$C$22="VACF","#,##0.00","#,##0")))</f>
        <v/>
      </c>
      <c r="I230" s="262" t="str">
        <f ca="1">IF(OR(D230="",ISNA(VLOOKUP($C230,value,$J$146,FALSE)),$A$2=1),"",TEXT(MAX(0,VLOOKUP($C230,value,$J$146,FALSE)),IF(OP!$C$22="VACF","#,##0.00","#,##0")))</f>
        <v/>
      </c>
      <c r="J230" s="262" t="str">
        <f ca="1">IF(OR(D230="",ISNA(VLOOKUP($C230,value,$K$146,FALSE)),$A$2=1),"",TEXT(MAX(0,VLOOKUP($C230,value,$K$146,FALSE)),IF(OP!$C$22="VACF","#,##0.00","#,##0")))</f>
        <v/>
      </c>
      <c r="K230" s="262" t="str">
        <f ca="1">IF(OR(D230="",ISNA(VLOOKUP($C230,value,$L$146,FALSE)),$A$2=1),"",TEXT(MAX(0,VLOOKUP($C230,value,$L$146,FALSE)),IF(OP!$C$22="VACF","#,##0.00","#,##0")))</f>
        <v/>
      </c>
      <c r="L230" s="187" t="str">
        <f t="shared" ca="1" si="12"/>
        <v/>
      </c>
      <c r="M230" s="264" t="str">
        <f ca="1">IF(OR(D230&gt;111,OP!$C217="",$A$2=1),"",TEXT(OP!$C217,IF(OP!$C$22="VACF","#,##0.00","#,##0")))</f>
        <v/>
      </c>
      <c r="N230" s="264" t="str">
        <f ca="1">IF($A$2=1,"",IF(OR(D230&gt;111,OP!$D217="",VLOOKUP(OP!$B$99,OP!$B$99:$E$99,$N$146,0)=1,OP!$D217=0),"",TEXT(OP!$D217,IF(OP!$C$22="VACF","#,##0.00","#,##0"))))</f>
        <v/>
      </c>
    </row>
    <row r="231" spans="2:14" ht="15.75" customHeight="1">
      <c r="B231" s="33" t="str">
        <f t="shared" ca="1" si="5"/>
        <v/>
      </c>
      <c r="C231" s="173" t="str">
        <f t="shared" ca="1" si="6"/>
        <v/>
      </c>
      <c r="D231" s="173" t="str">
        <f ca="1">IF($A$2=1,"",IF(MAX($D$149:$D$203,$D$213:D230)&gt;=110,"",D230+1))</f>
        <v/>
      </c>
      <c r="E231" s="174" t="str">
        <f ca="1">IF(OR(J231="",$A$2=1),"",VLOOKUP(C231&amp;計算!$C$3,宣告利率,2,FALSE))</f>
        <v/>
      </c>
      <c r="F231" s="187" t="str">
        <f t="shared" ca="1" si="10"/>
        <v/>
      </c>
      <c r="G231" s="187" t="str">
        <f t="shared" ca="1" si="11"/>
        <v/>
      </c>
      <c r="H231" s="262" t="str">
        <f ca="1">IF(OR(D231="",ISNA(VLOOKUP($C231,value,$H$146,FALSE)),$A$2=1),"",TEXT(VLOOKUP($C231,value,$H$146,FALSE),IF(OP!$C$22="VACF","#,##0.00","#,##0")))</f>
        <v/>
      </c>
      <c r="I231" s="262" t="str">
        <f ca="1">IF(OR(D231="",ISNA(VLOOKUP($C231,value,$J$146,FALSE)),$A$2=1),"",TEXT(MAX(0,VLOOKUP($C231,value,$J$146,FALSE)),IF(OP!$C$22="VACF","#,##0.00","#,##0")))</f>
        <v/>
      </c>
      <c r="J231" s="262" t="str">
        <f ca="1">IF(OR(D231="",ISNA(VLOOKUP($C231,value,$K$146,FALSE)),$A$2=1),"",TEXT(MAX(0,VLOOKUP($C231,value,$K$146,FALSE)),IF(OP!$C$22="VACF","#,##0.00","#,##0")))</f>
        <v/>
      </c>
      <c r="K231" s="262" t="str">
        <f ca="1">IF(OR(D231="",ISNA(VLOOKUP($C231,value,$L$146,FALSE)),$A$2=1),"",TEXT(MAX(0,VLOOKUP($C231,value,$L$146,FALSE)),IF(OP!$C$22="VACF","#,##0.00","#,##0")))</f>
        <v/>
      </c>
      <c r="L231" s="187" t="str">
        <f t="shared" ca="1" si="12"/>
        <v/>
      </c>
      <c r="M231" s="264" t="str">
        <f ca="1">IF(OR(D231&gt;111,OP!$C218="",$A$2=1),"",TEXT(OP!$C218,IF(OP!$C$22="VACF","#,##0.00","#,##0")))</f>
        <v/>
      </c>
      <c r="N231" s="264" t="str">
        <f ca="1">IF($A$2=1,"",IF(OR(D231&gt;111,OP!$D218="",VLOOKUP(OP!$B$99,OP!$B$99:$E$99,$N$146,0)=1,OP!$D218=0),"",TEXT(OP!$D218,IF(OP!$C$22="VACF","#,##0.00","#,##0"))))</f>
        <v/>
      </c>
    </row>
    <row r="232" spans="2:14" ht="15.75" customHeight="1">
      <c r="B232" s="33" t="str">
        <f t="shared" ref="B232:B268" ca="1" si="13">IF(D232="","",B231+(D232-D231))</f>
        <v/>
      </c>
      <c r="C232" s="173" t="str">
        <f t="shared" ref="C232:C254" ca="1" si="14">IF(D232="","",C231+(D232-D231))</f>
        <v/>
      </c>
      <c r="D232" s="173" t="str">
        <f ca="1">IF($A$2=1,"",IF(MAX($D$149:$D$203,$D$213:D231)&gt;=110,"",D231+1))</f>
        <v/>
      </c>
      <c r="E232" s="174" t="str">
        <f ca="1">IF(OR(J232="",$A$2=1),"",VLOOKUP(C232&amp;計算!$C$3,宣告利率,2,FALSE))</f>
        <v/>
      </c>
      <c r="F232" s="187" t="str">
        <f t="shared" ca="1" si="10"/>
        <v/>
      </c>
      <c r="G232" s="187" t="str">
        <f t="shared" ca="1" si="11"/>
        <v/>
      </c>
      <c r="H232" s="262" t="str">
        <f ca="1">IF(OR(D232="",ISNA(VLOOKUP($C232,value,$H$146,FALSE)),$A$2=1),"",TEXT(VLOOKUP($C232,value,$H$146,FALSE),IF(OP!$C$22="VACF","#,##0.00","#,##0")))</f>
        <v/>
      </c>
      <c r="I232" s="262" t="str">
        <f ca="1">IF(OR(D232="",ISNA(VLOOKUP($C232,value,$J$146,FALSE)),$A$2=1),"",TEXT(MAX(0,VLOOKUP($C232,value,$J$146,FALSE)),IF(OP!$C$22="VACF","#,##0.00","#,##0")))</f>
        <v/>
      </c>
      <c r="J232" s="262" t="str">
        <f ca="1">IF(OR(D232="",ISNA(VLOOKUP($C232,value,$K$146,FALSE)),$A$2=1),"",TEXT(MAX(0,VLOOKUP($C232,value,$K$146,FALSE)),IF(OP!$C$22="VACF","#,##0.00","#,##0")))</f>
        <v/>
      </c>
      <c r="K232" s="262" t="str">
        <f ca="1">IF(OR(D232="",ISNA(VLOOKUP($C232,value,$L$146,FALSE)),$A$2=1),"",TEXT(MAX(0,VLOOKUP($C232,value,$L$146,FALSE)),IF(OP!$C$22="VACF","#,##0.00","#,##0")))</f>
        <v/>
      </c>
      <c r="L232" s="187" t="str">
        <f t="shared" ca="1" si="12"/>
        <v/>
      </c>
      <c r="M232" s="264" t="str">
        <f ca="1">IF(OR(D232&gt;111,OP!$C219="",$A$2=1),"",TEXT(OP!$C219,IF(OP!$C$22="VACF","#,##0.00","#,##0")))</f>
        <v/>
      </c>
      <c r="N232" s="264" t="str">
        <f ca="1">IF($A$2=1,"",IF(OR(D232&gt;111,OP!$D219="",VLOOKUP(OP!$B$99,OP!$B$99:$E$99,$N$146,0)=1,OP!$D219=0),"",TEXT(OP!$D219,IF(OP!$C$22="VACF","#,##0.00","#,##0"))))</f>
        <v/>
      </c>
    </row>
    <row r="233" spans="2:14" ht="15.75" customHeight="1">
      <c r="B233" s="33" t="str">
        <f t="shared" ca="1" si="13"/>
        <v/>
      </c>
      <c r="C233" s="46" t="str">
        <f t="shared" ca="1" si="14"/>
        <v/>
      </c>
      <c r="D233" s="46" t="str">
        <f ca="1">IF($A$2=1,"",IF(MAX($D$149:$D$203,$D$213:D232)&gt;=110,"",D232+1))</f>
        <v/>
      </c>
      <c r="E233" s="47" t="str">
        <f ca="1">IF(OR(J233="",$A$2=1),"",VLOOKUP(C233&amp;計算!$C$3,宣告利率,2,FALSE))</f>
        <v/>
      </c>
      <c r="F233" s="188" t="str">
        <f t="shared" ca="1" si="10"/>
        <v/>
      </c>
      <c r="G233" s="188" t="str">
        <f t="shared" ca="1" si="11"/>
        <v/>
      </c>
      <c r="H233" s="263" t="str">
        <f ca="1">IF(OR(D233="",ISNA(VLOOKUP($C233,value,$H$146,FALSE)),$A$2=1),"",TEXT(VLOOKUP($C233,value,$H$146,FALSE),IF(OP!$C$22="VACF","#,##0.00","#,##0")))</f>
        <v/>
      </c>
      <c r="I233" s="263" t="str">
        <f ca="1">IF(OR(D233="",ISNA(VLOOKUP($C233,value,$J$146,FALSE)),$A$2=1),"",TEXT(MAX(0,VLOOKUP($C233,value,$J$146,FALSE)),IF(OP!$C$22="VACF","#,##0.00","#,##0")))</f>
        <v/>
      </c>
      <c r="J233" s="263" t="str">
        <f ca="1">IF(OR(D233="",ISNA(VLOOKUP($C233,value,$K$146,FALSE)),$A$2=1),"",TEXT(MAX(0,VLOOKUP($C233,value,$K$146,FALSE)),IF(OP!$C$22="VACF","#,##0.00","#,##0")))</f>
        <v/>
      </c>
      <c r="K233" s="263" t="str">
        <f ca="1">IF(OR(D233="",ISNA(VLOOKUP($C233,value,$L$146,FALSE)),$A$2=1),"",TEXT(MAX(0,VLOOKUP($C233,value,$L$146,FALSE)),IF(OP!$C$22="VACF","#,##0.00","#,##0")))</f>
        <v/>
      </c>
      <c r="L233" s="188" t="str">
        <f t="shared" ca="1" si="12"/>
        <v/>
      </c>
      <c r="M233" s="265" t="str">
        <f ca="1">IF(OR(D233&gt;111,OP!$C220="",$A$2=1),"",TEXT(OP!$C220,IF(OP!$C$22="VACF","#,##0.00","#,##0")))</f>
        <v/>
      </c>
      <c r="N233" s="265" t="str">
        <f ca="1">IF($A$2=1,"",IF(OR(D233&gt;111,OP!$D220="",VLOOKUP(OP!$B$99,OP!$B$99:$E$99,$N$146,0)=1,OP!$D220=0),"",TEXT(OP!$D220,IF(OP!$C$22="VACF","#,##0.00","#,##0"))))</f>
        <v/>
      </c>
    </row>
    <row r="234" spans="2:14" ht="15.75" customHeight="1">
      <c r="B234" s="33" t="str">
        <f t="shared" ca="1" si="13"/>
        <v/>
      </c>
      <c r="C234" s="46" t="str">
        <f t="shared" ca="1" si="14"/>
        <v/>
      </c>
      <c r="D234" s="46" t="str">
        <f ca="1">IF($A$2=1,"",IF(MAX($D$149:$D$203,$D$213:D233)&gt;=110,"",D233+1))</f>
        <v/>
      </c>
      <c r="E234" s="47" t="str">
        <f ca="1">IF(OR(J234="",$A$2=1),"",VLOOKUP(C234&amp;計算!$C$3,宣告利率,2,FALSE))</f>
        <v/>
      </c>
      <c r="F234" s="188" t="str">
        <f t="shared" ca="1" si="10"/>
        <v/>
      </c>
      <c r="G234" s="188" t="str">
        <f t="shared" ca="1" si="11"/>
        <v/>
      </c>
      <c r="H234" s="263" t="str">
        <f ca="1">IF(OR(D234="",ISNA(VLOOKUP($C234,value,$H$146,FALSE)),$A$2=1),"",TEXT(VLOOKUP($C234,value,$H$146,FALSE),IF(OP!$C$22="VACF","#,##0.00","#,##0")))</f>
        <v/>
      </c>
      <c r="I234" s="263" t="str">
        <f ca="1">IF(OR(D234="",ISNA(VLOOKUP($C234,value,$J$146,FALSE)),$A$2=1),"",TEXT(MAX(0,VLOOKUP($C234,value,$J$146,FALSE)),IF(OP!$C$22="VACF","#,##0.00","#,##0")))</f>
        <v/>
      </c>
      <c r="J234" s="263" t="str">
        <f ca="1">IF(OR(D234="",ISNA(VLOOKUP($C234,value,$K$146,FALSE)),$A$2=1),"",TEXT(MAX(0,VLOOKUP($C234,value,$K$146,FALSE)),IF(OP!$C$22="VACF","#,##0.00","#,##0")))</f>
        <v/>
      </c>
      <c r="K234" s="263" t="str">
        <f ca="1">IF(OR(D234="",ISNA(VLOOKUP($C234,value,$L$146,FALSE)),$A$2=1),"",TEXT(MAX(0,VLOOKUP($C234,value,$L$146,FALSE)),IF(OP!$C$22="VACF","#,##0.00","#,##0")))</f>
        <v/>
      </c>
      <c r="L234" s="188" t="str">
        <f t="shared" ca="1" si="12"/>
        <v/>
      </c>
      <c r="M234" s="265" t="str">
        <f ca="1">IF(OR(D234&gt;111,OP!$C221="",$A$2=1),"",TEXT(OP!$C221,IF(OP!$C$22="VACF","#,##0.00","#,##0")))</f>
        <v/>
      </c>
      <c r="N234" s="265" t="str">
        <f ca="1">IF($A$2=1,"",IF(OR(D234&gt;111,OP!$D221="",VLOOKUP(OP!$B$99,OP!$B$99:$E$99,$N$146,0)=1,OP!$D221=0),"",TEXT(OP!$D221,IF(OP!$C$22="VACF","#,##0.00","#,##0"))))</f>
        <v/>
      </c>
    </row>
    <row r="235" spans="2:14" ht="15.75" customHeight="1">
      <c r="B235" s="33" t="str">
        <f t="shared" ca="1" si="13"/>
        <v/>
      </c>
      <c r="C235" s="46" t="str">
        <f t="shared" ca="1" si="14"/>
        <v/>
      </c>
      <c r="D235" s="46" t="str">
        <f ca="1">IF($A$2=1,"",IF(MAX($D$149:$D$203,$D$213:D234)&gt;=110,"",D234+1))</f>
        <v/>
      </c>
      <c r="E235" s="47" t="str">
        <f ca="1">IF(OR(J235="",$A$2=1),"",VLOOKUP(C235&amp;計算!$C$3,宣告利率,2,FALSE))</f>
        <v/>
      </c>
      <c r="F235" s="188" t="str">
        <f t="shared" ca="1" si="10"/>
        <v/>
      </c>
      <c r="G235" s="188" t="str">
        <f t="shared" ca="1" si="11"/>
        <v/>
      </c>
      <c r="H235" s="263" t="str">
        <f ca="1">IF(OR(D235="",ISNA(VLOOKUP($C235,value,$H$146,FALSE)),$A$2=1),"",TEXT(VLOOKUP($C235,value,$H$146,FALSE),IF(OP!$C$22="VACF","#,##0.00","#,##0")))</f>
        <v/>
      </c>
      <c r="I235" s="263" t="str">
        <f ca="1">IF(OR(D235="",ISNA(VLOOKUP($C235,value,$J$146,FALSE)),$A$2=1),"",TEXT(MAX(0,VLOOKUP($C235,value,$J$146,FALSE)),IF(OP!$C$22="VACF","#,##0.00","#,##0")))</f>
        <v/>
      </c>
      <c r="J235" s="263" t="str">
        <f ca="1">IF(OR(D235="",ISNA(VLOOKUP($C235,value,$K$146,FALSE)),$A$2=1),"",TEXT(MAX(0,VLOOKUP($C235,value,$K$146,FALSE)),IF(OP!$C$22="VACF","#,##0.00","#,##0")))</f>
        <v/>
      </c>
      <c r="K235" s="263" t="str">
        <f ca="1">IF(OR(D235="",ISNA(VLOOKUP($C235,value,$L$146,FALSE)),$A$2=1),"",TEXT(MAX(0,VLOOKUP($C235,value,$L$146,FALSE)),IF(OP!$C$22="VACF","#,##0.00","#,##0")))</f>
        <v/>
      </c>
      <c r="L235" s="188" t="str">
        <f t="shared" ca="1" si="12"/>
        <v/>
      </c>
      <c r="M235" s="265" t="str">
        <f ca="1">IF(OR(D235&gt;111,OP!$C222="",$A$2=1),"",TEXT(OP!$C222,IF(OP!$C$22="VACF","#,##0.00","#,##0")))</f>
        <v/>
      </c>
      <c r="N235" s="265" t="str">
        <f ca="1">IF($A$2=1,"",IF(OR(D235&gt;111,OP!$D222="",VLOOKUP(OP!$B$99,OP!$B$99:$E$99,$N$146,0)=1,OP!$D222=0),"",TEXT(OP!$D222,IF(OP!$C$22="VACF","#,##0.00","#,##0"))))</f>
        <v/>
      </c>
    </row>
    <row r="236" spans="2:14" ht="15.75" customHeight="1">
      <c r="B236" s="33" t="str">
        <f t="shared" ca="1" si="13"/>
        <v/>
      </c>
      <c r="C236" s="46" t="str">
        <f t="shared" ca="1" si="14"/>
        <v/>
      </c>
      <c r="D236" s="46" t="str">
        <f ca="1">IF($A$2=1,"",IF(MAX($D$149:$D$203,$D$213:D235)&gt;=110,"",D235+1))</f>
        <v/>
      </c>
      <c r="E236" s="47" t="str">
        <f ca="1">IF(OR(J236="",$A$2=1),"",VLOOKUP(C236&amp;計算!$C$3,宣告利率,2,FALSE))</f>
        <v/>
      </c>
      <c r="F236" s="188" t="str">
        <f t="shared" ca="1" si="10"/>
        <v/>
      </c>
      <c r="G236" s="188" t="str">
        <f t="shared" ca="1" si="11"/>
        <v/>
      </c>
      <c r="H236" s="263" t="str">
        <f ca="1">IF(OR(D236="",ISNA(VLOOKUP($C236,value,$H$146,FALSE)),$A$2=1),"",TEXT(VLOOKUP($C236,value,$H$146,FALSE),IF(OP!$C$22="VACF","#,##0.00","#,##0")))</f>
        <v/>
      </c>
      <c r="I236" s="263" t="str">
        <f ca="1">IF(OR(D236="",ISNA(VLOOKUP($C236,value,$J$146,FALSE)),$A$2=1),"",TEXT(MAX(0,VLOOKUP($C236,value,$J$146,FALSE)),IF(OP!$C$22="VACF","#,##0.00","#,##0")))</f>
        <v/>
      </c>
      <c r="J236" s="263" t="str">
        <f ca="1">IF(OR(D236="",ISNA(VLOOKUP($C236,value,$K$146,FALSE)),$A$2=1),"",TEXT(MAX(0,VLOOKUP($C236,value,$K$146,FALSE)),IF(OP!$C$22="VACF","#,##0.00","#,##0")))</f>
        <v/>
      </c>
      <c r="K236" s="263" t="str">
        <f ca="1">IF(OR(D236="",ISNA(VLOOKUP($C236,value,$L$146,FALSE)),$A$2=1),"",TEXT(MAX(0,VLOOKUP($C236,value,$L$146,FALSE)),IF(OP!$C$22="VACF","#,##0.00","#,##0")))</f>
        <v/>
      </c>
      <c r="L236" s="188" t="str">
        <f t="shared" ca="1" si="12"/>
        <v/>
      </c>
      <c r="M236" s="265" t="str">
        <f ca="1">IF(OR(D236&gt;111,OP!$C223="",$A$2=1),"",TEXT(OP!$C223,IF(OP!$C$22="VACF","#,##0.00","#,##0")))</f>
        <v/>
      </c>
      <c r="N236" s="265" t="str">
        <f ca="1">IF($A$2=1,"",IF(OR(D236&gt;111,OP!$D223="",VLOOKUP(OP!$B$99,OP!$B$99:$E$99,$N$146,0)=1,OP!$D223=0),"",TEXT(OP!$D223,IF(OP!$C$22="VACF","#,##0.00","#,##0"))))</f>
        <v/>
      </c>
    </row>
    <row r="237" spans="2:14" ht="15.75" customHeight="1">
      <c r="B237" s="33" t="str">
        <f t="shared" ca="1" si="13"/>
        <v/>
      </c>
      <c r="C237" s="46" t="str">
        <f t="shared" ca="1" si="14"/>
        <v/>
      </c>
      <c r="D237" s="46" t="str">
        <f ca="1">IF($A$2=1,"",IF(MAX($D$149:$D$203,$D$213:D236)&gt;=110,"",D236+1))</f>
        <v/>
      </c>
      <c r="E237" s="47" t="str">
        <f ca="1">IF(OR(J237="",$A$2=1),"",VLOOKUP(C237&amp;計算!$C$3,宣告利率,2,FALSE))</f>
        <v/>
      </c>
      <c r="F237" s="188" t="str">
        <f t="shared" ca="1" si="10"/>
        <v/>
      </c>
      <c r="G237" s="188" t="str">
        <f t="shared" ca="1" si="11"/>
        <v/>
      </c>
      <c r="H237" s="263" t="str">
        <f ca="1">IF(OR(D237="",ISNA(VLOOKUP($C237,value,$H$146,FALSE)),$A$2=1),"",TEXT(VLOOKUP($C237,value,$H$146,FALSE),IF(OP!$C$22="VACF","#,##0.00","#,##0")))</f>
        <v/>
      </c>
      <c r="I237" s="263" t="str">
        <f ca="1">IF(OR(D237="",ISNA(VLOOKUP($C237,value,$J$146,FALSE)),$A$2=1),"",TEXT(MAX(0,VLOOKUP($C237,value,$J$146,FALSE)),IF(OP!$C$22="VACF","#,##0.00","#,##0")))</f>
        <v/>
      </c>
      <c r="J237" s="263" t="str">
        <f ca="1">IF(OR(D237="",ISNA(VLOOKUP($C237,value,$K$146,FALSE)),$A$2=1),"",TEXT(MAX(0,VLOOKUP($C237,value,$K$146,FALSE)),IF(OP!$C$22="VACF","#,##0.00","#,##0")))</f>
        <v/>
      </c>
      <c r="K237" s="263" t="str">
        <f ca="1">IF(OR(D237="",ISNA(VLOOKUP($C237,value,$L$146,FALSE)),$A$2=1),"",TEXT(MAX(0,VLOOKUP($C237,value,$L$146,FALSE)),IF(OP!$C$22="VACF","#,##0.00","#,##0")))</f>
        <v/>
      </c>
      <c r="L237" s="188" t="str">
        <f t="shared" ca="1" si="12"/>
        <v/>
      </c>
      <c r="M237" s="265" t="str">
        <f ca="1">IF(OR(D237&gt;111,OP!$C224="",$A$2=1),"",TEXT(OP!$C224,IF(OP!$C$22="VACF","#,##0.00","#,##0")))</f>
        <v/>
      </c>
      <c r="N237" s="265" t="str">
        <f ca="1">IF($A$2=1,"",IF(OR(D237&gt;111,OP!$D224="",VLOOKUP(OP!$B$99,OP!$B$99:$E$99,$N$146,0)=1,OP!$D224=0),"",TEXT(OP!$D224,IF(OP!$C$22="VACF","#,##0.00","#,##0"))))</f>
        <v/>
      </c>
    </row>
    <row r="238" spans="2:14" ht="15.75" customHeight="1">
      <c r="B238" s="33" t="str">
        <f t="shared" ca="1" si="13"/>
        <v/>
      </c>
      <c r="C238" s="173" t="str">
        <f t="shared" ca="1" si="14"/>
        <v/>
      </c>
      <c r="D238" s="173" t="str">
        <f ca="1">IF($A$2=1,"",IF(MAX($D$149:$D$203,$D$213:D237)&gt;=110,"",D237+1))</f>
        <v/>
      </c>
      <c r="E238" s="174" t="str">
        <f ca="1">IF(OR(J238="",$A$2=1),"",VLOOKUP(C238&amp;計算!$C$3,宣告利率,2,FALSE))</f>
        <v/>
      </c>
      <c r="F238" s="187" t="str">
        <f t="shared" ca="1" si="10"/>
        <v/>
      </c>
      <c r="G238" s="187" t="str">
        <f t="shared" ca="1" si="11"/>
        <v/>
      </c>
      <c r="H238" s="262" t="str">
        <f ca="1">IF(OR(D238="",ISNA(VLOOKUP($C238,value,$H$146,FALSE)),$A$2=1),"",TEXT(VLOOKUP($C238,value,$H$146,FALSE),IF(OP!$C$22="VACF","#,##0.00","#,##0")))</f>
        <v/>
      </c>
      <c r="I238" s="262" t="str">
        <f ca="1">IF(OR(D238="",ISNA(VLOOKUP($C238,value,$J$146,FALSE)),$A$2=1),"",TEXT(MAX(0,VLOOKUP($C238,value,$J$146,FALSE)),IF(OP!$C$22="VACF","#,##0.00","#,##0")))</f>
        <v/>
      </c>
      <c r="J238" s="262" t="str">
        <f ca="1">IF(OR(D238="",ISNA(VLOOKUP($C238,value,$K$146,FALSE)),$A$2=1),"",TEXT(MAX(0,VLOOKUP($C238,value,$K$146,FALSE)),IF(OP!$C$22="VACF","#,##0.00","#,##0")))</f>
        <v/>
      </c>
      <c r="K238" s="262" t="str">
        <f ca="1">IF(OR(D238="",ISNA(VLOOKUP($C238,value,$L$146,FALSE)),$A$2=1),"",TEXT(MAX(0,VLOOKUP($C238,value,$L$146,FALSE)),IF(OP!$C$22="VACF","#,##0.00","#,##0")))</f>
        <v/>
      </c>
      <c r="L238" s="187" t="str">
        <f t="shared" ca="1" si="12"/>
        <v/>
      </c>
      <c r="M238" s="264" t="str">
        <f ca="1">IF(OR(D238&gt;111,OP!$C225="",$A$2=1),"",TEXT(OP!$C225,IF(OP!$C$22="VACF","#,##0.00","#,##0")))</f>
        <v/>
      </c>
      <c r="N238" s="264" t="str">
        <f ca="1">IF($A$2=1,"",IF(OR(D238&gt;111,OP!$D225="",VLOOKUP(OP!$B$99,OP!$B$99:$E$99,$N$146,0)=1,OP!$D225=0),"",TEXT(OP!$D225,IF(OP!$C$22="VACF","#,##0.00","#,##0"))))</f>
        <v/>
      </c>
    </row>
    <row r="239" spans="2:14" ht="15.75" customHeight="1">
      <c r="B239" s="33" t="str">
        <f t="shared" ca="1" si="13"/>
        <v/>
      </c>
      <c r="C239" s="173" t="str">
        <f t="shared" ca="1" si="14"/>
        <v/>
      </c>
      <c r="D239" s="173" t="str">
        <f ca="1">IF($A$2=1,"",IF(MAX($D$149:$D$203,$D$213:D238)&gt;=110,"",D238+1))</f>
        <v/>
      </c>
      <c r="E239" s="174" t="str">
        <f ca="1">IF(OR(J239="",$A$2=1),"",VLOOKUP(C239&amp;計算!$C$3,宣告利率,2,FALSE))</f>
        <v/>
      </c>
      <c r="F239" s="187" t="str">
        <f t="shared" ca="1" si="10"/>
        <v/>
      </c>
      <c r="G239" s="187" t="str">
        <f t="shared" ca="1" si="11"/>
        <v/>
      </c>
      <c r="H239" s="262" t="str">
        <f ca="1">IF(OR(D239="",ISNA(VLOOKUP($C239,value,$H$146,FALSE)),$A$2=1),"",TEXT(VLOOKUP($C239,value,$H$146,FALSE),IF(OP!$C$22="VACF","#,##0.00","#,##0")))</f>
        <v/>
      </c>
      <c r="I239" s="262" t="str">
        <f ca="1">IF(OR(D239="",ISNA(VLOOKUP($C239,value,$J$146,FALSE)),$A$2=1),"",TEXT(MAX(0,VLOOKUP($C239,value,$J$146,FALSE)),IF(OP!$C$22="VACF","#,##0.00","#,##0")))</f>
        <v/>
      </c>
      <c r="J239" s="262" t="str">
        <f ca="1">IF(OR(D239="",ISNA(VLOOKUP($C239,value,$K$146,FALSE)),$A$2=1),"",TEXT(MAX(0,VLOOKUP($C239,value,$K$146,FALSE)),IF(OP!$C$22="VACF","#,##0.00","#,##0")))</f>
        <v/>
      </c>
      <c r="K239" s="262" t="str">
        <f ca="1">IF(OR(D239="",ISNA(VLOOKUP($C239,value,$L$146,FALSE)),$A$2=1),"",TEXT(MAX(0,VLOOKUP($C239,value,$L$146,FALSE)),IF(OP!$C$22="VACF","#,##0.00","#,##0")))</f>
        <v/>
      </c>
      <c r="L239" s="187" t="str">
        <f t="shared" ca="1" si="12"/>
        <v/>
      </c>
      <c r="M239" s="264" t="str">
        <f ca="1">IF(OR(D239&gt;111,OP!$C226="",$A$2=1),"",TEXT(OP!$C226,IF(OP!$C$22="VACF","#,##0.00","#,##0")))</f>
        <v/>
      </c>
      <c r="N239" s="264" t="str">
        <f ca="1">IF($A$2=1,"",IF(OR(D239&gt;111,OP!$D226="",VLOOKUP(OP!$B$99,OP!$B$99:$E$99,$N$146,0)=1,OP!$D226=0),"",TEXT(OP!$D226,IF(OP!$C$22="VACF","#,##0.00","#,##0"))))</f>
        <v/>
      </c>
    </row>
    <row r="240" spans="2:14" ht="15.75" customHeight="1">
      <c r="B240" s="33" t="str">
        <f t="shared" ca="1" si="13"/>
        <v/>
      </c>
      <c r="C240" s="173" t="str">
        <f t="shared" ca="1" si="14"/>
        <v/>
      </c>
      <c r="D240" s="173" t="str">
        <f ca="1">IF($A$2=1,"",IF(MAX($D$149:$D$203,$D$213:D239)&gt;=110,"",D239+1))</f>
        <v/>
      </c>
      <c r="E240" s="174" t="str">
        <f ca="1">IF(OR(J240="",$A$2=1),"",VLOOKUP(C240&amp;計算!$C$3,宣告利率,2,FALSE))</f>
        <v/>
      </c>
      <c r="F240" s="187" t="str">
        <f t="shared" ca="1" si="10"/>
        <v/>
      </c>
      <c r="G240" s="187" t="str">
        <f t="shared" ca="1" si="11"/>
        <v/>
      </c>
      <c r="H240" s="262" t="str">
        <f ca="1">IF(OR(D240="",ISNA(VLOOKUP($C240,value,$H$146,FALSE)),$A$2=1),"",TEXT(VLOOKUP($C240,value,$H$146,FALSE),IF(OP!$C$22="VACF","#,##0.00","#,##0")))</f>
        <v/>
      </c>
      <c r="I240" s="262" t="str">
        <f ca="1">IF(OR(D240="",ISNA(VLOOKUP($C240,value,$J$146,FALSE)),$A$2=1),"",TEXT(MAX(0,VLOOKUP($C240,value,$J$146,FALSE)),IF(OP!$C$22="VACF","#,##0.00","#,##0")))</f>
        <v/>
      </c>
      <c r="J240" s="262" t="str">
        <f ca="1">IF(OR(D240="",ISNA(VLOOKUP($C240,value,$K$146,FALSE)),$A$2=1),"",TEXT(MAX(0,VLOOKUP($C240,value,$K$146,FALSE)),IF(OP!$C$22="VACF","#,##0.00","#,##0")))</f>
        <v/>
      </c>
      <c r="K240" s="262" t="str">
        <f ca="1">IF(OR(D240="",ISNA(VLOOKUP($C240,value,$L$146,FALSE)),$A$2=1),"",TEXT(MAX(0,VLOOKUP($C240,value,$L$146,FALSE)),IF(OP!$C$22="VACF","#,##0.00","#,##0")))</f>
        <v/>
      </c>
      <c r="L240" s="187" t="str">
        <f t="shared" ca="1" si="12"/>
        <v/>
      </c>
      <c r="M240" s="264" t="str">
        <f ca="1">IF(OR(D240&gt;111,OP!$C227="",$A$2=1),"",TEXT(OP!$C227,IF(OP!$C$22="VACF","#,##0.00","#,##0")))</f>
        <v/>
      </c>
      <c r="N240" s="264" t="str">
        <f ca="1">IF($A$2=1,"",IF(OR(D240&gt;111,OP!$D227="",VLOOKUP(OP!$B$99,OP!$B$99:$E$99,$N$146,0)=1,OP!$D227=0),"",TEXT(OP!$D227,IF(OP!$C$22="VACF","#,##0.00","#,##0"))))</f>
        <v/>
      </c>
    </row>
    <row r="241" spans="2:14" ht="15.75" customHeight="1">
      <c r="B241" s="33" t="str">
        <f t="shared" ca="1" si="13"/>
        <v/>
      </c>
      <c r="C241" s="173" t="str">
        <f t="shared" ca="1" si="14"/>
        <v/>
      </c>
      <c r="D241" s="173" t="str">
        <f ca="1">IF($A$2=1,"",IF(MAX($D$149:$D$203,$D$213:D240)&gt;=110,"",D240+1))</f>
        <v/>
      </c>
      <c r="E241" s="174" t="str">
        <f ca="1">IF(OR(J241="",$A$2=1),"",VLOOKUP(C241&amp;計算!$C$3,宣告利率,2,FALSE))</f>
        <v/>
      </c>
      <c r="F241" s="187" t="str">
        <f t="shared" ca="1" si="10"/>
        <v/>
      </c>
      <c r="G241" s="187" t="str">
        <f t="shared" ca="1" si="11"/>
        <v/>
      </c>
      <c r="H241" s="262" t="str">
        <f ca="1">IF(OR(D241="",ISNA(VLOOKUP($C241,value,$H$146,FALSE)),$A$2=1),"",TEXT(VLOOKUP($C241,value,$H$146,FALSE),IF(OP!$C$22="VACF","#,##0.00","#,##0")))</f>
        <v/>
      </c>
      <c r="I241" s="262" t="str">
        <f ca="1">IF(OR(D241="",ISNA(VLOOKUP($C241,value,$J$146,FALSE)),$A$2=1),"",TEXT(MAX(0,VLOOKUP($C241,value,$J$146,FALSE)),IF(OP!$C$22="VACF","#,##0.00","#,##0")))</f>
        <v/>
      </c>
      <c r="J241" s="262" t="str">
        <f ca="1">IF(OR(D241="",ISNA(VLOOKUP($C241,value,$K$146,FALSE)),$A$2=1),"",TEXT(MAX(0,VLOOKUP($C241,value,$K$146,FALSE)),IF(OP!$C$22="VACF","#,##0.00","#,##0")))</f>
        <v/>
      </c>
      <c r="K241" s="262" t="str">
        <f ca="1">IF(OR(D241="",ISNA(VLOOKUP($C241,value,$L$146,FALSE)),$A$2=1),"",TEXT(MAX(0,VLOOKUP($C241,value,$L$146,FALSE)),IF(OP!$C$22="VACF","#,##0.00","#,##0")))</f>
        <v/>
      </c>
      <c r="L241" s="187" t="str">
        <f t="shared" ca="1" si="12"/>
        <v/>
      </c>
      <c r="M241" s="264" t="str">
        <f ca="1">IF(OR(D241&gt;111,OP!$C228="",$A$2=1),"",TEXT(OP!$C228,IF(OP!$C$22="VACF","#,##0.00","#,##0")))</f>
        <v/>
      </c>
      <c r="N241" s="264" t="str">
        <f ca="1">IF($A$2=1,"",IF(OR(D241&gt;111,OP!$D228="",VLOOKUP(OP!$B$99,OP!$B$99:$E$99,$N$146,0)=1,OP!$D228=0),"",TEXT(OP!$D228,IF(OP!$C$22="VACF","#,##0.00","#,##0"))))</f>
        <v/>
      </c>
    </row>
    <row r="242" spans="2:14" ht="15.75" customHeight="1">
      <c r="B242" s="33" t="str">
        <f t="shared" ca="1" si="13"/>
        <v/>
      </c>
      <c r="C242" s="173" t="str">
        <f t="shared" ca="1" si="14"/>
        <v/>
      </c>
      <c r="D242" s="173" t="str">
        <f ca="1">IF($A$2=1,"",IF(MAX($D$149:$D$203,$D$213:D241)&gt;=110,"",D241+1))</f>
        <v/>
      </c>
      <c r="E242" s="174" t="str">
        <f ca="1">IF(OR(J242="",$A$2=1),"",VLOOKUP(C242&amp;計算!$C$3,宣告利率,2,FALSE))</f>
        <v/>
      </c>
      <c r="F242" s="187" t="str">
        <f t="shared" ca="1" si="10"/>
        <v/>
      </c>
      <c r="G242" s="187" t="str">
        <f t="shared" ca="1" si="11"/>
        <v/>
      </c>
      <c r="H242" s="262" t="str">
        <f ca="1">IF(OR(D242="",ISNA(VLOOKUP($C242,value,$H$146,FALSE)),$A$2=1),"",TEXT(VLOOKUP($C242,value,$H$146,FALSE),IF(OP!$C$22="VACF","#,##0.00","#,##0")))</f>
        <v/>
      </c>
      <c r="I242" s="262" t="str">
        <f ca="1">IF(OR(D242="",ISNA(VLOOKUP($C242,value,$J$146,FALSE)),$A$2=1),"",TEXT(MAX(0,VLOOKUP($C242,value,$J$146,FALSE)),IF(OP!$C$22="VACF","#,##0.00","#,##0")))</f>
        <v/>
      </c>
      <c r="J242" s="262" t="str">
        <f ca="1">IF(OR(D242="",ISNA(VLOOKUP($C242,value,$K$146,FALSE)),$A$2=1),"",TEXT(MAX(0,VLOOKUP($C242,value,$K$146,FALSE)),IF(OP!$C$22="VACF","#,##0.00","#,##0")))</f>
        <v/>
      </c>
      <c r="K242" s="262" t="str">
        <f ca="1">IF(OR(D242="",ISNA(VLOOKUP($C242,value,$L$146,FALSE)),$A$2=1),"",TEXT(MAX(0,VLOOKUP($C242,value,$L$146,FALSE)),IF(OP!$C$22="VACF","#,##0.00","#,##0")))</f>
        <v/>
      </c>
      <c r="L242" s="187" t="str">
        <f t="shared" ca="1" si="12"/>
        <v/>
      </c>
      <c r="M242" s="264" t="str">
        <f ca="1">IF(OR(D242&gt;111,OP!$C229="",$A$2=1),"",TEXT(OP!$C229,IF(OP!$C$22="VACF","#,##0.00","#,##0")))</f>
        <v/>
      </c>
      <c r="N242" s="264" t="str">
        <f ca="1">IF($A$2=1,"",IF(OR(D242&gt;111,OP!$D229="",VLOOKUP(OP!$B$99,OP!$B$99:$E$99,$N$146,0)=1,OP!$D229=0),"",TEXT(OP!$D229,IF(OP!$C$22="VACF","#,##0.00","#,##0"))))</f>
        <v/>
      </c>
    </row>
    <row r="243" spans="2:14" ht="15.75" customHeight="1">
      <c r="B243" s="33" t="str">
        <f t="shared" ca="1" si="13"/>
        <v/>
      </c>
      <c r="C243" s="46" t="str">
        <f t="shared" ca="1" si="14"/>
        <v/>
      </c>
      <c r="D243" s="46" t="str">
        <f ca="1">IF($A$2=1,"",IF(MAX($D$149:$D$203,$D$213:D242)&gt;=110,"",D242+1))</f>
        <v/>
      </c>
      <c r="E243" s="47" t="str">
        <f ca="1">IF(OR(J243="",$A$2=1),"",VLOOKUP(C243&amp;計算!$C$3,宣告利率,2,FALSE))</f>
        <v/>
      </c>
      <c r="F243" s="188" t="str">
        <f t="shared" ca="1" si="10"/>
        <v/>
      </c>
      <c r="G243" s="188" t="str">
        <f t="shared" ca="1" si="11"/>
        <v/>
      </c>
      <c r="H243" s="263" t="str">
        <f ca="1">IF(OR(D243="",ISNA(VLOOKUP($C243,value,$H$146,FALSE)),$A$2=1),"",TEXT(VLOOKUP($C243,value,$H$146,FALSE),IF(OP!$C$22="VACF","#,##0.00","#,##0")))</f>
        <v/>
      </c>
      <c r="I243" s="263" t="str">
        <f ca="1">IF(OR(D243="",ISNA(VLOOKUP($C243,value,$J$146,FALSE)),$A$2=1),"",TEXT(MAX(0,VLOOKUP($C243,value,$J$146,FALSE)),IF(OP!$C$22="VACF","#,##0.00","#,##0")))</f>
        <v/>
      </c>
      <c r="J243" s="263" t="str">
        <f ca="1">IF(OR(D243="",ISNA(VLOOKUP($C243,value,$K$146,FALSE)),$A$2=1),"",TEXT(MAX(0,VLOOKUP($C243,value,$K$146,FALSE)),IF(OP!$C$22="VACF","#,##0.00","#,##0")))</f>
        <v/>
      </c>
      <c r="K243" s="263" t="str">
        <f ca="1">IF(OR(D243="",ISNA(VLOOKUP($C243,value,$L$146,FALSE)),$A$2=1),"",TEXT(MAX(0,VLOOKUP($C243,value,$L$146,FALSE)),IF(OP!$C$22="VACF","#,##0.00","#,##0")))</f>
        <v/>
      </c>
      <c r="L243" s="188" t="str">
        <f t="shared" ca="1" si="12"/>
        <v/>
      </c>
      <c r="M243" s="265" t="str">
        <f ca="1">IF(OR(D243&gt;111,OP!$C230="",$A$2=1),"",TEXT(OP!$C230,IF(OP!$C$22="VACF","#,##0.00","#,##0")))</f>
        <v/>
      </c>
      <c r="N243" s="265" t="str">
        <f ca="1">IF($A$2=1,"",IF(OR(D243&gt;111,OP!$D230="",VLOOKUP(OP!$B$99,OP!$B$99:$E$99,$N$146,0)=1,OP!$D230=0),"",TEXT(OP!$D230,IF(OP!$C$22="VACF","#,##0.00","#,##0"))))</f>
        <v/>
      </c>
    </row>
    <row r="244" spans="2:14" ht="15.75" customHeight="1">
      <c r="B244" s="33" t="str">
        <f t="shared" ca="1" si="13"/>
        <v/>
      </c>
      <c r="C244" s="46" t="str">
        <f t="shared" ca="1" si="14"/>
        <v/>
      </c>
      <c r="D244" s="46" t="str">
        <f ca="1">IF($A$2=1,"",IF(MAX($D$149:$D$203,$D$213:D243)&gt;=110,"",D243+1))</f>
        <v/>
      </c>
      <c r="E244" s="47" t="str">
        <f ca="1">IF(OR(J244="",$A$2=1),"",VLOOKUP(C244&amp;計算!$C$3,宣告利率,2,FALSE))</f>
        <v/>
      </c>
      <c r="F244" s="188" t="str">
        <f t="shared" ca="1" si="10"/>
        <v/>
      </c>
      <c r="G244" s="188" t="str">
        <f t="shared" ca="1" si="11"/>
        <v/>
      </c>
      <c r="H244" s="263" t="str">
        <f ca="1">IF(OR(D244="",ISNA(VLOOKUP($C244,value,$H$146,FALSE)),$A$2=1),"",TEXT(VLOOKUP($C244,value,$H$146,FALSE),IF(OP!$C$22="VACF","#,##0.00","#,##0")))</f>
        <v/>
      </c>
      <c r="I244" s="263" t="str">
        <f ca="1">IF(OR(D244="",ISNA(VLOOKUP($C244,value,$J$146,FALSE)),$A$2=1),"",TEXT(MAX(0,VLOOKUP($C244,value,$J$146,FALSE)),IF(OP!$C$22="VACF","#,##0.00","#,##0")))</f>
        <v/>
      </c>
      <c r="J244" s="263" t="str">
        <f ca="1">IF(OR(D244="",ISNA(VLOOKUP($C244,value,$K$146,FALSE)),$A$2=1),"",TEXT(MAX(0,VLOOKUP($C244,value,$K$146,FALSE)),IF(OP!$C$22="VACF","#,##0.00","#,##0")))</f>
        <v/>
      </c>
      <c r="K244" s="263" t="str">
        <f ca="1">IF(OR(D244="",ISNA(VLOOKUP($C244,value,$L$146,FALSE)),$A$2=1),"",TEXT(MAX(0,VLOOKUP($C244,value,$L$146,FALSE)),IF(OP!$C$22="VACF","#,##0.00","#,##0")))</f>
        <v/>
      </c>
      <c r="L244" s="188" t="str">
        <f t="shared" ca="1" si="12"/>
        <v/>
      </c>
      <c r="M244" s="265" t="str">
        <f ca="1">IF(OR(D244&gt;111,OP!$C231="",$A$2=1),"",TEXT(OP!$C231,IF(OP!$C$22="VACF","#,##0.00","#,##0")))</f>
        <v/>
      </c>
      <c r="N244" s="265" t="str">
        <f ca="1">IF($A$2=1,"",IF(OR(D244&gt;111,OP!$D231="",VLOOKUP(OP!$B$99,OP!$B$99:$E$99,$N$146,0)=1,OP!$D231=0),"",TEXT(OP!$D231,IF(OP!$C$22="VACF","#,##0.00","#,##0"))))</f>
        <v/>
      </c>
    </row>
    <row r="245" spans="2:14" ht="15.75" customHeight="1">
      <c r="B245" s="33" t="str">
        <f t="shared" ca="1" si="13"/>
        <v/>
      </c>
      <c r="C245" s="46" t="str">
        <f t="shared" ca="1" si="14"/>
        <v/>
      </c>
      <c r="D245" s="46" t="str">
        <f ca="1">IF($A$2=1,"",IF(MAX($D$149:$D$203,$D$213:D244)&gt;=110,"",D244+1))</f>
        <v/>
      </c>
      <c r="E245" s="47" t="str">
        <f ca="1">IF(OR(J245="",$A$2=1),"",VLOOKUP(C245&amp;計算!$C$3,宣告利率,2,FALSE))</f>
        <v/>
      </c>
      <c r="F245" s="188" t="str">
        <f t="shared" ref="F245:F268" ca="1" si="15">IF(OR(D245="",ISNA(VLOOKUP(C245,value,$F$146,FALSE)),$A$2=1),"",VLOOKUP(C245,value,$F$146,FALSE))</f>
        <v/>
      </c>
      <c r="G245" s="188" t="str">
        <f t="shared" ref="G245:G268" ca="1" si="16">IF(OR(D245="",ISNA(VLOOKUP($C245,value,$G$146,FALSE)),$A$2=1),"",VLOOKUP($C245,value,$G$146,FALSE))</f>
        <v/>
      </c>
      <c r="H245" s="263" t="str">
        <f ca="1">IF(OR(D245="",ISNA(VLOOKUP($C245,value,$H$146,FALSE)),$A$2=1),"",TEXT(VLOOKUP($C245,value,$H$146,FALSE),IF(OP!$C$22="VACF","#,##0.00","#,##0")))</f>
        <v/>
      </c>
      <c r="I245" s="263" t="str">
        <f ca="1">IF(OR(D245="",ISNA(VLOOKUP($C245,value,$J$146,FALSE)),$A$2=1),"",TEXT(MAX(0,VLOOKUP($C245,value,$J$146,FALSE)),IF(OP!$C$22="VACF","#,##0.00","#,##0")))</f>
        <v/>
      </c>
      <c r="J245" s="263" t="str">
        <f ca="1">IF(OR(D245="",ISNA(VLOOKUP($C245,value,$K$146,FALSE)),$A$2=1),"",TEXT(MAX(0,VLOOKUP($C245,value,$K$146,FALSE)),IF(OP!$C$22="VACF","#,##0.00","#,##0")))</f>
        <v/>
      </c>
      <c r="K245" s="263" t="str">
        <f ca="1">IF(OR(D245="",ISNA(VLOOKUP($C245,value,$L$146,FALSE)),$A$2=1),"",TEXT(MAX(0,VLOOKUP($C245,value,$L$146,FALSE)),IF(OP!$C$22="VACF","#,##0.00","#,##0")))</f>
        <v/>
      </c>
      <c r="L245" s="188" t="str">
        <f t="shared" ref="L245:L268" ca="1" si="17">IF(OR(D245="",ISNA(VLOOKUP($C245,value,$M$146,FALSE)),$A$2=1),"",MAX(0,VLOOKUP($C245,value,$M$146,FALSE)))</f>
        <v/>
      </c>
      <c r="M245" s="265" t="str">
        <f ca="1">IF(OR(D245&gt;111,OP!$C232="",$A$2=1),"",TEXT(OP!$C232,IF(OP!$C$22="VACF","#,##0.00","#,##0")))</f>
        <v/>
      </c>
      <c r="N245" s="265" t="str">
        <f ca="1">IF($A$2=1,"",IF(OR(D245&gt;111,OP!$D232="",VLOOKUP(OP!$B$99,OP!$B$99:$E$99,$N$146,0)=1,OP!$D232=0),"",TEXT(OP!$D232,IF(OP!$C$22="VACF","#,##0.00","#,##0"))))</f>
        <v/>
      </c>
    </row>
    <row r="246" spans="2:14" ht="15.75" customHeight="1">
      <c r="B246" s="33" t="str">
        <f t="shared" ca="1" si="13"/>
        <v/>
      </c>
      <c r="C246" s="46" t="str">
        <f t="shared" ca="1" si="14"/>
        <v/>
      </c>
      <c r="D246" s="46" t="str">
        <f ca="1">IF($A$2=1,"",IF(MAX($D$149:$D$203,$D$213:D245)&gt;=110,"",D245+1))</f>
        <v/>
      </c>
      <c r="E246" s="47" t="str">
        <f ca="1">IF(OR(J246="",$A$2=1),"",VLOOKUP(C246&amp;計算!$C$3,宣告利率,2,FALSE))</f>
        <v/>
      </c>
      <c r="F246" s="188" t="str">
        <f t="shared" ca="1" si="15"/>
        <v/>
      </c>
      <c r="G246" s="188" t="str">
        <f t="shared" ca="1" si="16"/>
        <v/>
      </c>
      <c r="H246" s="263" t="str">
        <f ca="1">IF(OR(D246="",ISNA(VLOOKUP($C246,value,$H$146,FALSE)),$A$2=1),"",TEXT(VLOOKUP($C246,value,$H$146,FALSE),IF(OP!$C$22="VACF","#,##0.00","#,##0")))</f>
        <v/>
      </c>
      <c r="I246" s="263" t="str">
        <f ca="1">IF(OR(D246="",ISNA(VLOOKUP($C246,value,$J$146,FALSE)),$A$2=1),"",TEXT(MAX(0,VLOOKUP($C246,value,$J$146,FALSE)),IF(OP!$C$22="VACF","#,##0.00","#,##0")))</f>
        <v/>
      </c>
      <c r="J246" s="263" t="str">
        <f ca="1">IF(OR(D246="",ISNA(VLOOKUP($C246,value,$K$146,FALSE)),$A$2=1),"",TEXT(MAX(0,VLOOKUP($C246,value,$K$146,FALSE)),IF(OP!$C$22="VACF","#,##0.00","#,##0")))</f>
        <v/>
      </c>
      <c r="K246" s="263" t="str">
        <f ca="1">IF(OR(D246="",ISNA(VLOOKUP($C246,value,$L$146,FALSE)),$A$2=1),"",TEXT(MAX(0,VLOOKUP($C246,value,$L$146,FALSE)),IF(OP!$C$22="VACF","#,##0.00","#,##0")))</f>
        <v/>
      </c>
      <c r="L246" s="188" t="str">
        <f t="shared" ca="1" si="17"/>
        <v/>
      </c>
      <c r="M246" s="265" t="str">
        <f ca="1">IF(OR(D246&gt;111,OP!$C233="",$A$2=1),"",TEXT(OP!$C233,IF(OP!$C$22="VACF","#,##0.00","#,##0")))</f>
        <v/>
      </c>
      <c r="N246" s="265" t="str">
        <f ca="1">IF($A$2=1,"",IF(OR(D246&gt;111,OP!$D233="",VLOOKUP(OP!$B$99,OP!$B$99:$E$99,$N$146,0)=1,OP!$D233=0),"",TEXT(OP!$D233,IF(OP!$C$22="VACF","#,##0.00","#,##0"))))</f>
        <v/>
      </c>
    </row>
    <row r="247" spans="2:14" ht="15.75" customHeight="1">
      <c r="B247" s="33" t="str">
        <f t="shared" ca="1" si="13"/>
        <v/>
      </c>
      <c r="C247" s="46" t="str">
        <f t="shared" ca="1" si="14"/>
        <v/>
      </c>
      <c r="D247" s="46" t="str">
        <f ca="1">IF($A$2=1,"",IF(MAX($D$149:$D$203,$D$213:D246)&gt;=110,"",D246+1))</f>
        <v/>
      </c>
      <c r="E247" s="47" t="str">
        <f ca="1">IF(OR(J247="",$A$2=1),"",VLOOKUP(C247&amp;計算!$C$3,宣告利率,2,FALSE))</f>
        <v/>
      </c>
      <c r="F247" s="188" t="str">
        <f t="shared" ca="1" si="15"/>
        <v/>
      </c>
      <c r="G247" s="188" t="str">
        <f t="shared" ca="1" si="16"/>
        <v/>
      </c>
      <c r="H247" s="263" t="str">
        <f ca="1">IF(OR(D247="",ISNA(VLOOKUP($C247,value,$H$146,FALSE)),$A$2=1),"",TEXT(VLOOKUP($C247,value,$H$146,FALSE),IF(OP!$C$22="VACF","#,##0.00","#,##0")))</f>
        <v/>
      </c>
      <c r="I247" s="263" t="str">
        <f ca="1">IF(OR(D247="",ISNA(VLOOKUP($C247,value,$J$146,FALSE)),$A$2=1),"",TEXT(MAX(0,VLOOKUP($C247,value,$J$146,FALSE)),IF(OP!$C$22="VACF","#,##0.00","#,##0")))</f>
        <v/>
      </c>
      <c r="J247" s="263" t="str">
        <f ca="1">IF(OR(D247="",ISNA(VLOOKUP($C247,value,$K$146,FALSE)),$A$2=1),"",TEXT(MAX(0,VLOOKUP($C247,value,$K$146,FALSE)),IF(OP!$C$22="VACF","#,##0.00","#,##0")))</f>
        <v/>
      </c>
      <c r="K247" s="263" t="str">
        <f ca="1">IF(OR(D247="",ISNA(VLOOKUP($C247,value,$L$146,FALSE)),$A$2=1),"",TEXT(MAX(0,VLOOKUP($C247,value,$L$146,FALSE)),IF(OP!$C$22="VACF","#,##0.00","#,##0")))</f>
        <v/>
      </c>
      <c r="L247" s="188" t="str">
        <f t="shared" ca="1" si="17"/>
        <v/>
      </c>
      <c r="M247" s="265" t="str">
        <f ca="1">IF(OR(D247&gt;111,OP!$C234="",$A$2=1),"",TEXT(OP!$C234,IF(OP!$C$22="VACF","#,##0.00","#,##0")))</f>
        <v/>
      </c>
      <c r="N247" s="265" t="str">
        <f ca="1">IF($A$2=1,"",IF(OR(D247&gt;111,OP!$D234="",VLOOKUP(OP!$B$99,OP!$B$99:$E$99,$N$146,0)=1,OP!$D234=0),"",TEXT(OP!$D234,IF(OP!$C$22="VACF","#,##0.00","#,##0"))))</f>
        <v/>
      </c>
    </row>
    <row r="248" spans="2:14" ht="15.75" customHeight="1">
      <c r="B248" s="33" t="str">
        <f t="shared" ca="1" si="13"/>
        <v/>
      </c>
      <c r="C248" s="173" t="str">
        <f t="shared" ca="1" si="14"/>
        <v/>
      </c>
      <c r="D248" s="173" t="str">
        <f ca="1">IF($A$2=1,"",IF(MAX($D$149:$D$203,$D$213:D247)&gt;=110,"",D247+1))</f>
        <v/>
      </c>
      <c r="E248" s="174" t="str">
        <f ca="1">IF(OR(J248="",$A$2=1),"",VLOOKUP(C248&amp;計算!$C$3,宣告利率,2,FALSE))</f>
        <v/>
      </c>
      <c r="F248" s="187" t="str">
        <f t="shared" ca="1" si="15"/>
        <v/>
      </c>
      <c r="G248" s="187" t="str">
        <f t="shared" ca="1" si="16"/>
        <v/>
      </c>
      <c r="H248" s="262" t="str">
        <f ca="1">IF(OR(D248="",ISNA(VLOOKUP($C248,value,$H$146,FALSE)),$A$2=1),"",TEXT(VLOOKUP($C248,value,$H$146,FALSE),IF(OP!$C$22="VACF","#,##0.00","#,##0")))</f>
        <v/>
      </c>
      <c r="I248" s="262" t="str">
        <f ca="1">IF(OR(D248="",ISNA(VLOOKUP($C248,value,$J$146,FALSE)),$A$2=1),"",TEXT(MAX(0,VLOOKUP($C248,value,$J$146,FALSE)),IF(OP!$C$22="VACF","#,##0.00","#,##0")))</f>
        <v/>
      </c>
      <c r="J248" s="262" t="str">
        <f ca="1">IF(OR(D248="",ISNA(VLOOKUP($C248,value,$K$146,FALSE)),$A$2=1),"",TEXT(MAX(0,VLOOKUP($C248,value,$K$146,FALSE)),IF(OP!$C$22="VACF","#,##0.00","#,##0")))</f>
        <v/>
      </c>
      <c r="K248" s="262" t="str">
        <f ca="1">IF(OR(D248="",ISNA(VLOOKUP($C248,value,$L$146,FALSE)),$A$2=1),"",TEXT(MAX(0,VLOOKUP($C248,value,$L$146,FALSE)),IF(OP!$C$22="VACF","#,##0.00","#,##0")))</f>
        <v/>
      </c>
      <c r="L248" s="187" t="str">
        <f t="shared" ca="1" si="17"/>
        <v/>
      </c>
      <c r="M248" s="264" t="str">
        <f ca="1">IF(OR(D248&gt;111,OP!$C235="",$A$2=1),"",TEXT(OP!$C235,IF(OP!$C$22="VACF","#,##0.00","#,##0")))</f>
        <v/>
      </c>
      <c r="N248" s="264" t="str">
        <f ca="1">IF($A$2=1,"",IF(OR(D248&gt;111,OP!$D235="",VLOOKUP(OP!$B$99,OP!$B$99:$E$99,$N$146,0)=1,OP!$D235=0),"",TEXT(OP!$D235,IF(OP!$C$22="VACF","#,##0.00","#,##0"))))</f>
        <v/>
      </c>
    </row>
    <row r="249" spans="2:14" ht="15.75" customHeight="1">
      <c r="B249" s="33" t="str">
        <f t="shared" ca="1" si="13"/>
        <v/>
      </c>
      <c r="C249" s="173" t="str">
        <f t="shared" ca="1" si="14"/>
        <v/>
      </c>
      <c r="D249" s="173" t="str">
        <f ca="1">IF($A$2=1,"",IF(MAX($D$149:$D$203,$D$213:D248)&gt;=110,"",D248+1))</f>
        <v/>
      </c>
      <c r="E249" s="174" t="str">
        <f ca="1">IF(OR(J249="",$A$2=1),"",VLOOKUP(C249&amp;計算!$C$3,宣告利率,2,FALSE))</f>
        <v/>
      </c>
      <c r="F249" s="187" t="str">
        <f t="shared" ca="1" si="15"/>
        <v/>
      </c>
      <c r="G249" s="187" t="str">
        <f t="shared" ca="1" si="16"/>
        <v/>
      </c>
      <c r="H249" s="262" t="str">
        <f ca="1">IF(OR(D249="",ISNA(VLOOKUP($C249,value,$H$146,FALSE)),$A$2=1),"",TEXT(VLOOKUP($C249,value,$H$146,FALSE),IF(OP!$C$22="VACF","#,##0.00","#,##0")))</f>
        <v/>
      </c>
      <c r="I249" s="262" t="str">
        <f ca="1">IF(OR(D249="",ISNA(VLOOKUP($C249,value,$J$146,FALSE)),$A$2=1),"",TEXT(MAX(0,VLOOKUP($C249,value,$J$146,FALSE)),IF(OP!$C$22="VACF","#,##0.00","#,##0")))</f>
        <v/>
      </c>
      <c r="J249" s="262" t="str">
        <f ca="1">IF(OR(D249="",ISNA(VLOOKUP($C249,value,$K$146,FALSE)),$A$2=1),"",TEXT(MAX(0,VLOOKUP($C249,value,$K$146,FALSE)),IF(OP!$C$22="VACF","#,##0.00","#,##0")))</f>
        <v/>
      </c>
      <c r="K249" s="262" t="str">
        <f ca="1">IF(OR(D249="",ISNA(VLOOKUP($C249,value,$L$146,FALSE)),$A$2=1),"",TEXT(MAX(0,VLOOKUP($C249,value,$L$146,FALSE)),IF(OP!$C$22="VACF","#,##0.00","#,##0")))</f>
        <v/>
      </c>
      <c r="L249" s="187" t="str">
        <f t="shared" ca="1" si="17"/>
        <v/>
      </c>
      <c r="M249" s="264" t="str">
        <f ca="1">IF(OR(D249&gt;111,OP!$C236="",$A$2=1),"",TEXT(OP!$C236,IF(OP!$C$22="VACF","#,##0.00","#,##0")))</f>
        <v/>
      </c>
      <c r="N249" s="264" t="str">
        <f ca="1">IF($A$2=1,"",IF(OR(D249&gt;111,OP!$D236="",VLOOKUP(OP!$B$99,OP!$B$99:$E$99,$N$146,0)=1,OP!$D236=0),"",TEXT(OP!$D236,IF(OP!$C$22="VACF","#,##0.00","#,##0"))))</f>
        <v/>
      </c>
    </row>
    <row r="250" spans="2:14" ht="15.75" customHeight="1">
      <c r="B250" s="33" t="str">
        <f t="shared" ca="1" si="13"/>
        <v/>
      </c>
      <c r="C250" s="173" t="str">
        <f t="shared" ca="1" si="14"/>
        <v/>
      </c>
      <c r="D250" s="173" t="str">
        <f ca="1">IF($A$2=1,"",IF(MAX($D$149:$D$203,$D$213:D249)&gt;=110,"",D249+1))</f>
        <v/>
      </c>
      <c r="E250" s="174" t="str">
        <f ca="1">IF(OR(J250="",$A$2=1),"",VLOOKUP(C250&amp;計算!$C$3,宣告利率,2,FALSE))</f>
        <v/>
      </c>
      <c r="F250" s="187" t="str">
        <f t="shared" ca="1" si="15"/>
        <v/>
      </c>
      <c r="G250" s="187" t="str">
        <f t="shared" ca="1" si="16"/>
        <v/>
      </c>
      <c r="H250" s="262" t="str">
        <f ca="1">IF(OR(D250="",ISNA(VLOOKUP($C250,value,$H$146,FALSE)),$A$2=1),"",TEXT(VLOOKUP($C250,value,$H$146,FALSE),IF(OP!$C$22="VACF","#,##0.00","#,##0")))</f>
        <v/>
      </c>
      <c r="I250" s="262" t="str">
        <f ca="1">IF(OR(D250="",ISNA(VLOOKUP($C250,value,$J$146,FALSE)),$A$2=1),"",TEXT(MAX(0,VLOOKUP($C250,value,$J$146,FALSE)),IF(OP!$C$22="VACF","#,##0.00","#,##0")))</f>
        <v/>
      </c>
      <c r="J250" s="262" t="str">
        <f ca="1">IF(OR(D250="",ISNA(VLOOKUP($C250,value,$K$146,FALSE)),$A$2=1),"",TEXT(MAX(0,VLOOKUP($C250,value,$K$146,FALSE)),IF(OP!$C$22="VACF","#,##0.00","#,##0")))</f>
        <v/>
      </c>
      <c r="K250" s="262" t="str">
        <f ca="1">IF(OR(D250="",ISNA(VLOOKUP($C250,value,$L$146,FALSE)),$A$2=1),"",TEXT(MAX(0,VLOOKUP($C250,value,$L$146,FALSE)),IF(OP!$C$22="VACF","#,##0.00","#,##0")))</f>
        <v/>
      </c>
      <c r="L250" s="187" t="str">
        <f t="shared" ca="1" si="17"/>
        <v/>
      </c>
      <c r="M250" s="264" t="str">
        <f ca="1">IF(OR(D250&gt;111,OP!$C237="",$A$2=1),"",TEXT(OP!$C237,IF(OP!$C$22="VACF","#,##0.00","#,##0")))</f>
        <v/>
      </c>
      <c r="N250" s="264" t="str">
        <f ca="1">IF($A$2=1,"",IF(OR(D250&gt;111,OP!$D237="",VLOOKUP(OP!$B$99,OP!$B$99:$E$99,$N$146,0)=1,OP!$D237=0),"",TEXT(OP!$D237,IF(OP!$C$22="VACF","#,##0.00","#,##0"))))</f>
        <v/>
      </c>
    </row>
    <row r="251" spans="2:14" ht="15.75" customHeight="1">
      <c r="B251" s="33" t="str">
        <f t="shared" ca="1" si="13"/>
        <v/>
      </c>
      <c r="C251" s="173" t="str">
        <f t="shared" ca="1" si="14"/>
        <v/>
      </c>
      <c r="D251" s="173" t="str">
        <f ca="1">IF($A$2=1,"",IF(MAX($D$149:$D$203,$D$213:D250)&gt;=110,"",D250+1))</f>
        <v/>
      </c>
      <c r="E251" s="174" t="str">
        <f ca="1">IF(OR(J251="",$A$2=1),"",VLOOKUP(C251&amp;計算!$C$3,宣告利率,2,FALSE))</f>
        <v/>
      </c>
      <c r="F251" s="187" t="str">
        <f t="shared" ca="1" si="15"/>
        <v/>
      </c>
      <c r="G251" s="187" t="str">
        <f t="shared" ca="1" si="16"/>
        <v/>
      </c>
      <c r="H251" s="262" t="str">
        <f ca="1">IF(OR(D251="",ISNA(VLOOKUP($C251,value,$H$146,FALSE)),$A$2=1),"",TEXT(VLOOKUP($C251,value,$H$146,FALSE),IF(OP!$C$22="VACF","#,##0.00","#,##0")))</f>
        <v/>
      </c>
      <c r="I251" s="262" t="str">
        <f ca="1">IF(OR(D251="",ISNA(VLOOKUP($C251,value,$J$146,FALSE)),$A$2=1),"",TEXT(MAX(0,VLOOKUP($C251,value,$J$146,FALSE)),IF(OP!$C$22="VACF","#,##0.00","#,##0")))</f>
        <v/>
      </c>
      <c r="J251" s="262" t="str">
        <f ca="1">IF(OR(D251="",ISNA(VLOOKUP($C251,value,$K$146,FALSE)),$A$2=1),"",TEXT(MAX(0,VLOOKUP($C251,value,$K$146,FALSE)),IF(OP!$C$22="VACF","#,##0.00","#,##0")))</f>
        <v/>
      </c>
      <c r="K251" s="262" t="str">
        <f ca="1">IF(OR(D251="",ISNA(VLOOKUP($C251,value,$L$146,FALSE)),$A$2=1),"",TEXT(MAX(0,VLOOKUP($C251,value,$L$146,FALSE)),IF(OP!$C$22="VACF","#,##0.00","#,##0")))</f>
        <v/>
      </c>
      <c r="L251" s="187" t="str">
        <f t="shared" ca="1" si="17"/>
        <v/>
      </c>
      <c r="M251" s="264" t="str">
        <f ca="1">IF(OR(D251&gt;111,OP!$C238="",$A$2=1),"",TEXT(OP!$C238,IF(OP!$C$22="VACF","#,##0.00","#,##0")))</f>
        <v/>
      </c>
      <c r="N251" s="264" t="str">
        <f ca="1">IF($A$2=1,"",IF(OR(D251&gt;111,OP!$D238="",VLOOKUP(OP!$B$99,OP!$B$99:$E$99,$N$146,0)=1,OP!$D238=0),"",TEXT(OP!$D238,IF(OP!$C$22="VACF","#,##0.00","#,##0"))))</f>
        <v/>
      </c>
    </row>
    <row r="252" spans="2:14" ht="15.75" customHeight="1">
      <c r="B252" s="33" t="str">
        <f t="shared" ca="1" si="13"/>
        <v/>
      </c>
      <c r="C252" s="173" t="str">
        <f t="shared" ca="1" si="14"/>
        <v/>
      </c>
      <c r="D252" s="173" t="str">
        <f ca="1">IF($A$2=1,"",IF(MAX($D$149:$D$203,$D$213:D251)&gt;=110,"",D251+1))</f>
        <v/>
      </c>
      <c r="E252" s="174" t="str">
        <f ca="1">IF(OR(J252="",$A$2=1),"",VLOOKUP(C252&amp;計算!$C$3,宣告利率,2,FALSE))</f>
        <v/>
      </c>
      <c r="F252" s="187" t="str">
        <f t="shared" ca="1" si="15"/>
        <v/>
      </c>
      <c r="G252" s="187" t="str">
        <f t="shared" ca="1" si="16"/>
        <v/>
      </c>
      <c r="H252" s="262" t="str">
        <f ca="1">IF(OR(D252="",ISNA(VLOOKUP($C252,value,$H$146,FALSE)),$A$2=1),"",TEXT(VLOOKUP($C252,value,$H$146,FALSE),IF(OP!$C$22="VACF","#,##0.00","#,##0")))</f>
        <v/>
      </c>
      <c r="I252" s="262" t="str">
        <f ca="1">IF(OR(D252="",ISNA(VLOOKUP($C252,value,$J$146,FALSE)),$A$2=1),"",TEXT(MAX(0,VLOOKUP($C252,value,$J$146,FALSE)),IF(OP!$C$22="VACF","#,##0.00","#,##0")))</f>
        <v/>
      </c>
      <c r="J252" s="262" t="str">
        <f ca="1">IF(OR(D252="",ISNA(VLOOKUP($C252,value,$K$146,FALSE)),$A$2=1),"",TEXT(MAX(0,VLOOKUP($C252,value,$K$146,FALSE)),IF(OP!$C$22="VACF","#,##0.00","#,##0")))</f>
        <v/>
      </c>
      <c r="K252" s="262" t="str">
        <f ca="1">IF(OR(D252="",ISNA(VLOOKUP($C252,value,$L$146,FALSE)),$A$2=1),"",TEXT(MAX(0,VLOOKUP($C252,value,$L$146,FALSE)),IF(OP!$C$22="VACF","#,##0.00","#,##0")))</f>
        <v/>
      </c>
      <c r="L252" s="187" t="str">
        <f t="shared" ca="1" si="17"/>
        <v/>
      </c>
      <c r="M252" s="264" t="str">
        <f ca="1">IF(OR(D252&gt;111,OP!$C239="",$A$2=1),"",TEXT(OP!$C239,IF(OP!$C$22="VACF","#,##0.00","#,##0")))</f>
        <v/>
      </c>
      <c r="N252" s="264" t="str">
        <f ca="1">IF($A$2=1,"",IF(OR(D252&gt;111,OP!$D239="",VLOOKUP(OP!$B$99,OP!$B$99:$E$99,$N$146,0)=1,OP!$D239=0),"",TEXT(OP!$D239,IF(OP!$C$22="VACF","#,##0.00","#,##0"))))</f>
        <v/>
      </c>
    </row>
    <row r="253" spans="2:14" ht="15.75" customHeight="1">
      <c r="B253" s="33" t="str">
        <f t="shared" ca="1" si="13"/>
        <v/>
      </c>
      <c r="C253" s="46" t="str">
        <f t="shared" ca="1" si="14"/>
        <v/>
      </c>
      <c r="D253" s="46" t="str">
        <f ca="1">IF($A$2=1,"",IF(MAX($D$149:$D$203,$D$213:D252)&gt;=110,"",D252+1))</f>
        <v/>
      </c>
      <c r="E253" s="47" t="str">
        <f ca="1">IF(OR(J253="",$A$2=1),"",VLOOKUP(C253&amp;計算!$C$3,宣告利率,2,FALSE))</f>
        <v/>
      </c>
      <c r="F253" s="188" t="str">
        <f t="shared" ca="1" si="15"/>
        <v/>
      </c>
      <c r="G253" s="188" t="str">
        <f t="shared" ca="1" si="16"/>
        <v/>
      </c>
      <c r="H253" s="263" t="str">
        <f ca="1">IF(OR(D253="",ISNA(VLOOKUP($C253,value,$H$146,FALSE)),$A$2=1),"",TEXT(VLOOKUP($C253,value,$H$146,FALSE),IF(OP!$C$22="VACF","#,##0.00","#,##0")))</f>
        <v/>
      </c>
      <c r="I253" s="263" t="str">
        <f ca="1">IF(OR(D253="",ISNA(VLOOKUP($C253,value,$J$146,FALSE)),$A$2=1),"",TEXT(MAX(0,VLOOKUP($C253,value,$J$146,FALSE)),IF(OP!$C$22="VACF","#,##0.00","#,##0")))</f>
        <v/>
      </c>
      <c r="J253" s="263" t="str">
        <f ca="1">IF(OR(D253="",ISNA(VLOOKUP($C253,value,$K$146,FALSE)),$A$2=1),"",TEXT(MAX(0,VLOOKUP($C253,value,$K$146,FALSE)),IF(OP!$C$22="VACF","#,##0.00","#,##0")))</f>
        <v/>
      </c>
      <c r="K253" s="263" t="str">
        <f ca="1">IF(OR(D253="",ISNA(VLOOKUP($C253,value,$L$146,FALSE)),$A$2=1),"",TEXT(MAX(0,VLOOKUP($C253,value,$L$146,FALSE)),IF(OP!$C$22="VACF","#,##0.00","#,##0")))</f>
        <v/>
      </c>
      <c r="L253" s="188" t="str">
        <f t="shared" ca="1" si="17"/>
        <v/>
      </c>
      <c r="M253" s="265" t="str">
        <f ca="1">IF(OR(D253&gt;111,OP!$C240="",$A$2=1),"",TEXT(OP!$C240,IF(OP!$C$22="VACF","#,##0.00","#,##0")))</f>
        <v/>
      </c>
      <c r="N253" s="265" t="str">
        <f ca="1">IF($A$2=1,"",IF(OR(D253&gt;111,OP!$D240="",VLOOKUP(OP!$B$99,OP!$B$99:$E$99,$N$146,0)=1,OP!$D240=0),"",TEXT(OP!$D240,IF(OP!$C$22="VACF","#,##0.00","#,##0"))))</f>
        <v/>
      </c>
    </row>
    <row r="254" spans="2:14" ht="15.75" customHeight="1">
      <c r="B254" s="33" t="str">
        <f t="shared" ca="1" si="13"/>
        <v/>
      </c>
      <c r="C254" s="46" t="str">
        <f t="shared" ca="1" si="14"/>
        <v/>
      </c>
      <c r="D254" s="46" t="str">
        <f ca="1">IF($A$2=1,"",IF(MAX($D$149:$D$203,$D$213:D253)&gt;=110,"",D253+1))</f>
        <v/>
      </c>
      <c r="E254" s="47" t="str">
        <f ca="1">IF(OR(J254="",$A$2=1),"",VLOOKUP(C254&amp;計算!$C$3,宣告利率,2,FALSE))</f>
        <v/>
      </c>
      <c r="F254" s="188" t="str">
        <f t="shared" ca="1" si="15"/>
        <v/>
      </c>
      <c r="G254" s="188" t="str">
        <f t="shared" ca="1" si="16"/>
        <v/>
      </c>
      <c r="H254" s="263" t="str">
        <f ca="1">IF(OR(D254="",ISNA(VLOOKUP($C254,value,$H$146,FALSE)),$A$2=1),"",TEXT(VLOOKUP($C254,value,$H$146,FALSE),IF(OP!$C$22="VACF","#,##0.00","#,##0")))</f>
        <v/>
      </c>
      <c r="I254" s="263" t="str">
        <f ca="1">IF(OR(D254="",ISNA(VLOOKUP($C254,value,$J$146,FALSE)),$A$2=1),"",TEXT(MAX(0,VLOOKUP($C254,value,$J$146,FALSE)),IF(OP!$C$22="VACF","#,##0.00","#,##0")))</f>
        <v/>
      </c>
      <c r="J254" s="263" t="str">
        <f ca="1">IF(OR(D254="",ISNA(VLOOKUP($C254,value,$K$146,FALSE)),$A$2=1),"",TEXT(MAX(0,VLOOKUP($C254,value,$K$146,FALSE)),IF(OP!$C$22="VACF","#,##0.00","#,##0")))</f>
        <v/>
      </c>
      <c r="K254" s="263" t="str">
        <f ca="1">IF(OR(D254="",ISNA(VLOOKUP($C254,value,$L$146,FALSE)),$A$2=1),"",TEXT(MAX(0,VLOOKUP($C254,value,$L$146,FALSE)),IF(OP!$C$22="VACF","#,##0.00","#,##0")))</f>
        <v/>
      </c>
      <c r="L254" s="188" t="str">
        <f t="shared" ca="1" si="17"/>
        <v/>
      </c>
      <c r="M254" s="265" t="str">
        <f ca="1">IF(OR(D254&gt;111,OP!$C241="",$A$2=1),"",TEXT(OP!$C241,IF(OP!$C$22="VACF","#,##0.00","#,##0")))</f>
        <v/>
      </c>
      <c r="N254" s="265" t="str">
        <f ca="1">IF($A$2=1,"",IF(OR(D254&gt;111,OP!$D241="",VLOOKUP(OP!$B$99,OP!$B$99:$E$99,$N$146,0)=1,OP!$D241=0),"",TEXT(OP!$D241,IF(OP!$C$22="VACF","#,##0.00","#,##0"))))</f>
        <v/>
      </c>
    </row>
    <row r="255" spans="2:14" ht="15.75" customHeight="1">
      <c r="B255" s="33"/>
      <c r="C255" s="46" t="str">
        <f t="shared" ref="C255:C265" ca="1" si="18">IF(D255="","",C254+(D255-D254))</f>
        <v/>
      </c>
      <c r="D255" s="46" t="str">
        <f ca="1">IF($A$2=1,"",IF(MAX($D$149:$D$203,$D$213:D254)&gt;=110,"",D254+1))</f>
        <v/>
      </c>
      <c r="E255" s="47" t="str">
        <f ca="1">IF(OR(J255="",$A$2=1),"",VLOOKUP(C255&amp;計算!$C$3,宣告利率,2,FALSE))</f>
        <v/>
      </c>
      <c r="F255" s="188" t="str">
        <f t="shared" ca="1" si="15"/>
        <v/>
      </c>
      <c r="G255" s="188" t="str">
        <f t="shared" ca="1" si="16"/>
        <v/>
      </c>
      <c r="H255" s="263" t="str">
        <f ca="1">IF(OR(D255="",ISNA(VLOOKUP($C255,value,$H$146,FALSE)),$A$2=1),"",TEXT(VLOOKUP($C255,value,$H$146,FALSE),IF(OP!$C$22="VACF","#,##0.00","#,##0")))</f>
        <v/>
      </c>
      <c r="I255" s="263" t="str">
        <f ca="1">IF(OR(D255="",ISNA(VLOOKUP($C255,value,$J$146,FALSE)),$A$2=1),"",TEXT(MAX(0,VLOOKUP($C255,value,$J$146,FALSE)),IF(OP!$C$22="VACF","#,##0.00","#,##0")))</f>
        <v/>
      </c>
      <c r="J255" s="263" t="str">
        <f ca="1">IF(OR(D255="",ISNA(VLOOKUP($C255,value,$K$146,FALSE)),$A$2=1),"",TEXT(MAX(0,VLOOKUP($C255,value,$K$146,FALSE)),IF(OP!$C$22="VACF","#,##0.00","#,##0")))</f>
        <v/>
      </c>
      <c r="K255" s="263" t="str">
        <f ca="1">IF(OR(D255="",ISNA(VLOOKUP($C255,value,$L$146,FALSE)),$A$2=1),"",TEXT(MAX(0,VLOOKUP($C255,value,$L$146,FALSE)),IF(OP!$C$22="VACF","#,##0.00","#,##0")))</f>
        <v/>
      </c>
      <c r="L255" s="188" t="str">
        <f t="shared" ca="1" si="17"/>
        <v/>
      </c>
      <c r="M255" s="265" t="str">
        <f ca="1">IF(OR(D255&gt;111,OP!$C242="",$A$2=1),"",TEXT(OP!$C242,IF(OP!$C$22="VACF","#,##0.00","#,##0")))</f>
        <v/>
      </c>
      <c r="N255" s="265" t="str">
        <f ca="1">IF($A$2=1,"",IF(OR(D255&gt;111,OP!$D242="",VLOOKUP(OP!$B$99,OP!$B$99:$E$99,$N$146,0)=1,OP!$D242=0),"",TEXT(OP!$D242,IF(OP!$C$22="VACF","#,##0.00","#,##0"))))</f>
        <v/>
      </c>
    </row>
    <row r="256" spans="2:14" ht="15.75" customHeight="1">
      <c r="B256" s="33"/>
      <c r="C256" s="46" t="str">
        <f t="shared" ca="1" si="18"/>
        <v/>
      </c>
      <c r="D256" s="46" t="str">
        <f ca="1">IF($A$2=1,"",IF(MAX($D$149:$D$203,$D$213:D255)&gt;=110,"",D255+1))</f>
        <v/>
      </c>
      <c r="E256" s="47" t="str">
        <f ca="1">IF(OR(J256="",$A$2=1),"",VLOOKUP(C256&amp;計算!$C$3,宣告利率,2,FALSE))</f>
        <v/>
      </c>
      <c r="F256" s="188" t="str">
        <f t="shared" ca="1" si="15"/>
        <v/>
      </c>
      <c r="G256" s="188" t="str">
        <f t="shared" ca="1" si="16"/>
        <v/>
      </c>
      <c r="H256" s="263" t="str">
        <f ca="1">IF(OR(D256="",ISNA(VLOOKUP($C256,value,$H$146,FALSE)),$A$2=1),"",TEXT(VLOOKUP($C256,value,$H$146,FALSE),IF(OP!$C$22="VACF","#,##0.00","#,##0")))</f>
        <v/>
      </c>
      <c r="I256" s="263" t="str">
        <f ca="1">IF(OR(D256="",ISNA(VLOOKUP($C256,value,$J$146,FALSE)),$A$2=1),"",TEXT(MAX(0,VLOOKUP($C256,value,$J$146,FALSE)),IF(OP!$C$22="VACF","#,##0.00","#,##0")))</f>
        <v/>
      </c>
      <c r="J256" s="263" t="str">
        <f ca="1">IF(OR(D256="",ISNA(VLOOKUP($C256,value,$K$146,FALSE)),$A$2=1),"",TEXT(MAX(0,VLOOKUP($C256,value,$K$146,FALSE)),IF(OP!$C$22="VACF","#,##0.00","#,##0")))</f>
        <v/>
      </c>
      <c r="K256" s="263" t="str">
        <f ca="1">IF(OR(D256="",ISNA(VLOOKUP($C256,value,$L$146,FALSE)),$A$2=1),"",TEXT(MAX(0,VLOOKUP($C256,value,$L$146,FALSE)),IF(OP!$C$22="VACF","#,##0.00","#,##0")))</f>
        <v/>
      </c>
      <c r="L256" s="188" t="str">
        <f t="shared" ca="1" si="17"/>
        <v/>
      </c>
      <c r="M256" s="265" t="str">
        <f ca="1">IF(OR(D256&gt;111,OP!$C243="",$A$2=1),"",TEXT(OP!$C243,IF(OP!$C$22="VACF","#,##0.00","#,##0")))</f>
        <v/>
      </c>
      <c r="N256" s="265" t="str">
        <f ca="1">IF($A$2=1,"",IF(OR(D256&gt;111,OP!$D243="",VLOOKUP(OP!$B$99,OP!$B$99:$E$99,$N$146,0)=1,OP!$D243=0),"",TEXT(OP!$D243,IF(OP!$C$22="VACF","#,##0.00","#,##0"))))</f>
        <v/>
      </c>
    </row>
    <row r="257" spans="2:14" ht="15.75" customHeight="1">
      <c r="B257" s="33"/>
      <c r="C257" s="46" t="str">
        <f t="shared" ca="1" si="18"/>
        <v/>
      </c>
      <c r="D257" s="46" t="str">
        <f ca="1">IF($A$2=1,"",IF(MAX($D$149:$D$203,$D$213:D256)&gt;=110,"",D256+1))</f>
        <v/>
      </c>
      <c r="E257" s="47" t="str">
        <f ca="1">IF(OR(J257="",$A$2=1),"",VLOOKUP(C257&amp;計算!$C$3,宣告利率,2,FALSE))</f>
        <v/>
      </c>
      <c r="F257" s="188" t="str">
        <f t="shared" ca="1" si="15"/>
        <v/>
      </c>
      <c r="G257" s="188" t="str">
        <f t="shared" ca="1" si="16"/>
        <v/>
      </c>
      <c r="H257" s="263" t="str">
        <f ca="1">IF(OR(D257="",ISNA(VLOOKUP($C257,value,$H$146,FALSE)),$A$2=1),"",TEXT(VLOOKUP($C257,value,$H$146,FALSE),IF(OP!$C$22="VACF","#,##0.00","#,##0")))</f>
        <v/>
      </c>
      <c r="I257" s="263" t="str">
        <f ca="1">IF(OR(D257="",ISNA(VLOOKUP($C257,value,$J$146,FALSE)),$A$2=1),"",TEXT(MAX(0,VLOOKUP($C257,value,$J$146,FALSE)),IF(OP!$C$22="VACF","#,##0.00","#,##0")))</f>
        <v/>
      </c>
      <c r="J257" s="263" t="str">
        <f ca="1">IF(OR(D257="",ISNA(VLOOKUP($C257,value,$K$146,FALSE)),$A$2=1),"",TEXT(MAX(0,VLOOKUP($C257,value,$K$146,FALSE)),IF(OP!$C$22="VACF","#,##0.00","#,##0")))</f>
        <v/>
      </c>
      <c r="K257" s="263" t="str">
        <f ca="1">IF(OR(D257="",ISNA(VLOOKUP($C257,value,$L$146,FALSE)),$A$2=1),"",TEXT(MAX(0,VLOOKUP($C257,value,$L$146,FALSE)),IF(OP!$C$22="VACF","#,##0.00","#,##0")))</f>
        <v/>
      </c>
      <c r="L257" s="188" t="str">
        <f t="shared" ca="1" si="17"/>
        <v/>
      </c>
      <c r="M257" s="265" t="str">
        <f ca="1">IF(OR(D257&gt;111,OP!$C244="",$A$2=1),"",TEXT(OP!$C244,IF(OP!$C$22="VACF","#,##0.00","#,##0")))</f>
        <v/>
      </c>
      <c r="N257" s="265" t="str">
        <f ca="1">IF($A$2=1,"",IF(OR(D257&gt;111,OP!$D244="",VLOOKUP(OP!$B$99,OP!$B$99:$E$99,$N$146,0)=1,OP!$D244=0),"",TEXT(OP!$D244,IF(OP!$C$22="VACF","#,##0.00","#,##0"))))</f>
        <v/>
      </c>
    </row>
    <row r="258" spans="2:14" ht="15.75" customHeight="1">
      <c r="B258" s="33"/>
      <c r="C258" s="173" t="str">
        <f t="shared" ca="1" si="18"/>
        <v/>
      </c>
      <c r="D258" s="173" t="str">
        <f ca="1">IF($A$2=1,"",IF(MAX($D$149:$D$203,$D$213:D257)&gt;=110,"",D257+1))</f>
        <v/>
      </c>
      <c r="E258" s="174" t="str">
        <f ca="1">IF(OR(J258="",$A$2=1),"",VLOOKUP(C258&amp;計算!$C$3,宣告利率,2,FALSE))</f>
        <v/>
      </c>
      <c r="F258" s="187" t="str">
        <f t="shared" ca="1" si="15"/>
        <v/>
      </c>
      <c r="G258" s="187" t="str">
        <f t="shared" ca="1" si="16"/>
        <v/>
      </c>
      <c r="H258" s="262" t="str">
        <f ca="1">IF(OR(D258="",ISNA(VLOOKUP($C258,value,$H$146,FALSE)),$A$2=1),"",TEXT(VLOOKUP($C258,value,$H$146,FALSE),IF(OP!$C$22="VACF","#,##0.00","#,##0")))</f>
        <v/>
      </c>
      <c r="I258" s="262" t="str">
        <f ca="1">IF(OR(D258="",ISNA(VLOOKUP($C258,value,$J$146,FALSE)),$A$2=1),"",TEXT(MAX(0,VLOOKUP($C258,value,$J$146,FALSE)),IF(OP!$C$22="VACF","#,##0.00","#,##0")))</f>
        <v/>
      </c>
      <c r="J258" s="262" t="str">
        <f ca="1">IF(OR(D258="",ISNA(VLOOKUP($C258,value,$K$146,FALSE)),$A$2=1),"",TEXT(MAX(0,VLOOKUP($C258,value,$K$146,FALSE)),IF(OP!$C$22="VACF","#,##0.00","#,##0")))</f>
        <v/>
      </c>
      <c r="K258" s="262" t="str">
        <f ca="1">IF(OR(D258="",ISNA(VLOOKUP($C258,value,$L$146,FALSE)),$A$2=1),"",TEXT(MAX(0,VLOOKUP($C258,value,$L$146,FALSE)),IF(OP!$C$22="VACF","#,##0.00","#,##0")))</f>
        <v/>
      </c>
      <c r="L258" s="187" t="str">
        <f t="shared" ca="1" si="17"/>
        <v/>
      </c>
      <c r="M258" s="264" t="str">
        <f ca="1">IF(OR(D258&gt;111,OP!$C245="",$A$2=1),"",TEXT(OP!$C245,IF(OP!$C$22="VACF","#,##0.00","#,##0")))</f>
        <v/>
      </c>
      <c r="N258" s="264" t="str">
        <f ca="1">IF($A$2=1,"",IF(OR(D258&gt;111,OP!$D245="",VLOOKUP(OP!$B$99,OP!$B$99:$E$99,$N$146,0)=1,OP!$D245=0),"",TEXT(OP!$D245,IF(OP!$C$22="VACF","#,##0.00","#,##0"))))</f>
        <v/>
      </c>
    </row>
    <row r="259" spans="2:14" ht="15.75" customHeight="1">
      <c r="B259" s="33"/>
      <c r="C259" s="173" t="str">
        <f t="shared" ca="1" si="18"/>
        <v/>
      </c>
      <c r="D259" s="173" t="str">
        <f ca="1">IF($A$2=1,"",IF(MAX($D$149:$D$203,$D$213:D258)&gt;=110,"",D258+1))</f>
        <v/>
      </c>
      <c r="E259" s="174" t="str">
        <f ca="1">IF(OR(J259="",$A$2=1),"",VLOOKUP(C259&amp;計算!$C$3,宣告利率,2,FALSE))</f>
        <v/>
      </c>
      <c r="F259" s="187" t="str">
        <f t="shared" ca="1" si="15"/>
        <v/>
      </c>
      <c r="G259" s="187" t="str">
        <f t="shared" ca="1" si="16"/>
        <v/>
      </c>
      <c r="H259" s="262" t="str">
        <f ca="1">IF(OR(D259="",ISNA(VLOOKUP($C259,value,$H$146,FALSE)),$A$2=1),"",TEXT(VLOOKUP($C259,value,$H$146,FALSE),IF(OP!$C$22="VACF","#,##0.00","#,##0")))</f>
        <v/>
      </c>
      <c r="I259" s="262" t="str">
        <f ca="1">IF(OR(D259="",ISNA(VLOOKUP($C259,value,$J$146,FALSE)),$A$2=1),"",TEXT(MAX(0,VLOOKUP($C259,value,$J$146,FALSE)),IF(OP!$C$22="VACF","#,##0.00","#,##0")))</f>
        <v/>
      </c>
      <c r="J259" s="262" t="str">
        <f ca="1">IF(OR(D259="",ISNA(VLOOKUP($C259,value,$K$146,FALSE)),$A$2=1),"",TEXT(MAX(0,VLOOKUP($C259,value,$K$146,FALSE)),IF(OP!$C$22="VACF","#,##0.00","#,##0")))</f>
        <v/>
      </c>
      <c r="K259" s="262" t="str">
        <f ca="1">IF(OR(D259="",ISNA(VLOOKUP($C259,value,$L$146,FALSE)),$A$2=1),"",TEXT(MAX(0,VLOOKUP($C259,value,$L$146,FALSE)),IF(OP!$C$22="VACF","#,##0.00","#,##0")))</f>
        <v/>
      </c>
      <c r="L259" s="187" t="str">
        <f t="shared" ca="1" si="17"/>
        <v/>
      </c>
      <c r="M259" s="264" t="str">
        <f ca="1">IF(OR(D259&gt;111,OP!$C246="",$A$2=1),"",TEXT(OP!$C246,IF(OP!$C$22="VACF","#,##0.00","#,##0")))</f>
        <v/>
      </c>
      <c r="N259" s="264" t="str">
        <f ca="1">IF($A$2=1,"",IF(OR(D259&gt;111,OP!$D246="",VLOOKUP(OP!$B$99,OP!$B$99:$E$99,$N$146,0)=1,OP!$D246=0),"",TEXT(OP!$D246,IF(OP!$C$22="VACF","#,##0.00","#,##0"))))</f>
        <v/>
      </c>
    </row>
    <row r="260" spans="2:14" ht="15.75" customHeight="1">
      <c r="B260" s="33"/>
      <c r="C260" s="173" t="str">
        <f t="shared" ca="1" si="18"/>
        <v/>
      </c>
      <c r="D260" s="173" t="str">
        <f ca="1">IF($A$2=1,"",IF(MAX($D$149:$D$203,$D$213:D259)&gt;=110,"",D259+1))</f>
        <v/>
      </c>
      <c r="E260" s="174" t="str">
        <f ca="1">IF(OR(J260="",$A$2=1),"",VLOOKUP(C260&amp;計算!$C$3,宣告利率,2,FALSE))</f>
        <v/>
      </c>
      <c r="F260" s="187" t="str">
        <f t="shared" ca="1" si="15"/>
        <v/>
      </c>
      <c r="G260" s="187" t="str">
        <f t="shared" ca="1" si="16"/>
        <v/>
      </c>
      <c r="H260" s="262" t="str">
        <f ca="1">IF(OR(D260="",ISNA(VLOOKUP($C260,value,$H$146,FALSE)),$A$2=1),"",TEXT(VLOOKUP($C260,value,$H$146,FALSE),IF(OP!$C$22="VACF","#,##0.00","#,##0")))</f>
        <v/>
      </c>
      <c r="I260" s="262" t="str">
        <f ca="1">IF(OR(D260="",ISNA(VLOOKUP($C260,value,$J$146,FALSE)),$A$2=1),"",TEXT(MAX(0,VLOOKUP($C260,value,$J$146,FALSE)),IF(OP!$C$22="VACF","#,##0.00","#,##0")))</f>
        <v/>
      </c>
      <c r="J260" s="262" t="str">
        <f ca="1">IF(OR(D260="",ISNA(VLOOKUP($C260,value,$K$146,FALSE)),$A$2=1),"",TEXT(MAX(0,VLOOKUP($C260,value,$K$146,FALSE)),IF(OP!$C$22="VACF","#,##0.00","#,##0")))</f>
        <v/>
      </c>
      <c r="K260" s="262" t="str">
        <f ca="1">IF(OR(D260="",ISNA(VLOOKUP($C260,value,$L$146,FALSE)),$A$2=1),"",TEXT(MAX(0,VLOOKUP($C260,value,$L$146,FALSE)),IF(OP!$C$22="VACF","#,##0.00","#,##0")))</f>
        <v/>
      </c>
      <c r="L260" s="187" t="str">
        <f t="shared" ca="1" si="17"/>
        <v/>
      </c>
      <c r="M260" s="264" t="str">
        <f ca="1">IF(OR(D260&gt;111,OP!$C247="",$A$2=1),"",TEXT(OP!$C247,IF(OP!$C$22="VACF","#,##0.00","#,##0")))</f>
        <v/>
      </c>
      <c r="N260" s="264" t="str">
        <f ca="1">IF($A$2=1,"",IF(OR(D260&gt;111,OP!$D247="",VLOOKUP(OP!$B$99,OP!$B$99:$E$99,$N$146,0)=1,OP!$D247=0),"",TEXT(OP!$D247,IF(OP!$C$22="VACF","#,##0.00","#,##0"))))</f>
        <v/>
      </c>
    </row>
    <row r="261" spans="2:14" ht="15.75" customHeight="1">
      <c r="B261" s="33" t="str">
        <f ca="1">IF(D261="","",B254+(D261-D254))</f>
        <v/>
      </c>
      <c r="C261" s="173" t="str">
        <f t="shared" ca="1" si="18"/>
        <v/>
      </c>
      <c r="D261" s="173" t="str">
        <f ca="1">IF($A$2=1,"",IF(MAX($D$149:$D$203,$D$213:D260)&gt;=110,"",D260+1))</f>
        <v/>
      </c>
      <c r="E261" s="174" t="str">
        <f ca="1">IF(OR(J261="",$A$2=1),"",VLOOKUP(C261&amp;計算!$C$3,宣告利率,2,FALSE))</f>
        <v/>
      </c>
      <c r="F261" s="187" t="str">
        <f t="shared" ca="1" si="15"/>
        <v/>
      </c>
      <c r="G261" s="187" t="str">
        <f t="shared" ca="1" si="16"/>
        <v/>
      </c>
      <c r="H261" s="262" t="str">
        <f ca="1">IF(OR(D261="",ISNA(VLOOKUP($C261,value,$H$146,FALSE)),$A$2=1),"",TEXT(VLOOKUP($C261,value,$H$146,FALSE),IF(OP!$C$22="VACF","#,##0.00","#,##0")))</f>
        <v/>
      </c>
      <c r="I261" s="262" t="str">
        <f ca="1">IF(OR(D261="",ISNA(VLOOKUP($C261,value,$J$146,FALSE)),$A$2=1),"",TEXT(MAX(0,VLOOKUP($C261,value,$J$146,FALSE)),IF(OP!$C$22="VACF","#,##0.00","#,##0")))</f>
        <v/>
      </c>
      <c r="J261" s="262" t="str">
        <f ca="1">IF(OR(D261="",ISNA(VLOOKUP($C261,value,$K$146,FALSE)),$A$2=1),"",TEXT(MAX(0,VLOOKUP($C261,value,$K$146,FALSE)),IF(OP!$C$22="VACF","#,##0.00","#,##0")))</f>
        <v/>
      </c>
      <c r="K261" s="262" t="str">
        <f ca="1">IF(OR(D261="",ISNA(VLOOKUP($C261,value,$L$146,FALSE)),$A$2=1),"",TEXT(MAX(0,VLOOKUP($C261,value,$L$146,FALSE)),IF(OP!$C$22="VACF","#,##0.00","#,##0")))</f>
        <v/>
      </c>
      <c r="L261" s="187" t="str">
        <f t="shared" ca="1" si="17"/>
        <v/>
      </c>
      <c r="M261" s="264" t="str">
        <f ca="1">IF(OR(D261&gt;111,OP!$C248="",$A$2=1),"",TEXT(OP!$C248,IF(OP!$C$22="VACF","#,##0.00","#,##0")))</f>
        <v/>
      </c>
      <c r="N261" s="264" t="str">
        <f ca="1">IF($A$2=1,"",IF(OR(D261&gt;111,OP!$D248="",VLOOKUP(OP!$B$99,OP!$B$99:$E$99,$N$146,0)=1,OP!$D248=0),"",TEXT(OP!$D248,IF(OP!$C$22="VACF","#,##0.00","#,##0"))))</f>
        <v/>
      </c>
    </row>
    <row r="262" spans="2:14" ht="15.75" customHeight="1">
      <c r="B262" s="33" t="str">
        <f t="shared" ca="1" si="13"/>
        <v/>
      </c>
      <c r="C262" s="173" t="str">
        <f t="shared" ca="1" si="18"/>
        <v/>
      </c>
      <c r="D262" s="173" t="str">
        <f ca="1">IF($A$2=1,"",IF(MAX($D$149:$D$203,$D$213:D261)&gt;=110,"",D261+1))</f>
        <v/>
      </c>
      <c r="E262" s="174" t="str">
        <f ca="1">IF(OR(J262="",$A$2=1),"",VLOOKUP(C262&amp;計算!$C$3,宣告利率,2,FALSE))</f>
        <v/>
      </c>
      <c r="F262" s="187" t="str">
        <f t="shared" ca="1" si="15"/>
        <v/>
      </c>
      <c r="G262" s="187" t="str">
        <f t="shared" ca="1" si="16"/>
        <v/>
      </c>
      <c r="H262" s="262" t="str">
        <f ca="1">IF(OR(D262="",ISNA(VLOOKUP($C262,value,$H$146,FALSE)),$A$2=1),"",TEXT(VLOOKUP($C262,value,$H$146,FALSE),IF(OP!$C$22="VACF","#,##0.00","#,##0")))</f>
        <v/>
      </c>
      <c r="I262" s="262" t="str">
        <f ca="1">IF(OR(D262="",ISNA(VLOOKUP($C262,value,$J$146,FALSE)),$A$2=1),"",TEXT(MAX(0,VLOOKUP($C262,value,$J$146,FALSE)),IF(OP!$C$22="VACF","#,##0.00","#,##0")))</f>
        <v/>
      </c>
      <c r="J262" s="262" t="str">
        <f ca="1">IF(OR(D262="",ISNA(VLOOKUP($C262,value,$K$146,FALSE)),$A$2=1),"",TEXT(MAX(0,VLOOKUP($C262,value,$K$146,FALSE)),IF(OP!$C$22="VACF","#,##0.00","#,##0")))</f>
        <v/>
      </c>
      <c r="K262" s="262" t="str">
        <f ca="1">IF(OR(D262="",ISNA(VLOOKUP($C262,value,$L$146,FALSE)),$A$2=1),"",TEXT(MAX(0,VLOOKUP($C262,value,$L$146,FALSE)),IF(OP!$C$22="VACF","#,##0.00","#,##0")))</f>
        <v/>
      </c>
      <c r="L262" s="187" t="str">
        <f t="shared" ca="1" si="17"/>
        <v/>
      </c>
      <c r="M262" s="264" t="str">
        <f ca="1">IF(OR(D262&gt;111,OP!$C249="",$A$2=1),"",TEXT(OP!$C249,IF(OP!$C$22="VACF","#,##0.00","#,##0")))</f>
        <v/>
      </c>
      <c r="N262" s="264" t="str">
        <f ca="1">IF($A$2=1,"",IF(OR(D262&gt;111,OP!$D249="",VLOOKUP(OP!$B$99,OP!$B$99:$E$99,$N$146,0)=1,OP!$D249=0),"",TEXT(OP!$D249,IF(OP!$C$22="VACF","#,##0.00","#,##0"))))</f>
        <v/>
      </c>
    </row>
    <row r="263" spans="2:14" ht="15.75" customHeight="1">
      <c r="B263" s="33" t="str">
        <f t="shared" ca="1" si="13"/>
        <v/>
      </c>
      <c r="C263" s="46" t="str">
        <f t="shared" ca="1" si="18"/>
        <v/>
      </c>
      <c r="D263" s="46" t="str">
        <f ca="1">IF($A$2=1,"",IF(MAX($D$149:$D$203,$D$213:D262)&gt;=110,"",D262+1))</f>
        <v/>
      </c>
      <c r="E263" s="47" t="str">
        <f ca="1">IF(OR(J263="",$A$2=1),"",VLOOKUP(C263&amp;計算!$C$3,宣告利率,2,FALSE))</f>
        <v/>
      </c>
      <c r="F263" s="188" t="str">
        <f t="shared" ca="1" si="15"/>
        <v/>
      </c>
      <c r="G263" s="188" t="str">
        <f t="shared" ca="1" si="16"/>
        <v/>
      </c>
      <c r="H263" s="263" t="str">
        <f ca="1">IF(OR(D263="",ISNA(VLOOKUP($C263,value,$H$146,FALSE)),$A$2=1),"",TEXT(VLOOKUP($C263,value,$H$146,FALSE),IF(OP!$C$22="VACF","#,##0.00","#,##0")))</f>
        <v/>
      </c>
      <c r="I263" s="263" t="str">
        <f ca="1">IF(OR(D263="",ISNA(VLOOKUP($C263,value,$J$146,FALSE)),$A$2=1),"",TEXT(MAX(0,VLOOKUP($C263,value,$J$146,FALSE)),IF(OP!$C$22="VACF","#,##0.00","#,##0")))</f>
        <v/>
      </c>
      <c r="J263" s="263" t="str">
        <f ca="1">IF(OR(D263="",ISNA(VLOOKUP($C263,value,$K$146,FALSE)),$A$2=1),"",TEXT(MAX(0,VLOOKUP($C263,value,$K$146,FALSE)),IF(OP!$C$22="VACF","#,##0.00","#,##0")))</f>
        <v/>
      </c>
      <c r="K263" s="263" t="str">
        <f ca="1">IF(OR(D263="",ISNA(VLOOKUP($C263,value,$L$146,FALSE)),$A$2=1),"",TEXT(MAX(0,VLOOKUP($C263,value,$L$146,FALSE)),IF(OP!$C$22="VACF","#,##0.00","#,##0")))</f>
        <v/>
      </c>
      <c r="L263" s="188" t="str">
        <f t="shared" ca="1" si="17"/>
        <v/>
      </c>
      <c r="M263" s="265" t="str">
        <f ca="1">IF(OR(D263&gt;111,OP!$C250="",$A$2=1),"",TEXT(OP!$C250,IF(OP!$C$22="VACF","#,##0.00","#,##0")))</f>
        <v/>
      </c>
      <c r="N263" s="265" t="str">
        <f ca="1">IF($A$2=1,"",IF(OR(D263&gt;111,OP!$D250="",VLOOKUP(OP!$B$99,OP!$B$99:$E$99,$N$146,0)=1,OP!$D250=0),"",TEXT(OP!$D250,IF(OP!$C$22="VACF","#,##0.00","#,##0"))))</f>
        <v/>
      </c>
    </row>
    <row r="264" spans="2:14" ht="15.75" customHeight="1">
      <c r="B264" s="33" t="str">
        <f t="shared" ca="1" si="13"/>
        <v/>
      </c>
      <c r="C264" s="46" t="str">
        <f t="shared" ca="1" si="18"/>
        <v/>
      </c>
      <c r="D264" s="46" t="str">
        <f ca="1">IF($A$2=1,"",IF(MAX($D$149:$D$203,$D$213:D263)&gt;=110,"",D263+1))</f>
        <v/>
      </c>
      <c r="E264" s="47" t="str">
        <f ca="1">IF(OR(J264="",$A$2=1),"",VLOOKUP(C264&amp;計算!$C$3,宣告利率,2,FALSE))</f>
        <v/>
      </c>
      <c r="F264" s="188" t="str">
        <f t="shared" ca="1" si="15"/>
        <v/>
      </c>
      <c r="G264" s="188" t="str">
        <f t="shared" ca="1" si="16"/>
        <v/>
      </c>
      <c r="H264" s="263" t="str">
        <f ca="1">IF(OR(D264="",ISNA(VLOOKUP($C264,value,$H$146,FALSE)),$A$2=1),"",TEXT(VLOOKUP($C264,value,$H$146,FALSE),IF(OP!$C$22="VACF","#,##0.00","#,##0")))</f>
        <v/>
      </c>
      <c r="I264" s="263" t="str">
        <f ca="1">IF(OR(D264="",ISNA(VLOOKUP($C264,value,$J$146,FALSE)),$A$2=1),"",TEXT(MAX(0,VLOOKUP($C264,value,$J$146,FALSE)),IF(OP!$C$22="VACF","#,##0.00","#,##0")))</f>
        <v/>
      </c>
      <c r="J264" s="263" t="str">
        <f ca="1">IF(OR(D264="",ISNA(VLOOKUP($C264,value,$K$146,FALSE)),$A$2=1),"",TEXT(MAX(0,VLOOKUP($C264,value,$K$146,FALSE)),IF(OP!$C$22="VACF","#,##0.00","#,##0")))</f>
        <v/>
      </c>
      <c r="K264" s="263" t="str">
        <f ca="1">IF(OR(D264="",ISNA(VLOOKUP($C264,value,$L$146,FALSE)),$A$2=1),"",TEXT(MAX(0,VLOOKUP($C264,value,$L$146,FALSE)),IF(OP!$C$22="VACF","#,##0.00","#,##0")))</f>
        <v/>
      </c>
      <c r="L264" s="188" t="str">
        <f t="shared" ca="1" si="17"/>
        <v/>
      </c>
      <c r="M264" s="265" t="str">
        <f ca="1">IF(OR(D264&gt;111,OP!$C251="",$A$2=1),"",TEXT(OP!$C251,IF(OP!$C$22="VACF","#,##0.00","#,##0")))</f>
        <v/>
      </c>
      <c r="N264" s="265" t="str">
        <f ca="1">IF($A$2=1,"",IF(OR(D264&gt;111,OP!$D251="",VLOOKUP(OP!$B$99,OP!$B$99:$E$99,$N$146,0)=1,OP!$D251=0),"",TEXT(OP!$D251,IF(OP!$C$22="VACF","#,##0.00","#,##0"))))</f>
        <v/>
      </c>
    </row>
    <row r="265" spans="2:14" ht="15.75" customHeight="1">
      <c r="B265" s="33" t="str">
        <f t="shared" ca="1" si="13"/>
        <v/>
      </c>
      <c r="C265" s="46" t="str">
        <f t="shared" ca="1" si="18"/>
        <v/>
      </c>
      <c r="D265" s="46" t="str">
        <f ca="1">IF($A$2=1,"",IF(MAX($D$149:$D$203,$D$213:D264)&gt;=110,"",D264+1))</f>
        <v/>
      </c>
      <c r="E265" s="47" t="str">
        <f ca="1">IF(OR(J265="",$A$2=1),"",VLOOKUP(C265&amp;計算!$C$3,宣告利率,2,FALSE))</f>
        <v/>
      </c>
      <c r="F265" s="188" t="str">
        <f t="shared" ca="1" si="15"/>
        <v/>
      </c>
      <c r="G265" s="188" t="str">
        <f t="shared" ca="1" si="16"/>
        <v/>
      </c>
      <c r="H265" s="263" t="str">
        <f ca="1">IF(OR(D265="",ISNA(VLOOKUP($C265,value,$H$146,FALSE)),$A$2=1),"",TEXT(VLOOKUP($C265,value,$H$146,FALSE),IF(OP!$C$22="VACF","#,##0.00","#,##0")))</f>
        <v/>
      </c>
      <c r="I265" s="263" t="str">
        <f ca="1">IF(OR(D265="",ISNA(VLOOKUP($C265,value,$J$146,FALSE)),$A$2=1),"",TEXT(MAX(0,VLOOKUP($C265,value,$J$146,FALSE)),IF(OP!$C$22="VACF","#,##0.00","#,##0")))</f>
        <v/>
      </c>
      <c r="J265" s="263" t="str">
        <f ca="1">IF(OR(D265="",ISNA(VLOOKUP($C265,value,$K$146,FALSE)),$A$2=1),"",TEXT(MAX(0,VLOOKUP($C265,value,$K$146,FALSE)),IF(OP!$C$22="VACF","#,##0.00","#,##0")))</f>
        <v/>
      </c>
      <c r="K265" s="263" t="str">
        <f ca="1">IF(OR(D265="",ISNA(VLOOKUP($C265,value,$L$146,FALSE)),$A$2=1),"",TEXT(MAX(0,VLOOKUP($C265,value,$L$146,FALSE)),IF(OP!$C$22="VACF","#,##0.00","#,##0")))</f>
        <v/>
      </c>
      <c r="L265" s="188" t="str">
        <f t="shared" ca="1" si="17"/>
        <v/>
      </c>
      <c r="M265" s="265" t="str">
        <f ca="1">IF(OR(D265&gt;111,OP!$C252="",$A$2=1),"",TEXT(OP!$C252,IF(OP!$C$22="VACF","#,##0.00","#,##0")))</f>
        <v/>
      </c>
      <c r="N265" s="265" t="str">
        <f ca="1">IF($A$2=1,"",IF(OR(D265&gt;111,OP!$D252="",VLOOKUP(OP!$B$99,OP!$B$99:$E$99,$N$146,0)=1,OP!$D252=0),"",TEXT(OP!$D252,IF(OP!$C$22="VACF","#,##0.00","#,##0"))))</f>
        <v/>
      </c>
    </row>
    <row r="266" spans="2:14" ht="15.75" customHeight="1">
      <c r="B266" s="33"/>
      <c r="C266" s="46" t="str">
        <f ca="1">IF(D266="","",C265+(D266-D265))</f>
        <v/>
      </c>
      <c r="D266" s="46" t="str">
        <f ca="1">IF($A$2=1,"",IF(MAX($D$149:$D$203,$D$213:D265)&gt;=110,"",D265+1))</f>
        <v/>
      </c>
      <c r="E266" s="47" t="str">
        <f ca="1">IF(OR(J266="",$A$2=1),"",VLOOKUP(C266&amp;計算!$C$3,宣告利率,2,FALSE))</f>
        <v/>
      </c>
      <c r="F266" s="188" t="str">
        <f t="shared" ca="1" si="15"/>
        <v/>
      </c>
      <c r="G266" s="188" t="str">
        <f t="shared" ca="1" si="16"/>
        <v/>
      </c>
      <c r="H266" s="263" t="str">
        <f ca="1">IF(OR(D266="",ISNA(VLOOKUP($C266,value,$H$146,FALSE)),$A$2=1),"",TEXT(VLOOKUP($C266,value,$H$146,FALSE),IF(OP!$C$22="VACF","#,##0.00","#,##0")))</f>
        <v/>
      </c>
      <c r="I266" s="263" t="str">
        <f ca="1">IF(OR(D266="",ISNA(VLOOKUP($C266,value,$J$146,FALSE)),$A$2=1),"",TEXT(MAX(0,VLOOKUP($C266,value,$J$146,FALSE)),IF(OP!$C$22="VACF","#,##0.00","#,##0")))</f>
        <v/>
      </c>
      <c r="J266" s="263" t="str">
        <f ca="1">IF(OR(D266="",ISNA(VLOOKUP($C266,value,$K$146,FALSE)),$A$2=1),"",TEXT(MAX(0,VLOOKUP($C266,value,$K$146,FALSE)),IF(OP!$C$22="VACF","#,##0.00","#,##0")))</f>
        <v/>
      </c>
      <c r="K266" s="263" t="str">
        <f ca="1">IF(OR(D266="",ISNA(VLOOKUP($C266,value,$L$146,FALSE)),$A$2=1),"",TEXT(MAX(0,VLOOKUP($C266,value,$L$146,FALSE)),IF(OP!$C$22="VACF","#,##0.00","#,##0")))</f>
        <v/>
      </c>
      <c r="L266" s="188" t="str">
        <f t="shared" ca="1" si="17"/>
        <v/>
      </c>
      <c r="M266" s="265" t="str">
        <f ca="1">IF(OR(D266&gt;111,OP!$C253="",$A$2=1),"",TEXT(OP!$C253,IF(OP!$C$22="VACF","#,##0.00","#,##0")))</f>
        <v/>
      </c>
      <c r="N266" s="265" t="str">
        <f ca="1">IF($A$2=1,"",IF(OR(D266&gt;111,OP!$D253="",VLOOKUP(OP!$B$99,OP!$B$99:$E$99,$N$146,0)=1,OP!$D253=0),"",TEXT(OP!$D253,IF(OP!$C$22="VACF","#,##0.00","#,##0"))))</f>
        <v/>
      </c>
    </row>
    <row r="267" spans="2:14" ht="15.75" customHeight="1">
      <c r="B267" s="33" t="str">
        <f ca="1">IF(D267="","",B265+(D267-D265))</f>
        <v/>
      </c>
      <c r="C267" s="46" t="str">
        <f ca="1">IF(D267="","",C266+(D267-D266))</f>
        <v/>
      </c>
      <c r="D267" s="46" t="str">
        <f ca="1">IF($A$2=1,"",IF(MAX($D$149:$D$203,$D$213:D266)&gt;=110,"",D266+1))</f>
        <v/>
      </c>
      <c r="E267" s="47" t="str">
        <f ca="1">IF(OR(J267="",$A$2=1),"",VLOOKUP(C267&amp;計算!$C$3,宣告利率,2,FALSE))</f>
        <v/>
      </c>
      <c r="F267" s="188" t="str">
        <f t="shared" ca="1" si="15"/>
        <v/>
      </c>
      <c r="G267" s="188" t="str">
        <f t="shared" ca="1" si="16"/>
        <v/>
      </c>
      <c r="H267" s="263" t="str">
        <f ca="1">IF(OR(D267="",ISNA(VLOOKUP($C267,value,$H$146,FALSE)),$A$2=1),"",TEXT(VLOOKUP($C267,value,$H$146,FALSE),IF(OP!$C$22="VACF","#,##0.00","#,##0")))</f>
        <v/>
      </c>
      <c r="I267" s="263" t="str">
        <f ca="1">IF(OR(D267="",ISNA(VLOOKUP($C267,value,$J$146,FALSE)),$A$2=1),"",TEXT(MAX(0,VLOOKUP($C267,value,$J$146,FALSE)),IF(OP!$C$22="VACF","#,##0.00","#,##0")))</f>
        <v/>
      </c>
      <c r="J267" s="263" t="str">
        <f ca="1">IF(OR(D267="",ISNA(VLOOKUP($C267,value,$K$146,FALSE)),$A$2=1),"",TEXT(MAX(0,VLOOKUP($C267,value,$K$146,FALSE)),IF(OP!$C$22="VACF","#,##0.00","#,##0")))</f>
        <v/>
      </c>
      <c r="K267" s="263" t="str">
        <f ca="1">IF(OR(D267="",ISNA(VLOOKUP($C267,value,$L$146,FALSE)),$A$2=1),"",TEXT(MAX(0,VLOOKUP($C267,value,$L$146,FALSE)),IF(OP!$C$22="VACF","#,##0.00","#,##0")))</f>
        <v/>
      </c>
      <c r="L267" s="188" t="str">
        <f t="shared" ca="1" si="17"/>
        <v/>
      </c>
      <c r="M267" s="265" t="str">
        <f ca="1">IF(OR(D267&gt;111,OP!$C254="",$A$2=1),"",TEXT(OP!$C254,IF(OP!$C$22="VACF","#,##0.00","#,##0")))</f>
        <v/>
      </c>
      <c r="N267" s="265" t="str">
        <f ca="1">IF($A$2=1,"",IF(OR(D267&gt;111,OP!$D254="",VLOOKUP(OP!$B$99,OP!$B$99:$E$99,$N$146,0)=1,OP!$D254=0),"",TEXT(OP!$D254,IF(OP!$C$22="VACF","#,##0.00","#,##0"))))</f>
        <v/>
      </c>
    </row>
    <row r="268" spans="2:14" ht="15.75" customHeight="1">
      <c r="B268" s="33" t="str">
        <f t="shared" ca="1" si="13"/>
        <v/>
      </c>
      <c r="C268" s="173" t="str">
        <f ca="1">IF(D268="","",C267+(D268-D267))</f>
        <v/>
      </c>
      <c r="D268" s="173" t="str">
        <f ca="1">IF($A$2=1,"",IF(MAX($D$149:$D$203,$D$213:D267)&gt;=110,"",D267+1))</f>
        <v/>
      </c>
      <c r="E268" s="174" t="str">
        <f ca="1">IF(OR(J268="",$A$2=1),"",VLOOKUP(C268&amp;計算!$C$3,宣告利率,2,FALSE))</f>
        <v/>
      </c>
      <c r="F268" s="187" t="str">
        <f t="shared" ca="1" si="15"/>
        <v/>
      </c>
      <c r="G268" s="187" t="str">
        <f t="shared" ca="1" si="16"/>
        <v/>
      </c>
      <c r="H268" s="262" t="str">
        <f ca="1">IF(OR(D268="",ISNA(VLOOKUP($C268,value,$H$146,FALSE)),$A$2=1),"",TEXT(VLOOKUP($C268,value,$H$146,FALSE),IF(OP!$C$22="VACF","#,##0.00","#,##0")))</f>
        <v/>
      </c>
      <c r="I268" s="262" t="str">
        <f ca="1">IF(OR(D268="",ISNA(VLOOKUP($C268,value,$J$146,FALSE)),$A$2=1),"",TEXT(MAX(0,VLOOKUP($C268,value,$J$146,FALSE)),IF(OP!$C$22="VACF","#,##0.00","#,##0")))</f>
        <v/>
      </c>
      <c r="J268" s="262" t="str">
        <f ca="1">IF(OR(D268="",ISNA(VLOOKUP($C268,value,$K$146,FALSE)),$A$2=1),"",TEXT(MAX(0,VLOOKUP($C268,value,$K$146,FALSE)),IF(OP!$C$22="VACF","#,##0.00","#,##0")))</f>
        <v/>
      </c>
      <c r="K268" s="262" t="str">
        <f ca="1">IF(OR(D268="",ISNA(VLOOKUP($C268,value,$L$146,FALSE)),$A$2=1),"",TEXT(MAX(0,VLOOKUP($C268,value,$L$146,FALSE)),IF(OP!$C$22="VACF","#,##0.00","#,##0")))</f>
        <v/>
      </c>
      <c r="L268" s="187" t="str">
        <f t="shared" ca="1" si="17"/>
        <v/>
      </c>
      <c r="M268" s="264" t="str">
        <f ca="1">IF(OR(D268&gt;111,OP!$C255="",$A$2=1),"",TEXT(OP!$C255,IF(OP!$C$22="VACF","#,##0.00","#,##0")))</f>
        <v/>
      </c>
      <c r="N268" s="264" t="str">
        <f ca="1">IF($A$2=1,"",IF(OR(D268&gt;111,OP!$D255="",VLOOKUP(OP!$B$99,OP!$B$99:$E$99,$N$146,0)=1,OP!$D255=0),"",TEXT(OP!$D255,IF(OP!$C$22="VACF","#,##0.00","#,##0"))))</f>
        <v/>
      </c>
    </row>
    <row r="269" spans="2:14" ht="15" hidden="1" customHeight="1">
      <c r="B269" s="128"/>
      <c r="C269" s="37" t="s">
        <v>338</v>
      </c>
      <c r="D269" s="161"/>
      <c r="E269" s="162"/>
      <c r="F269" s="324"/>
      <c r="G269" s="324"/>
      <c r="H269" s="325"/>
      <c r="I269" s="325"/>
      <c r="J269" s="325"/>
      <c r="K269" s="325"/>
      <c r="L269" s="324"/>
      <c r="M269" s="326"/>
      <c r="N269" s="326"/>
    </row>
    <row r="270" spans="2:14" ht="15.75" customHeight="1">
      <c r="C270" s="401" t="s">
        <v>397</v>
      </c>
      <c r="D270" s="223"/>
      <c r="E270" s="224"/>
      <c r="F270" s="225"/>
      <c r="G270" s="225"/>
      <c r="H270" s="225"/>
      <c r="I270" s="225"/>
      <c r="J270" s="225"/>
      <c r="K270" s="225"/>
      <c r="L270" s="225"/>
      <c r="M270" s="226"/>
      <c r="N270" s="226"/>
    </row>
    <row r="271" spans="2:14" ht="15.75" customHeight="1">
      <c r="C271" s="401" t="s">
        <v>398</v>
      </c>
      <c r="D271" s="223"/>
      <c r="E271" s="224"/>
      <c r="F271" s="225"/>
      <c r="G271" s="225"/>
      <c r="H271" s="225"/>
      <c r="I271" s="225"/>
      <c r="J271" s="225"/>
      <c r="K271" s="225"/>
      <c r="L271" s="225"/>
      <c r="M271" s="226"/>
      <c r="N271" s="226"/>
    </row>
    <row r="272" spans="2:14" ht="15.75" customHeight="1">
      <c r="C272" s="402" t="str">
        <f>"‧以上分期年金金額為假設年金預定利率及宣告利率皆為"&amp;TEXT(OP!$E$111,"0.00%")&amp;"且固定不變之條件下計算所得之數值。"</f>
        <v>‧以上分期年金金額為假設年金預定利率及宣告利率皆為1.50%且固定不變之條件下計算所得之數值。</v>
      </c>
      <c r="D272" s="223"/>
      <c r="E272" s="224"/>
      <c r="F272" s="225"/>
      <c r="G272" s="225"/>
      <c r="H272" s="225"/>
      <c r="I272" s="225"/>
      <c r="J272" s="225"/>
      <c r="K272" s="225"/>
      <c r="L272" s="225"/>
      <c r="M272" s="226"/>
      <c r="N272" s="226"/>
    </row>
    <row r="273" spans="1:14" ht="15.75" customHeight="1">
      <c r="C273" s="491" t="s">
        <v>387</v>
      </c>
      <c r="D273" s="491"/>
      <c r="E273" s="491"/>
      <c r="F273" s="491"/>
      <c r="G273" s="491"/>
      <c r="H273" s="491"/>
      <c r="I273" s="491"/>
      <c r="J273" s="491"/>
      <c r="K273" s="491"/>
      <c r="L273" s="491"/>
      <c r="M273" s="491"/>
      <c r="N273" s="491"/>
    </row>
    <row r="274" spans="1:14" ht="15.75" customHeight="1">
      <c r="C274" s="164"/>
      <c r="J274" s="178"/>
      <c r="K274" s="492" t="str">
        <f ca="1">OP!$C$55&amp;" 列印日："&amp;TEXT(NOW(),"EEMMDD")</f>
        <v>V4.2-1060517 列印日：1060602</v>
      </c>
      <c r="L274" s="492"/>
      <c r="M274" s="492"/>
      <c r="N274" s="492"/>
    </row>
    <row r="275" spans="1:14">
      <c r="C275" s="164"/>
      <c r="J275" s="178"/>
      <c r="K275" s="38"/>
      <c r="M275" s="177"/>
      <c r="N275" s="177"/>
    </row>
    <row r="276" spans="1:14" ht="21">
      <c r="A276" s="36"/>
      <c r="C276" s="494" t="s">
        <v>251</v>
      </c>
      <c r="D276" s="494"/>
      <c r="E276" s="494"/>
      <c r="F276" s="494"/>
      <c r="G276" s="494"/>
      <c r="H276" s="494"/>
      <c r="I276" s="494"/>
      <c r="J276" s="494"/>
      <c r="K276" s="494"/>
      <c r="L276" s="494"/>
      <c r="M276" s="494"/>
      <c r="N276" s="494"/>
    </row>
    <row r="277" spans="1:14" ht="18" customHeight="1">
      <c r="A277" s="36">
        <v>1</v>
      </c>
      <c r="C277" s="435" t="s">
        <v>495</v>
      </c>
      <c r="D277" s="34"/>
      <c r="E277" s="26"/>
      <c r="N277" s="163"/>
    </row>
    <row r="278" spans="1:14" ht="18" customHeight="1">
      <c r="A278" s="36">
        <v>2</v>
      </c>
      <c r="C278" s="435" t="s">
        <v>539</v>
      </c>
      <c r="D278" s="34"/>
      <c r="E278" s="26"/>
      <c r="N278" s="163"/>
    </row>
    <row r="279" spans="1:14" ht="18" customHeight="1">
      <c r="A279" s="36">
        <v>3</v>
      </c>
      <c r="C279" s="435" t="s">
        <v>496</v>
      </c>
      <c r="D279" s="34"/>
      <c r="E279" s="26"/>
      <c r="N279" s="163"/>
    </row>
    <row r="280" spans="1:14" ht="18" customHeight="1">
      <c r="A280" s="36">
        <v>4</v>
      </c>
      <c r="C280" s="435" t="s">
        <v>497</v>
      </c>
      <c r="D280" s="34"/>
      <c r="E280" s="26"/>
      <c r="N280" s="163"/>
    </row>
    <row r="281" spans="1:14" ht="18" customHeight="1">
      <c r="A281" s="36">
        <v>5</v>
      </c>
      <c r="C281" s="436" t="s">
        <v>498</v>
      </c>
      <c r="D281" s="34"/>
      <c r="E281" s="26"/>
      <c r="N281" s="163"/>
    </row>
    <row r="282" spans="1:14" ht="18" customHeight="1">
      <c r="A282" s="36">
        <v>14</v>
      </c>
      <c r="C282" s="436" t="s">
        <v>499</v>
      </c>
      <c r="D282" s="34"/>
      <c r="E282" s="26"/>
    </row>
    <row r="283" spans="1:14" ht="18" customHeight="1">
      <c r="A283" s="36">
        <v>15</v>
      </c>
      <c r="C283" s="435" t="s">
        <v>500</v>
      </c>
      <c r="D283" s="34"/>
      <c r="E283" s="26"/>
    </row>
    <row r="284" spans="1:14" ht="18" customHeight="1">
      <c r="A284" s="36">
        <v>16</v>
      </c>
      <c r="C284" s="435" t="s">
        <v>501</v>
      </c>
      <c r="D284" s="34"/>
      <c r="E284" s="26"/>
    </row>
    <row r="285" spans="1:14" ht="18" customHeight="1">
      <c r="A285" s="36">
        <v>21</v>
      </c>
      <c r="C285" s="437" t="s">
        <v>502</v>
      </c>
      <c r="D285" s="34"/>
      <c r="E285" s="26"/>
    </row>
    <row r="286" spans="1:14" ht="18" customHeight="1">
      <c r="A286" s="36">
        <v>22</v>
      </c>
      <c r="C286" s="437" t="s">
        <v>503</v>
      </c>
      <c r="D286" s="34"/>
      <c r="E286" s="26"/>
    </row>
    <row r="287" spans="1:14" ht="18" customHeight="1">
      <c r="A287" s="36">
        <v>23</v>
      </c>
      <c r="C287" s="437" t="s">
        <v>504</v>
      </c>
      <c r="D287" s="34"/>
      <c r="E287" s="26"/>
    </row>
    <row r="288" spans="1:14" ht="18" customHeight="1">
      <c r="A288" s="36">
        <v>24</v>
      </c>
      <c r="C288" s="437" t="s">
        <v>505</v>
      </c>
      <c r="D288" s="34"/>
      <c r="E288" s="26"/>
    </row>
    <row r="289" spans="1:14" ht="18" customHeight="1">
      <c r="A289" s="36">
        <v>25</v>
      </c>
      <c r="C289" s="437" t="s">
        <v>506</v>
      </c>
      <c r="D289" s="34"/>
      <c r="E289" s="26"/>
    </row>
    <row r="290" spans="1:14" ht="18" customHeight="1">
      <c r="A290" s="36">
        <v>26</v>
      </c>
      <c r="C290" s="437" t="s">
        <v>370</v>
      </c>
      <c r="D290" s="34"/>
      <c r="E290" s="26"/>
    </row>
    <row r="291" spans="1:14" ht="18" customHeight="1">
      <c r="A291" s="36">
        <v>27</v>
      </c>
      <c r="C291" s="437" t="s">
        <v>371</v>
      </c>
      <c r="D291" s="34"/>
      <c r="E291" s="26"/>
    </row>
    <row r="292" spans="1:14" ht="18" customHeight="1">
      <c r="A292" s="36">
        <v>28</v>
      </c>
      <c r="C292" s="437" t="s">
        <v>372</v>
      </c>
      <c r="D292" s="34"/>
      <c r="E292" s="26"/>
    </row>
    <row r="293" spans="1:14" ht="18" customHeight="1">
      <c r="A293" s="36">
        <v>29</v>
      </c>
      <c r="C293" s="438" t="s">
        <v>507</v>
      </c>
      <c r="D293" s="34"/>
      <c r="E293" s="26"/>
    </row>
    <row r="294" spans="1:14" ht="18" customHeight="1">
      <c r="A294" s="36">
        <v>30</v>
      </c>
      <c r="C294" s="439" t="s">
        <v>508</v>
      </c>
      <c r="D294" s="34"/>
      <c r="E294" s="26"/>
    </row>
    <row r="295" spans="1:14" ht="18" customHeight="1">
      <c r="A295" s="36"/>
      <c r="C295" s="439" t="s">
        <v>250</v>
      </c>
      <c r="D295" s="34"/>
      <c r="E295" s="26"/>
    </row>
    <row r="296" spans="1:14" ht="18" customHeight="1">
      <c r="A296" s="36"/>
      <c r="C296" s="439" t="s">
        <v>509</v>
      </c>
      <c r="D296" s="34"/>
      <c r="E296" s="26"/>
    </row>
    <row r="297" spans="1:14" ht="18" customHeight="1">
      <c r="A297" s="36"/>
      <c r="C297" s="439" t="s">
        <v>510</v>
      </c>
      <c r="D297" s="41"/>
      <c r="E297" s="42"/>
    </row>
    <row r="298" spans="1:14" ht="18" customHeight="1">
      <c r="A298" s="36"/>
      <c r="C298" s="439" t="s">
        <v>511</v>
      </c>
      <c r="D298" s="41"/>
      <c r="E298" s="42"/>
    </row>
    <row r="299" spans="1:14" ht="18" customHeight="1">
      <c r="A299" s="36"/>
      <c r="C299" s="439"/>
      <c r="D299" s="41"/>
      <c r="E299" s="42"/>
    </row>
    <row r="300" spans="1:14" ht="18" customHeight="1">
      <c r="A300" s="36"/>
      <c r="C300" s="439"/>
      <c r="D300" s="41"/>
      <c r="E300" s="123"/>
      <c r="F300" s="303"/>
      <c r="G300" s="303"/>
      <c r="H300" s="303"/>
      <c r="I300" s="303"/>
      <c r="J300" s="303"/>
      <c r="K300" s="303"/>
      <c r="L300" s="303"/>
      <c r="M300" s="303"/>
      <c r="N300" s="303"/>
    </row>
    <row r="301" spans="1:14" ht="18" customHeight="1">
      <c r="C301" s="360"/>
      <c r="D301" s="272"/>
      <c r="E301" s="273"/>
      <c r="F301" s="273"/>
      <c r="G301" s="273"/>
      <c r="H301" s="273"/>
      <c r="I301" s="273"/>
      <c r="J301" s="273"/>
      <c r="K301" s="273"/>
      <c r="L301" s="273"/>
      <c r="M301" s="273"/>
      <c r="N301" s="273"/>
    </row>
    <row r="302" spans="1:14" ht="18" customHeight="1">
      <c r="C302" s="360"/>
      <c r="D302" s="272"/>
      <c r="E302" s="274"/>
      <c r="F302" s="273"/>
      <c r="G302" s="273"/>
      <c r="H302" s="273"/>
      <c r="I302" s="273"/>
      <c r="J302" s="273"/>
      <c r="K302" s="273"/>
      <c r="L302" s="273"/>
      <c r="M302" s="273"/>
      <c r="N302" s="273"/>
    </row>
    <row r="303" spans="1:14" ht="18" customHeight="1">
      <c r="D303" s="272"/>
      <c r="E303" s="274"/>
      <c r="F303" s="273"/>
      <c r="G303" s="273"/>
      <c r="H303" s="273"/>
      <c r="I303" s="273"/>
      <c r="J303" s="273"/>
      <c r="K303" s="273"/>
      <c r="L303" s="273"/>
      <c r="M303" s="273"/>
      <c r="N303" s="273"/>
    </row>
    <row r="304" spans="1:14" ht="18" customHeight="1">
      <c r="D304" s="272"/>
      <c r="E304" s="274"/>
      <c r="F304" s="273"/>
      <c r="G304" s="273"/>
      <c r="H304" s="273"/>
      <c r="I304" s="273"/>
      <c r="J304" s="273"/>
      <c r="K304" s="273"/>
      <c r="L304" s="273"/>
      <c r="M304" s="273"/>
      <c r="N304" s="273"/>
    </row>
    <row r="305" spans="3:14" ht="18" customHeight="1">
      <c r="D305" s="272"/>
      <c r="E305" s="274"/>
      <c r="F305" s="273"/>
      <c r="G305" s="273"/>
      <c r="H305" s="273"/>
      <c r="I305" s="273"/>
      <c r="J305" s="273"/>
      <c r="K305" s="273"/>
      <c r="L305" s="273"/>
      <c r="M305" s="273"/>
      <c r="N305" s="273"/>
    </row>
    <row r="306" spans="3:14" ht="18" customHeight="1">
      <c r="D306" s="272"/>
      <c r="E306" s="274"/>
      <c r="F306" s="273"/>
      <c r="G306" s="273"/>
      <c r="H306" s="273"/>
      <c r="I306" s="273"/>
      <c r="J306" s="273"/>
      <c r="K306" s="273"/>
      <c r="L306" s="273"/>
      <c r="M306" s="273"/>
      <c r="N306" s="273"/>
    </row>
    <row r="307" spans="3:14" ht="18" customHeight="1">
      <c r="D307" s="272"/>
      <c r="E307" s="274"/>
      <c r="F307" s="273"/>
      <c r="G307" s="273"/>
      <c r="H307" s="273"/>
      <c r="I307" s="273"/>
      <c r="J307" s="273"/>
      <c r="K307" s="273"/>
      <c r="L307" s="273"/>
      <c r="M307" s="273"/>
      <c r="N307" s="273"/>
    </row>
    <row r="308" spans="3:14" ht="18" customHeight="1">
      <c r="D308" s="272"/>
      <c r="E308" s="274"/>
      <c r="F308" s="273"/>
      <c r="G308" s="273"/>
      <c r="H308" s="273"/>
      <c r="I308" s="273"/>
      <c r="J308" s="273"/>
      <c r="K308" s="273"/>
      <c r="L308" s="273"/>
      <c r="M308" s="273"/>
      <c r="N308" s="273"/>
    </row>
    <row r="309" spans="3:14" ht="18" customHeight="1">
      <c r="D309" s="272"/>
      <c r="E309" s="274"/>
      <c r="F309" s="273"/>
      <c r="G309" s="273"/>
      <c r="H309" s="273"/>
      <c r="I309" s="273"/>
      <c r="J309" s="273"/>
      <c r="K309" s="273"/>
      <c r="L309" s="273"/>
      <c r="M309" s="273"/>
      <c r="N309" s="273"/>
    </row>
    <row r="310" spans="3:14" ht="18" customHeight="1">
      <c r="D310" s="272"/>
      <c r="E310" s="274"/>
      <c r="F310" s="273"/>
      <c r="G310" s="273"/>
      <c r="H310" s="273"/>
      <c r="I310" s="273"/>
      <c r="J310" s="273"/>
      <c r="K310" s="273"/>
      <c r="L310" s="273"/>
      <c r="M310" s="273"/>
      <c r="N310" s="273"/>
    </row>
    <row r="311" spans="3:14" ht="18" customHeight="1">
      <c r="D311" s="272"/>
      <c r="E311" s="274"/>
      <c r="F311" s="273"/>
      <c r="G311" s="273"/>
      <c r="H311" s="273"/>
      <c r="I311" s="273"/>
      <c r="J311" s="273"/>
      <c r="K311" s="273"/>
      <c r="L311" s="273"/>
      <c r="M311" s="273"/>
      <c r="N311" s="273"/>
    </row>
    <row r="312" spans="3:14" ht="18" customHeight="1">
      <c r="D312" s="272"/>
      <c r="E312" s="274"/>
      <c r="F312" s="273"/>
      <c r="G312" s="273"/>
      <c r="H312" s="273"/>
      <c r="I312" s="273"/>
      <c r="J312" s="273"/>
      <c r="K312" s="273"/>
      <c r="L312" s="273"/>
      <c r="M312" s="273"/>
      <c r="N312" s="273"/>
    </row>
    <row r="313" spans="3:14" ht="18" customHeight="1">
      <c r="D313" s="272"/>
      <c r="E313" s="274"/>
      <c r="F313" s="273"/>
      <c r="G313" s="273"/>
      <c r="H313" s="273"/>
      <c r="I313" s="273"/>
      <c r="J313" s="273"/>
      <c r="K313" s="273"/>
      <c r="L313" s="273"/>
      <c r="M313" s="273"/>
      <c r="N313" s="273"/>
    </row>
    <row r="314" spans="3:14" ht="18" customHeight="1">
      <c r="D314" s="304"/>
      <c r="E314" s="304"/>
      <c r="F314" s="275"/>
      <c r="G314" s="275"/>
      <c r="H314" s="275"/>
      <c r="I314" s="275"/>
      <c r="J314" s="275"/>
      <c r="K314" s="275"/>
      <c r="L314" s="275"/>
      <c r="M314" s="275"/>
      <c r="N314" s="273"/>
    </row>
    <row r="315" spans="3:14" ht="18" customHeight="1">
      <c r="C315" s="309"/>
      <c r="D315" s="304"/>
      <c r="E315" s="304"/>
      <c r="F315" s="275"/>
      <c r="G315" s="275"/>
      <c r="H315" s="276"/>
      <c r="I315" s="276"/>
      <c r="J315" s="276"/>
      <c r="K315" s="276"/>
      <c r="L315" s="276"/>
      <c r="M315" s="276"/>
      <c r="N315" s="273"/>
    </row>
    <row r="316" spans="3:14" ht="18" customHeight="1">
      <c r="C316" s="309"/>
      <c r="D316" s="305"/>
      <c r="E316" s="305"/>
      <c r="F316" s="277"/>
      <c r="G316" s="277"/>
      <c r="H316" s="278"/>
      <c r="I316" s="278"/>
      <c r="J316" s="278"/>
      <c r="K316" s="278"/>
      <c r="L316" s="278"/>
      <c r="M316" s="278"/>
      <c r="N316" s="273"/>
    </row>
    <row r="317" spans="3:14" ht="18" customHeight="1">
      <c r="C317" s="307"/>
      <c r="D317" s="305"/>
      <c r="E317" s="305"/>
      <c r="F317" s="277"/>
      <c r="G317" s="277"/>
      <c r="H317" s="278"/>
      <c r="I317" s="278"/>
      <c r="J317" s="278"/>
      <c r="K317" s="278"/>
      <c r="L317" s="278"/>
      <c r="M317" s="278"/>
      <c r="N317" s="273"/>
    </row>
    <row r="318" spans="3:14" ht="18" customHeight="1">
      <c r="C318" s="307"/>
      <c r="D318" s="305"/>
      <c r="E318" s="305"/>
      <c r="F318" s="277"/>
      <c r="G318" s="277"/>
      <c r="H318" s="278"/>
      <c r="I318" s="278"/>
      <c r="J318" s="278"/>
      <c r="K318" s="278"/>
      <c r="L318" s="278"/>
      <c r="M318" s="278"/>
      <c r="N318" s="273"/>
    </row>
    <row r="319" spans="3:14" ht="18" customHeight="1">
      <c r="C319" s="307"/>
      <c r="D319" s="305"/>
      <c r="E319" s="305"/>
      <c r="F319" s="277"/>
      <c r="G319" s="277"/>
      <c r="H319" s="278"/>
      <c r="I319" s="278"/>
      <c r="J319" s="278"/>
      <c r="K319" s="278"/>
      <c r="L319" s="278"/>
      <c r="M319" s="278"/>
      <c r="N319" s="273"/>
    </row>
    <row r="320" spans="3:14" ht="18" customHeight="1">
      <c r="C320" s="307"/>
      <c r="D320" s="305"/>
      <c r="E320" s="305"/>
      <c r="F320" s="279"/>
      <c r="G320" s="278"/>
      <c r="H320" s="278"/>
      <c r="I320" s="278"/>
      <c r="J320" s="278"/>
      <c r="K320" s="278"/>
      <c r="L320" s="278"/>
      <c r="M320" s="278"/>
      <c r="N320" s="273"/>
    </row>
    <row r="321" spans="1:16" ht="18" customHeight="1">
      <c r="C321" s="307"/>
      <c r="D321" s="305"/>
      <c r="E321" s="305"/>
      <c r="F321" s="279"/>
      <c r="G321" s="278"/>
      <c r="H321" s="278"/>
      <c r="I321" s="278"/>
      <c r="J321" s="278"/>
      <c r="K321" s="278"/>
      <c r="L321" s="278"/>
      <c r="M321" s="278"/>
      <c r="N321" s="273"/>
    </row>
    <row r="322" spans="1:16" ht="18" customHeight="1">
      <c r="C322" s="307"/>
      <c r="D322" s="305"/>
      <c r="E322" s="305"/>
      <c r="F322" s="279"/>
      <c r="G322" s="278"/>
      <c r="H322" s="278"/>
      <c r="I322" s="278"/>
      <c r="J322" s="278"/>
      <c r="K322" s="278"/>
      <c r="L322" s="278"/>
      <c r="M322" s="278"/>
      <c r="N322" s="273"/>
    </row>
    <row r="323" spans="1:16" ht="18" customHeight="1">
      <c r="C323" s="330"/>
      <c r="D323" s="305"/>
      <c r="E323" s="305"/>
      <c r="F323" s="279"/>
      <c r="G323" s="278"/>
      <c r="H323" s="278"/>
      <c r="I323" s="278"/>
      <c r="J323" s="278"/>
      <c r="K323" s="278"/>
      <c r="L323" s="278"/>
      <c r="M323" s="278"/>
      <c r="N323" s="273"/>
    </row>
    <row r="324" spans="1:16" ht="18" customHeight="1">
      <c r="C324" s="330"/>
      <c r="D324" s="280"/>
      <c r="E324" s="274"/>
      <c r="F324" s="273"/>
      <c r="G324" s="273"/>
      <c r="H324" s="273"/>
      <c r="I324" s="273"/>
      <c r="J324" s="273"/>
      <c r="K324" s="273"/>
      <c r="L324" s="273"/>
      <c r="M324" s="273"/>
      <c r="N324" s="273"/>
    </row>
    <row r="325" spans="1:16" ht="18" customHeight="1">
      <c r="C325" s="330"/>
      <c r="D325" s="280"/>
      <c r="E325" s="274"/>
      <c r="F325" s="273"/>
      <c r="G325" s="273"/>
      <c r="H325" s="273"/>
      <c r="I325" s="273"/>
      <c r="J325" s="273"/>
      <c r="K325" s="273"/>
      <c r="L325" s="273"/>
      <c r="M325" s="273"/>
      <c r="N325" s="273"/>
    </row>
    <row r="326" spans="1:16" ht="18" customHeight="1">
      <c r="C326" s="330"/>
      <c r="D326" s="280"/>
      <c r="E326" s="274"/>
      <c r="F326" s="273"/>
      <c r="G326" s="273"/>
      <c r="H326" s="273"/>
      <c r="I326" s="273"/>
      <c r="J326" s="273"/>
      <c r="K326" s="273"/>
      <c r="L326" s="273"/>
      <c r="M326" s="273"/>
      <c r="N326" s="273"/>
    </row>
    <row r="327" spans="1:16" ht="18" customHeight="1">
      <c r="C327" s="331"/>
      <c r="D327" s="43"/>
    </row>
    <row r="328" spans="1:16" ht="18" customHeight="1">
      <c r="C328" s="308"/>
    </row>
    <row r="329" spans="1:16" ht="18" customHeight="1">
      <c r="C329" s="311"/>
    </row>
    <row r="330" spans="1:16" ht="18" customHeight="1">
      <c r="C330" s="491" t="s">
        <v>387</v>
      </c>
      <c r="D330" s="491"/>
      <c r="E330" s="491"/>
      <c r="F330" s="491"/>
      <c r="G330" s="491"/>
      <c r="H330" s="491"/>
      <c r="I330" s="491"/>
      <c r="J330" s="491"/>
      <c r="K330" s="491"/>
      <c r="L330" s="491"/>
      <c r="M330" s="491"/>
      <c r="N330" s="491"/>
    </row>
    <row r="331" spans="1:16" ht="17.100000000000001" customHeight="1">
      <c r="C331" s="164"/>
      <c r="K331" s="492" t="str">
        <f ca="1">OP!$C$55&amp;" 列印日："&amp;TEXT(NOW(),"EEMMDD")</f>
        <v>V4.2-1060517 列印日：1060602</v>
      </c>
      <c r="L331" s="492"/>
      <c r="M331" s="492"/>
      <c r="N331" s="492"/>
    </row>
    <row r="332" spans="1:16">
      <c r="A332" s="201"/>
      <c r="B332" s="202"/>
      <c r="C332" s="203"/>
      <c r="D332" s="202"/>
      <c r="E332" s="202"/>
      <c r="F332" s="203"/>
      <c r="G332" s="203"/>
      <c r="H332" s="203"/>
      <c r="I332" s="203"/>
      <c r="J332" s="203"/>
      <c r="K332" s="203"/>
      <c r="L332" s="203"/>
      <c r="M332" s="203"/>
      <c r="N332" s="203"/>
      <c r="O332" s="203"/>
      <c r="P332" s="201"/>
    </row>
    <row r="333" spans="1:16" ht="26.25" customHeight="1">
      <c r="A333" s="201"/>
      <c r="B333" s="202"/>
      <c r="C333" s="522" t="s">
        <v>388</v>
      </c>
      <c r="D333" s="523"/>
      <c r="E333" s="523"/>
      <c r="F333" s="523"/>
      <c r="G333" s="523"/>
      <c r="H333" s="523"/>
      <c r="I333" s="523"/>
      <c r="J333" s="523"/>
      <c r="K333" s="523"/>
      <c r="L333" s="523"/>
      <c r="M333" s="523"/>
      <c r="N333" s="523"/>
      <c r="O333" s="203"/>
      <c r="P333" s="201"/>
    </row>
    <row r="334" spans="1:16" ht="6" customHeight="1">
      <c r="A334" s="201"/>
      <c r="B334" s="202"/>
      <c r="C334" s="203"/>
      <c r="D334" s="202"/>
      <c r="E334" s="202"/>
      <c r="F334" s="203"/>
      <c r="G334" s="203"/>
      <c r="H334" s="203"/>
      <c r="I334" s="203"/>
      <c r="J334" s="203"/>
      <c r="K334" s="203"/>
      <c r="L334" s="203"/>
      <c r="M334" s="203"/>
      <c r="N334" s="203"/>
      <c r="O334" s="203"/>
      <c r="P334" s="201"/>
    </row>
    <row r="335" spans="1:16" ht="18" customHeight="1">
      <c r="A335" s="201"/>
      <c r="B335" s="202"/>
      <c r="C335" s="37" t="s">
        <v>234</v>
      </c>
      <c r="D335" s="202"/>
      <c r="E335" s="202"/>
      <c r="F335" s="203"/>
      <c r="G335" s="203"/>
      <c r="H335" s="203"/>
      <c r="I335" s="203"/>
      <c r="J335" s="203"/>
      <c r="K335" s="203"/>
      <c r="L335" s="203"/>
      <c r="M335" s="203"/>
      <c r="N335" s="203"/>
      <c r="O335" s="203"/>
      <c r="P335" s="201"/>
    </row>
    <row r="336" spans="1:16" ht="18" customHeight="1">
      <c r="A336" s="201"/>
      <c r="B336" s="202"/>
      <c r="C336" s="37" t="s">
        <v>252</v>
      </c>
      <c r="D336" s="202"/>
      <c r="E336" s="202"/>
      <c r="F336" s="203"/>
      <c r="G336" s="203"/>
      <c r="H336" s="203"/>
      <c r="I336" s="203"/>
      <c r="J336" s="203"/>
      <c r="K336" s="203"/>
      <c r="L336" s="203"/>
      <c r="M336" s="203"/>
      <c r="N336" s="203"/>
      <c r="O336" s="203"/>
      <c r="P336" s="201"/>
    </row>
    <row r="337" spans="1:16" ht="18" customHeight="1">
      <c r="A337" s="201"/>
      <c r="B337" s="202"/>
      <c r="C337" s="37" t="s">
        <v>253</v>
      </c>
      <c r="D337" s="202"/>
      <c r="E337" s="202"/>
      <c r="F337" s="203"/>
      <c r="G337" s="203"/>
      <c r="H337" s="203"/>
      <c r="I337" s="203"/>
      <c r="J337" s="203"/>
      <c r="K337" s="203"/>
      <c r="L337" s="203"/>
      <c r="M337" s="203"/>
      <c r="N337" s="203"/>
      <c r="O337" s="203"/>
      <c r="P337" s="201"/>
    </row>
    <row r="338" spans="1:16" ht="4.5" customHeight="1">
      <c r="A338" s="201"/>
      <c r="B338" s="202"/>
      <c r="C338" s="203"/>
      <c r="D338" s="202"/>
      <c r="E338" s="202"/>
      <c r="F338" s="203"/>
      <c r="G338" s="203"/>
      <c r="H338" s="203"/>
      <c r="I338" s="203"/>
      <c r="J338" s="203"/>
      <c r="K338" s="203"/>
      <c r="L338" s="203"/>
      <c r="M338" s="203"/>
      <c r="N338" s="203"/>
      <c r="O338" s="203"/>
      <c r="P338" s="201"/>
    </row>
    <row r="339" spans="1:16">
      <c r="A339" s="201"/>
      <c r="B339" s="202"/>
      <c r="C339" s="38" t="s">
        <v>236</v>
      </c>
      <c r="D339" s="202"/>
      <c r="E339" s="499" t="str">
        <f>OP!$C$8</f>
        <v>富媽媽</v>
      </c>
      <c r="F339" s="499"/>
      <c r="G339" s="38" t="s">
        <v>246</v>
      </c>
      <c r="H339" s="202">
        <f ca="1">OP!$D$5</f>
        <v>55</v>
      </c>
      <c r="I339" s="302" t="s">
        <v>452</v>
      </c>
      <c r="J339" s="202"/>
      <c r="K339" s="203"/>
      <c r="L339" s="178" t="s">
        <v>237</v>
      </c>
      <c r="M339" s="202" t="str">
        <f>OP!$C$67</f>
        <v>分期年金</v>
      </c>
      <c r="N339" s="203"/>
      <c r="O339" s="203"/>
      <c r="P339" s="201"/>
    </row>
    <row r="340" spans="1:16" ht="6" customHeight="1">
      <c r="A340" s="201"/>
      <c r="B340" s="202"/>
      <c r="C340" s="205"/>
      <c r="D340" s="206"/>
      <c r="E340" s="206">
        <v>6</v>
      </c>
      <c r="F340" s="205"/>
      <c r="G340" s="205">
        <v>8</v>
      </c>
      <c r="H340" s="205"/>
      <c r="I340" s="205">
        <v>8</v>
      </c>
      <c r="J340" s="205"/>
      <c r="K340" s="205">
        <v>9</v>
      </c>
      <c r="L340" s="205"/>
      <c r="M340" s="205">
        <v>10</v>
      </c>
      <c r="N340" s="205"/>
      <c r="O340" s="203"/>
      <c r="P340" s="201"/>
    </row>
    <row r="341" spans="1:16" ht="20.25" customHeight="1">
      <c r="A341" s="201"/>
      <c r="B341" s="202"/>
      <c r="C341" s="497" t="s">
        <v>195</v>
      </c>
      <c r="D341" s="497" t="s">
        <v>238</v>
      </c>
      <c r="E341" s="495" t="s">
        <v>239</v>
      </c>
      <c r="F341" s="496"/>
      <c r="G341" s="495" t="s">
        <v>240</v>
      </c>
      <c r="H341" s="496"/>
      <c r="I341" s="495" t="s">
        <v>247</v>
      </c>
      <c r="J341" s="496"/>
      <c r="K341" s="496"/>
      <c r="L341" s="496"/>
      <c r="M341" s="496"/>
      <c r="N341" s="496"/>
      <c r="O341" s="203"/>
      <c r="P341" s="201"/>
    </row>
    <row r="342" spans="1:16">
      <c r="A342" s="201"/>
      <c r="B342" s="202"/>
      <c r="C342" s="498"/>
      <c r="D342" s="498"/>
      <c r="E342" s="496"/>
      <c r="F342" s="496"/>
      <c r="G342" s="496"/>
      <c r="H342" s="496"/>
      <c r="I342" s="514">
        <f>計算!$Z$1</f>
        <v>-0.05</v>
      </c>
      <c r="J342" s="514"/>
      <c r="K342" s="514">
        <f>計算!$AA$1</f>
        <v>0</v>
      </c>
      <c r="L342" s="514"/>
      <c r="M342" s="515">
        <f>計算!$AB$1</f>
        <v>0.05</v>
      </c>
      <c r="N342" s="516"/>
      <c r="O342" s="203"/>
      <c r="P342" s="201"/>
    </row>
    <row r="343" spans="1:16" ht="17.45" customHeight="1">
      <c r="A343" s="201"/>
      <c r="B343" s="202"/>
      <c r="C343" s="204">
        <v>1</v>
      </c>
      <c r="D343" s="204">
        <f ca="1">OP!$D$5+C343-1</f>
        <v>55</v>
      </c>
      <c r="E343" s="489">
        <f t="shared" ref="E343:E363" ca="1" si="19">IF(OR($C343="",ISNA(VLOOKUP($C343,value1,$E$340,0)),$A$2=1),"",VLOOKUP($C343,value1,$E$340,0))</f>
        <v>2000000</v>
      </c>
      <c r="F343" s="490"/>
      <c r="G343" s="489">
        <f t="shared" ref="G343:G363" ca="1" si="20">IF(OR($C343="",ISNA(VLOOKUP($C343,value1,$G$340,0)),$A$2=1),"",VLOOKUP($C343,value1,$G$340,0))</f>
        <v>1920000</v>
      </c>
      <c r="H343" s="490"/>
      <c r="I343" s="489">
        <f t="shared" ref="I343:I363" ca="1" si="21">IF(OR($C343="",ISNA(VLOOKUP($C343,value,$I$340,0)),$A$2=1),"",MAX(0,VLOOKUP($C343,value,$I$340,0)))</f>
        <v>1824000.0000000005</v>
      </c>
      <c r="J343" s="490"/>
      <c r="K343" s="489">
        <f t="shared" ref="K343:K363" ca="1" si="22">IF(OR($C343="",ISNA(VLOOKUP($C343,value,$K$340,0)),$A$2=1),"",MAX(0,VLOOKUP($C343,value,$K$340,0)))</f>
        <v>1920000</v>
      </c>
      <c r="L343" s="490"/>
      <c r="M343" s="489">
        <f t="shared" ref="M343:M363" ca="1" si="23">IF(OR($C343="",ISNA(VLOOKUP($C343,value,$M$340,0)),$A$2=1),"",MAX(0,VLOOKUP($C343,value,$M$340,0)))</f>
        <v>2016000.0000000012</v>
      </c>
      <c r="N343" s="490"/>
      <c r="O343" s="203"/>
      <c r="P343" s="201"/>
    </row>
    <row r="344" spans="1:16" ht="17.45" customHeight="1">
      <c r="A344" s="201"/>
      <c r="B344" s="202"/>
      <c r="C344" s="204">
        <f ca="1">IF(OR(MAX($D$343:D343)&gt;=110),"",IF(MAX($C$343:C343)&gt;=10,IF(D343+10&gt;110,C343+(110-D343),C343+10),C343+1))</f>
        <v>2</v>
      </c>
      <c r="D344" s="204">
        <f ca="1">IF(OR(MAX($D$343:D343)&gt;=110),"",OP!$D$5+C344-1)</f>
        <v>56</v>
      </c>
      <c r="E344" s="489">
        <f t="shared" ca="1" si="19"/>
        <v>2000000</v>
      </c>
      <c r="F344" s="490"/>
      <c r="G344" s="489">
        <f t="shared" ca="1" si="20"/>
        <v>1920000</v>
      </c>
      <c r="H344" s="490"/>
      <c r="I344" s="489">
        <f t="shared" ca="1" si="21"/>
        <v>1732800.0000000009</v>
      </c>
      <c r="J344" s="490"/>
      <c r="K344" s="489">
        <f t="shared" ca="1" si="22"/>
        <v>1920000</v>
      </c>
      <c r="L344" s="490"/>
      <c r="M344" s="489">
        <f t="shared" ca="1" si="23"/>
        <v>2116800.0000000023</v>
      </c>
      <c r="N344" s="490"/>
      <c r="O344" s="203"/>
      <c r="P344" s="201"/>
    </row>
    <row r="345" spans="1:16" ht="17.45" customHeight="1">
      <c r="A345" s="201"/>
      <c r="B345" s="202"/>
      <c r="C345" s="204">
        <f ca="1">IF(OR(MAX($D$343:D344)&gt;=110),"",IF(MAX($C$343:C344)&gt;=10,IF(D344+10&gt;110,C344+(110-D344),C344+10),C344+1))</f>
        <v>3</v>
      </c>
      <c r="D345" s="204">
        <f ca="1">IF(OR(MAX($D$343:D344)&gt;=110),"",OP!$D$5+C345-1)</f>
        <v>57</v>
      </c>
      <c r="E345" s="489">
        <f t="shared" ca="1" si="19"/>
        <v>2000000</v>
      </c>
      <c r="F345" s="490"/>
      <c r="G345" s="489">
        <f t="shared" ca="1" si="20"/>
        <v>1920000</v>
      </c>
      <c r="H345" s="490"/>
      <c r="I345" s="489">
        <f t="shared" ca="1" si="21"/>
        <v>1646160.0000000012</v>
      </c>
      <c r="J345" s="490"/>
      <c r="K345" s="489">
        <f t="shared" ca="1" si="22"/>
        <v>1920000</v>
      </c>
      <c r="L345" s="490"/>
      <c r="M345" s="489">
        <f t="shared" ca="1" si="23"/>
        <v>2222640.0000000037</v>
      </c>
      <c r="N345" s="490"/>
      <c r="O345" s="203"/>
      <c r="P345" s="201"/>
    </row>
    <row r="346" spans="1:16" ht="17.45" customHeight="1">
      <c r="A346" s="201"/>
      <c r="B346" s="202"/>
      <c r="C346" s="204">
        <f ca="1">IF(OR(MAX($D$343:D345)&gt;=110),"",IF(MAX($C$343:C345)&gt;=10,IF(D345+10&gt;110,C345+(110-D345),C345+10),C345+1))</f>
        <v>4</v>
      </c>
      <c r="D346" s="204">
        <f ca="1">IF(OR(MAX($D$343:D345)&gt;=110),"",OP!$D$5+C346-1)</f>
        <v>58</v>
      </c>
      <c r="E346" s="489">
        <f t="shared" ca="1" si="19"/>
        <v>2000000</v>
      </c>
      <c r="F346" s="490"/>
      <c r="G346" s="489">
        <f t="shared" ca="1" si="20"/>
        <v>1920000</v>
      </c>
      <c r="H346" s="490"/>
      <c r="I346" s="489">
        <f t="shared" ca="1" si="21"/>
        <v>1563852.0000000014</v>
      </c>
      <c r="J346" s="490"/>
      <c r="K346" s="489">
        <f t="shared" ca="1" si="22"/>
        <v>1920000</v>
      </c>
      <c r="L346" s="490"/>
      <c r="M346" s="489">
        <f t="shared" ca="1" si="23"/>
        <v>2333772.0000000051</v>
      </c>
      <c r="N346" s="490"/>
      <c r="O346" s="203"/>
      <c r="P346" s="201"/>
    </row>
    <row r="347" spans="1:16" ht="17.45" customHeight="1">
      <c r="A347" s="201"/>
      <c r="B347" s="202"/>
      <c r="C347" s="204">
        <f ca="1">IF(OR(MAX($D$343:D346)&gt;=110),"",IF(MAX($C$343:C346)&gt;=10,IF(D346+10&gt;110,C346+(110-D346),C346+10),C346+1))</f>
        <v>5</v>
      </c>
      <c r="D347" s="204">
        <f ca="1">IF(OR(MAX($D$343:D346)&gt;=110),"",OP!$D$5+C347-1)</f>
        <v>59</v>
      </c>
      <c r="E347" s="489">
        <f t="shared" ca="1" si="19"/>
        <v>2000000</v>
      </c>
      <c r="F347" s="490"/>
      <c r="G347" s="489">
        <f t="shared" ca="1" si="20"/>
        <v>1920000</v>
      </c>
      <c r="H347" s="490"/>
      <c r="I347" s="489">
        <f t="shared" ca="1" si="21"/>
        <v>1485659.400000002</v>
      </c>
      <c r="J347" s="490"/>
      <c r="K347" s="489">
        <f t="shared" ca="1" si="22"/>
        <v>1920000</v>
      </c>
      <c r="L347" s="490"/>
      <c r="M347" s="489">
        <f t="shared" ca="1" si="23"/>
        <v>2450460.6000000071</v>
      </c>
      <c r="N347" s="490"/>
      <c r="O347" s="203"/>
      <c r="P347" s="201"/>
    </row>
    <row r="348" spans="1:16" ht="17.45" customHeight="1">
      <c r="A348" s="201"/>
      <c r="B348" s="202"/>
      <c r="C348" s="204">
        <f ca="1">IF(OR(MAX($D$343:D347)&gt;=110),"",IF(MAX($C$343:C347)&gt;=10,IF(D347+10&gt;110,C347+(110-D347),C347+10),C347+1))</f>
        <v>6</v>
      </c>
      <c r="D348" s="204">
        <f ca="1">IF(OR(MAX($D$343:D347)&gt;=110),"",OP!$D$5+C348-1)</f>
        <v>60</v>
      </c>
      <c r="E348" s="489">
        <f t="shared" ca="1" si="19"/>
        <v>2000000</v>
      </c>
      <c r="F348" s="490"/>
      <c r="G348" s="489">
        <f t="shared" ca="1" si="20"/>
        <v>1920000</v>
      </c>
      <c r="H348" s="490"/>
      <c r="I348" s="489">
        <f t="shared" ca="1" si="21"/>
        <v>1411376.430000002</v>
      </c>
      <c r="J348" s="490"/>
      <c r="K348" s="489">
        <f t="shared" ca="1" si="22"/>
        <v>1920000</v>
      </c>
      <c r="L348" s="490"/>
      <c r="M348" s="489">
        <f t="shared" ca="1" si="23"/>
        <v>2572983.6300000083</v>
      </c>
      <c r="N348" s="490"/>
      <c r="O348" s="203"/>
      <c r="P348" s="201"/>
    </row>
    <row r="349" spans="1:16" ht="17.45" customHeight="1">
      <c r="A349" s="201"/>
      <c r="B349" s="202"/>
      <c r="C349" s="204">
        <f ca="1">IF(OR(MAX($D$343:D348)&gt;=110),"",IF(MAX($C$343:C348)&gt;=10,IF(D348+10&gt;110,C348+(110-D348),C348+10),C348+1))</f>
        <v>7</v>
      </c>
      <c r="D349" s="204">
        <f ca="1">IF(OR(MAX($D$343:D348)&gt;=110),"",OP!$D$5+C349-1)</f>
        <v>61</v>
      </c>
      <c r="E349" s="489">
        <f t="shared" ca="1" si="19"/>
        <v>2000000</v>
      </c>
      <c r="F349" s="490"/>
      <c r="G349" s="489">
        <f t="shared" ca="1" si="20"/>
        <v>1920000</v>
      </c>
      <c r="H349" s="490"/>
      <c r="I349" s="489" t="str">
        <f t="shared" ca="1" si="21"/>
        <v/>
      </c>
      <c r="J349" s="490"/>
      <c r="K349" s="489" t="str">
        <f t="shared" ca="1" si="22"/>
        <v/>
      </c>
      <c r="L349" s="490"/>
      <c r="M349" s="489" t="str">
        <f t="shared" ca="1" si="23"/>
        <v/>
      </c>
      <c r="N349" s="490"/>
      <c r="O349" s="203"/>
      <c r="P349" s="201"/>
    </row>
    <row r="350" spans="1:16" ht="17.45" customHeight="1">
      <c r="A350" s="201"/>
      <c r="B350" s="202"/>
      <c r="C350" s="204">
        <f ca="1">IF(OR(MAX($D$343:D349)&gt;=110),"",IF(MAX($C$343:C349)&gt;=10,IF(D349+10&gt;110,C349+(110-D349),C349+10),C349+1))</f>
        <v>8</v>
      </c>
      <c r="D350" s="204">
        <f ca="1">IF(OR(MAX($D$343:D349)&gt;=110),"",OP!$D$5+C350-1)</f>
        <v>62</v>
      </c>
      <c r="E350" s="489">
        <f t="shared" ca="1" si="19"/>
        <v>2000000</v>
      </c>
      <c r="F350" s="490"/>
      <c r="G350" s="489">
        <f t="shared" ca="1" si="20"/>
        <v>1920000</v>
      </c>
      <c r="H350" s="490"/>
      <c r="I350" s="489" t="str">
        <f t="shared" ca="1" si="21"/>
        <v/>
      </c>
      <c r="J350" s="490"/>
      <c r="K350" s="489" t="str">
        <f t="shared" ca="1" si="22"/>
        <v/>
      </c>
      <c r="L350" s="490"/>
      <c r="M350" s="489" t="str">
        <f t="shared" ca="1" si="23"/>
        <v/>
      </c>
      <c r="N350" s="490"/>
      <c r="O350" s="203"/>
      <c r="P350" s="201"/>
    </row>
    <row r="351" spans="1:16" ht="17.45" customHeight="1">
      <c r="A351" s="201"/>
      <c r="B351" s="202"/>
      <c r="C351" s="204">
        <f ca="1">IF(OR(MAX($D$343:D350)&gt;=110),"",IF(MAX($C$343:C350)&gt;=10,IF(D350+10&gt;110,C350+(110-D350),C350+10),C350+1))</f>
        <v>9</v>
      </c>
      <c r="D351" s="204">
        <f ca="1">IF(OR(MAX($D$343:D350)&gt;=110),"",OP!$D$5+C351-1)</f>
        <v>63</v>
      </c>
      <c r="E351" s="489">
        <f t="shared" ca="1" si="19"/>
        <v>2000000</v>
      </c>
      <c r="F351" s="490"/>
      <c r="G351" s="489">
        <f t="shared" ca="1" si="20"/>
        <v>1920000</v>
      </c>
      <c r="H351" s="490"/>
      <c r="I351" s="489" t="str">
        <f t="shared" ca="1" si="21"/>
        <v/>
      </c>
      <c r="J351" s="490"/>
      <c r="K351" s="489" t="str">
        <f t="shared" ca="1" si="22"/>
        <v/>
      </c>
      <c r="L351" s="490"/>
      <c r="M351" s="489" t="str">
        <f t="shared" ca="1" si="23"/>
        <v/>
      </c>
      <c r="N351" s="490"/>
      <c r="O351" s="203"/>
      <c r="P351" s="201"/>
    </row>
    <row r="352" spans="1:16" ht="17.45" customHeight="1">
      <c r="A352" s="201"/>
      <c r="B352" s="202"/>
      <c r="C352" s="204">
        <f ca="1">IF(OR(MAX($D$343:D351)&gt;=110),"",IF(MAX($C$343:C351)&gt;=10,IF(D351+10&gt;110,C351+(110-D351),C351+10),C351+1))</f>
        <v>10</v>
      </c>
      <c r="D352" s="204">
        <f ca="1">IF(OR(MAX($D$343:D351)&gt;=110),"",OP!$D$5+C352-1)</f>
        <v>64</v>
      </c>
      <c r="E352" s="489">
        <f t="shared" ca="1" si="19"/>
        <v>2000000</v>
      </c>
      <c r="F352" s="490"/>
      <c r="G352" s="489">
        <f t="shared" ca="1" si="20"/>
        <v>1920000</v>
      </c>
      <c r="H352" s="490"/>
      <c r="I352" s="489" t="str">
        <f t="shared" ca="1" si="21"/>
        <v/>
      </c>
      <c r="J352" s="490"/>
      <c r="K352" s="489" t="str">
        <f t="shared" ca="1" si="22"/>
        <v/>
      </c>
      <c r="L352" s="490"/>
      <c r="M352" s="489" t="str">
        <f t="shared" ca="1" si="23"/>
        <v/>
      </c>
      <c r="N352" s="490"/>
      <c r="O352" s="203"/>
      <c r="P352" s="201"/>
    </row>
    <row r="353" spans="1:16" ht="17.45" customHeight="1">
      <c r="A353" s="201"/>
      <c r="B353" s="202"/>
      <c r="C353" s="204">
        <f ca="1">IF(OR(MAX($D$343:D352)&gt;=110),"",IF(MAX($C$343:C352)&gt;=10,IF(D352+10&gt;110,C352+(110-D352),C352+10),C352+1))</f>
        <v>20</v>
      </c>
      <c r="D353" s="204">
        <f ca="1">IF(OR(MAX($D$343:D352)&gt;=110),"",OP!$D$5+C353-1)</f>
        <v>74</v>
      </c>
      <c r="E353" s="489">
        <f t="shared" ca="1" si="19"/>
        <v>2000000</v>
      </c>
      <c r="F353" s="490"/>
      <c r="G353" s="489">
        <f t="shared" ca="1" si="20"/>
        <v>1920000</v>
      </c>
      <c r="H353" s="490"/>
      <c r="I353" s="489" t="str">
        <f t="shared" ca="1" si="21"/>
        <v/>
      </c>
      <c r="J353" s="490"/>
      <c r="K353" s="489" t="str">
        <f t="shared" ca="1" si="22"/>
        <v/>
      </c>
      <c r="L353" s="490"/>
      <c r="M353" s="489" t="str">
        <f t="shared" ca="1" si="23"/>
        <v/>
      </c>
      <c r="N353" s="490"/>
      <c r="O353" s="203"/>
      <c r="P353" s="201"/>
    </row>
    <row r="354" spans="1:16" ht="17.45" customHeight="1">
      <c r="A354" s="201"/>
      <c r="B354" s="202"/>
      <c r="C354" s="204">
        <f ca="1">IF(OR(MAX($D$343:D353)&gt;=110),"",IF(MAX($C$343:C353)&gt;=10,IF(D353+10&gt;110,C353+(110-D353),C353+10),C353+1))</f>
        <v>30</v>
      </c>
      <c r="D354" s="204">
        <f ca="1">IF(OR(MAX($D$343:D353)&gt;=110),"",OP!$D$5+C354-1)</f>
        <v>84</v>
      </c>
      <c r="E354" s="489">
        <f t="shared" ca="1" si="19"/>
        <v>2000000</v>
      </c>
      <c r="F354" s="490"/>
      <c r="G354" s="489">
        <f t="shared" ca="1" si="20"/>
        <v>1920000</v>
      </c>
      <c r="H354" s="490"/>
      <c r="I354" s="489" t="str">
        <f t="shared" ca="1" si="21"/>
        <v/>
      </c>
      <c r="J354" s="490"/>
      <c r="K354" s="489" t="str">
        <f t="shared" ca="1" si="22"/>
        <v/>
      </c>
      <c r="L354" s="490"/>
      <c r="M354" s="489" t="str">
        <f t="shared" ca="1" si="23"/>
        <v/>
      </c>
      <c r="N354" s="490"/>
      <c r="O354" s="203"/>
      <c r="P354" s="201"/>
    </row>
    <row r="355" spans="1:16" ht="17.45" customHeight="1">
      <c r="A355" s="201"/>
      <c r="B355" s="202"/>
      <c r="C355" s="204">
        <f ca="1">IF(OR(MAX($D$343:D354)&gt;=110),"",IF(MAX($C$343:C354)&gt;=10,IF(D354+10&gt;110,C354+(110-D354),C354+10),C354+1))</f>
        <v>40</v>
      </c>
      <c r="D355" s="204">
        <f ca="1">IF(OR(MAX($D$343:D354)&gt;=110),"",OP!$D$5+C355-1)</f>
        <v>94</v>
      </c>
      <c r="E355" s="489">
        <f t="shared" ca="1" si="19"/>
        <v>2000000</v>
      </c>
      <c r="F355" s="490"/>
      <c r="G355" s="489">
        <f t="shared" ca="1" si="20"/>
        <v>1920000</v>
      </c>
      <c r="H355" s="490"/>
      <c r="I355" s="489" t="str">
        <f t="shared" ca="1" si="21"/>
        <v/>
      </c>
      <c r="J355" s="490"/>
      <c r="K355" s="489" t="str">
        <f t="shared" ca="1" si="22"/>
        <v/>
      </c>
      <c r="L355" s="490"/>
      <c r="M355" s="489" t="str">
        <f t="shared" ca="1" si="23"/>
        <v/>
      </c>
      <c r="N355" s="490"/>
      <c r="O355" s="203"/>
      <c r="P355" s="201"/>
    </row>
    <row r="356" spans="1:16" ht="17.45" customHeight="1">
      <c r="A356" s="201"/>
      <c r="B356" s="202"/>
      <c r="C356" s="204">
        <f ca="1">IF(OR(MAX($D$343:D355)&gt;=110),"",IF(MAX($C$343:C355)&gt;=10,IF(D355+10&gt;110,C355+(110-D355),C355+10),C355+1))</f>
        <v>50</v>
      </c>
      <c r="D356" s="204">
        <f ca="1">IF(OR(MAX($D$343:D355)&gt;=110),"",OP!$D$5+C356-1)</f>
        <v>104</v>
      </c>
      <c r="E356" s="489">
        <f t="shared" ca="1" si="19"/>
        <v>2000000</v>
      </c>
      <c r="F356" s="490"/>
      <c r="G356" s="489">
        <f t="shared" ca="1" si="20"/>
        <v>1920000</v>
      </c>
      <c r="H356" s="490"/>
      <c r="I356" s="489" t="str">
        <f t="shared" ca="1" si="21"/>
        <v/>
      </c>
      <c r="J356" s="490"/>
      <c r="K356" s="489" t="str">
        <f t="shared" ca="1" si="22"/>
        <v/>
      </c>
      <c r="L356" s="490"/>
      <c r="M356" s="489" t="str">
        <f t="shared" ca="1" si="23"/>
        <v/>
      </c>
      <c r="N356" s="490"/>
      <c r="O356" s="203"/>
      <c r="P356" s="201"/>
    </row>
    <row r="357" spans="1:16" ht="17.45" customHeight="1">
      <c r="A357" s="201"/>
      <c r="B357" s="202"/>
      <c r="C357" s="204">
        <f ca="1">IF(OR(MAX($D$343:D356)&gt;=110),"",IF(MAX($C$343:C356)&gt;=10,IF(D356+10&gt;110,C356+(110-D356),C356+10),C356+1))</f>
        <v>56</v>
      </c>
      <c r="D357" s="204">
        <f ca="1">IF(OR(MAX($D$343:D356)&gt;=110),"",OP!$D$5+C357-1)</f>
        <v>110</v>
      </c>
      <c r="E357" s="489">
        <f t="shared" ca="1" si="19"/>
        <v>2000000</v>
      </c>
      <c r="F357" s="490"/>
      <c r="G357" s="489">
        <f t="shared" ca="1" si="20"/>
        <v>1920000</v>
      </c>
      <c r="H357" s="490"/>
      <c r="I357" s="489" t="str">
        <f t="shared" ca="1" si="21"/>
        <v/>
      </c>
      <c r="J357" s="490"/>
      <c r="K357" s="489" t="str">
        <f t="shared" ca="1" si="22"/>
        <v/>
      </c>
      <c r="L357" s="490"/>
      <c r="M357" s="489" t="str">
        <f t="shared" ca="1" si="23"/>
        <v/>
      </c>
      <c r="N357" s="490"/>
      <c r="O357" s="203"/>
      <c r="P357" s="201"/>
    </row>
    <row r="358" spans="1:16" ht="17.45" customHeight="1">
      <c r="A358" s="201"/>
      <c r="B358" s="202"/>
      <c r="C358" s="204" t="str">
        <f ca="1">IF(OR(MAX($D$343:D357)&gt;=110),"",IF(MAX($C$343:C357)&gt;=10,IF(D357+10&gt;110,C357+(110-D357),C357+10),C357+1))</f>
        <v/>
      </c>
      <c r="D358" s="204" t="str">
        <f ca="1">IF(OR(MAX($D$343:D357)&gt;=110),"",OP!$D$5+C358-1)</f>
        <v/>
      </c>
      <c r="E358" s="489" t="str">
        <f t="shared" ca="1" si="19"/>
        <v/>
      </c>
      <c r="F358" s="490"/>
      <c r="G358" s="489" t="str">
        <f t="shared" ca="1" si="20"/>
        <v/>
      </c>
      <c r="H358" s="490"/>
      <c r="I358" s="489" t="str">
        <f t="shared" ca="1" si="21"/>
        <v/>
      </c>
      <c r="J358" s="490"/>
      <c r="K358" s="489" t="str">
        <f t="shared" ca="1" si="22"/>
        <v/>
      </c>
      <c r="L358" s="490"/>
      <c r="M358" s="489" t="str">
        <f t="shared" ca="1" si="23"/>
        <v/>
      </c>
      <c r="N358" s="490"/>
      <c r="O358" s="203"/>
      <c r="P358" s="201"/>
    </row>
    <row r="359" spans="1:16" ht="17.45" customHeight="1">
      <c r="A359" s="201"/>
      <c r="B359" s="202"/>
      <c r="C359" s="204" t="str">
        <f ca="1">IF(OR(MAX($D$343:D358)&gt;=110),"",IF(MAX($C$343:C358)&gt;=10,IF(D358+10&gt;110,C358+(110-D358),C358+10),C358+1))</f>
        <v/>
      </c>
      <c r="D359" s="204" t="str">
        <f ca="1">IF(OR(MAX($D$343:D358)&gt;=110),"",OP!$D$5+C359-1)</f>
        <v/>
      </c>
      <c r="E359" s="489" t="str">
        <f t="shared" ca="1" si="19"/>
        <v/>
      </c>
      <c r="F359" s="490"/>
      <c r="G359" s="489" t="str">
        <f t="shared" ca="1" si="20"/>
        <v/>
      </c>
      <c r="H359" s="490"/>
      <c r="I359" s="489" t="str">
        <f t="shared" ca="1" si="21"/>
        <v/>
      </c>
      <c r="J359" s="490"/>
      <c r="K359" s="489" t="str">
        <f t="shared" ca="1" si="22"/>
        <v/>
      </c>
      <c r="L359" s="490"/>
      <c r="M359" s="489" t="str">
        <f t="shared" ca="1" si="23"/>
        <v/>
      </c>
      <c r="N359" s="490"/>
      <c r="O359" s="203"/>
      <c r="P359" s="201"/>
    </row>
    <row r="360" spans="1:16" ht="17.45" customHeight="1">
      <c r="A360" s="201"/>
      <c r="B360" s="202"/>
      <c r="C360" s="204" t="str">
        <f ca="1">IF(OR(MAX($D$343:D359)&gt;=110),"",IF(MAX($C$343:C359)&gt;=10,IF(D359+10&gt;110,C359+(110-D359),C359+10),C359+1))</f>
        <v/>
      </c>
      <c r="D360" s="204" t="str">
        <f ca="1">IF(OR(MAX($D$343:D359)&gt;=110),"",OP!$D$5+C360-1)</f>
        <v/>
      </c>
      <c r="E360" s="489" t="str">
        <f t="shared" ca="1" si="19"/>
        <v/>
      </c>
      <c r="F360" s="490"/>
      <c r="G360" s="489" t="str">
        <f t="shared" ca="1" si="20"/>
        <v/>
      </c>
      <c r="H360" s="490"/>
      <c r="I360" s="489" t="str">
        <f t="shared" ca="1" si="21"/>
        <v/>
      </c>
      <c r="J360" s="490"/>
      <c r="K360" s="489" t="str">
        <f t="shared" ca="1" si="22"/>
        <v/>
      </c>
      <c r="L360" s="490"/>
      <c r="M360" s="489" t="str">
        <f t="shared" ca="1" si="23"/>
        <v/>
      </c>
      <c r="N360" s="490"/>
      <c r="O360" s="203"/>
      <c r="P360" s="201"/>
    </row>
    <row r="361" spans="1:16" ht="17.45" customHeight="1">
      <c r="A361" s="201"/>
      <c r="B361" s="202"/>
      <c r="C361" s="204" t="str">
        <f ca="1">IF(OR(MAX($D$343:D360)&gt;=110),"",IF(MAX($C$343:C360)&gt;=10,IF(D360+10&gt;110,C360+(110-D360),C360+10),C360+1))</f>
        <v/>
      </c>
      <c r="D361" s="204" t="str">
        <f ca="1">IF(OR(MAX($D$343:D360)&gt;=110),"",OP!$D$5+C361-1)</f>
        <v/>
      </c>
      <c r="E361" s="489" t="str">
        <f t="shared" ca="1" si="19"/>
        <v/>
      </c>
      <c r="F361" s="490"/>
      <c r="G361" s="489" t="str">
        <f t="shared" ca="1" si="20"/>
        <v/>
      </c>
      <c r="H361" s="490"/>
      <c r="I361" s="489" t="str">
        <f t="shared" ca="1" si="21"/>
        <v/>
      </c>
      <c r="J361" s="490"/>
      <c r="K361" s="489" t="str">
        <f t="shared" ca="1" si="22"/>
        <v/>
      </c>
      <c r="L361" s="490"/>
      <c r="M361" s="489" t="str">
        <f t="shared" ca="1" si="23"/>
        <v/>
      </c>
      <c r="N361" s="490"/>
      <c r="O361" s="203"/>
      <c r="P361" s="201"/>
    </row>
    <row r="362" spans="1:16" ht="17.45" customHeight="1">
      <c r="A362" s="201"/>
      <c r="B362" s="202"/>
      <c r="C362" s="204" t="str">
        <f ca="1">IF(OR(MAX($D$343:D361)&gt;=110),"",IF(MAX($C$343:C361)&gt;=10,IF(D361+10&gt;110,C361+(110-D361),C361+10),C361+1))</f>
        <v/>
      </c>
      <c r="D362" s="204" t="str">
        <f ca="1">IF(OR(MAX($D$343:D361)&gt;=110),"",OP!$D$5+C362-1)</f>
        <v/>
      </c>
      <c r="E362" s="489" t="str">
        <f t="shared" ca="1" si="19"/>
        <v/>
      </c>
      <c r="F362" s="490"/>
      <c r="G362" s="489" t="str">
        <f t="shared" ca="1" si="20"/>
        <v/>
      </c>
      <c r="H362" s="490"/>
      <c r="I362" s="489" t="str">
        <f t="shared" ca="1" si="21"/>
        <v/>
      </c>
      <c r="J362" s="490"/>
      <c r="K362" s="489" t="str">
        <f t="shared" ca="1" si="22"/>
        <v/>
      </c>
      <c r="L362" s="490"/>
      <c r="M362" s="489" t="str">
        <f t="shared" ca="1" si="23"/>
        <v/>
      </c>
      <c r="N362" s="490"/>
      <c r="O362" s="203"/>
      <c r="P362" s="201"/>
    </row>
    <row r="363" spans="1:16" ht="17.45" customHeight="1">
      <c r="A363" s="201"/>
      <c r="B363" s="202"/>
      <c r="C363" s="204" t="str">
        <f ca="1">IF(OR(MAX($D$343:D362)&gt;=110),"",IF(MAX($C$343:C362)&gt;=10,IF(D362+10&gt;110,C362+(110-D362),C362+10),C362+1))</f>
        <v/>
      </c>
      <c r="D363" s="204" t="str">
        <f ca="1">IF(OR(MAX($D$343:D362)&gt;=110),"",OP!$D$5+C363-1)</f>
        <v/>
      </c>
      <c r="E363" s="489" t="str">
        <f t="shared" ca="1" si="19"/>
        <v/>
      </c>
      <c r="F363" s="490"/>
      <c r="G363" s="489" t="str">
        <f t="shared" ca="1" si="20"/>
        <v/>
      </c>
      <c r="H363" s="490"/>
      <c r="I363" s="489" t="str">
        <f t="shared" ca="1" si="21"/>
        <v/>
      </c>
      <c r="J363" s="490"/>
      <c r="K363" s="489" t="str">
        <f t="shared" ca="1" si="22"/>
        <v/>
      </c>
      <c r="L363" s="490"/>
      <c r="M363" s="489" t="str">
        <f t="shared" ca="1" si="23"/>
        <v/>
      </c>
      <c r="N363" s="490"/>
      <c r="O363" s="203"/>
      <c r="P363" s="201"/>
    </row>
    <row r="364" spans="1:16" ht="5.25" customHeight="1">
      <c r="A364" s="201"/>
      <c r="B364" s="202"/>
      <c r="C364" s="170"/>
      <c r="D364" s="202"/>
      <c r="E364" s="202"/>
      <c r="F364" s="203"/>
      <c r="G364" s="203"/>
      <c r="H364" s="203"/>
      <c r="I364" s="203"/>
      <c r="J364" s="203"/>
      <c r="K364" s="203"/>
      <c r="L364" s="203"/>
      <c r="M364" s="203"/>
      <c r="N364" s="203"/>
      <c r="O364" s="203"/>
      <c r="P364" s="201"/>
    </row>
    <row r="365" spans="1:16" ht="18" customHeight="1">
      <c r="A365" s="201"/>
      <c r="B365" s="202"/>
      <c r="C365" s="450" t="s">
        <v>389</v>
      </c>
      <c r="D365" s="202"/>
      <c r="E365" s="202"/>
      <c r="F365" s="203"/>
      <c r="G365" s="203"/>
      <c r="H365" s="203"/>
      <c r="I365" s="203"/>
      <c r="J365" s="203"/>
      <c r="K365" s="203"/>
      <c r="L365" s="203"/>
      <c r="M365" s="203"/>
      <c r="N365" s="203"/>
      <c r="O365" s="203"/>
      <c r="P365" s="201"/>
    </row>
    <row r="366" spans="1:16" ht="18" customHeight="1">
      <c r="A366" s="201"/>
      <c r="B366" s="202"/>
      <c r="C366" s="450" t="s">
        <v>254</v>
      </c>
      <c r="D366" s="202"/>
      <c r="E366" s="202"/>
      <c r="F366" s="203"/>
      <c r="G366" s="203"/>
      <c r="H366" s="203"/>
      <c r="I366" s="203"/>
      <c r="J366" s="203"/>
      <c r="K366" s="203"/>
      <c r="L366" s="203"/>
      <c r="M366" s="203"/>
      <c r="N366" s="203"/>
      <c r="O366" s="203"/>
      <c r="P366" s="201"/>
    </row>
    <row r="367" spans="1:16" ht="18" customHeight="1">
      <c r="A367" s="201"/>
      <c r="B367" s="202"/>
      <c r="C367" s="450" t="s">
        <v>479</v>
      </c>
      <c r="D367" s="202"/>
      <c r="E367" s="202"/>
      <c r="F367" s="203"/>
      <c r="G367" s="203"/>
      <c r="H367" s="203"/>
      <c r="I367" s="203"/>
      <c r="J367" s="203"/>
      <c r="K367" s="203"/>
      <c r="L367" s="203"/>
      <c r="M367" s="203"/>
      <c r="N367" s="203"/>
      <c r="O367" s="203"/>
      <c r="P367" s="201"/>
    </row>
    <row r="368" spans="1:16" ht="18" customHeight="1">
      <c r="A368" s="201"/>
      <c r="B368" s="202"/>
      <c r="C368" s="450" t="s">
        <v>478</v>
      </c>
      <c r="D368" s="202"/>
      <c r="E368" s="202"/>
      <c r="F368" s="203"/>
      <c r="G368" s="203"/>
      <c r="H368" s="203"/>
      <c r="I368" s="203"/>
      <c r="J368" s="203"/>
      <c r="K368" s="203"/>
      <c r="L368" s="203"/>
      <c r="M368" s="203"/>
      <c r="N368" s="203"/>
      <c r="O368" s="203"/>
      <c r="P368" s="201"/>
    </row>
    <row r="369" spans="1:16" ht="18" customHeight="1">
      <c r="A369" s="201"/>
      <c r="B369" s="202"/>
      <c r="C369" s="450" t="s">
        <v>477</v>
      </c>
      <c r="D369" s="202"/>
      <c r="E369" s="202"/>
      <c r="F369" s="203"/>
      <c r="G369" s="203"/>
      <c r="H369" s="203"/>
      <c r="I369" s="203"/>
      <c r="J369" s="203"/>
      <c r="K369" s="203"/>
      <c r="L369" s="203"/>
      <c r="M369" s="203"/>
      <c r="N369" s="203"/>
      <c r="O369" s="203"/>
      <c r="P369" s="201"/>
    </row>
    <row r="370" spans="1:16" ht="18" customHeight="1">
      <c r="A370" s="201"/>
      <c r="B370" s="202"/>
      <c r="C370" s="450" t="s">
        <v>480</v>
      </c>
      <c r="D370" s="202"/>
      <c r="E370" s="202"/>
      <c r="F370" s="203"/>
      <c r="G370" s="203"/>
      <c r="H370" s="203"/>
      <c r="I370" s="203"/>
      <c r="J370" s="203"/>
      <c r="K370" s="203"/>
      <c r="L370" s="203"/>
      <c r="M370" s="203"/>
      <c r="N370" s="203"/>
      <c r="O370" s="203"/>
      <c r="P370" s="201"/>
    </row>
    <row r="371" spans="1:16" ht="18" customHeight="1">
      <c r="A371" s="201"/>
      <c r="B371" s="202"/>
      <c r="C371" s="450" t="s">
        <v>379</v>
      </c>
      <c r="D371" s="202"/>
      <c r="E371" s="202"/>
      <c r="F371" s="203"/>
      <c r="G371" s="203"/>
      <c r="H371" s="203"/>
      <c r="I371" s="203"/>
      <c r="J371" s="203"/>
      <c r="K371" s="203"/>
      <c r="L371" s="203"/>
      <c r="M371" s="203"/>
      <c r="N371" s="203"/>
      <c r="O371" s="203"/>
      <c r="P371" s="201"/>
    </row>
    <row r="372" spans="1:16" ht="18" customHeight="1">
      <c r="A372" s="201"/>
      <c r="B372" s="202"/>
      <c r="C372" s="450" t="s">
        <v>380</v>
      </c>
      <c r="D372" s="202"/>
      <c r="E372" s="202"/>
      <c r="F372" s="203"/>
      <c r="G372" s="203"/>
      <c r="H372" s="203"/>
      <c r="I372" s="203"/>
      <c r="J372" s="203"/>
      <c r="K372" s="203"/>
      <c r="L372" s="203"/>
      <c r="M372" s="203"/>
      <c r="N372" s="203"/>
      <c r="O372" s="203"/>
      <c r="P372" s="201"/>
    </row>
    <row r="373" spans="1:16" ht="18" customHeight="1">
      <c r="A373" s="201"/>
      <c r="B373" s="202"/>
      <c r="C373" s="450" t="s">
        <v>255</v>
      </c>
      <c r="D373" s="202"/>
      <c r="E373" s="202"/>
      <c r="F373" s="203"/>
      <c r="G373" s="203"/>
      <c r="H373" s="203"/>
      <c r="I373" s="203"/>
      <c r="J373" s="203"/>
      <c r="K373" s="203"/>
      <c r="L373" s="203"/>
      <c r="M373" s="203"/>
      <c r="N373" s="203"/>
      <c r="O373" s="203"/>
      <c r="P373" s="201"/>
    </row>
    <row r="374" spans="1:16" ht="18" customHeight="1">
      <c r="A374" s="201"/>
      <c r="B374" s="202"/>
      <c r="C374" s="450" t="s">
        <v>256</v>
      </c>
      <c r="D374" s="202"/>
      <c r="E374" s="202"/>
      <c r="F374" s="203"/>
      <c r="G374" s="203"/>
      <c r="H374" s="203"/>
      <c r="I374" s="203"/>
      <c r="J374" s="203"/>
      <c r="K374" s="203"/>
      <c r="L374" s="203"/>
      <c r="M374" s="203"/>
      <c r="N374" s="203"/>
      <c r="O374" s="203"/>
      <c r="P374" s="201"/>
    </row>
    <row r="375" spans="1:16" ht="18" customHeight="1">
      <c r="A375" s="201"/>
      <c r="B375" s="202"/>
      <c r="C375" s="450" t="s">
        <v>257</v>
      </c>
      <c r="D375" s="202"/>
      <c r="E375" s="202"/>
      <c r="F375" s="203"/>
      <c r="G375" s="203"/>
      <c r="H375" s="203"/>
      <c r="I375" s="203"/>
      <c r="J375" s="203"/>
      <c r="K375" s="203"/>
      <c r="L375" s="203"/>
      <c r="M375" s="203"/>
      <c r="N375" s="203"/>
      <c r="O375" s="203"/>
      <c r="P375" s="201"/>
    </row>
    <row r="376" spans="1:16" ht="18" customHeight="1">
      <c r="A376" s="201"/>
      <c r="B376" s="202"/>
      <c r="C376" s="450" t="s">
        <v>235</v>
      </c>
      <c r="D376" s="202"/>
      <c r="E376" s="202"/>
      <c r="F376" s="203"/>
      <c r="G376" s="203"/>
      <c r="H376" s="203"/>
      <c r="I376" s="203"/>
      <c r="J376" s="203"/>
      <c r="K376" s="203"/>
      <c r="L376" s="203"/>
      <c r="M376" s="203"/>
      <c r="N376" s="203"/>
      <c r="O376" s="203"/>
      <c r="P376" s="201"/>
    </row>
    <row r="377" spans="1:16" ht="18" customHeight="1">
      <c r="A377" s="201"/>
      <c r="B377" s="202"/>
      <c r="C377" s="450" t="s">
        <v>368</v>
      </c>
      <c r="D377" s="202"/>
      <c r="E377" s="202"/>
      <c r="F377" s="203"/>
      <c r="G377" s="203"/>
      <c r="H377" s="203"/>
      <c r="I377" s="203"/>
      <c r="J377" s="203"/>
      <c r="K377" s="203"/>
      <c r="L377" s="203"/>
      <c r="M377" s="203"/>
      <c r="N377" s="203"/>
      <c r="O377" s="203"/>
      <c r="P377" s="201"/>
    </row>
    <row r="378" spans="1:16" ht="18" customHeight="1">
      <c r="A378" s="201"/>
      <c r="B378" s="202"/>
      <c r="D378" s="202"/>
      <c r="E378" s="202"/>
      <c r="F378" s="203"/>
      <c r="G378" s="203"/>
      <c r="H378" s="203"/>
      <c r="I378" s="203"/>
      <c r="J378" s="203"/>
      <c r="K378" s="203"/>
      <c r="L378" s="203"/>
      <c r="M378" s="203"/>
      <c r="N378" s="203"/>
      <c r="O378" s="203"/>
      <c r="P378" s="201"/>
    </row>
    <row r="379" spans="1:16" ht="17.100000000000001" customHeight="1">
      <c r="A379" s="201"/>
      <c r="B379" s="202"/>
      <c r="C379" s="170"/>
      <c r="D379" s="202"/>
      <c r="E379" s="202"/>
      <c r="F379" s="203"/>
      <c r="G379" s="203"/>
      <c r="H379" s="203"/>
      <c r="I379" s="203"/>
      <c r="J379" s="203"/>
      <c r="K379" s="203"/>
      <c r="L379" s="203"/>
      <c r="M379" s="203"/>
      <c r="N379" s="203"/>
      <c r="O379" s="203"/>
      <c r="P379" s="201"/>
    </row>
    <row r="380" spans="1:16" ht="17.100000000000001" customHeight="1">
      <c r="A380" s="201"/>
      <c r="B380" s="202"/>
      <c r="C380" s="283" t="s">
        <v>390</v>
      </c>
      <c r="D380" s="202"/>
      <c r="E380" s="202"/>
      <c r="F380" s="203"/>
      <c r="G380" s="203"/>
      <c r="H380" s="203"/>
      <c r="I380" s="203"/>
      <c r="J380" s="203"/>
      <c r="K380" s="203"/>
      <c r="L380" s="203"/>
      <c r="M380" s="203"/>
      <c r="N380" s="203"/>
      <c r="O380" s="203"/>
      <c r="P380" s="201"/>
    </row>
    <row r="381" spans="1:16" ht="19.5" customHeight="1">
      <c r="A381" s="201"/>
      <c r="B381" s="202"/>
      <c r="D381" s="202"/>
      <c r="E381" s="202"/>
      <c r="F381" s="203"/>
      <c r="G381" s="203"/>
      <c r="H381" s="203"/>
      <c r="I381" s="203"/>
      <c r="J381" s="203"/>
      <c r="K381" s="203"/>
      <c r="L381" s="203"/>
      <c r="M381" s="203"/>
      <c r="N381" s="203"/>
      <c r="O381" s="203"/>
      <c r="P381" s="201"/>
    </row>
    <row r="382" spans="1:16" s="211" customFormat="1" ht="30" customHeight="1">
      <c r="A382" s="207"/>
      <c r="B382" s="208"/>
      <c r="C382" s="209" t="s">
        <v>241</v>
      </c>
      <c r="D382" s="208"/>
      <c r="E382" s="208"/>
      <c r="F382" s="210"/>
      <c r="G382" s="210"/>
      <c r="H382" s="210"/>
      <c r="I382" s="210"/>
      <c r="J382" s="210" t="s">
        <v>248</v>
      </c>
      <c r="K382" s="210"/>
      <c r="L382" s="210"/>
      <c r="M382" s="210"/>
      <c r="N382" s="210"/>
      <c r="O382" s="210"/>
      <c r="P382" s="207"/>
    </row>
    <row r="383" spans="1:16">
      <c r="A383" s="201"/>
      <c r="B383" s="202"/>
      <c r="C383" s="38" t="s">
        <v>249</v>
      </c>
      <c r="D383" s="202"/>
      <c r="E383" s="202"/>
      <c r="F383" s="203"/>
      <c r="G383" s="203"/>
      <c r="H383" s="203"/>
      <c r="I383" s="203"/>
      <c r="J383" s="203"/>
      <c r="K383" s="203"/>
      <c r="L383" s="203"/>
      <c r="M383" s="203"/>
      <c r="N383" s="203"/>
      <c r="O383" s="203"/>
      <c r="P383" s="201"/>
    </row>
    <row r="384" spans="1:16" s="211" customFormat="1" ht="30" customHeight="1">
      <c r="A384" s="207"/>
      <c r="B384" s="208"/>
      <c r="C384" s="209" t="s">
        <v>243</v>
      </c>
      <c r="D384" s="208"/>
      <c r="E384" s="208"/>
      <c r="F384" s="210"/>
      <c r="G384" s="210"/>
      <c r="H384" s="210"/>
      <c r="I384" s="210"/>
      <c r="J384" s="209" t="s">
        <v>242</v>
      </c>
      <c r="K384" s="210"/>
      <c r="L384" s="210"/>
      <c r="M384" s="210"/>
      <c r="N384" s="210"/>
      <c r="O384" s="210"/>
      <c r="P384" s="207"/>
    </row>
    <row r="385" spans="1:16" s="211" customFormat="1" ht="15" customHeight="1">
      <c r="A385" s="207"/>
      <c r="B385" s="208"/>
      <c r="C385" s="209"/>
      <c r="D385" s="208"/>
      <c r="E385" s="208"/>
      <c r="F385" s="210"/>
      <c r="G385" s="209"/>
      <c r="H385" s="210"/>
      <c r="I385" s="210"/>
      <c r="K385" s="210"/>
      <c r="L385" s="210"/>
      <c r="M385" s="210"/>
      <c r="N385" s="210"/>
      <c r="O385" s="210"/>
      <c r="P385" s="207"/>
    </row>
    <row r="386" spans="1:16" ht="60" customHeight="1">
      <c r="D386" s="493"/>
      <c r="E386" s="493"/>
      <c r="F386" s="493"/>
      <c r="G386" s="493"/>
    </row>
    <row r="387" spans="1:16" ht="6" customHeight="1">
      <c r="C387" s="198"/>
    </row>
    <row r="388" spans="1:16">
      <c r="C388" s="524"/>
      <c r="D388" s="524"/>
      <c r="E388" s="524"/>
      <c r="F388" s="524"/>
      <c r="G388" s="524"/>
      <c r="H388" s="524"/>
      <c r="I388" s="524"/>
      <c r="J388" s="524"/>
      <c r="K388" s="524"/>
      <c r="L388" s="524"/>
      <c r="M388" s="524"/>
      <c r="N388" s="524"/>
    </row>
    <row r="389" spans="1:16">
      <c r="C389" s="164"/>
      <c r="K389" s="492" t="str">
        <f ca="1">OP!$C$55&amp;" 列印日："&amp;TEXT(NOW(),"EEMMDD")</f>
        <v>V4.2-1060517 列印日：1060602</v>
      </c>
      <c r="L389" s="492"/>
      <c r="M389" s="492"/>
      <c r="N389" s="492"/>
    </row>
    <row r="390" spans="1:16"/>
    <row r="391" spans="1:16" ht="11.25" hidden="1" customHeight="1">
      <c r="A391" s="201"/>
      <c r="B391" s="202"/>
      <c r="C391" s="203"/>
      <c r="D391" s="202"/>
      <c r="E391" s="202"/>
      <c r="F391" s="203"/>
      <c r="G391" s="203"/>
      <c r="H391" s="203"/>
      <c r="I391" s="203"/>
      <c r="J391" s="203"/>
      <c r="K391" s="203"/>
      <c r="L391" s="203"/>
      <c r="M391" s="203"/>
      <c r="N391" s="203"/>
      <c r="O391" s="203"/>
      <c r="P391" s="201"/>
    </row>
    <row r="392" spans="1:16" ht="26.25" customHeight="1">
      <c r="A392" s="201"/>
      <c r="B392" s="202"/>
      <c r="C392" s="522" t="s">
        <v>388</v>
      </c>
      <c r="D392" s="523"/>
      <c r="E392" s="523"/>
      <c r="F392" s="523"/>
      <c r="G392" s="523"/>
      <c r="H392" s="523"/>
      <c r="I392" s="523"/>
      <c r="J392" s="523"/>
      <c r="K392" s="523"/>
      <c r="L392" s="523"/>
      <c r="M392" s="523"/>
      <c r="N392" s="523"/>
      <c r="O392" s="203"/>
      <c r="P392" s="201"/>
    </row>
    <row r="393" spans="1:16" ht="6" customHeight="1">
      <c r="A393" s="201"/>
      <c r="B393" s="202"/>
      <c r="C393" s="203"/>
      <c r="D393" s="202"/>
      <c r="E393" s="202"/>
      <c r="F393" s="203"/>
      <c r="G393" s="203"/>
      <c r="H393" s="203"/>
      <c r="I393" s="203"/>
      <c r="J393" s="203"/>
      <c r="K393" s="203"/>
      <c r="L393" s="203"/>
      <c r="M393" s="203"/>
      <c r="N393" s="203"/>
      <c r="O393" s="203"/>
      <c r="P393" s="201"/>
    </row>
    <row r="394" spans="1:16" ht="18" customHeight="1">
      <c r="A394" s="201"/>
      <c r="B394" s="202"/>
      <c r="C394" s="37" t="s">
        <v>234</v>
      </c>
      <c r="D394" s="202"/>
      <c r="E394" s="202"/>
      <c r="F394" s="203"/>
      <c r="G394" s="203"/>
      <c r="H394" s="203"/>
      <c r="I394" s="203"/>
      <c r="J394" s="203"/>
      <c r="K394" s="203"/>
      <c r="L394" s="203"/>
      <c r="M394" s="203"/>
      <c r="N394" s="203"/>
      <c r="O394" s="203"/>
      <c r="P394" s="201"/>
    </row>
    <row r="395" spans="1:16" ht="18" customHeight="1">
      <c r="A395" s="201"/>
      <c r="B395" s="202"/>
      <c r="C395" s="37" t="s">
        <v>252</v>
      </c>
      <c r="D395" s="202"/>
      <c r="E395" s="202"/>
      <c r="F395" s="203"/>
      <c r="G395" s="203"/>
      <c r="H395" s="203"/>
      <c r="I395" s="203"/>
      <c r="J395" s="203"/>
      <c r="K395" s="203"/>
      <c r="L395" s="203"/>
      <c r="M395" s="203"/>
      <c r="N395" s="203"/>
      <c r="O395" s="203"/>
      <c r="P395" s="201"/>
    </row>
    <row r="396" spans="1:16" ht="18" customHeight="1">
      <c r="A396" s="201"/>
      <c r="B396" s="202"/>
      <c r="C396" s="37" t="s">
        <v>253</v>
      </c>
      <c r="D396" s="202"/>
      <c r="E396" s="202"/>
      <c r="F396" s="203"/>
      <c r="G396" s="203"/>
      <c r="H396" s="203"/>
      <c r="I396" s="203"/>
      <c r="J396" s="203"/>
      <c r="K396" s="203"/>
      <c r="L396" s="203"/>
      <c r="M396" s="203"/>
      <c r="N396" s="203"/>
      <c r="O396" s="203"/>
      <c r="P396" s="201"/>
    </row>
    <row r="397" spans="1:16" ht="4.5" customHeight="1">
      <c r="A397" s="201"/>
      <c r="B397" s="202"/>
      <c r="C397" s="203"/>
      <c r="D397" s="202"/>
      <c r="E397" s="202"/>
      <c r="F397" s="203"/>
      <c r="G397" s="203"/>
      <c r="H397" s="203"/>
      <c r="I397" s="203"/>
      <c r="J397" s="203"/>
      <c r="K397" s="203"/>
      <c r="L397" s="203"/>
      <c r="M397" s="203"/>
      <c r="N397" s="203"/>
      <c r="O397" s="203"/>
      <c r="P397" s="201"/>
    </row>
    <row r="398" spans="1:16">
      <c r="A398" s="201"/>
      <c r="B398" s="202"/>
      <c r="C398" s="38" t="s">
        <v>200</v>
      </c>
      <c r="D398" s="202"/>
      <c r="E398" s="499" t="str">
        <f>OP!$C$8</f>
        <v>富媽媽</v>
      </c>
      <c r="F398" s="499"/>
      <c r="G398" s="38" t="s">
        <v>246</v>
      </c>
      <c r="H398" s="202">
        <f ca="1">OP!$D$5</f>
        <v>55</v>
      </c>
      <c r="I398" s="302" t="s">
        <v>452</v>
      </c>
      <c r="J398" s="202"/>
      <c r="K398" s="203"/>
      <c r="L398" s="178" t="s">
        <v>208</v>
      </c>
      <c r="M398" s="202" t="str">
        <f>OP!$C$67</f>
        <v>分期年金</v>
      </c>
      <c r="N398" s="203"/>
      <c r="O398" s="203"/>
      <c r="P398" s="201"/>
    </row>
    <row r="399" spans="1:16" ht="6" customHeight="1">
      <c r="A399" s="201"/>
      <c r="B399" s="202"/>
      <c r="C399" s="205"/>
      <c r="D399" s="206"/>
      <c r="E399" s="206">
        <v>6</v>
      </c>
      <c r="F399" s="205"/>
      <c r="G399" s="205">
        <v>8</v>
      </c>
      <c r="H399" s="205"/>
      <c r="I399" s="205">
        <v>8</v>
      </c>
      <c r="J399" s="205"/>
      <c r="K399" s="205">
        <v>9</v>
      </c>
      <c r="L399" s="205"/>
      <c r="M399" s="205">
        <v>10</v>
      </c>
      <c r="N399" s="205"/>
      <c r="O399" s="203"/>
      <c r="P399" s="201"/>
    </row>
    <row r="400" spans="1:16" ht="20.25" customHeight="1">
      <c r="A400" s="201"/>
      <c r="B400" s="202"/>
      <c r="C400" s="497" t="s">
        <v>195</v>
      </c>
      <c r="D400" s="497" t="s">
        <v>238</v>
      </c>
      <c r="E400" s="495" t="s">
        <v>239</v>
      </c>
      <c r="F400" s="496"/>
      <c r="G400" s="495" t="s">
        <v>240</v>
      </c>
      <c r="H400" s="496"/>
      <c r="I400" s="495" t="s">
        <v>247</v>
      </c>
      <c r="J400" s="496"/>
      <c r="K400" s="496"/>
      <c r="L400" s="496"/>
      <c r="M400" s="496"/>
      <c r="N400" s="496"/>
      <c r="O400" s="203"/>
      <c r="P400" s="201"/>
    </row>
    <row r="401" spans="1:16">
      <c r="A401" s="201"/>
      <c r="B401" s="202"/>
      <c r="C401" s="498"/>
      <c r="D401" s="498"/>
      <c r="E401" s="496"/>
      <c r="F401" s="496"/>
      <c r="G401" s="496"/>
      <c r="H401" s="496"/>
      <c r="I401" s="514">
        <f>計算!$Z$1</f>
        <v>-0.05</v>
      </c>
      <c r="J401" s="514"/>
      <c r="K401" s="514">
        <f>計算!$AA$1</f>
        <v>0</v>
      </c>
      <c r="L401" s="514"/>
      <c r="M401" s="515">
        <f>計算!$AB$1</f>
        <v>0.05</v>
      </c>
      <c r="N401" s="516"/>
      <c r="O401" s="203"/>
      <c r="P401" s="201"/>
    </row>
    <row r="402" spans="1:16" ht="17.45" customHeight="1">
      <c r="A402" s="201"/>
      <c r="B402" s="202"/>
      <c r="C402" s="204">
        <v>1</v>
      </c>
      <c r="D402" s="204">
        <f ca="1">OP!$D$5+C402-1</f>
        <v>55</v>
      </c>
      <c r="E402" s="489">
        <f t="shared" ref="E402:E422" ca="1" si="24">IF(OR($C402="",ISNA(VLOOKUP($C402,value1,$E$340,0)),$A$2=1),"",VLOOKUP($C402,value1,$E$340,0))</f>
        <v>2000000</v>
      </c>
      <c r="F402" s="490"/>
      <c r="G402" s="489">
        <f t="shared" ref="G402:G422" ca="1" si="25">IF(OR($C402="",ISNA(VLOOKUP($C402,value1,$G$340,0)),$A$2=1),"",VLOOKUP($C402,value1,$G$340,0))</f>
        <v>1920000</v>
      </c>
      <c r="H402" s="490"/>
      <c r="I402" s="489">
        <f t="shared" ref="I402:I422" ca="1" si="26">IF(OR($C402="",ISNA(VLOOKUP($C402,value,$I$340,0)),$A$2=1),"",MAX(0,VLOOKUP($C402,value,$I$340,0)))</f>
        <v>1824000.0000000005</v>
      </c>
      <c r="J402" s="490"/>
      <c r="K402" s="489">
        <f t="shared" ref="K402:K422" ca="1" si="27">IF(OR($C402="",ISNA(VLOOKUP($C402,value,$K$340,0)),$A$2=1),"",MAX(0,VLOOKUP($C402,value,$K$340,0)))</f>
        <v>1920000</v>
      </c>
      <c r="L402" s="490"/>
      <c r="M402" s="489">
        <f t="shared" ref="M402:M422" ca="1" si="28">IF(OR($C402="",ISNA(VLOOKUP($C402,value,$M$340,0)),$A$2=1),"",MAX(0,VLOOKUP($C402,value,$M$340,0)))</f>
        <v>2016000.0000000012</v>
      </c>
      <c r="N402" s="490"/>
      <c r="O402" s="203"/>
      <c r="P402" s="201"/>
    </row>
    <row r="403" spans="1:16" ht="17.45" customHeight="1">
      <c r="A403" s="201"/>
      <c r="B403" s="202"/>
      <c r="C403" s="204">
        <f ca="1">IF(OR(MAX($D$402:D402)&gt;=110),"",IF(MAX($C$402:C402)&gt;=10,IF(D402+10&gt;110,C402+(110-D402),C402+10),C402+1))</f>
        <v>2</v>
      </c>
      <c r="D403" s="204">
        <f ca="1">IF(OR(MAX($D$402:D402)&gt;=110),"",OP!$D$5+C403-1)</f>
        <v>56</v>
      </c>
      <c r="E403" s="489">
        <f t="shared" ca="1" si="24"/>
        <v>2000000</v>
      </c>
      <c r="F403" s="490"/>
      <c r="G403" s="489">
        <f t="shared" ca="1" si="25"/>
        <v>1920000</v>
      </c>
      <c r="H403" s="490"/>
      <c r="I403" s="489">
        <f t="shared" ca="1" si="26"/>
        <v>1732800.0000000009</v>
      </c>
      <c r="J403" s="490"/>
      <c r="K403" s="489">
        <f t="shared" ca="1" si="27"/>
        <v>1920000</v>
      </c>
      <c r="L403" s="490"/>
      <c r="M403" s="489">
        <f t="shared" ca="1" si="28"/>
        <v>2116800.0000000023</v>
      </c>
      <c r="N403" s="490"/>
      <c r="O403" s="203"/>
      <c r="P403" s="201"/>
    </row>
    <row r="404" spans="1:16" ht="17.45" customHeight="1">
      <c r="A404" s="201"/>
      <c r="B404" s="202"/>
      <c r="C404" s="204">
        <f ca="1">IF(OR(MAX($D$402:D403)&gt;=110),"",IF(MAX($C$402:C403)&gt;=10,IF(D403+10&gt;110,C403+(110-D403),C403+10),C403+1))</f>
        <v>3</v>
      </c>
      <c r="D404" s="204">
        <f ca="1">IF(OR(MAX($D$402:D403)&gt;=110),"",OP!$D$5+C404-1)</f>
        <v>57</v>
      </c>
      <c r="E404" s="489">
        <f t="shared" ca="1" si="24"/>
        <v>2000000</v>
      </c>
      <c r="F404" s="490"/>
      <c r="G404" s="489">
        <f t="shared" ca="1" si="25"/>
        <v>1920000</v>
      </c>
      <c r="H404" s="490"/>
      <c r="I404" s="489">
        <f t="shared" ca="1" si="26"/>
        <v>1646160.0000000012</v>
      </c>
      <c r="J404" s="490"/>
      <c r="K404" s="489">
        <f t="shared" ca="1" si="27"/>
        <v>1920000</v>
      </c>
      <c r="L404" s="490"/>
      <c r="M404" s="489">
        <f t="shared" ca="1" si="28"/>
        <v>2222640.0000000037</v>
      </c>
      <c r="N404" s="490"/>
      <c r="O404" s="203"/>
      <c r="P404" s="201"/>
    </row>
    <row r="405" spans="1:16" ht="17.45" customHeight="1">
      <c r="A405" s="201"/>
      <c r="B405" s="202"/>
      <c r="C405" s="204">
        <f ca="1">IF(OR(MAX($D$402:D404)&gt;=110),"",IF(MAX($C$402:C404)&gt;=10,IF(D404+10&gt;110,C404+(110-D404),C404+10),C404+1))</f>
        <v>4</v>
      </c>
      <c r="D405" s="204">
        <f ca="1">IF(OR(MAX($D$402:D404)&gt;=110),"",OP!$D$5+C405-1)</f>
        <v>58</v>
      </c>
      <c r="E405" s="489">
        <f t="shared" ca="1" si="24"/>
        <v>2000000</v>
      </c>
      <c r="F405" s="490"/>
      <c r="G405" s="489">
        <f t="shared" ca="1" si="25"/>
        <v>1920000</v>
      </c>
      <c r="H405" s="490"/>
      <c r="I405" s="489">
        <f t="shared" ca="1" si="26"/>
        <v>1563852.0000000014</v>
      </c>
      <c r="J405" s="490"/>
      <c r="K405" s="489">
        <f t="shared" ca="1" si="27"/>
        <v>1920000</v>
      </c>
      <c r="L405" s="490"/>
      <c r="M405" s="489">
        <f t="shared" ca="1" si="28"/>
        <v>2333772.0000000051</v>
      </c>
      <c r="N405" s="490"/>
      <c r="O405" s="203"/>
      <c r="P405" s="201"/>
    </row>
    <row r="406" spans="1:16" ht="17.45" customHeight="1">
      <c r="A406" s="201"/>
      <c r="B406" s="202"/>
      <c r="C406" s="204">
        <f ca="1">IF(OR(MAX($D$402:D405)&gt;=110),"",IF(MAX($C$402:C405)&gt;=10,IF(D405+10&gt;110,C405+(110-D405),C405+10),C405+1))</f>
        <v>5</v>
      </c>
      <c r="D406" s="204">
        <f ca="1">IF(OR(MAX($D$402:D405)&gt;=110),"",OP!$D$5+C406-1)</f>
        <v>59</v>
      </c>
      <c r="E406" s="489">
        <f t="shared" ca="1" si="24"/>
        <v>2000000</v>
      </c>
      <c r="F406" s="490"/>
      <c r="G406" s="489">
        <f t="shared" ca="1" si="25"/>
        <v>1920000</v>
      </c>
      <c r="H406" s="490"/>
      <c r="I406" s="489">
        <f t="shared" ca="1" si="26"/>
        <v>1485659.400000002</v>
      </c>
      <c r="J406" s="490"/>
      <c r="K406" s="489">
        <f t="shared" ca="1" si="27"/>
        <v>1920000</v>
      </c>
      <c r="L406" s="490"/>
      <c r="M406" s="489">
        <f t="shared" ca="1" si="28"/>
        <v>2450460.6000000071</v>
      </c>
      <c r="N406" s="490"/>
      <c r="O406" s="203"/>
      <c r="P406" s="201"/>
    </row>
    <row r="407" spans="1:16" ht="17.45" customHeight="1">
      <c r="A407" s="201"/>
      <c r="B407" s="202"/>
      <c r="C407" s="204">
        <f ca="1">IF(OR(MAX($D$402:D406)&gt;=110),"",IF(MAX($C$402:C406)&gt;=10,IF(D406+10&gt;110,C406+(110-D406),C406+10),C406+1))</f>
        <v>6</v>
      </c>
      <c r="D407" s="204">
        <f ca="1">IF(OR(MAX($D$402:D406)&gt;=110),"",OP!$D$5+C407-1)</f>
        <v>60</v>
      </c>
      <c r="E407" s="489">
        <f t="shared" ca="1" si="24"/>
        <v>2000000</v>
      </c>
      <c r="F407" s="490"/>
      <c r="G407" s="489">
        <f t="shared" ca="1" si="25"/>
        <v>1920000</v>
      </c>
      <c r="H407" s="490"/>
      <c r="I407" s="489">
        <f t="shared" ca="1" si="26"/>
        <v>1411376.430000002</v>
      </c>
      <c r="J407" s="490"/>
      <c r="K407" s="489">
        <f t="shared" ca="1" si="27"/>
        <v>1920000</v>
      </c>
      <c r="L407" s="490"/>
      <c r="M407" s="489">
        <f t="shared" ca="1" si="28"/>
        <v>2572983.6300000083</v>
      </c>
      <c r="N407" s="490"/>
      <c r="O407" s="203"/>
      <c r="P407" s="201"/>
    </row>
    <row r="408" spans="1:16" ht="17.45" customHeight="1">
      <c r="A408" s="201"/>
      <c r="B408" s="202"/>
      <c r="C408" s="204">
        <f ca="1">IF(OR(MAX($D$402:D407)&gt;=110),"",IF(MAX($C$402:C407)&gt;=10,IF(D407+10&gt;110,C407+(110-D407),C407+10),C407+1))</f>
        <v>7</v>
      </c>
      <c r="D408" s="204">
        <f ca="1">IF(OR(MAX($D$402:D407)&gt;=110),"",OP!$D$5+C408-1)</f>
        <v>61</v>
      </c>
      <c r="E408" s="489">
        <f t="shared" ca="1" si="24"/>
        <v>2000000</v>
      </c>
      <c r="F408" s="490"/>
      <c r="G408" s="489">
        <f t="shared" ca="1" si="25"/>
        <v>1920000</v>
      </c>
      <c r="H408" s="490"/>
      <c r="I408" s="489" t="str">
        <f t="shared" ca="1" si="26"/>
        <v/>
      </c>
      <c r="J408" s="490"/>
      <c r="K408" s="489" t="str">
        <f t="shared" ca="1" si="27"/>
        <v/>
      </c>
      <c r="L408" s="490"/>
      <c r="M408" s="489" t="str">
        <f t="shared" ca="1" si="28"/>
        <v/>
      </c>
      <c r="N408" s="490"/>
      <c r="O408" s="203"/>
      <c r="P408" s="201"/>
    </row>
    <row r="409" spans="1:16" ht="17.45" customHeight="1">
      <c r="A409" s="201"/>
      <c r="B409" s="202"/>
      <c r="C409" s="204">
        <f ca="1">IF(OR(MAX($D$402:D408)&gt;=110),"",IF(MAX($C$402:C408)&gt;=10,IF(D408+10&gt;110,C408+(110-D408),C408+10),C408+1))</f>
        <v>8</v>
      </c>
      <c r="D409" s="204">
        <f ca="1">IF(OR(MAX($D$402:D408)&gt;=110),"",OP!$D$5+C409-1)</f>
        <v>62</v>
      </c>
      <c r="E409" s="489">
        <f t="shared" ca="1" si="24"/>
        <v>2000000</v>
      </c>
      <c r="F409" s="490"/>
      <c r="G409" s="489">
        <f t="shared" ca="1" si="25"/>
        <v>1920000</v>
      </c>
      <c r="H409" s="490"/>
      <c r="I409" s="489" t="str">
        <f t="shared" ca="1" si="26"/>
        <v/>
      </c>
      <c r="J409" s="490"/>
      <c r="K409" s="489" t="str">
        <f t="shared" ca="1" si="27"/>
        <v/>
      </c>
      <c r="L409" s="490"/>
      <c r="M409" s="489" t="str">
        <f t="shared" ca="1" si="28"/>
        <v/>
      </c>
      <c r="N409" s="490"/>
      <c r="O409" s="203"/>
      <c r="P409" s="201"/>
    </row>
    <row r="410" spans="1:16" ht="17.45" customHeight="1">
      <c r="A410" s="201"/>
      <c r="B410" s="202"/>
      <c r="C410" s="204">
        <f ca="1">IF(OR(MAX($D$402:D409)&gt;=110),"",IF(MAX($C$402:C409)&gt;=10,IF(D409+10&gt;110,C409+(110-D409),C409+10),C409+1))</f>
        <v>9</v>
      </c>
      <c r="D410" s="204">
        <f ca="1">IF(OR(MAX($D$402:D409)&gt;=110),"",OP!$D$5+C410-1)</f>
        <v>63</v>
      </c>
      <c r="E410" s="489">
        <f t="shared" ca="1" si="24"/>
        <v>2000000</v>
      </c>
      <c r="F410" s="490"/>
      <c r="G410" s="489">
        <f t="shared" ca="1" si="25"/>
        <v>1920000</v>
      </c>
      <c r="H410" s="490"/>
      <c r="I410" s="489" t="str">
        <f t="shared" ca="1" si="26"/>
        <v/>
      </c>
      <c r="J410" s="490"/>
      <c r="K410" s="489" t="str">
        <f t="shared" ca="1" si="27"/>
        <v/>
      </c>
      <c r="L410" s="490"/>
      <c r="M410" s="489" t="str">
        <f t="shared" ca="1" si="28"/>
        <v/>
      </c>
      <c r="N410" s="490"/>
      <c r="O410" s="203"/>
      <c r="P410" s="201"/>
    </row>
    <row r="411" spans="1:16" ht="17.45" customHeight="1">
      <c r="A411" s="201"/>
      <c r="B411" s="202"/>
      <c r="C411" s="204">
        <f ca="1">IF(OR(MAX($D$402:D410)&gt;=110),"",IF(MAX($C$402:C410)&gt;=10,IF(D410+10&gt;110,C410+(110-D410),C410+10),C410+1))</f>
        <v>10</v>
      </c>
      <c r="D411" s="204">
        <f ca="1">IF(OR(MAX($D$402:D410)&gt;=110),"",OP!$D$5+C411-1)</f>
        <v>64</v>
      </c>
      <c r="E411" s="489">
        <f t="shared" ca="1" si="24"/>
        <v>2000000</v>
      </c>
      <c r="F411" s="490"/>
      <c r="G411" s="489">
        <f t="shared" ca="1" si="25"/>
        <v>1920000</v>
      </c>
      <c r="H411" s="490"/>
      <c r="I411" s="489" t="str">
        <f t="shared" ca="1" si="26"/>
        <v/>
      </c>
      <c r="J411" s="490"/>
      <c r="K411" s="489" t="str">
        <f t="shared" ca="1" si="27"/>
        <v/>
      </c>
      <c r="L411" s="490"/>
      <c r="M411" s="489" t="str">
        <f t="shared" ca="1" si="28"/>
        <v/>
      </c>
      <c r="N411" s="490"/>
      <c r="O411" s="203"/>
      <c r="P411" s="201"/>
    </row>
    <row r="412" spans="1:16" ht="17.45" customHeight="1">
      <c r="A412" s="201"/>
      <c r="B412" s="202"/>
      <c r="C412" s="204">
        <f ca="1">IF(OR(MAX($D$402:D411)&gt;=110),"",IF(MAX($C$402:C411)&gt;=10,IF(D411+10&gt;110,C411+(110-D411),C411+10),C411+1))</f>
        <v>20</v>
      </c>
      <c r="D412" s="204">
        <f ca="1">IF(OR(MAX($D$402:D411)&gt;=110),"",OP!$D$5+C412-1)</f>
        <v>74</v>
      </c>
      <c r="E412" s="489">
        <f t="shared" ca="1" si="24"/>
        <v>2000000</v>
      </c>
      <c r="F412" s="490"/>
      <c r="G412" s="489">
        <f t="shared" ca="1" si="25"/>
        <v>1920000</v>
      </c>
      <c r="H412" s="490"/>
      <c r="I412" s="489" t="str">
        <f t="shared" ca="1" si="26"/>
        <v/>
      </c>
      <c r="J412" s="490"/>
      <c r="K412" s="489" t="str">
        <f t="shared" ca="1" si="27"/>
        <v/>
      </c>
      <c r="L412" s="490"/>
      <c r="M412" s="489" t="str">
        <f t="shared" ca="1" si="28"/>
        <v/>
      </c>
      <c r="N412" s="490"/>
      <c r="O412" s="203"/>
      <c r="P412" s="201"/>
    </row>
    <row r="413" spans="1:16" ht="17.45" customHeight="1">
      <c r="A413" s="201"/>
      <c r="B413" s="202"/>
      <c r="C413" s="204">
        <f ca="1">IF(OR(MAX($D$402:D412)&gt;=110),"",IF(MAX($C$402:C412)&gt;=10,IF(D412+10&gt;110,C412+(110-D412),C412+10),C412+1))</f>
        <v>30</v>
      </c>
      <c r="D413" s="204">
        <f ca="1">IF(OR(MAX($D$402:D412)&gt;=110),"",OP!$D$5+C413-1)</f>
        <v>84</v>
      </c>
      <c r="E413" s="489">
        <f t="shared" ca="1" si="24"/>
        <v>2000000</v>
      </c>
      <c r="F413" s="490"/>
      <c r="G413" s="489">
        <f t="shared" ca="1" si="25"/>
        <v>1920000</v>
      </c>
      <c r="H413" s="490"/>
      <c r="I413" s="489" t="str">
        <f t="shared" ca="1" si="26"/>
        <v/>
      </c>
      <c r="J413" s="490"/>
      <c r="K413" s="489" t="str">
        <f t="shared" ca="1" si="27"/>
        <v/>
      </c>
      <c r="L413" s="490"/>
      <c r="M413" s="489" t="str">
        <f t="shared" ca="1" si="28"/>
        <v/>
      </c>
      <c r="N413" s="490"/>
      <c r="O413" s="203"/>
      <c r="P413" s="201"/>
    </row>
    <row r="414" spans="1:16" ht="17.45" customHeight="1">
      <c r="A414" s="201"/>
      <c r="B414" s="202"/>
      <c r="C414" s="204">
        <f ca="1">IF(OR(MAX($D$402:D413)&gt;=110),"",IF(MAX($C$402:C413)&gt;=10,IF(D413+10&gt;110,C413+(110-D413),C413+10),C413+1))</f>
        <v>40</v>
      </c>
      <c r="D414" s="204">
        <f ca="1">IF(OR(MAX($D$402:D413)&gt;=110),"",OP!$D$5+C414-1)</f>
        <v>94</v>
      </c>
      <c r="E414" s="489">
        <f t="shared" ca="1" si="24"/>
        <v>2000000</v>
      </c>
      <c r="F414" s="490"/>
      <c r="G414" s="489">
        <f t="shared" ca="1" si="25"/>
        <v>1920000</v>
      </c>
      <c r="H414" s="490"/>
      <c r="I414" s="489" t="str">
        <f t="shared" ca="1" si="26"/>
        <v/>
      </c>
      <c r="J414" s="490"/>
      <c r="K414" s="489" t="str">
        <f t="shared" ca="1" si="27"/>
        <v/>
      </c>
      <c r="L414" s="490"/>
      <c r="M414" s="489" t="str">
        <f t="shared" ca="1" si="28"/>
        <v/>
      </c>
      <c r="N414" s="490"/>
      <c r="O414" s="203"/>
      <c r="P414" s="201"/>
    </row>
    <row r="415" spans="1:16" ht="17.45" customHeight="1">
      <c r="A415" s="201"/>
      <c r="B415" s="202"/>
      <c r="C415" s="204">
        <f ca="1">IF(OR(MAX($D$402:D414)&gt;=110),"",IF(MAX($C$402:C414)&gt;=10,IF(D414+10&gt;110,C414+(110-D414),C414+10),C414+1))</f>
        <v>50</v>
      </c>
      <c r="D415" s="204">
        <f ca="1">IF(OR(MAX($D$402:D414)&gt;=110),"",OP!$D$5+C415-1)</f>
        <v>104</v>
      </c>
      <c r="E415" s="489">
        <f t="shared" ca="1" si="24"/>
        <v>2000000</v>
      </c>
      <c r="F415" s="490"/>
      <c r="G415" s="489">
        <f t="shared" ca="1" si="25"/>
        <v>1920000</v>
      </c>
      <c r="H415" s="490"/>
      <c r="I415" s="489" t="str">
        <f t="shared" ca="1" si="26"/>
        <v/>
      </c>
      <c r="J415" s="490"/>
      <c r="K415" s="489" t="str">
        <f t="shared" ca="1" si="27"/>
        <v/>
      </c>
      <c r="L415" s="490"/>
      <c r="M415" s="489" t="str">
        <f t="shared" ca="1" si="28"/>
        <v/>
      </c>
      <c r="N415" s="490"/>
      <c r="O415" s="203"/>
      <c r="P415" s="201"/>
    </row>
    <row r="416" spans="1:16" ht="17.45" customHeight="1">
      <c r="A416" s="201"/>
      <c r="B416" s="202"/>
      <c r="C416" s="204">
        <f ca="1">IF(OR(MAX($D$402:D415)&gt;=110),"",IF(MAX($C$402:C415)&gt;=10,IF(D415+10&gt;110,C415+(110-D415),C415+10),C415+1))</f>
        <v>56</v>
      </c>
      <c r="D416" s="204">
        <f ca="1">IF(OR(MAX($D$402:D415)&gt;=110),"",OP!$D$5+C416-1)</f>
        <v>110</v>
      </c>
      <c r="E416" s="489">
        <f t="shared" ca="1" si="24"/>
        <v>2000000</v>
      </c>
      <c r="F416" s="490"/>
      <c r="G416" s="489">
        <f t="shared" ca="1" si="25"/>
        <v>1920000</v>
      </c>
      <c r="H416" s="490"/>
      <c r="I416" s="489" t="str">
        <f t="shared" ca="1" si="26"/>
        <v/>
      </c>
      <c r="J416" s="490"/>
      <c r="K416" s="489" t="str">
        <f t="shared" ca="1" si="27"/>
        <v/>
      </c>
      <c r="L416" s="490"/>
      <c r="M416" s="489" t="str">
        <f t="shared" ca="1" si="28"/>
        <v/>
      </c>
      <c r="N416" s="490"/>
      <c r="O416" s="203"/>
      <c r="P416" s="201"/>
    </row>
    <row r="417" spans="1:16" ht="17.45" customHeight="1">
      <c r="A417" s="201"/>
      <c r="B417" s="202"/>
      <c r="C417" s="204" t="str">
        <f ca="1">IF(OR(MAX($D$402:D416)&gt;=110),"",IF(MAX($C$402:C416)&gt;=10,IF(D416+10&gt;110,C416+(110-D416),C416+10),C416+1))</f>
        <v/>
      </c>
      <c r="D417" s="204" t="str">
        <f ca="1">IF(OR(MAX($D$402:D416)&gt;=110),"",OP!$D$5+C417-1)</f>
        <v/>
      </c>
      <c r="E417" s="489" t="str">
        <f t="shared" ca="1" si="24"/>
        <v/>
      </c>
      <c r="F417" s="490"/>
      <c r="G417" s="489" t="str">
        <f t="shared" ca="1" si="25"/>
        <v/>
      </c>
      <c r="H417" s="490"/>
      <c r="I417" s="489" t="str">
        <f t="shared" ca="1" si="26"/>
        <v/>
      </c>
      <c r="J417" s="490"/>
      <c r="K417" s="489" t="str">
        <f t="shared" ca="1" si="27"/>
        <v/>
      </c>
      <c r="L417" s="490"/>
      <c r="M417" s="489" t="str">
        <f t="shared" ca="1" si="28"/>
        <v/>
      </c>
      <c r="N417" s="490"/>
      <c r="O417" s="203"/>
      <c r="P417" s="201"/>
    </row>
    <row r="418" spans="1:16" ht="17.45" customHeight="1">
      <c r="A418" s="201"/>
      <c r="B418" s="202"/>
      <c r="C418" s="204" t="str">
        <f ca="1">IF(OR(MAX($D$402:D417)&gt;=110),"",IF(MAX($C$402:C417)&gt;=10,IF(D417+10&gt;110,C417+(110-D417),C417+10),C417+1))</f>
        <v/>
      </c>
      <c r="D418" s="204" t="str">
        <f ca="1">IF(OR(MAX($D$402:D417)&gt;=110),"",OP!$D$5+C418-1)</f>
        <v/>
      </c>
      <c r="E418" s="489" t="str">
        <f t="shared" ca="1" si="24"/>
        <v/>
      </c>
      <c r="F418" s="490"/>
      <c r="G418" s="489" t="str">
        <f t="shared" ca="1" si="25"/>
        <v/>
      </c>
      <c r="H418" s="490"/>
      <c r="I418" s="489" t="str">
        <f t="shared" ca="1" si="26"/>
        <v/>
      </c>
      <c r="J418" s="490"/>
      <c r="K418" s="489" t="str">
        <f t="shared" ca="1" si="27"/>
        <v/>
      </c>
      <c r="L418" s="490"/>
      <c r="M418" s="489" t="str">
        <f t="shared" ca="1" si="28"/>
        <v/>
      </c>
      <c r="N418" s="490"/>
      <c r="O418" s="203"/>
      <c r="P418" s="201"/>
    </row>
    <row r="419" spans="1:16" ht="17.45" customHeight="1">
      <c r="A419" s="201"/>
      <c r="B419" s="202"/>
      <c r="C419" s="204" t="str">
        <f ca="1">IF(OR(MAX($D$402:D418)&gt;=110),"",IF(MAX($C$402:C418)&gt;=10,IF(D418+10&gt;110,C418+(110-D418),C418+10),C418+1))</f>
        <v/>
      </c>
      <c r="D419" s="204" t="str">
        <f ca="1">IF(OR(MAX($D$402:D418)&gt;=110),"",OP!$D$5+C419-1)</f>
        <v/>
      </c>
      <c r="E419" s="489" t="str">
        <f t="shared" ca="1" si="24"/>
        <v/>
      </c>
      <c r="F419" s="490"/>
      <c r="G419" s="489" t="str">
        <f t="shared" ca="1" si="25"/>
        <v/>
      </c>
      <c r="H419" s="490"/>
      <c r="I419" s="489" t="str">
        <f t="shared" ca="1" si="26"/>
        <v/>
      </c>
      <c r="J419" s="490"/>
      <c r="K419" s="489" t="str">
        <f t="shared" ca="1" si="27"/>
        <v/>
      </c>
      <c r="L419" s="490"/>
      <c r="M419" s="489" t="str">
        <f t="shared" ca="1" si="28"/>
        <v/>
      </c>
      <c r="N419" s="490"/>
      <c r="O419" s="203"/>
      <c r="P419" s="201"/>
    </row>
    <row r="420" spans="1:16" ht="17.45" customHeight="1">
      <c r="A420" s="201"/>
      <c r="B420" s="202"/>
      <c r="C420" s="204" t="str">
        <f ca="1">IF(OR(MAX($D$402:D419)&gt;=110),"",IF(MAX($C$402:C419)&gt;=10,IF(D419+10&gt;110,C419+(110-D419),C419+10),C419+1))</f>
        <v/>
      </c>
      <c r="D420" s="204" t="str">
        <f ca="1">IF(OR(MAX($D$402:D419)&gt;=110),"",OP!$D$5+C420-1)</f>
        <v/>
      </c>
      <c r="E420" s="489" t="str">
        <f t="shared" ca="1" si="24"/>
        <v/>
      </c>
      <c r="F420" s="490"/>
      <c r="G420" s="489" t="str">
        <f t="shared" ca="1" si="25"/>
        <v/>
      </c>
      <c r="H420" s="490"/>
      <c r="I420" s="489" t="str">
        <f t="shared" ca="1" si="26"/>
        <v/>
      </c>
      <c r="J420" s="490"/>
      <c r="K420" s="489" t="str">
        <f t="shared" ca="1" si="27"/>
        <v/>
      </c>
      <c r="L420" s="490"/>
      <c r="M420" s="489" t="str">
        <f t="shared" ca="1" si="28"/>
        <v/>
      </c>
      <c r="N420" s="490"/>
      <c r="O420" s="203"/>
      <c r="P420" s="201"/>
    </row>
    <row r="421" spans="1:16" ht="17.45" customHeight="1">
      <c r="A421" s="201"/>
      <c r="B421" s="202"/>
      <c r="C421" s="204" t="str">
        <f ca="1">IF(OR(MAX($D$402:D420)&gt;=110),"",IF(MAX($C$402:C420)&gt;=10,IF(D420+10&gt;110,C420+(110-D420),C420+10),C420+1))</f>
        <v/>
      </c>
      <c r="D421" s="204" t="str">
        <f ca="1">IF(OR(MAX($D$402:D420)&gt;=110),"",OP!$D$5+C421-1)</f>
        <v/>
      </c>
      <c r="E421" s="489" t="str">
        <f t="shared" ca="1" si="24"/>
        <v/>
      </c>
      <c r="F421" s="490"/>
      <c r="G421" s="489" t="str">
        <f t="shared" ca="1" si="25"/>
        <v/>
      </c>
      <c r="H421" s="490"/>
      <c r="I421" s="489" t="str">
        <f t="shared" ca="1" si="26"/>
        <v/>
      </c>
      <c r="J421" s="490"/>
      <c r="K421" s="489" t="str">
        <f t="shared" ca="1" si="27"/>
        <v/>
      </c>
      <c r="L421" s="490"/>
      <c r="M421" s="489" t="str">
        <f t="shared" ca="1" si="28"/>
        <v/>
      </c>
      <c r="N421" s="490"/>
      <c r="O421" s="203"/>
      <c r="P421" s="201"/>
    </row>
    <row r="422" spans="1:16" ht="17.45" customHeight="1">
      <c r="A422" s="201"/>
      <c r="B422" s="202"/>
      <c r="C422" s="204" t="str">
        <f ca="1">IF(OR(MAX($D$402:D421)&gt;=110),"",IF(MAX($C$402:C421)&gt;=10,IF(D421+10&gt;110,C421+(110-D421),C421+10),C421+1))</f>
        <v/>
      </c>
      <c r="D422" s="204" t="str">
        <f ca="1">IF(OR(MAX($D$402:D421)&gt;=110),"",OP!$D$5+C422-1)</f>
        <v/>
      </c>
      <c r="E422" s="489" t="str">
        <f t="shared" ca="1" si="24"/>
        <v/>
      </c>
      <c r="F422" s="490"/>
      <c r="G422" s="489" t="str">
        <f t="shared" ca="1" si="25"/>
        <v/>
      </c>
      <c r="H422" s="490"/>
      <c r="I422" s="489" t="str">
        <f t="shared" ca="1" si="26"/>
        <v/>
      </c>
      <c r="J422" s="490"/>
      <c r="K422" s="489" t="str">
        <f t="shared" ca="1" si="27"/>
        <v/>
      </c>
      <c r="L422" s="490"/>
      <c r="M422" s="489" t="str">
        <f t="shared" ca="1" si="28"/>
        <v/>
      </c>
      <c r="N422" s="490"/>
      <c r="O422" s="203"/>
      <c r="P422" s="201"/>
    </row>
    <row r="423" spans="1:16" ht="5.25" customHeight="1">
      <c r="A423" s="201"/>
      <c r="B423" s="202"/>
      <c r="C423" s="170"/>
      <c r="D423" s="202"/>
      <c r="E423" s="202"/>
      <c r="F423" s="203"/>
      <c r="G423" s="203"/>
      <c r="H423" s="203"/>
      <c r="I423" s="203"/>
      <c r="J423" s="203"/>
      <c r="K423" s="203"/>
      <c r="L423" s="203"/>
      <c r="M423" s="203"/>
      <c r="N423" s="203"/>
      <c r="O423" s="203"/>
      <c r="P423" s="201"/>
    </row>
    <row r="424" spans="1:16" ht="18" customHeight="1">
      <c r="A424" s="201"/>
      <c r="B424" s="202"/>
      <c r="C424" s="450" t="s">
        <v>389</v>
      </c>
      <c r="D424" s="202"/>
      <c r="E424" s="202"/>
      <c r="F424" s="203"/>
      <c r="G424" s="203"/>
      <c r="H424" s="203"/>
      <c r="I424" s="203"/>
      <c r="J424" s="203"/>
      <c r="K424" s="203"/>
      <c r="L424" s="203"/>
      <c r="M424" s="203"/>
      <c r="N424" s="203"/>
      <c r="O424" s="203"/>
      <c r="P424" s="201"/>
    </row>
    <row r="425" spans="1:16" ht="18" customHeight="1">
      <c r="A425" s="201"/>
      <c r="B425" s="202"/>
      <c r="C425" s="450" t="s">
        <v>254</v>
      </c>
      <c r="D425" s="202"/>
      <c r="E425" s="202"/>
      <c r="F425" s="203"/>
      <c r="G425" s="203"/>
      <c r="H425" s="203"/>
      <c r="I425" s="203"/>
      <c r="J425" s="203"/>
      <c r="K425" s="203"/>
      <c r="L425" s="203"/>
      <c r="M425" s="203"/>
      <c r="N425" s="203"/>
      <c r="O425" s="203"/>
      <c r="P425" s="201"/>
    </row>
    <row r="426" spans="1:16" ht="18" customHeight="1">
      <c r="A426" s="201"/>
      <c r="B426" s="202"/>
      <c r="C426" s="450" t="s">
        <v>479</v>
      </c>
      <c r="D426" s="202"/>
      <c r="E426" s="202"/>
      <c r="F426" s="203"/>
      <c r="G426" s="203"/>
      <c r="H426" s="203"/>
      <c r="I426" s="203"/>
      <c r="J426" s="203"/>
      <c r="K426" s="203"/>
      <c r="L426" s="203"/>
      <c r="M426" s="203"/>
      <c r="N426" s="203"/>
      <c r="O426" s="203"/>
      <c r="P426" s="201"/>
    </row>
    <row r="427" spans="1:16" ht="18" customHeight="1">
      <c r="A427" s="201"/>
      <c r="B427" s="202"/>
      <c r="C427" s="450" t="s">
        <v>478</v>
      </c>
      <c r="D427" s="202"/>
      <c r="E427" s="202"/>
      <c r="F427" s="203"/>
      <c r="G427" s="203"/>
      <c r="H427" s="203"/>
      <c r="I427" s="203"/>
      <c r="J427" s="203"/>
      <c r="K427" s="203"/>
      <c r="L427" s="203"/>
      <c r="M427" s="203"/>
      <c r="N427" s="203"/>
      <c r="O427" s="203"/>
      <c r="P427" s="201"/>
    </row>
    <row r="428" spans="1:16" ht="18" customHeight="1">
      <c r="A428" s="201"/>
      <c r="B428" s="202"/>
      <c r="C428" s="450" t="s">
        <v>477</v>
      </c>
      <c r="D428" s="202"/>
      <c r="E428" s="202"/>
      <c r="F428" s="203"/>
      <c r="G428" s="203"/>
      <c r="H428" s="203"/>
      <c r="I428" s="203"/>
      <c r="J428" s="203"/>
      <c r="K428" s="203"/>
      <c r="L428" s="203"/>
      <c r="M428" s="203"/>
      <c r="N428" s="203"/>
      <c r="O428" s="203"/>
      <c r="P428" s="201"/>
    </row>
    <row r="429" spans="1:16" ht="18" customHeight="1">
      <c r="A429" s="201"/>
      <c r="B429" s="202"/>
      <c r="C429" s="450" t="s">
        <v>480</v>
      </c>
      <c r="D429" s="202"/>
      <c r="E429" s="202"/>
      <c r="F429" s="203"/>
      <c r="G429" s="203"/>
      <c r="H429" s="203"/>
      <c r="I429" s="203"/>
      <c r="J429" s="203"/>
      <c r="K429" s="203"/>
      <c r="L429" s="203"/>
      <c r="M429" s="203"/>
      <c r="N429" s="203"/>
      <c r="O429" s="203"/>
      <c r="P429" s="201"/>
    </row>
    <row r="430" spans="1:16" ht="18" customHeight="1">
      <c r="A430" s="201"/>
      <c r="B430" s="202"/>
      <c r="C430" s="450" t="s">
        <v>379</v>
      </c>
      <c r="D430" s="202"/>
      <c r="E430" s="202"/>
      <c r="F430" s="203"/>
      <c r="G430" s="203"/>
      <c r="H430" s="203"/>
      <c r="I430" s="203"/>
      <c r="J430" s="203"/>
      <c r="K430" s="203"/>
      <c r="L430" s="203"/>
      <c r="M430" s="203"/>
      <c r="N430" s="203"/>
      <c r="O430" s="203"/>
      <c r="P430" s="201"/>
    </row>
    <row r="431" spans="1:16" ht="18" customHeight="1">
      <c r="A431" s="201"/>
      <c r="B431" s="202"/>
      <c r="C431" s="450" t="s">
        <v>380</v>
      </c>
      <c r="D431" s="202"/>
      <c r="E431" s="202"/>
      <c r="F431" s="203"/>
      <c r="G431" s="203"/>
      <c r="H431" s="203"/>
      <c r="I431" s="203"/>
      <c r="J431" s="203"/>
      <c r="K431" s="203"/>
      <c r="L431" s="203"/>
      <c r="M431" s="203"/>
      <c r="N431" s="203"/>
      <c r="O431" s="203"/>
      <c r="P431" s="201"/>
    </row>
    <row r="432" spans="1:16" ht="18" customHeight="1">
      <c r="A432" s="201"/>
      <c r="B432" s="202"/>
      <c r="C432" s="450" t="s">
        <v>255</v>
      </c>
      <c r="D432" s="202"/>
      <c r="E432" s="202"/>
      <c r="F432" s="203"/>
      <c r="G432" s="203"/>
      <c r="H432" s="203"/>
      <c r="I432" s="203"/>
      <c r="J432" s="203"/>
      <c r="K432" s="203"/>
      <c r="L432" s="203"/>
      <c r="M432" s="203"/>
      <c r="N432" s="203"/>
      <c r="O432" s="203"/>
      <c r="P432" s="201"/>
    </row>
    <row r="433" spans="1:16" ht="18" customHeight="1">
      <c r="A433" s="201"/>
      <c r="B433" s="202"/>
      <c r="C433" s="450" t="s">
        <v>256</v>
      </c>
      <c r="D433" s="202"/>
      <c r="E433" s="202"/>
      <c r="F433" s="203"/>
      <c r="G433" s="203"/>
      <c r="H433" s="203"/>
      <c r="I433" s="203"/>
      <c r="J433" s="203"/>
      <c r="K433" s="203"/>
      <c r="L433" s="203"/>
      <c r="M433" s="203"/>
      <c r="N433" s="203"/>
      <c r="O433" s="203"/>
      <c r="P433" s="201"/>
    </row>
    <row r="434" spans="1:16" ht="18" customHeight="1">
      <c r="A434" s="201"/>
      <c r="B434" s="202"/>
      <c r="C434" s="450" t="s">
        <v>257</v>
      </c>
      <c r="D434" s="202"/>
      <c r="E434" s="202"/>
      <c r="F434" s="203"/>
      <c r="G434" s="203"/>
      <c r="H434" s="203"/>
      <c r="I434" s="203"/>
      <c r="J434" s="203"/>
      <c r="K434" s="203"/>
      <c r="L434" s="203"/>
      <c r="M434" s="203"/>
      <c r="N434" s="203"/>
      <c r="O434" s="203"/>
      <c r="P434" s="201"/>
    </row>
    <row r="435" spans="1:16" ht="18" customHeight="1">
      <c r="A435" s="201"/>
      <c r="B435" s="202"/>
      <c r="C435" s="450" t="s">
        <v>235</v>
      </c>
      <c r="D435" s="202"/>
      <c r="E435" s="202"/>
      <c r="F435" s="203"/>
      <c r="G435" s="203"/>
      <c r="H435" s="203"/>
      <c r="I435" s="203"/>
      <c r="J435" s="203"/>
      <c r="K435" s="203"/>
      <c r="L435" s="203"/>
      <c r="M435" s="203"/>
      <c r="N435" s="203"/>
      <c r="O435" s="203"/>
      <c r="P435" s="201"/>
    </row>
    <row r="436" spans="1:16" ht="18" customHeight="1">
      <c r="A436" s="201"/>
      <c r="B436" s="202"/>
      <c r="C436" s="450" t="s">
        <v>368</v>
      </c>
      <c r="D436" s="202"/>
      <c r="E436" s="202"/>
      <c r="F436" s="203"/>
      <c r="G436" s="203"/>
      <c r="H436" s="203"/>
      <c r="I436" s="203"/>
      <c r="J436" s="203"/>
      <c r="K436" s="203"/>
      <c r="L436" s="203"/>
      <c r="M436" s="203"/>
      <c r="N436" s="203"/>
      <c r="O436" s="203"/>
      <c r="P436" s="201"/>
    </row>
    <row r="437" spans="1:16" ht="18" customHeight="1">
      <c r="A437" s="201"/>
      <c r="B437" s="202"/>
      <c r="D437" s="202"/>
      <c r="E437" s="202"/>
      <c r="F437" s="203"/>
      <c r="G437" s="203"/>
      <c r="H437" s="203"/>
      <c r="I437" s="203"/>
      <c r="J437" s="203"/>
      <c r="K437" s="203"/>
      <c r="L437" s="203"/>
      <c r="M437" s="203"/>
      <c r="N437" s="203"/>
      <c r="O437" s="203"/>
      <c r="P437" s="201"/>
    </row>
    <row r="438" spans="1:16" ht="17.100000000000001" customHeight="1">
      <c r="A438" s="201"/>
      <c r="B438" s="202"/>
      <c r="C438" s="170"/>
      <c r="D438" s="202"/>
      <c r="E438" s="202"/>
      <c r="F438" s="203"/>
      <c r="G438" s="203"/>
      <c r="H438" s="203"/>
      <c r="I438" s="203"/>
      <c r="J438" s="203"/>
      <c r="K438" s="203"/>
      <c r="L438" s="203"/>
      <c r="M438" s="203"/>
      <c r="N438" s="203"/>
      <c r="O438" s="203"/>
      <c r="P438" s="201"/>
    </row>
    <row r="439" spans="1:16" ht="17.100000000000001" customHeight="1">
      <c r="A439" s="201"/>
      <c r="B439" s="202"/>
      <c r="C439" s="283" t="s">
        <v>390</v>
      </c>
      <c r="D439" s="202"/>
      <c r="E439" s="202"/>
      <c r="F439" s="203"/>
      <c r="G439" s="203"/>
      <c r="H439" s="203"/>
      <c r="I439" s="203"/>
      <c r="J439" s="203"/>
      <c r="K439" s="203"/>
      <c r="L439" s="203"/>
      <c r="M439" s="203"/>
      <c r="N439" s="203"/>
      <c r="O439" s="203"/>
      <c r="P439" s="201"/>
    </row>
    <row r="440" spans="1:16" ht="19.5" customHeight="1">
      <c r="A440" s="201"/>
      <c r="B440" s="202"/>
      <c r="D440" s="202"/>
      <c r="E440" s="202"/>
      <c r="F440" s="203"/>
      <c r="G440" s="203"/>
      <c r="H440" s="203"/>
      <c r="I440" s="203"/>
      <c r="J440" s="203"/>
      <c r="K440" s="203"/>
      <c r="L440" s="203"/>
      <c r="M440" s="203"/>
      <c r="N440" s="203"/>
      <c r="O440" s="203"/>
      <c r="P440" s="201"/>
    </row>
    <row r="441" spans="1:16" s="211" customFormat="1" ht="30" customHeight="1">
      <c r="A441" s="207"/>
      <c r="B441" s="208"/>
      <c r="C441" s="209" t="s">
        <v>241</v>
      </c>
      <c r="D441" s="208"/>
      <c r="E441" s="208"/>
      <c r="F441" s="210"/>
      <c r="G441" s="210"/>
      <c r="H441" s="210"/>
      <c r="I441" s="210"/>
      <c r="J441" s="210" t="s">
        <v>248</v>
      </c>
      <c r="K441" s="210"/>
      <c r="L441" s="210"/>
      <c r="M441" s="210"/>
      <c r="N441" s="210"/>
      <c r="O441" s="210"/>
      <c r="P441" s="207"/>
    </row>
    <row r="442" spans="1:16">
      <c r="A442" s="201"/>
      <c r="B442" s="202"/>
      <c r="C442" s="38" t="s">
        <v>249</v>
      </c>
      <c r="D442" s="202"/>
      <c r="E442" s="202"/>
      <c r="F442" s="203"/>
      <c r="G442" s="203"/>
      <c r="H442" s="203"/>
      <c r="I442" s="203"/>
      <c r="J442" s="203"/>
      <c r="K442" s="203"/>
      <c r="L442" s="203"/>
      <c r="M442" s="203"/>
      <c r="N442" s="203"/>
      <c r="O442" s="203"/>
      <c r="P442" s="201"/>
    </row>
    <row r="443" spans="1:16" s="211" customFormat="1" ht="30" customHeight="1">
      <c r="A443" s="207"/>
      <c r="B443" s="208"/>
      <c r="C443" s="209" t="s">
        <v>243</v>
      </c>
      <c r="D443" s="208"/>
      <c r="E443" s="208"/>
      <c r="F443" s="210"/>
      <c r="G443" s="210"/>
      <c r="H443" s="210"/>
      <c r="I443" s="210"/>
      <c r="J443" s="209" t="s">
        <v>242</v>
      </c>
      <c r="K443" s="210"/>
      <c r="L443" s="210"/>
      <c r="M443" s="210"/>
      <c r="N443" s="210"/>
      <c r="O443" s="210"/>
      <c r="P443" s="207"/>
    </row>
    <row r="444" spans="1:16" s="211" customFormat="1" ht="15" customHeight="1">
      <c r="A444" s="207"/>
      <c r="B444" s="208"/>
      <c r="C444" s="209"/>
      <c r="D444" s="208"/>
      <c r="E444" s="208"/>
      <c r="F444" s="210"/>
      <c r="G444" s="209"/>
      <c r="H444" s="210"/>
      <c r="I444" s="210"/>
      <c r="K444" s="210"/>
      <c r="L444" s="210"/>
      <c r="M444" s="210"/>
      <c r="N444" s="210"/>
      <c r="O444" s="210"/>
      <c r="P444" s="207"/>
    </row>
    <row r="445" spans="1:16" ht="60" customHeight="1">
      <c r="D445" s="493"/>
      <c r="E445" s="493"/>
      <c r="F445" s="493"/>
      <c r="G445" s="493"/>
    </row>
    <row r="446" spans="1:16" ht="6" customHeight="1">
      <c r="C446" s="198"/>
    </row>
    <row r="447" spans="1:16">
      <c r="C447" s="524"/>
      <c r="D447" s="524"/>
      <c r="E447" s="524"/>
      <c r="F447" s="524"/>
      <c r="G447" s="524"/>
      <c r="H447" s="524"/>
      <c r="I447" s="524"/>
      <c r="J447" s="524"/>
      <c r="K447" s="524"/>
      <c r="L447" s="524"/>
      <c r="M447" s="524"/>
      <c r="N447" s="524"/>
    </row>
    <row r="448" spans="1:16">
      <c r="C448" s="164"/>
      <c r="K448" s="492" t="str">
        <f ca="1">OP!$C$55&amp;" 列印日："&amp;TEXT(NOW(),"EEMMDD")</f>
        <v>V4.2-1060517 列印日：1060602</v>
      </c>
      <c r="L448" s="492"/>
      <c r="M448" s="492"/>
      <c r="N448" s="492"/>
    </row>
    <row r="449" spans="1:3"/>
    <row r="450" spans="1:3"/>
    <row r="451" spans="1:3" ht="32.25">
      <c r="A451" s="419">
        <v>1</v>
      </c>
      <c r="B451" s="421" t="str">
        <f>IF(ISERROR(VLOOKUP(A451,PI,2,0)),"",VLOOKUP(A451,PI,2,0))</f>
        <v>富邦人壽保險股份有限公司履行個人資料保護法告知說明書</v>
      </c>
      <c r="C451" s="420"/>
    </row>
    <row r="452" spans="1:3">
      <c r="A452" s="419">
        <v>2</v>
      </c>
      <c r="B452" s="420"/>
      <c r="C452" s="420" t="str">
        <f t="shared" ref="C452:C490" si="29">IF(ISERROR(VLOOKUP(A452,PI,2,0)),"",VLOOKUP(A452,PI,2,0))</f>
        <v xml:space="preserve"> </v>
      </c>
    </row>
    <row r="453" spans="1:3" ht="21">
      <c r="A453" s="419">
        <v>3</v>
      </c>
      <c r="B453" s="420"/>
      <c r="C453" s="422" t="str">
        <f t="shared" si="29"/>
        <v>富邦人壽保險股份有限公司（下稱本公司）依據個人資料保護法（以下稱個資法）</v>
      </c>
    </row>
    <row r="454" spans="1:3" ht="21">
      <c r="A454" s="419">
        <v>4</v>
      </c>
      <c r="B454" s="420"/>
      <c r="C454" s="422" t="str">
        <f t="shared" si="29"/>
        <v>規定，向 台端告知下列事項，請 台端詳閱：</v>
      </c>
    </row>
    <row r="455" spans="1:3" ht="21">
      <c r="A455" s="419">
        <v>5</v>
      </c>
      <c r="B455" s="420"/>
      <c r="C455" s="422" t="str">
        <f t="shared" si="29"/>
        <v>一、蒐集之目的：</v>
      </c>
    </row>
    <row r="456" spans="1:3" ht="21">
      <c r="A456" s="419">
        <v>6</v>
      </c>
      <c r="B456" s="420"/>
      <c r="C456" s="422" t="str">
        <f t="shared" si="29"/>
        <v>（一）人身保險（００一）</v>
      </c>
    </row>
    <row r="457" spans="1:3" ht="21">
      <c r="A457" s="419">
        <v>7</v>
      </c>
      <c r="B457" s="420"/>
      <c r="C457" s="422" t="str">
        <f t="shared" si="29"/>
        <v>（二）其他經營合於營業登記項目或組織章程所定之業務（一八一）</v>
      </c>
    </row>
    <row r="458" spans="1:3" ht="21">
      <c r="A458" s="419">
        <v>8</v>
      </c>
      <c r="B458" s="420"/>
      <c r="C458" s="422" t="str">
        <f t="shared" si="29"/>
        <v>二、蒐集之個人資料類別：</v>
      </c>
    </row>
    <row r="459" spans="1:3" ht="21">
      <c r="A459" s="419">
        <v>9</v>
      </c>
      <c r="B459" s="420"/>
      <c r="C459" s="422" t="str">
        <f t="shared" si="29"/>
        <v>（一）姓名。</v>
      </c>
    </row>
    <row r="460" spans="1:3" ht="21">
      <c r="A460" s="419">
        <v>10</v>
      </c>
      <c r="B460" s="420"/>
      <c r="C460" s="422" t="str">
        <f t="shared" si="29"/>
        <v>（二）身分證統一編號。</v>
      </c>
    </row>
    <row r="461" spans="1:3" ht="21">
      <c r="A461" s="419">
        <v>11</v>
      </c>
      <c r="B461" s="420"/>
      <c r="C461" s="422" t="str">
        <f t="shared" si="29"/>
        <v>（三）地址。</v>
      </c>
    </row>
    <row r="462" spans="1:3" ht="21">
      <c r="A462" s="419">
        <v>12</v>
      </c>
      <c r="B462" s="420"/>
      <c r="C462" s="422" t="str">
        <f t="shared" si="29"/>
        <v>（四）病歷、醫療、健康檢查 。</v>
      </c>
    </row>
    <row r="463" spans="1:3" ht="21">
      <c r="A463" s="419">
        <v>13</v>
      </c>
      <c r="B463" s="420"/>
      <c r="C463" s="422" t="str">
        <f t="shared" si="29"/>
        <v>（五）要保書、要保文件等其他基於保險契約所提供之個人資料。</v>
      </c>
    </row>
    <row r="464" spans="1:3" ht="21">
      <c r="A464" s="419">
        <v>14</v>
      </c>
      <c r="B464" s="420"/>
      <c r="C464" s="422" t="str">
        <f t="shared" si="29"/>
        <v>三、個人資料利用之期間、地區、對象、方式：</v>
      </c>
    </row>
    <row r="465" spans="1:3" ht="21">
      <c r="A465" s="419">
        <v>15</v>
      </c>
      <c r="B465" s="420"/>
      <c r="C465" s="422" t="str">
        <f t="shared" si="29"/>
        <v>（一）期間：因執行業務所必須及依法令規定要求之期間。</v>
      </c>
    </row>
    <row r="466" spans="1:3" ht="21">
      <c r="A466" s="419">
        <v>16</v>
      </c>
      <c r="B466" s="420"/>
      <c r="C466" s="422" t="str">
        <f t="shared" si="29"/>
        <v>（二）對象：本公司、本公司的委外服務或委外業務之廠商、中華民國人壽保險</v>
      </c>
    </row>
    <row r="467" spans="1:3" ht="21">
      <c r="A467" s="419">
        <v>17</v>
      </c>
      <c r="B467" s="420"/>
      <c r="C467" s="422" t="str">
        <f t="shared" si="29"/>
        <v xml:space="preserve">      商業同業公會、財團法人保險事業發展中心、財團法人金融消費評議中心、</v>
      </c>
    </row>
    <row r="468" spans="1:3" ht="21">
      <c r="A468" s="419">
        <v>18</v>
      </c>
      <c r="B468" s="420"/>
      <c r="C468" s="422" t="str">
        <f t="shared" si="29"/>
        <v xml:space="preserve">      與本公司有再保業務往來之公司、本公司所屬金控公司、本公司之共同行</v>
      </c>
    </row>
    <row r="469" spans="1:3" ht="21">
      <c r="A469" s="419">
        <v>19</v>
      </c>
      <c r="B469" s="420"/>
      <c r="C469" s="422" t="str">
        <f t="shared" si="29"/>
        <v xml:space="preserve">      銷對象、依法有調查權機關或金融監理機關。</v>
      </c>
    </row>
    <row r="470" spans="1:3" ht="21">
      <c r="A470" s="419">
        <v>20</v>
      </c>
      <c r="B470" s="420"/>
      <c r="C470" s="422" t="str">
        <f t="shared" si="29"/>
        <v>（三）地區：上述對象所在之地區。</v>
      </c>
    </row>
    <row r="471" spans="1:3" ht="21">
      <c r="A471" s="419">
        <v>21</v>
      </c>
      <c r="B471" s="420"/>
      <c r="C471" s="422" t="str">
        <f t="shared" si="29"/>
        <v>（四）方式：合於法令規定之利用方式。</v>
      </c>
    </row>
    <row r="472" spans="1:3" ht="21">
      <c r="A472" s="419">
        <v>22</v>
      </c>
      <c r="B472" s="420"/>
      <c r="C472" s="422" t="str">
        <f t="shared" si="29"/>
        <v>四、依據個資法第三條規定，台端就本公司保有 台端之個人資料得行使之權利及</v>
      </c>
    </row>
    <row r="473" spans="1:3" ht="21">
      <c r="A473" s="419">
        <v>23</v>
      </c>
      <c r="B473" s="420"/>
      <c r="C473" s="422" t="str">
        <f t="shared" si="29"/>
        <v xml:space="preserve">    方式：</v>
      </c>
    </row>
    <row r="474" spans="1:3" ht="21">
      <c r="A474" s="419">
        <v>24</v>
      </c>
      <c r="B474" s="420"/>
      <c r="C474" s="422" t="str">
        <f t="shared" si="29"/>
        <v>（一）得向本公司行使之權利：</v>
      </c>
    </row>
    <row r="475" spans="1:3" ht="21">
      <c r="A475" s="419">
        <v>25</v>
      </c>
      <c r="B475" s="420"/>
      <c r="C475" s="422" t="str">
        <f t="shared" si="29"/>
        <v xml:space="preserve">      1.向本公司查詢、請求閱覽或請求製給複製本。</v>
      </c>
    </row>
    <row r="476" spans="1:3" ht="21">
      <c r="A476" s="419">
        <v>26</v>
      </c>
      <c r="B476" s="420"/>
      <c r="C476" s="422" t="str">
        <f t="shared" si="29"/>
        <v xml:space="preserve">      2.向本公司請求補充或更正。</v>
      </c>
    </row>
    <row r="477" spans="1:3" ht="21">
      <c r="A477" s="419">
        <v>27</v>
      </c>
      <c r="B477" s="420"/>
      <c r="C477" s="422" t="str">
        <f t="shared" si="29"/>
        <v xml:space="preserve">      3.向本公司請求停止蒐集、處理或利用及請求刪除。</v>
      </c>
    </row>
    <row r="478" spans="1:3" ht="21">
      <c r="A478" s="419">
        <v>28</v>
      </c>
      <c r="B478" s="420"/>
      <c r="C478" s="422" t="str">
        <f t="shared" si="29"/>
        <v>（二）行使權利之方式：</v>
      </c>
    </row>
    <row r="479" spans="1:3" ht="21">
      <c r="A479" s="419">
        <v>29</v>
      </c>
      <c r="B479" s="420"/>
      <c r="C479" s="422" t="str">
        <f t="shared" si="29"/>
        <v xml:space="preserve">      您可以透過書面（包含電子郵件、傳真、電子文件）或致電本公司客戶服</v>
      </c>
    </row>
    <row r="480" spans="1:3" ht="21">
      <c r="A480" s="419">
        <v>30</v>
      </c>
      <c r="B480" s="420"/>
      <c r="C480" s="422" t="str">
        <f t="shared" si="29"/>
        <v xml:space="preserve">      務專線（電話：0809-000-550）之方式行使權利。</v>
      </c>
    </row>
    <row r="481" spans="1:3" ht="21">
      <c r="A481" s="419">
        <v>31</v>
      </c>
      <c r="B481" s="420"/>
      <c r="C481" s="422" t="str">
        <f t="shared" si="29"/>
        <v>五、台端不提供個人資料所致權益之影響：</v>
      </c>
    </row>
    <row r="482" spans="1:3" ht="21">
      <c r="A482" s="419">
        <v>32</v>
      </c>
      <c r="B482" s="420"/>
      <c r="C482" s="422" t="str">
        <f t="shared" si="29"/>
        <v xml:space="preserve">    台端若未能提供相關個人資料時，本公司將可能延後或無法進行必要之審核</v>
      </c>
    </row>
    <row r="483" spans="1:3">
      <c r="A483" s="419">
        <v>33</v>
      </c>
      <c r="B483" s="420"/>
      <c r="C483" s="420" t="str">
        <f t="shared" si="29"/>
        <v xml:space="preserve">    及處理作業，因此可能婉謝承保、遲延或無法承保。</v>
      </c>
    </row>
    <row r="484" spans="1:3">
      <c r="A484" s="419">
        <v>34</v>
      </c>
      <c r="B484" s="420"/>
      <c r="C484" s="420" t="str">
        <f t="shared" si="29"/>
        <v/>
      </c>
    </row>
    <row r="485" spans="1:3">
      <c r="A485" s="419">
        <v>35</v>
      </c>
      <c r="B485" s="420"/>
      <c r="C485" s="420" t="str">
        <f t="shared" si="29"/>
        <v/>
      </c>
    </row>
    <row r="486" spans="1:3">
      <c r="A486" s="419">
        <v>36</v>
      </c>
      <c r="B486" s="420"/>
      <c r="C486" s="420" t="str">
        <f t="shared" si="29"/>
        <v/>
      </c>
    </row>
    <row r="487" spans="1:3">
      <c r="A487" s="419">
        <v>37</v>
      </c>
      <c r="B487" s="420"/>
      <c r="C487" s="420" t="str">
        <f t="shared" si="29"/>
        <v/>
      </c>
    </row>
    <row r="488" spans="1:3">
      <c r="A488" s="419">
        <v>38</v>
      </c>
      <c r="B488" s="420"/>
      <c r="C488" s="420" t="str">
        <f t="shared" si="29"/>
        <v/>
      </c>
    </row>
    <row r="489" spans="1:3">
      <c r="A489" s="419">
        <v>39</v>
      </c>
      <c r="B489" s="420"/>
      <c r="C489" s="420" t="str">
        <f t="shared" si="29"/>
        <v/>
      </c>
    </row>
    <row r="490" spans="1:3">
      <c r="A490" s="419">
        <v>40</v>
      </c>
      <c r="B490" s="420"/>
      <c r="C490" s="420" t="str">
        <f t="shared" si="29"/>
        <v/>
      </c>
    </row>
    <row r="491" spans="1:3"/>
    <row r="492" spans="1:3"/>
    <row r="493" spans="1:3"/>
    <row r="494" spans="1:3"/>
    <row r="495" spans="1:3"/>
    <row r="496" spans="1:3"/>
    <row r="497" spans="14:14"/>
    <row r="498" spans="14:14"/>
    <row r="499" spans="14:14"/>
    <row r="500" spans="14:14"/>
    <row r="501" spans="14:14" hidden="1"/>
    <row r="502" spans="14:14" hidden="1"/>
    <row r="503" spans="14:14" hidden="1"/>
    <row r="504" spans="14:14" hidden="1"/>
    <row r="505" spans="14:14" hidden="1"/>
    <row r="506" spans="14:14" hidden="1"/>
    <row r="507" spans="14:14" hidden="1"/>
    <row r="508" spans="14:14" hidden="1"/>
    <row r="509" spans="14:14" hidden="1"/>
    <row r="510" spans="14:14">
      <c r="N510" s="178" t="str">
        <f>OP!H102&amp;OP!I102</f>
        <v>適用通路：業務、服展、北富銀</v>
      </c>
    </row>
    <row r="511" spans="14:14" hidden="1"/>
    <row r="512" spans="14:14"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t="15.75" hidden="1" customHeight="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sheetData>
  <sheetProtection password="CB14" sheet="1" objects="1" scenarios="1" selectLockedCells="1"/>
  <mergeCells count="271">
    <mergeCell ref="D445:G445"/>
    <mergeCell ref="C447:N447"/>
    <mergeCell ref="M420:N420"/>
    <mergeCell ref="E421:F421"/>
    <mergeCell ref="G421:H421"/>
    <mergeCell ref="I421:J421"/>
    <mergeCell ref="K421:L421"/>
    <mergeCell ref="M421:N421"/>
    <mergeCell ref="K448:N448"/>
    <mergeCell ref="E422:F422"/>
    <mergeCell ref="G422:H422"/>
    <mergeCell ref="I422:J422"/>
    <mergeCell ref="K422:L422"/>
    <mergeCell ref="E420:F420"/>
    <mergeCell ref="G420:H420"/>
    <mergeCell ref="I420:J420"/>
    <mergeCell ref="K420:L420"/>
    <mergeCell ref="M422:N422"/>
    <mergeCell ref="M418:N418"/>
    <mergeCell ref="E419:F419"/>
    <mergeCell ref="G419:H419"/>
    <mergeCell ref="I419:J419"/>
    <mergeCell ref="K419:L419"/>
    <mergeCell ref="M419:N419"/>
    <mergeCell ref="E418:F418"/>
    <mergeCell ref="G418:H418"/>
    <mergeCell ref="I418:J418"/>
    <mergeCell ref="K418:L418"/>
    <mergeCell ref="M416:N416"/>
    <mergeCell ref="E417:F417"/>
    <mergeCell ref="G417:H417"/>
    <mergeCell ref="I417:J417"/>
    <mergeCell ref="K417:L417"/>
    <mergeCell ref="M417:N417"/>
    <mergeCell ref="E416:F416"/>
    <mergeCell ref="G416:H416"/>
    <mergeCell ref="I416:J416"/>
    <mergeCell ref="K416:L416"/>
    <mergeCell ref="M414:N414"/>
    <mergeCell ref="E415:F415"/>
    <mergeCell ref="G415:H415"/>
    <mergeCell ref="I415:J415"/>
    <mergeCell ref="K415:L415"/>
    <mergeCell ref="M415:N415"/>
    <mergeCell ref="E414:F414"/>
    <mergeCell ref="G414:H414"/>
    <mergeCell ref="I414:J414"/>
    <mergeCell ref="K414:L414"/>
    <mergeCell ref="M412:N412"/>
    <mergeCell ref="E413:F413"/>
    <mergeCell ref="G413:H413"/>
    <mergeCell ref="I413:J413"/>
    <mergeCell ref="K413:L413"/>
    <mergeCell ref="M413:N413"/>
    <mergeCell ref="E412:F412"/>
    <mergeCell ref="G412:H412"/>
    <mergeCell ref="I412:J412"/>
    <mergeCell ref="K412:L412"/>
    <mergeCell ref="M410:N410"/>
    <mergeCell ref="E411:F411"/>
    <mergeCell ref="G411:H411"/>
    <mergeCell ref="I411:J411"/>
    <mergeCell ref="K411:L411"/>
    <mergeCell ref="M411:N411"/>
    <mergeCell ref="E410:F410"/>
    <mergeCell ref="G410:H410"/>
    <mergeCell ref="I410:J410"/>
    <mergeCell ref="K410:L410"/>
    <mergeCell ref="M408:N408"/>
    <mergeCell ref="E409:F409"/>
    <mergeCell ref="G409:H409"/>
    <mergeCell ref="I409:J409"/>
    <mergeCell ref="K409:L409"/>
    <mergeCell ref="M409:N409"/>
    <mergeCell ref="E408:F408"/>
    <mergeCell ref="G408:H408"/>
    <mergeCell ref="I408:J408"/>
    <mergeCell ref="K408:L408"/>
    <mergeCell ref="M406:N406"/>
    <mergeCell ref="E407:F407"/>
    <mergeCell ref="G407:H407"/>
    <mergeCell ref="I407:J407"/>
    <mergeCell ref="K407:L407"/>
    <mergeCell ref="M407:N407"/>
    <mergeCell ref="E406:F406"/>
    <mergeCell ref="G406:H406"/>
    <mergeCell ref="I406:J406"/>
    <mergeCell ref="K406:L406"/>
    <mergeCell ref="M404:N404"/>
    <mergeCell ref="E405:F405"/>
    <mergeCell ref="G405:H405"/>
    <mergeCell ref="I405:J405"/>
    <mergeCell ref="K405:L405"/>
    <mergeCell ref="M405:N405"/>
    <mergeCell ref="E404:F404"/>
    <mergeCell ref="G404:H404"/>
    <mergeCell ref="I404:J404"/>
    <mergeCell ref="K404:L404"/>
    <mergeCell ref="M402:N402"/>
    <mergeCell ref="E403:F403"/>
    <mergeCell ref="G403:H403"/>
    <mergeCell ref="I403:J403"/>
    <mergeCell ref="K403:L403"/>
    <mergeCell ref="M403:N403"/>
    <mergeCell ref="E402:F402"/>
    <mergeCell ref="G402:H402"/>
    <mergeCell ref="I402:J402"/>
    <mergeCell ref="K402:L402"/>
    <mergeCell ref="I400:N400"/>
    <mergeCell ref="I401:J401"/>
    <mergeCell ref="K401:L401"/>
    <mergeCell ref="M401:N401"/>
    <mergeCell ref="C400:C401"/>
    <mergeCell ref="D400:D401"/>
    <mergeCell ref="E400:F401"/>
    <mergeCell ref="G400:H401"/>
    <mergeCell ref="K78:N78"/>
    <mergeCell ref="C392:N392"/>
    <mergeCell ref="E398:F398"/>
    <mergeCell ref="C388:N388"/>
    <mergeCell ref="C330:N330"/>
    <mergeCell ref="C273:N273"/>
    <mergeCell ref="C208:N208"/>
    <mergeCell ref="K331:N331"/>
    <mergeCell ref="C333:N333"/>
    <mergeCell ref="K143:N143"/>
    <mergeCell ref="I342:J342"/>
    <mergeCell ref="K342:L342"/>
    <mergeCell ref="I341:N341"/>
    <mergeCell ref="M342:N342"/>
    <mergeCell ref="C2:N2"/>
    <mergeCell ref="H211:H212"/>
    <mergeCell ref="E6:F6"/>
    <mergeCell ref="N147:N148"/>
    <mergeCell ref="L147:L148"/>
    <mergeCell ref="C8:N8"/>
    <mergeCell ref="E211:E212"/>
    <mergeCell ref="C14:N14"/>
    <mergeCell ref="I211:K211"/>
    <mergeCell ref="B147:B148"/>
    <mergeCell ref="C147:C148"/>
    <mergeCell ref="D147:D148"/>
    <mergeCell ref="F147:F148"/>
    <mergeCell ref="E147:E148"/>
    <mergeCell ref="L211:L212"/>
    <mergeCell ref="C77:N77"/>
    <mergeCell ref="N211:N212"/>
    <mergeCell ref="C145:N145"/>
    <mergeCell ref="G147:G148"/>
    <mergeCell ref="K209:N209"/>
    <mergeCell ref="C211:C212"/>
    <mergeCell ref="I147:K147"/>
    <mergeCell ref="H147:H148"/>
    <mergeCell ref="F211:F212"/>
    <mergeCell ref="G211:G212"/>
    <mergeCell ref="D211:D212"/>
    <mergeCell ref="E343:F343"/>
    <mergeCell ref="E344:F344"/>
    <mergeCell ref="C341:C342"/>
    <mergeCell ref="E339:F339"/>
    <mergeCell ref="D341:D342"/>
    <mergeCell ref="E341:F342"/>
    <mergeCell ref="C276:N276"/>
    <mergeCell ref="K274:N274"/>
    <mergeCell ref="G341:H342"/>
    <mergeCell ref="E353:F353"/>
    <mergeCell ref="E345:F345"/>
    <mergeCell ref="E346:F346"/>
    <mergeCell ref="G344:H344"/>
    <mergeCell ref="G347:H347"/>
    <mergeCell ref="G348:H348"/>
    <mergeCell ref="G349:H349"/>
    <mergeCell ref="E347:F347"/>
    <mergeCell ref="E348:F348"/>
    <mergeCell ref="E349:F349"/>
    <mergeCell ref="E350:F350"/>
    <mergeCell ref="E351:F351"/>
    <mergeCell ref="E352:F352"/>
    <mergeCell ref="E362:F362"/>
    <mergeCell ref="E355:F355"/>
    <mergeCell ref="E356:F356"/>
    <mergeCell ref="E357:F357"/>
    <mergeCell ref="E358:F358"/>
    <mergeCell ref="E359:F359"/>
    <mergeCell ref="G359:H359"/>
    <mergeCell ref="E360:F360"/>
    <mergeCell ref="E361:F361"/>
    <mergeCell ref="I351:J351"/>
    <mergeCell ref="G360:H360"/>
    <mergeCell ref="G356:H356"/>
    <mergeCell ref="G357:H357"/>
    <mergeCell ref="G361:H361"/>
    <mergeCell ref="I360:J360"/>
    <mergeCell ref="E354:F354"/>
    <mergeCell ref="G346:H346"/>
    <mergeCell ref="I354:J354"/>
    <mergeCell ref="I358:J358"/>
    <mergeCell ref="I349:J349"/>
    <mergeCell ref="I350:J350"/>
    <mergeCell ref="G354:H354"/>
    <mergeCell ref="G355:H355"/>
    <mergeCell ref="G350:H350"/>
    <mergeCell ref="G351:H351"/>
    <mergeCell ref="G358:H358"/>
    <mergeCell ref="I343:J343"/>
    <mergeCell ref="I344:J344"/>
    <mergeCell ref="I345:J345"/>
    <mergeCell ref="I346:J346"/>
    <mergeCell ref="G352:H352"/>
    <mergeCell ref="G353:H353"/>
    <mergeCell ref="G343:H343"/>
    <mergeCell ref="I347:J347"/>
    <mergeCell ref="I348:J348"/>
    <mergeCell ref="G345:H345"/>
    <mergeCell ref="I356:J356"/>
    <mergeCell ref="I357:J357"/>
    <mergeCell ref="K356:L356"/>
    <mergeCell ref="I352:J352"/>
    <mergeCell ref="I353:J353"/>
    <mergeCell ref="K354:L354"/>
    <mergeCell ref="K355:L355"/>
    <mergeCell ref="K353:L353"/>
    <mergeCell ref="M344:N344"/>
    <mergeCell ref="M345:N345"/>
    <mergeCell ref="M346:N346"/>
    <mergeCell ref="K347:L347"/>
    <mergeCell ref="E363:F363"/>
    <mergeCell ref="K343:L343"/>
    <mergeCell ref="K344:L344"/>
    <mergeCell ref="K345:L345"/>
    <mergeCell ref="K346:L346"/>
    <mergeCell ref="K348:L348"/>
    <mergeCell ref="M350:N350"/>
    <mergeCell ref="D386:G386"/>
    <mergeCell ref="M363:N363"/>
    <mergeCell ref="M359:N359"/>
    <mergeCell ref="M360:N360"/>
    <mergeCell ref="M361:N361"/>
    <mergeCell ref="K351:L351"/>
    <mergeCell ref="I359:J359"/>
    <mergeCell ref="I355:J355"/>
    <mergeCell ref="I361:J361"/>
    <mergeCell ref="G362:H362"/>
    <mergeCell ref="G363:H363"/>
    <mergeCell ref="K389:N389"/>
    <mergeCell ref="M343:N343"/>
    <mergeCell ref="K357:L357"/>
    <mergeCell ref="K358:L358"/>
    <mergeCell ref="M358:N358"/>
    <mergeCell ref="M348:N348"/>
    <mergeCell ref="K349:L349"/>
    <mergeCell ref="M349:N349"/>
    <mergeCell ref="M351:N351"/>
    <mergeCell ref="M352:N352"/>
    <mergeCell ref="M362:N362"/>
    <mergeCell ref="K363:L363"/>
    <mergeCell ref="K360:L360"/>
    <mergeCell ref="M357:N357"/>
    <mergeCell ref="K361:L361"/>
    <mergeCell ref="M355:N355"/>
    <mergeCell ref="M356:N356"/>
    <mergeCell ref="K350:L350"/>
    <mergeCell ref="K352:L352"/>
    <mergeCell ref="I363:J363"/>
    <mergeCell ref="C142:N142"/>
    <mergeCell ref="K359:L359"/>
    <mergeCell ref="I362:J362"/>
    <mergeCell ref="K362:L362"/>
    <mergeCell ref="M353:N353"/>
    <mergeCell ref="M354:N354"/>
    <mergeCell ref="M347:N347"/>
  </mergeCells>
  <phoneticPr fontId="2" type="noConversion"/>
  <conditionalFormatting sqref="I212:I268 I148:I204">
    <cfRule type="expression" dxfId="4" priority="5" stopIfTrue="1">
      <formula>$N$146=2</formula>
    </cfRule>
  </conditionalFormatting>
  <conditionalFormatting sqref="J212:J268 J148:J204">
    <cfRule type="expression" dxfId="3" priority="6" stopIfTrue="1">
      <formula>$N$146=3</formula>
    </cfRule>
  </conditionalFormatting>
  <conditionalFormatting sqref="K212:K268 K148:K203">
    <cfRule type="expression" dxfId="2" priority="7" stopIfTrue="1">
      <formula>$N$146=4</formula>
    </cfRule>
  </conditionalFormatting>
  <conditionalFormatting sqref="F7 F9 F15">
    <cfRule type="cellIs" dxfId="1" priority="2" stopIfTrue="1" operator="notBetween">
      <formula>0</formula>
      <formula>70</formula>
    </cfRule>
  </conditionalFormatting>
  <conditionalFormatting sqref="C10">
    <cfRule type="expression" dxfId="0" priority="12" stopIfTrue="1">
      <formula>$B$10=0</formula>
    </cfRule>
  </conditionalFormatting>
  <dataValidations count="1">
    <dataValidation type="list" allowBlank="1" showInputMessage="1" showErrorMessage="1" sqref="M148">
      <formula1>"正報酬,零報酬,負報酬"</formula1>
    </dataValidation>
  </dataValidations>
  <printOptions horizontalCentered="1"/>
  <pageMargins left="0" right="0" top="0.19685039370078741" bottom="0.19685039370078741" header="0.51181102362204722" footer="0.23622047244094491"/>
  <pageSetup paperSize="9" scale="81" fitToHeight="4" orientation="portrait" r:id="rId1"/>
  <headerFooter alignWithMargins="0">
    <oddFooter>&amp;L第&amp;P頁/共&amp;N頁</oddFooter>
  </headerFooter>
  <rowBreaks count="3" manualBreakCount="3">
    <brk id="78" max="15" man="1"/>
    <brk id="143" max="15" man="1"/>
    <brk id="209" max="15" man="1"/>
  </rowBreaks>
  <ignoredErrors>
    <ignoredError sqref="B149" evalError="1"/>
  </ignoredErrors>
  <drawing r:id="rId2"/>
  <legacyDrawing r:id="rId3"/>
  <controls>
    <control shapeId="4425" r:id="rId4" name="CommandButton3"/>
    <control shapeId="4424" r:id="rId5" name="CommandButton2"/>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已命名的範圍</vt:lpstr>
      </vt:variant>
      <vt:variant>
        <vt:i4>25</vt:i4>
      </vt:variant>
    </vt:vector>
  </HeadingPairs>
  <TitlesOfParts>
    <vt:vector size="27" baseType="lpstr">
      <vt:lpstr>輸入頁</vt:lpstr>
      <vt:lpstr>列印頁</vt:lpstr>
      <vt:lpstr>CO</vt:lpstr>
      <vt:lpstr>fees</vt:lpstr>
      <vt:lpstr>month</vt:lpstr>
      <vt:lpstr>MP</vt:lpstr>
      <vt:lpstr>PAY</vt:lpstr>
      <vt:lpstr>PI</vt:lpstr>
      <vt:lpstr>PR</vt:lpstr>
      <vt:lpstr>'15費率表'!Print_Area</vt:lpstr>
      <vt:lpstr>列印頁!Print_Area</vt:lpstr>
      <vt:lpstr>輸入頁!Print_Area</vt:lpstr>
      <vt:lpstr>繳費報酬率資料!Print_Area</vt:lpstr>
      <vt:lpstr>value</vt:lpstr>
      <vt:lpstr>value1</vt:lpstr>
      <vt:lpstr>WORDING</vt:lpstr>
      <vt:lpstr>分首</vt:lpstr>
      <vt:lpstr>分續</vt:lpstr>
      <vt:lpstr>主約</vt:lpstr>
      <vt:lpstr>年金</vt:lpstr>
      <vt:lpstr>年金定位</vt:lpstr>
      <vt:lpstr>年金金額</vt:lpstr>
      <vt:lpstr>宣告利率</vt:lpstr>
      <vt:lpstr>彈首</vt:lpstr>
      <vt:lpstr>繳別</vt:lpstr>
      <vt:lpstr>繳別首</vt:lpstr>
      <vt:lpstr>繳別續</vt:lpstr>
    </vt:vector>
  </TitlesOfParts>
  <Company>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HAHA</dc:creator>
  <cp:lastModifiedBy>weizen yan</cp:lastModifiedBy>
  <cp:lastPrinted>2017-04-25T07:42:05Z</cp:lastPrinted>
  <dcterms:created xsi:type="dcterms:W3CDTF">2009-07-01T01:24:58Z</dcterms:created>
  <dcterms:modified xsi:type="dcterms:W3CDTF">2017-06-02T03:55:46Z</dcterms:modified>
</cp:coreProperties>
</file>